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senvionwindtechnologypvtltd-my.sharepoint.com/personal/dinesh_pandavadra_senvion_in/Documents/Desktop/Dinesh/DGR/"/>
    </mc:Choice>
  </mc:AlternateContent>
  <xr:revisionPtr revIDLastSave="474" documentId="13_ncr:1_{838AFEC0-D572-4861-97CB-7F1A758A3CE2}" xr6:coauthVersionLast="47" xr6:coauthVersionMax="47" xr10:uidLastSave="{F29511B6-3F90-4B56-ADF9-DCF1EA2EB576}"/>
  <bookViews>
    <workbookView xWindow="-108" yWindow="-108" windowWidth="23256" windowHeight="12456" tabRatio="718" firstSheet="1" activeTab="7" xr2:uid="{00000000-000D-0000-FFFF-FFFF00000000}"/>
  </bookViews>
  <sheets>
    <sheet name="O2Summary" sheetId="11" r:id="rId1"/>
    <sheet name="MonthlyKPI" sheetId="9" r:id="rId2"/>
    <sheet name="Daily KPI" sheetId="14" r:id="rId3"/>
    <sheet name="AnnualKPI" sheetId="10" r:id="rId4"/>
    <sheet name="Analytices" sheetId="12" r:id="rId5"/>
    <sheet name="WTG Reactive Power" sheetId="16" r:id="rId6"/>
    <sheet name="Input_Raw" sheetId="1" r:id="rId7"/>
    <sheet name="WTG_BD" sheetId="18" r:id="rId8"/>
    <sheet name="IGA_BD" sheetId="19" r:id="rId9"/>
    <sheet name="Grid_BD" sheetId="20" r:id="rId10"/>
    <sheet name="WTG-PM" sheetId="17" r:id="rId11"/>
    <sheet name="SLDC certailment data " sheetId="21" r:id="rId12"/>
    <sheet name="Modelling New" sheetId="15" state="hidden" r:id="rId13"/>
    <sheet name="Sheet1" sheetId="13" state="hidden" r:id="rId14"/>
    <sheet name="Modelling" sheetId="7" state="hidden" r:id="rId15"/>
    <sheet name="Basic Data" sheetId="4" state="hidden" r:id="rId16"/>
  </sheets>
  <externalReferences>
    <externalReference r:id="rId17"/>
    <externalReference r:id="rId18"/>
    <externalReference r:id="rId19"/>
    <externalReference r:id="rId20"/>
  </externalReferences>
  <definedNames>
    <definedName name="_xlnm._FilterDatabase" localSheetId="15" hidden="1">'Basic Data'!$AA$1:$AJ$875</definedName>
    <definedName name="_xlnm._FilterDatabase" localSheetId="13" hidden="1">Sheet1!$L$8:$P$48</definedName>
    <definedName name="BD_Relation" localSheetId="2">[1]Basic_Data!$B$3:$B$14</definedName>
    <definedName name="BD_Relation" localSheetId="12">[1]Basic_Data!$B$3:$B$14</definedName>
    <definedName name="BD_Relation" localSheetId="5">#REF!</definedName>
    <definedName name="BD_Relation">[1]Basic_Data!$B$3:$B$14</definedName>
    <definedName name="Date" localSheetId="2">[1]Basic_Data!$D$3:$D$33</definedName>
    <definedName name="Date" localSheetId="12">[1]Basic_Data!$D$3:$D$33</definedName>
    <definedName name="Date" localSheetId="5">#REF!</definedName>
    <definedName name="Date">[1]Basic_Data!$D$3:$D$33</definedName>
    <definedName name="dccap" localSheetId="2">[2]DGR!$D$7:$D$14</definedName>
    <definedName name="dccap" localSheetId="12">[2]DGR!$D$7:$D$14</definedName>
    <definedName name="dccap" localSheetId="5">#REF!</definedName>
    <definedName name="dccap">[2]DGR!$D$7:$D$14</definedName>
    <definedName name="Digos" localSheetId="2">'[3]Basic Data'!#REF!</definedName>
    <definedName name="Digos" localSheetId="12">'[3]Basic Data'!#REF!</definedName>
    <definedName name="Digos" localSheetId="5">#REF!</definedName>
    <definedName name="Digos">'[3]Basic Data'!#REF!</definedName>
    <definedName name="engg" localSheetId="2">[1]Basic_Data!$L$3:$L$16</definedName>
    <definedName name="engg" localSheetId="12">[1]Basic_Data!$L$3:$L$16</definedName>
    <definedName name="engg" localSheetId="5">#REF!</definedName>
    <definedName name="engg">[1]Basic_Data!$L$3:$L$16</definedName>
    <definedName name="Equipment" localSheetId="2">[1]Basic_Data!$F$3:$F$5</definedName>
    <definedName name="Equipment" localSheetId="12">[1]Basic_Data!$F$3:$F$5</definedName>
    <definedName name="Equipment" localSheetId="5">#REF!</definedName>
    <definedName name="Equipment">[1]Basic_Data!$F$3:$F$5</definedName>
    <definedName name="error" localSheetId="2">[1]Basic_Data!$M$3:$M$33</definedName>
    <definedName name="error" localSheetId="12">[1]Basic_Data!$M$3:$M$33</definedName>
    <definedName name="error" localSheetId="5">#REF!</definedName>
    <definedName name="error">[1]Basic_Data!$M$3:$M$33</definedName>
    <definedName name="Gstc" localSheetId="4">#REF!</definedName>
    <definedName name="Gstc" localSheetId="3">#REF!</definedName>
    <definedName name="Gstc" localSheetId="1">#REF!</definedName>
    <definedName name="Gstc" localSheetId="0">#REF!</definedName>
    <definedName name="Gstc">#REF!</definedName>
    <definedName name="Inverter" localSheetId="2">[1]Basic_Data!$H$3:$H$8</definedName>
    <definedName name="Inverter" localSheetId="12">[1]Basic_Data!$H$3:$H$8</definedName>
    <definedName name="Inverter" localSheetId="5">#REF!</definedName>
    <definedName name="Inverter">[1]Basic_Data!$H$3:$H$8</definedName>
    <definedName name="invlook" localSheetId="2">[2]DGR!$B$7:$D$14</definedName>
    <definedName name="invlook" localSheetId="12">[2]DGR!$B$7:$D$14</definedName>
    <definedName name="invlook" localSheetId="5">#REF!</definedName>
    <definedName name="invlook">[2]DGR!$B$7:$D$14</definedName>
    <definedName name="JB" localSheetId="2">[1]Basic_Data!$I$3:$I$68</definedName>
    <definedName name="JB" localSheetId="12">[1]Basic_Data!$I$3:$I$68</definedName>
    <definedName name="JB" localSheetId="5">#REF!</definedName>
    <definedName name="JB">[1]Basic_Data!$I$3:$I$68</definedName>
    <definedName name="jbp" localSheetId="2">[2]Basic_Data!$I$3:$J$66</definedName>
    <definedName name="jbp" localSheetId="12">[2]Basic_Data!$I$3:$J$66</definedName>
    <definedName name="jbp" localSheetId="5">#REF!</definedName>
    <definedName name="jbp">[2]Basic_Data!$I$3:$J$66</definedName>
    <definedName name="P1_SnW4240" localSheetId="2">'[3]Basic Data'!#REF!</definedName>
    <definedName name="P1_SnW4240" localSheetId="12">'[3]Basic Data'!#REF!</definedName>
    <definedName name="P1_SnW4240" localSheetId="5">#REF!</definedName>
    <definedName name="P1_SnW4240">'[3]Basic Data'!#REF!</definedName>
    <definedName name="P1SnW4240" localSheetId="2">'[3]Basic Data'!#REF!</definedName>
    <definedName name="P1SnW4240" localSheetId="12">'[3]Basic Data'!#REF!</definedName>
    <definedName name="P1SnW4240" localSheetId="5">#REF!</definedName>
    <definedName name="P1SnW4240">'[3]Basic Data'!#REF!</definedName>
    <definedName name="P1SnW51" localSheetId="2">'[3]Basic Data'!#REF!</definedName>
    <definedName name="P1SnW51" localSheetId="12">'[3]Basic Data'!#REF!</definedName>
    <definedName name="P1SnW51" localSheetId="5">#REF!</definedName>
    <definedName name="P1SnW51">'[3]Basic Data'!#REF!</definedName>
    <definedName name="P1SnW68" localSheetId="2">'[3]Basic Data'!#REF!</definedName>
    <definedName name="P1SnW68" localSheetId="12">'[3]Basic Data'!#REF!</definedName>
    <definedName name="P1SnW68" localSheetId="5">#REF!</definedName>
    <definedName name="P1SnW68">'[3]Basic Data'!#REF!</definedName>
    <definedName name="Pstc" localSheetId="4">#REF!</definedName>
    <definedName name="Pstc" localSheetId="3">#REF!</definedName>
    <definedName name="Pstc" localSheetId="1">#REF!</definedName>
    <definedName name="Pstc" localSheetId="0">#REF!</definedName>
    <definedName name="Pstc">#REF!</definedName>
    <definedName name="SCDA" localSheetId="2">'[3]Basic Data'!#REF!</definedName>
    <definedName name="SCDA" localSheetId="12">'[3]Basic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2">[1]Basic_Data!$K$3:$K$4</definedName>
    <definedName name="status" localSheetId="12">[1]Basic_Data!$K$3:$K$4</definedName>
    <definedName name="status" localSheetId="5">#REF!</definedName>
    <definedName name="status">[1]Basic_Data!$K$3:$K$4</definedName>
    <definedName name="stp" localSheetId="2">[2]Basic_Data!$K$3:$L$32</definedName>
    <definedName name="stp" localSheetId="12">[2]Basic_Data!$K$3:$L$32</definedName>
    <definedName name="stp" localSheetId="5">#REF!</definedName>
    <definedName name="stp">[2]Basic_Data!$K$3:$L$32</definedName>
    <definedName name="String" localSheetId="2">[1]Basic_Data!$J$3:$J$1019</definedName>
    <definedName name="String" localSheetId="12">[1]Basic_Data!$J$3:$J$1019</definedName>
    <definedName name="String" localSheetId="5">#REF!</definedName>
    <definedName name="String">[1]Basic_Data!$J$3:$J$1019</definedName>
    <definedName name="zzzzz" localSheetId="2">[4]Basic_Data!$F$3:$F$5</definedName>
    <definedName name="zzzzz" localSheetId="12">[4]Basic_Data!$F$3:$F$5</definedName>
    <definedName name="zzzzz" localSheetId="5">#REF!</definedName>
    <definedName name="zzzzz">[4]Basic_Data!$F$3:$F$5</definedName>
  </definedNames>
  <calcPr calcId="191028"/>
  <pivotCaches>
    <pivotCache cacheId="1"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36" i="18" l="1"/>
  <c r="B1537" i="18"/>
  <c r="B1538" i="18"/>
  <c r="B1539" i="18"/>
  <c r="B1540" i="18"/>
  <c r="B1541" i="18"/>
  <c r="B1542" i="18"/>
  <c r="C1536" i="18"/>
  <c r="C1537" i="18"/>
  <c r="C1538" i="18"/>
  <c r="C1539" i="18"/>
  <c r="C1540" i="18"/>
  <c r="C1541" i="18"/>
  <c r="C1542" i="18"/>
  <c r="E1536" i="18"/>
  <c r="E1537" i="18"/>
  <c r="E1538" i="18"/>
  <c r="E1539" i="18"/>
  <c r="E1540" i="18"/>
  <c r="E1541" i="18"/>
  <c r="E1542" i="18"/>
  <c r="H1536" i="18"/>
  <c r="H1537" i="18"/>
  <c r="H1538" i="18"/>
  <c r="H1539" i="18"/>
  <c r="H1540" i="18"/>
  <c r="H1541" i="18"/>
  <c r="H1542" i="18"/>
  <c r="I1536" i="18"/>
  <c r="I1537" i="18"/>
  <c r="I1538" i="18"/>
  <c r="I1539" i="18"/>
  <c r="I1540" i="18"/>
  <c r="I1541" i="18"/>
  <c r="I1542" i="18"/>
  <c r="J1536" i="18"/>
  <c r="J1537" i="18"/>
  <c r="J1538" i="18"/>
  <c r="J1539" i="18"/>
  <c r="J1540" i="18"/>
  <c r="J1541" i="18"/>
  <c r="J1542" i="18"/>
  <c r="L1536" i="18"/>
  <c r="L1537" i="18"/>
  <c r="L1538" i="18"/>
  <c r="L1539" i="18"/>
  <c r="L1540" i="18"/>
  <c r="L1541" i="18"/>
  <c r="L1542" i="18"/>
  <c r="R1536" i="18"/>
  <c r="R1537" i="18"/>
  <c r="R1538" i="18"/>
  <c r="R1539" i="18"/>
  <c r="R1540" i="18"/>
  <c r="R1541" i="18"/>
  <c r="R1542" i="18"/>
  <c r="S1536" i="18"/>
  <c r="S1537" i="18"/>
  <c r="S1538" i="18"/>
  <c r="S1539" i="18"/>
  <c r="S1540" i="18"/>
  <c r="S1541" i="18"/>
  <c r="S1542" i="18"/>
  <c r="T1536" i="18"/>
  <c r="AA1536" i="18" s="1"/>
  <c r="T1537" i="18"/>
  <c r="AA1537" i="18" s="1"/>
  <c r="T1538" i="18"/>
  <c r="W1538" i="18" s="1"/>
  <c r="T1539" i="18"/>
  <c r="AA1539" i="18" s="1"/>
  <c r="T1540" i="18"/>
  <c r="W1540" i="18" s="1"/>
  <c r="T1541" i="18"/>
  <c r="AA1541" i="18" s="1"/>
  <c r="T1542" i="18"/>
  <c r="AA1542" i="18" s="1"/>
  <c r="B112" i="1"/>
  <c r="C112" i="1"/>
  <c r="D112" i="1"/>
  <c r="E112" i="1"/>
  <c r="BF112" i="1"/>
  <c r="BN112" i="1" s="1"/>
  <c r="BG112" i="1"/>
  <c r="BL112" i="1"/>
  <c r="BM112" i="1"/>
  <c r="X153" i="19"/>
  <c r="X152" i="19"/>
  <c r="X151" i="19"/>
  <c r="E150" i="19"/>
  <c r="E151" i="19"/>
  <c r="E152" i="19"/>
  <c r="E153" i="19"/>
  <c r="B150" i="19"/>
  <c r="B151" i="19"/>
  <c r="B152" i="19"/>
  <c r="B153" i="19"/>
  <c r="C150" i="19"/>
  <c r="C151" i="19"/>
  <c r="C152" i="19"/>
  <c r="C153" i="19"/>
  <c r="H150" i="19"/>
  <c r="H151" i="19"/>
  <c r="H152" i="19"/>
  <c r="H153" i="19"/>
  <c r="I150" i="19"/>
  <c r="I151" i="19"/>
  <c r="I152" i="19"/>
  <c r="I153" i="19"/>
  <c r="J150" i="19"/>
  <c r="J151" i="19"/>
  <c r="J152" i="19"/>
  <c r="J153" i="19"/>
  <c r="O150" i="19"/>
  <c r="O151" i="19"/>
  <c r="O152" i="19"/>
  <c r="O153" i="19"/>
  <c r="P150" i="19"/>
  <c r="P151" i="19"/>
  <c r="P152" i="19"/>
  <c r="P153" i="19"/>
  <c r="Q150" i="19"/>
  <c r="T150" i="19" s="1"/>
  <c r="Q151" i="19"/>
  <c r="T151" i="19" s="1"/>
  <c r="Q152" i="19"/>
  <c r="Q153" i="19"/>
  <c r="B1525" i="18"/>
  <c r="B1526" i="18"/>
  <c r="B1527" i="18"/>
  <c r="B1528" i="18"/>
  <c r="B1529" i="18"/>
  <c r="B1530" i="18"/>
  <c r="B1531" i="18"/>
  <c r="B1532" i="18"/>
  <c r="B1533" i="18"/>
  <c r="B1534" i="18"/>
  <c r="B1535" i="18"/>
  <c r="C1525" i="18"/>
  <c r="C1526" i="18"/>
  <c r="C1527" i="18"/>
  <c r="C1528" i="18"/>
  <c r="C1529" i="18"/>
  <c r="C1530" i="18"/>
  <c r="C1531" i="18"/>
  <c r="C1532" i="18"/>
  <c r="C1533" i="18"/>
  <c r="C1534" i="18"/>
  <c r="C1535" i="18"/>
  <c r="E1525" i="18"/>
  <c r="E1526" i="18"/>
  <c r="E1527" i="18"/>
  <c r="E1528" i="18"/>
  <c r="E1529" i="18"/>
  <c r="E1530" i="18"/>
  <c r="E1531" i="18"/>
  <c r="E1532" i="18"/>
  <c r="E1533" i="18"/>
  <c r="E1534" i="18"/>
  <c r="E1535" i="18"/>
  <c r="H1525" i="18"/>
  <c r="H1526" i="18"/>
  <c r="H1527" i="18"/>
  <c r="H1528" i="18"/>
  <c r="H1529" i="18"/>
  <c r="H1530" i="18"/>
  <c r="H1531" i="18"/>
  <c r="H1532" i="18"/>
  <c r="H1533" i="18"/>
  <c r="H1534" i="18"/>
  <c r="H1535" i="18"/>
  <c r="I1525" i="18"/>
  <c r="I1526" i="18"/>
  <c r="I1527" i="18"/>
  <c r="I1528" i="18"/>
  <c r="I1529" i="18"/>
  <c r="I1530" i="18"/>
  <c r="I1531" i="18"/>
  <c r="I1532" i="18"/>
  <c r="I1533" i="18"/>
  <c r="I1534" i="18"/>
  <c r="I1535" i="18"/>
  <c r="J1525" i="18"/>
  <c r="J1526" i="18"/>
  <c r="J1527" i="18"/>
  <c r="J1528" i="18"/>
  <c r="J1529" i="18"/>
  <c r="J1530" i="18"/>
  <c r="J1531" i="18"/>
  <c r="J1532" i="18"/>
  <c r="J1533" i="18"/>
  <c r="J1534" i="18"/>
  <c r="J1535" i="18"/>
  <c r="L1525" i="18"/>
  <c r="L1526" i="18"/>
  <c r="L1527" i="18"/>
  <c r="L1528" i="18"/>
  <c r="L1529" i="18"/>
  <c r="L1530" i="18"/>
  <c r="L1531" i="18"/>
  <c r="L1532" i="18"/>
  <c r="L1533" i="18"/>
  <c r="L1534" i="18"/>
  <c r="L1535" i="18"/>
  <c r="R1525" i="18"/>
  <c r="R1526" i="18"/>
  <c r="R1527" i="18"/>
  <c r="R1528" i="18"/>
  <c r="R1529" i="18"/>
  <c r="R1530" i="18"/>
  <c r="R1531" i="18"/>
  <c r="R1532" i="18"/>
  <c r="R1533" i="18"/>
  <c r="R1534" i="18"/>
  <c r="R1535" i="18"/>
  <c r="S1525" i="18"/>
  <c r="S1526" i="18"/>
  <c r="S1527" i="18"/>
  <c r="S1528" i="18"/>
  <c r="S1529" i="18"/>
  <c r="S1530" i="18"/>
  <c r="S1531" i="18"/>
  <c r="S1532" i="18"/>
  <c r="S1533" i="18"/>
  <c r="S1534" i="18"/>
  <c r="S1535" i="18"/>
  <c r="T1525" i="18"/>
  <c r="T1526" i="18"/>
  <c r="AA1526" i="18" s="1"/>
  <c r="T1527" i="18"/>
  <c r="AA1527" i="18" s="1"/>
  <c r="T1528" i="18"/>
  <c r="AA1528" i="18" s="1"/>
  <c r="T1529" i="18"/>
  <c r="AA1529" i="18" s="1"/>
  <c r="T1530" i="18"/>
  <c r="AA1530" i="18" s="1"/>
  <c r="T1531" i="18"/>
  <c r="AA1531" i="18" s="1"/>
  <c r="T1532" i="18"/>
  <c r="T1533" i="18"/>
  <c r="AA1533" i="18" s="1"/>
  <c r="T1534" i="18"/>
  <c r="AA1534" i="18" s="1"/>
  <c r="T1535" i="18"/>
  <c r="AA1535" i="18"/>
  <c r="BF111" i="1"/>
  <c r="BM111" i="1" s="1"/>
  <c r="BG111" i="1"/>
  <c r="BL111" i="1"/>
  <c r="C149" i="19"/>
  <c r="C148" i="19"/>
  <c r="B149" i="19"/>
  <c r="E149" i="19"/>
  <c r="H149" i="19"/>
  <c r="I149" i="19"/>
  <c r="J149" i="19"/>
  <c r="O149" i="19"/>
  <c r="P149" i="19"/>
  <c r="Q149" i="19"/>
  <c r="X149" i="19" s="1"/>
  <c r="B146" i="19"/>
  <c r="B147" i="19"/>
  <c r="B148" i="19"/>
  <c r="C146" i="19"/>
  <c r="C147" i="19"/>
  <c r="E146" i="19"/>
  <c r="E147" i="19"/>
  <c r="E148" i="19"/>
  <c r="H146" i="19"/>
  <c r="H147" i="19"/>
  <c r="H148" i="19"/>
  <c r="I146" i="19"/>
  <c r="I147" i="19"/>
  <c r="I148" i="19"/>
  <c r="J146" i="19"/>
  <c r="J147" i="19"/>
  <c r="J148" i="19"/>
  <c r="O146" i="19"/>
  <c r="O147" i="19"/>
  <c r="O148" i="19"/>
  <c r="P146" i="19"/>
  <c r="P147" i="19"/>
  <c r="P148" i="19"/>
  <c r="Q146" i="19"/>
  <c r="X146" i="19" s="1"/>
  <c r="Q147" i="19"/>
  <c r="X147" i="19" s="1"/>
  <c r="Q148" i="19"/>
  <c r="X148" i="19" s="1"/>
  <c r="B136" i="19"/>
  <c r="B137" i="19"/>
  <c r="B138" i="19"/>
  <c r="B139" i="19"/>
  <c r="B140" i="19"/>
  <c r="B141" i="19"/>
  <c r="B142" i="19"/>
  <c r="B143" i="19"/>
  <c r="B144" i="19"/>
  <c r="B145" i="19"/>
  <c r="W1536" i="18" l="1"/>
  <c r="AA1540" i="18"/>
  <c r="AA1538" i="18"/>
  <c r="W1537" i="18"/>
  <c r="W1542" i="18"/>
  <c r="W1539" i="18"/>
  <c r="W1541" i="18"/>
  <c r="W1525" i="18"/>
  <c r="W1535" i="18"/>
  <c r="BN111" i="1"/>
  <c r="X150" i="19"/>
  <c r="T153" i="19"/>
  <c r="T152" i="19"/>
  <c r="T148" i="19"/>
  <c r="W1534" i="18"/>
  <c r="AA1525" i="18"/>
  <c r="W1532" i="18"/>
  <c r="W1533" i="18"/>
  <c r="AA1532" i="18"/>
  <c r="W1531" i="18"/>
  <c r="W1530" i="18"/>
  <c r="W1529" i="18"/>
  <c r="W1528" i="18"/>
  <c r="W1527" i="18"/>
  <c r="W1526" i="18"/>
  <c r="T149" i="19"/>
  <c r="T147" i="19"/>
  <c r="T146" i="19"/>
  <c r="B1510" i="18" l="1"/>
  <c r="B1511" i="18"/>
  <c r="B1512" i="18"/>
  <c r="B1513" i="18"/>
  <c r="B1514" i="18"/>
  <c r="B1515" i="18"/>
  <c r="B1516" i="18"/>
  <c r="B1517" i="18"/>
  <c r="B1518" i="18"/>
  <c r="B1519" i="18"/>
  <c r="B1520" i="18"/>
  <c r="B1521" i="18"/>
  <c r="B1522" i="18"/>
  <c r="B1523" i="18"/>
  <c r="B1524" i="18"/>
  <c r="C1510" i="18"/>
  <c r="C1511" i="18"/>
  <c r="C1512" i="18"/>
  <c r="C1513" i="18"/>
  <c r="C1514" i="18"/>
  <c r="C1515" i="18"/>
  <c r="C1516" i="18"/>
  <c r="C1517" i="18"/>
  <c r="C1518" i="18"/>
  <c r="C1519" i="18"/>
  <c r="C1520" i="18"/>
  <c r="C1521" i="18"/>
  <c r="C1522" i="18"/>
  <c r="C1523" i="18"/>
  <c r="C1524" i="18"/>
  <c r="E1510" i="18"/>
  <c r="E1511" i="18"/>
  <c r="E1512" i="18"/>
  <c r="E1513" i="18"/>
  <c r="E1514" i="18"/>
  <c r="E1515" i="18"/>
  <c r="E1516" i="18"/>
  <c r="E1517" i="18"/>
  <c r="E1518" i="18"/>
  <c r="E1519" i="18"/>
  <c r="E1520" i="18"/>
  <c r="E1521" i="18"/>
  <c r="E1522" i="18"/>
  <c r="E1523" i="18"/>
  <c r="E1524" i="18"/>
  <c r="H1510" i="18"/>
  <c r="H1511" i="18"/>
  <c r="H1512" i="18"/>
  <c r="H1513" i="18"/>
  <c r="H1514" i="18"/>
  <c r="H1515" i="18"/>
  <c r="H1516" i="18"/>
  <c r="H1517" i="18"/>
  <c r="H1518" i="18"/>
  <c r="H1519" i="18"/>
  <c r="H1520" i="18"/>
  <c r="H1521" i="18"/>
  <c r="H1522" i="18"/>
  <c r="H1523" i="18"/>
  <c r="H1524" i="18"/>
  <c r="I1510" i="18"/>
  <c r="I1511" i="18"/>
  <c r="I1512" i="18"/>
  <c r="I1513" i="18"/>
  <c r="I1514" i="18"/>
  <c r="I1515" i="18"/>
  <c r="I1516" i="18"/>
  <c r="I1517" i="18"/>
  <c r="I1518" i="18"/>
  <c r="I1519" i="18"/>
  <c r="I1520" i="18"/>
  <c r="I1521" i="18"/>
  <c r="I1522" i="18"/>
  <c r="I1523" i="18"/>
  <c r="I1524" i="18"/>
  <c r="J1510" i="18"/>
  <c r="J1511" i="18"/>
  <c r="J1512" i="18"/>
  <c r="J1513" i="18"/>
  <c r="J1514" i="18"/>
  <c r="J1515" i="18"/>
  <c r="J1516" i="18"/>
  <c r="J1517" i="18"/>
  <c r="J1518" i="18"/>
  <c r="J1519" i="18"/>
  <c r="J1520" i="18"/>
  <c r="J1521" i="18"/>
  <c r="J1522" i="18"/>
  <c r="J1523" i="18"/>
  <c r="J1524" i="18"/>
  <c r="L1510" i="18"/>
  <c r="L1511" i="18"/>
  <c r="L1512" i="18"/>
  <c r="L1513" i="18"/>
  <c r="L1514" i="18"/>
  <c r="L1515" i="18"/>
  <c r="L1516" i="18"/>
  <c r="L1517" i="18"/>
  <c r="L1518" i="18"/>
  <c r="L1519" i="18"/>
  <c r="L1520" i="18"/>
  <c r="L1521" i="18"/>
  <c r="L1522" i="18"/>
  <c r="L1523" i="18"/>
  <c r="L1524" i="18"/>
  <c r="R1510" i="18"/>
  <c r="R1511" i="18"/>
  <c r="R1512" i="18"/>
  <c r="R1513" i="18"/>
  <c r="R1514" i="18"/>
  <c r="R1515" i="18"/>
  <c r="R1516" i="18"/>
  <c r="R1517" i="18"/>
  <c r="R1518" i="18"/>
  <c r="R1519" i="18"/>
  <c r="R1520" i="18"/>
  <c r="R1521" i="18"/>
  <c r="R1522" i="18"/>
  <c r="R1523" i="18"/>
  <c r="R1524" i="18"/>
  <c r="S1510" i="18"/>
  <c r="S1511" i="18"/>
  <c r="S1512" i="18"/>
  <c r="S1513" i="18"/>
  <c r="S1514" i="18"/>
  <c r="S1515" i="18"/>
  <c r="S1516" i="18"/>
  <c r="S1517" i="18"/>
  <c r="S1518" i="18"/>
  <c r="S1519" i="18"/>
  <c r="S1520" i="18"/>
  <c r="S1521" i="18"/>
  <c r="S1522" i="18"/>
  <c r="S1523" i="18"/>
  <c r="S1524" i="18"/>
  <c r="T1510" i="18"/>
  <c r="W1510" i="18" s="1"/>
  <c r="T1511" i="18"/>
  <c r="W1511" i="18" s="1"/>
  <c r="T1512" i="18"/>
  <c r="T1513" i="18"/>
  <c r="AA1513" i="18" s="1"/>
  <c r="T1514" i="18"/>
  <c r="AA1514" i="18" s="1"/>
  <c r="T1515" i="18"/>
  <c r="AA1515" i="18" s="1"/>
  <c r="T1516" i="18"/>
  <c r="T1517" i="18"/>
  <c r="T1518" i="18"/>
  <c r="T1519" i="18"/>
  <c r="T1520" i="18"/>
  <c r="AA1520" i="18" s="1"/>
  <c r="T1521" i="18"/>
  <c r="AA1521" i="18" s="1"/>
  <c r="T1522" i="18"/>
  <c r="W1522" i="18" s="1"/>
  <c r="T1523" i="18"/>
  <c r="AA1523" i="18" s="1"/>
  <c r="T1524" i="18"/>
  <c r="AA1524" i="18" s="1"/>
  <c r="W1523" i="18"/>
  <c r="AA1510" i="18"/>
  <c r="AA1511" i="18"/>
  <c r="AA1512" i="18"/>
  <c r="AA1519" i="18"/>
  <c r="AA1522" i="18" l="1"/>
  <c r="W1515" i="18"/>
  <c r="W1514" i="18"/>
  <c r="W1513" i="18"/>
  <c r="W1524" i="18"/>
  <c r="W1512" i="18"/>
  <c r="W1519" i="18"/>
  <c r="W1521" i="18"/>
  <c r="W1518" i="18"/>
  <c r="W1517" i="18"/>
  <c r="W1520" i="18"/>
  <c r="W1516" i="18"/>
  <c r="AA1518" i="18"/>
  <c r="AA1517" i="18"/>
  <c r="AA1516" i="18"/>
  <c r="BF110" i="1"/>
  <c r="BM110" i="1" s="1"/>
  <c r="BG110" i="1"/>
  <c r="BL110" i="1"/>
  <c r="B1501" i="18"/>
  <c r="B1502" i="18"/>
  <c r="B1503" i="18"/>
  <c r="B1504" i="18"/>
  <c r="B1505" i="18"/>
  <c r="B1506" i="18"/>
  <c r="B1507" i="18"/>
  <c r="B1508" i="18"/>
  <c r="B1509" i="18"/>
  <c r="C1501" i="18"/>
  <c r="C1502" i="18"/>
  <c r="C1503" i="18"/>
  <c r="C1504" i="18"/>
  <c r="C1505" i="18"/>
  <c r="C1506" i="18"/>
  <c r="C1507" i="18"/>
  <c r="C1508" i="18"/>
  <c r="C1509" i="18"/>
  <c r="E1501" i="18"/>
  <c r="E1502" i="18"/>
  <c r="E1503" i="18"/>
  <c r="E1504" i="18"/>
  <c r="E1505" i="18"/>
  <c r="E1506" i="18"/>
  <c r="E1507" i="18"/>
  <c r="E1508" i="18"/>
  <c r="E1509" i="18"/>
  <c r="H1501" i="18"/>
  <c r="H1502" i="18"/>
  <c r="H1503" i="18"/>
  <c r="H1504" i="18"/>
  <c r="H1505" i="18"/>
  <c r="H1506" i="18"/>
  <c r="H1507" i="18"/>
  <c r="H1508" i="18"/>
  <c r="H1509" i="18"/>
  <c r="I1501" i="18"/>
  <c r="I1502" i="18"/>
  <c r="I1503" i="18"/>
  <c r="I1504" i="18"/>
  <c r="I1505" i="18"/>
  <c r="I1506" i="18"/>
  <c r="I1507" i="18"/>
  <c r="I1508" i="18"/>
  <c r="I1509" i="18"/>
  <c r="J1501" i="18"/>
  <c r="J1502" i="18"/>
  <c r="J1503" i="18"/>
  <c r="J1504" i="18"/>
  <c r="J1505" i="18"/>
  <c r="J1506" i="18"/>
  <c r="J1507" i="18"/>
  <c r="J1508" i="18"/>
  <c r="J1509" i="18"/>
  <c r="L1501" i="18"/>
  <c r="L1502" i="18"/>
  <c r="L1503" i="18"/>
  <c r="L1504" i="18"/>
  <c r="L1505" i="18"/>
  <c r="L1506" i="18"/>
  <c r="L1507" i="18"/>
  <c r="L1508" i="18"/>
  <c r="L1509" i="18"/>
  <c r="R1501" i="18"/>
  <c r="R1502" i="18"/>
  <c r="R1503" i="18"/>
  <c r="R1504" i="18"/>
  <c r="R1505" i="18"/>
  <c r="R1506" i="18"/>
  <c r="R1507" i="18"/>
  <c r="R1508" i="18"/>
  <c r="R1509" i="18"/>
  <c r="S1501" i="18"/>
  <c r="S1502" i="18"/>
  <c r="S1503" i="18"/>
  <c r="S1504" i="18"/>
  <c r="S1505" i="18"/>
  <c r="S1506" i="18"/>
  <c r="S1507" i="18"/>
  <c r="S1508" i="18"/>
  <c r="S1509" i="18"/>
  <c r="T1501" i="18"/>
  <c r="AA1501" i="18" s="1"/>
  <c r="T1502" i="18"/>
  <c r="AA1502" i="18" s="1"/>
  <c r="T1503" i="18"/>
  <c r="AA1503" i="18" s="1"/>
  <c r="T1504" i="18"/>
  <c r="AA1504" i="18" s="1"/>
  <c r="T1505" i="18"/>
  <c r="AA1505" i="18" s="1"/>
  <c r="T1506" i="18"/>
  <c r="AA1506" i="18" s="1"/>
  <c r="T1507" i="18"/>
  <c r="AA1507" i="18" s="1"/>
  <c r="T1508" i="18"/>
  <c r="AA1508" i="18" s="1"/>
  <c r="T1509" i="18"/>
  <c r="AA1509" i="18" s="1"/>
  <c r="BF109" i="1"/>
  <c r="BM109" i="1" s="1"/>
  <c r="BG109" i="1"/>
  <c r="BL109" i="1"/>
  <c r="B1494" i="18"/>
  <c r="B1495" i="18"/>
  <c r="B1496" i="18"/>
  <c r="B1497" i="18"/>
  <c r="B1498" i="18"/>
  <c r="B1499" i="18"/>
  <c r="B1500" i="18"/>
  <c r="C1494" i="18"/>
  <c r="C1495" i="18"/>
  <c r="C1496" i="18"/>
  <c r="C1497" i="18"/>
  <c r="C1498" i="18"/>
  <c r="C1499" i="18"/>
  <c r="C1500" i="18"/>
  <c r="E1494" i="18"/>
  <c r="E1495" i="18"/>
  <c r="E1496" i="18"/>
  <c r="E1497" i="18"/>
  <c r="E1498" i="18"/>
  <c r="E1499" i="18"/>
  <c r="E1500" i="18"/>
  <c r="H1494" i="18"/>
  <c r="H1495" i="18"/>
  <c r="H1496" i="18"/>
  <c r="H1497" i="18"/>
  <c r="H1498" i="18"/>
  <c r="H1499" i="18"/>
  <c r="H1500" i="18"/>
  <c r="I1494" i="18"/>
  <c r="I1495" i="18"/>
  <c r="I1496" i="18"/>
  <c r="I1497" i="18"/>
  <c r="I1498" i="18"/>
  <c r="I1499" i="18"/>
  <c r="I1500" i="18"/>
  <c r="J1494" i="18"/>
  <c r="J1495" i="18"/>
  <c r="J1496" i="18"/>
  <c r="J1497" i="18"/>
  <c r="J1498" i="18"/>
  <c r="J1499" i="18"/>
  <c r="J1500" i="18"/>
  <c r="L1494" i="18"/>
  <c r="L1495" i="18"/>
  <c r="L1496" i="18"/>
  <c r="L1497" i="18"/>
  <c r="L1498" i="18"/>
  <c r="L1499" i="18"/>
  <c r="L1500" i="18"/>
  <c r="R1494" i="18"/>
  <c r="R1495" i="18"/>
  <c r="R1496" i="18"/>
  <c r="R1497" i="18"/>
  <c r="R1498" i="18"/>
  <c r="R1499" i="18"/>
  <c r="R1500" i="18"/>
  <c r="S1494" i="18"/>
  <c r="S1495" i="18"/>
  <c r="S1496" i="18"/>
  <c r="S1497" i="18"/>
  <c r="S1498" i="18"/>
  <c r="S1499" i="18"/>
  <c r="S1500" i="18"/>
  <c r="T1494" i="18"/>
  <c r="AA1494" i="18" s="1"/>
  <c r="T1495" i="18"/>
  <c r="AA1495" i="18" s="1"/>
  <c r="T1496" i="18"/>
  <c r="AA1496" i="18" s="1"/>
  <c r="T1497" i="18"/>
  <c r="T1498" i="18"/>
  <c r="T1499" i="18"/>
  <c r="AA1499" i="18" s="1"/>
  <c r="T1500" i="18"/>
  <c r="AA1500" i="18" s="1"/>
  <c r="BF108" i="1"/>
  <c r="BN108" i="1" s="1"/>
  <c r="BG108" i="1"/>
  <c r="BL108" i="1"/>
  <c r="L1481" i="18"/>
  <c r="B1481" i="18"/>
  <c r="C1481" i="18"/>
  <c r="E1481" i="18"/>
  <c r="H1481" i="18"/>
  <c r="I1481" i="18"/>
  <c r="J1481" i="18"/>
  <c r="R1481" i="18"/>
  <c r="S1481" i="18"/>
  <c r="T1481" i="18"/>
  <c r="L41" i="18"/>
  <c r="B41" i="18"/>
  <c r="C41" i="18"/>
  <c r="E41" i="18"/>
  <c r="H41" i="18"/>
  <c r="I41" i="18"/>
  <c r="J41" i="18"/>
  <c r="R41" i="18"/>
  <c r="S41" i="18"/>
  <c r="T41" i="18"/>
  <c r="AA41" i="18" s="1"/>
  <c r="B1485" i="18"/>
  <c r="B1486" i="18"/>
  <c r="B1487" i="18"/>
  <c r="B1488" i="18"/>
  <c r="B1489" i="18"/>
  <c r="B1490" i="18"/>
  <c r="B1491" i="18"/>
  <c r="B1492" i="18"/>
  <c r="B1493" i="18"/>
  <c r="C1485" i="18"/>
  <c r="C1486" i="18"/>
  <c r="C1487" i="18"/>
  <c r="C1488" i="18"/>
  <c r="C1489" i="18"/>
  <c r="C1490" i="18"/>
  <c r="C1491" i="18"/>
  <c r="C1492" i="18"/>
  <c r="C1493" i="18"/>
  <c r="E1485" i="18"/>
  <c r="E1486" i="18"/>
  <c r="E1487" i="18"/>
  <c r="E1488" i="18"/>
  <c r="E1489" i="18"/>
  <c r="E1490" i="18"/>
  <c r="E1491" i="18"/>
  <c r="E1492" i="18"/>
  <c r="E1493" i="18"/>
  <c r="H1485" i="18"/>
  <c r="H1486" i="18"/>
  <c r="H1487" i="18"/>
  <c r="H1488" i="18"/>
  <c r="H1489" i="18"/>
  <c r="H1490" i="18"/>
  <c r="H1491" i="18"/>
  <c r="H1492" i="18"/>
  <c r="H1493" i="18"/>
  <c r="I1485" i="18"/>
  <c r="I1486" i="18"/>
  <c r="I1487" i="18"/>
  <c r="I1488" i="18"/>
  <c r="I1489" i="18"/>
  <c r="I1490" i="18"/>
  <c r="I1491" i="18"/>
  <c r="I1492" i="18"/>
  <c r="I1493" i="18"/>
  <c r="J1485" i="18"/>
  <c r="J1486" i="18"/>
  <c r="J1487" i="18"/>
  <c r="J1488" i="18"/>
  <c r="J1489" i="18"/>
  <c r="J1490" i="18"/>
  <c r="J1491" i="18"/>
  <c r="J1492" i="18"/>
  <c r="J1493" i="18"/>
  <c r="L1485" i="18"/>
  <c r="L1486" i="18"/>
  <c r="L1487" i="18"/>
  <c r="L1488" i="18"/>
  <c r="L1489" i="18"/>
  <c r="L1490" i="18"/>
  <c r="L1491" i="18"/>
  <c r="L1492" i="18"/>
  <c r="L1493" i="18"/>
  <c r="R1485" i="18"/>
  <c r="R1486" i="18"/>
  <c r="R1487" i="18"/>
  <c r="R1488" i="18"/>
  <c r="R1489" i="18"/>
  <c r="R1490" i="18"/>
  <c r="R1491" i="18"/>
  <c r="R1492" i="18"/>
  <c r="R1493" i="18"/>
  <c r="S1485" i="18"/>
  <c r="S1486" i="18"/>
  <c r="S1487" i="18"/>
  <c r="S1488" i="18"/>
  <c r="S1489" i="18"/>
  <c r="S1490" i="18"/>
  <c r="S1491" i="18"/>
  <c r="S1492" i="18"/>
  <c r="S1493" i="18"/>
  <c r="T1485" i="18"/>
  <c r="AA1485" i="18" s="1"/>
  <c r="T1486" i="18"/>
  <c r="AA1486" i="18" s="1"/>
  <c r="T1487" i="18"/>
  <c r="AA1487" i="18" s="1"/>
  <c r="T1488" i="18"/>
  <c r="T1489" i="18"/>
  <c r="W1489" i="18" s="1"/>
  <c r="T1490" i="18"/>
  <c r="AA1490" i="18" s="1"/>
  <c r="T1491" i="18"/>
  <c r="AA1491" i="18" s="1"/>
  <c r="T1492" i="18"/>
  <c r="AA1492" i="18" s="1"/>
  <c r="T1493" i="18"/>
  <c r="BF107" i="1"/>
  <c r="BN107" i="1" s="1"/>
  <c r="BG107" i="1"/>
  <c r="BL107" i="1"/>
  <c r="B1475" i="18"/>
  <c r="B1476" i="18"/>
  <c r="B1477" i="18"/>
  <c r="B1478" i="18"/>
  <c r="B1479" i="18"/>
  <c r="B1480" i="18"/>
  <c r="B1482" i="18"/>
  <c r="B1483" i="18"/>
  <c r="B1484" i="18"/>
  <c r="C1475" i="18"/>
  <c r="C1476" i="18"/>
  <c r="C1477" i="18"/>
  <c r="C1478" i="18"/>
  <c r="C1479" i="18"/>
  <c r="C1480" i="18"/>
  <c r="C1482" i="18"/>
  <c r="C1483" i="18"/>
  <c r="C1484" i="18"/>
  <c r="E1475" i="18"/>
  <c r="E1476" i="18"/>
  <c r="E1477" i="18"/>
  <c r="E1478" i="18"/>
  <c r="E1479" i="18"/>
  <c r="E1480" i="18"/>
  <c r="E1482" i="18"/>
  <c r="E1483" i="18"/>
  <c r="E1484" i="18"/>
  <c r="H1475" i="18"/>
  <c r="H1476" i="18"/>
  <c r="H1477" i="18"/>
  <c r="H1478" i="18"/>
  <c r="H1479" i="18"/>
  <c r="H1480" i="18"/>
  <c r="H1482" i="18"/>
  <c r="H1483" i="18"/>
  <c r="H1484" i="18"/>
  <c r="I1475" i="18"/>
  <c r="I1476" i="18"/>
  <c r="I1477" i="18"/>
  <c r="I1478" i="18"/>
  <c r="I1479" i="18"/>
  <c r="I1480" i="18"/>
  <c r="I1482" i="18"/>
  <c r="I1483" i="18"/>
  <c r="I1484" i="18"/>
  <c r="J1475" i="18"/>
  <c r="J1476" i="18"/>
  <c r="J1477" i="18"/>
  <c r="J1478" i="18"/>
  <c r="J1479" i="18"/>
  <c r="J1480" i="18"/>
  <c r="J1482" i="18"/>
  <c r="J1483" i="18"/>
  <c r="J1484" i="18"/>
  <c r="L1475" i="18"/>
  <c r="L1476" i="18"/>
  <c r="L1477" i="18"/>
  <c r="L1478" i="18"/>
  <c r="L1479" i="18"/>
  <c r="L1480" i="18"/>
  <c r="L1482" i="18"/>
  <c r="L1483" i="18"/>
  <c r="L1484" i="18"/>
  <c r="R1475" i="18"/>
  <c r="R1476" i="18"/>
  <c r="R1477" i="18"/>
  <c r="R1478" i="18"/>
  <c r="R1479" i="18"/>
  <c r="R1480" i="18"/>
  <c r="R1482" i="18"/>
  <c r="R1483" i="18"/>
  <c r="R1484" i="18"/>
  <c r="S1475" i="18"/>
  <c r="S1476" i="18"/>
  <c r="S1477" i="18"/>
  <c r="S1478" i="18"/>
  <c r="S1479" i="18"/>
  <c r="S1480" i="18"/>
  <c r="S1482" i="18"/>
  <c r="S1483" i="18"/>
  <c r="S1484" i="18"/>
  <c r="T1475" i="18"/>
  <c r="T1476" i="18"/>
  <c r="AA1476" i="18" s="1"/>
  <c r="T1477" i="18"/>
  <c r="T1478" i="18"/>
  <c r="T1479" i="18"/>
  <c r="T1480" i="18"/>
  <c r="AA1480" i="18" s="1"/>
  <c r="T1482" i="18"/>
  <c r="AA1482" i="18" s="1"/>
  <c r="T1483" i="18"/>
  <c r="AA1483" i="18" s="1"/>
  <c r="T1484" i="18"/>
  <c r="AA1484" i="18" s="1"/>
  <c r="BL106" i="1"/>
  <c r="C145" i="19"/>
  <c r="E145" i="19"/>
  <c r="H145" i="19"/>
  <c r="I145" i="19"/>
  <c r="J145" i="19"/>
  <c r="O145" i="19"/>
  <c r="P145" i="19"/>
  <c r="Q145" i="19"/>
  <c r="B1464" i="18"/>
  <c r="B1465" i="18"/>
  <c r="B1466" i="18"/>
  <c r="B1467" i="18"/>
  <c r="B1468" i="18"/>
  <c r="B1469" i="18"/>
  <c r="B1470" i="18"/>
  <c r="B1471" i="18"/>
  <c r="B1472" i="18"/>
  <c r="B1473" i="18"/>
  <c r="B1474" i="18"/>
  <c r="C1464" i="18"/>
  <c r="C1465" i="18"/>
  <c r="C1466" i="18"/>
  <c r="C1467" i="18"/>
  <c r="C1468" i="18"/>
  <c r="C1469" i="18"/>
  <c r="C1470" i="18"/>
  <c r="C1471" i="18"/>
  <c r="C1472" i="18"/>
  <c r="C1473" i="18"/>
  <c r="C1474" i="18"/>
  <c r="E1464" i="18"/>
  <c r="E1465" i="18"/>
  <c r="E1466" i="18"/>
  <c r="E1467" i="18"/>
  <c r="E1468" i="18"/>
  <c r="E1469" i="18"/>
  <c r="E1470" i="18"/>
  <c r="E1471" i="18"/>
  <c r="E1472" i="18"/>
  <c r="E1473" i="18"/>
  <c r="E1474" i="18"/>
  <c r="H1464" i="18"/>
  <c r="H1465" i="18"/>
  <c r="H1466" i="18"/>
  <c r="H1467" i="18"/>
  <c r="H1468" i="18"/>
  <c r="H1469" i="18"/>
  <c r="H1470" i="18"/>
  <c r="H1471" i="18"/>
  <c r="H1472" i="18"/>
  <c r="H1473" i="18"/>
  <c r="H1474" i="18"/>
  <c r="I1464" i="18"/>
  <c r="I1465" i="18"/>
  <c r="I1466" i="18"/>
  <c r="I1467" i="18"/>
  <c r="I1468" i="18"/>
  <c r="I1469" i="18"/>
  <c r="I1470" i="18"/>
  <c r="I1471" i="18"/>
  <c r="I1472" i="18"/>
  <c r="I1473" i="18"/>
  <c r="I1474" i="18"/>
  <c r="J1464" i="18"/>
  <c r="J1465" i="18"/>
  <c r="J1466" i="18"/>
  <c r="J1467" i="18"/>
  <c r="J1468" i="18"/>
  <c r="J1469" i="18"/>
  <c r="J1470" i="18"/>
  <c r="J1471" i="18"/>
  <c r="J1472" i="18"/>
  <c r="J1473" i="18"/>
  <c r="J1474" i="18"/>
  <c r="L1464" i="18"/>
  <c r="L1465" i="18"/>
  <c r="L1466" i="18"/>
  <c r="L1467" i="18"/>
  <c r="L1468" i="18"/>
  <c r="L1469" i="18"/>
  <c r="L1470" i="18"/>
  <c r="L1471" i="18"/>
  <c r="L1472" i="18"/>
  <c r="L1473" i="18"/>
  <c r="L1474" i="18"/>
  <c r="R1464" i="18"/>
  <c r="R1465" i="18"/>
  <c r="R1466" i="18"/>
  <c r="R1467" i="18"/>
  <c r="R1468" i="18"/>
  <c r="R1469" i="18"/>
  <c r="R1470" i="18"/>
  <c r="R1471" i="18"/>
  <c r="R1472" i="18"/>
  <c r="R1473" i="18"/>
  <c r="R1474" i="18"/>
  <c r="S1464" i="18"/>
  <c r="S1465" i="18"/>
  <c r="S1466" i="18"/>
  <c r="S1467" i="18"/>
  <c r="S1468" i="18"/>
  <c r="S1469" i="18"/>
  <c r="S1470" i="18"/>
  <c r="S1471" i="18"/>
  <c r="S1472" i="18"/>
  <c r="S1473" i="18"/>
  <c r="S1474" i="18"/>
  <c r="T1464" i="18"/>
  <c r="AA1464" i="18" s="1"/>
  <c r="T1465" i="18"/>
  <c r="AA1465" i="18" s="1"/>
  <c r="T1466" i="18"/>
  <c r="AA1466" i="18" s="1"/>
  <c r="T1467" i="18"/>
  <c r="AA1467" i="18" s="1"/>
  <c r="T1468" i="18"/>
  <c r="AA1468" i="18" s="1"/>
  <c r="T1469" i="18"/>
  <c r="T1470" i="18"/>
  <c r="T1471" i="18"/>
  <c r="AA1471" i="18" s="1"/>
  <c r="T1472" i="18"/>
  <c r="T1473" i="18"/>
  <c r="AA1473" i="18" s="1"/>
  <c r="T1474" i="18"/>
  <c r="AA1474" i="18" s="1"/>
  <c r="BF105" i="1"/>
  <c r="BM105" i="1" s="1"/>
  <c r="BG105" i="1"/>
  <c r="BL105" i="1"/>
  <c r="I26" i="21"/>
  <c r="H26" i="21"/>
  <c r="E26" i="21"/>
  <c r="H25" i="21"/>
  <c r="I25" i="21" s="1"/>
  <c r="E25" i="21"/>
  <c r="I24" i="21"/>
  <c r="H24" i="21"/>
  <c r="E24" i="21"/>
  <c r="E23" i="21"/>
  <c r="H22" i="21"/>
  <c r="I22" i="21" s="1"/>
  <c r="E22" i="21"/>
  <c r="H21" i="21"/>
  <c r="I21" i="21" s="1"/>
  <c r="E21" i="21"/>
  <c r="I20" i="21"/>
  <c r="H20" i="21"/>
  <c r="E20" i="21"/>
  <c r="H19" i="21"/>
  <c r="I19" i="21" s="1"/>
  <c r="E19" i="21"/>
  <c r="I18" i="21"/>
  <c r="H18" i="21"/>
  <c r="E18" i="21"/>
  <c r="H17" i="21"/>
  <c r="I17" i="21" s="1"/>
  <c r="E17" i="21"/>
  <c r="H16" i="21"/>
  <c r="I16" i="21" s="1"/>
  <c r="E16" i="21"/>
  <c r="H15" i="21"/>
  <c r="I15" i="21" s="1"/>
  <c r="E15" i="21"/>
  <c r="I14" i="21"/>
  <c r="H14" i="21"/>
  <c r="E14" i="21"/>
  <c r="H13" i="21"/>
  <c r="I13" i="21" s="1"/>
  <c r="E13" i="21"/>
  <c r="H12" i="21"/>
  <c r="E12" i="21"/>
  <c r="I11" i="21"/>
  <c r="H11" i="21"/>
  <c r="E11" i="21"/>
  <c r="H10" i="21"/>
  <c r="I10" i="21" s="1"/>
  <c r="E10" i="21"/>
  <c r="H9" i="21"/>
  <c r="I9" i="21" s="1"/>
  <c r="E9" i="21"/>
  <c r="H8" i="21"/>
  <c r="I8" i="21" s="1"/>
  <c r="E8" i="21"/>
  <c r="I7" i="21"/>
  <c r="H7" i="21"/>
  <c r="E7" i="21"/>
  <c r="E6" i="21"/>
  <c r="I5" i="21"/>
  <c r="H5" i="21"/>
  <c r="E5" i="21"/>
  <c r="H4" i="21"/>
  <c r="I4" i="21" s="1"/>
  <c r="E4" i="21"/>
  <c r="H3" i="21"/>
  <c r="I3" i="21" s="1"/>
  <c r="E3" i="21"/>
  <c r="O143" i="19"/>
  <c r="P143" i="19"/>
  <c r="Q143" i="19"/>
  <c r="X143" i="19" s="1"/>
  <c r="O144" i="19"/>
  <c r="P144" i="19"/>
  <c r="Q144" i="19"/>
  <c r="X144" i="19" s="1"/>
  <c r="H143" i="19"/>
  <c r="I143" i="19"/>
  <c r="J143" i="19"/>
  <c r="H144" i="19"/>
  <c r="I144" i="19"/>
  <c r="J144" i="19"/>
  <c r="E143" i="19"/>
  <c r="E144" i="19"/>
  <c r="C143" i="19"/>
  <c r="C144" i="19"/>
  <c r="W1478" i="18" l="1"/>
  <c r="BN110" i="1"/>
  <c r="W1488" i="18"/>
  <c r="BM107" i="1"/>
  <c r="T145" i="19"/>
  <c r="T144" i="19"/>
  <c r="W1507" i="18"/>
  <c r="W1506" i="18"/>
  <c r="W1505" i="18"/>
  <c r="W1477" i="18"/>
  <c r="W1509" i="18"/>
  <c r="W1504" i="18"/>
  <c r="W1508" i="18"/>
  <c r="W1502" i="18"/>
  <c r="W1501" i="18"/>
  <c r="W1503" i="18"/>
  <c r="W1493" i="18"/>
  <c r="W1498" i="18"/>
  <c r="W1497" i="18"/>
  <c r="AA1498" i="18"/>
  <c r="W1500" i="18"/>
  <c r="BN109" i="1"/>
  <c r="W1494" i="18"/>
  <c r="W1496" i="18"/>
  <c r="W1495" i="18"/>
  <c r="AA1497" i="18"/>
  <c r="W1499" i="18"/>
  <c r="W1475" i="18"/>
  <c r="W1481" i="18"/>
  <c r="BM108" i="1"/>
  <c r="AA1481" i="18"/>
  <c r="W41" i="18"/>
  <c r="AA1488" i="18"/>
  <c r="W1491" i="18"/>
  <c r="W1490" i="18"/>
  <c r="W1479" i="18"/>
  <c r="AA1489" i="18"/>
  <c r="AA1493" i="18"/>
  <c r="W1492" i="18"/>
  <c r="W1487" i="18"/>
  <c r="W1486" i="18"/>
  <c r="W1485" i="18"/>
  <c r="AA1475" i="18"/>
  <c r="W1474" i="18"/>
  <c r="AA1479" i="18"/>
  <c r="BG106" i="1"/>
  <c r="BF106" i="1"/>
  <c r="BM106" i="1" s="1"/>
  <c r="AA1478" i="18"/>
  <c r="W1484" i="18"/>
  <c r="W1483" i="18"/>
  <c r="W1480" i="18"/>
  <c r="W1482" i="18"/>
  <c r="W1476" i="18"/>
  <c r="AA1477" i="18"/>
  <c r="W1473" i="18"/>
  <c r="X145" i="19"/>
  <c r="T143" i="19"/>
  <c r="W1464" i="18"/>
  <c r="W1470" i="18"/>
  <c r="W1472" i="18"/>
  <c r="W1469" i="18"/>
  <c r="AA1472" i="18"/>
  <c r="W1471" i="18"/>
  <c r="W1467" i="18"/>
  <c r="AA1470" i="18"/>
  <c r="AA1469" i="18"/>
  <c r="W1466" i="18"/>
  <c r="W1465" i="18"/>
  <c r="W1468" i="18"/>
  <c r="BN105" i="1"/>
  <c r="B1454" i="18"/>
  <c r="B1455" i="18"/>
  <c r="B1456" i="18"/>
  <c r="B1457" i="18"/>
  <c r="B1458" i="18"/>
  <c r="B1459" i="18"/>
  <c r="B1460" i="18"/>
  <c r="B1461" i="18"/>
  <c r="B1462" i="18"/>
  <c r="B1463" i="18"/>
  <c r="C1454" i="18"/>
  <c r="C1455" i="18"/>
  <c r="C1456" i="18"/>
  <c r="C1457" i="18"/>
  <c r="C1458" i="18"/>
  <c r="C1459" i="18"/>
  <c r="C1460" i="18"/>
  <c r="C1461" i="18"/>
  <c r="C1462" i="18"/>
  <c r="C1463" i="18"/>
  <c r="E1454" i="18"/>
  <c r="E1455" i="18"/>
  <c r="E1456" i="18"/>
  <c r="E1457" i="18"/>
  <c r="E1458" i="18"/>
  <c r="E1459" i="18"/>
  <c r="E1460" i="18"/>
  <c r="E1461" i="18"/>
  <c r="E1462" i="18"/>
  <c r="E1463" i="18"/>
  <c r="H1454" i="18"/>
  <c r="H1455" i="18"/>
  <c r="H1456" i="18"/>
  <c r="H1457" i="18"/>
  <c r="H1458" i="18"/>
  <c r="H1459" i="18"/>
  <c r="H1460" i="18"/>
  <c r="H1461" i="18"/>
  <c r="H1462" i="18"/>
  <c r="H1463" i="18"/>
  <c r="I1454" i="18"/>
  <c r="I1455" i="18"/>
  <c r="I1456" i="18"/>
  <c r="I1457" i="18"/>
  <c r="I1458" i="18"/>
  <c r="I1459" i="18"/>
  <c r="I1460" i="18"/>
  <c r="I1461" i="18"/>
  <c r="I1462" i="18"/>
  <c r="I1463" i="18"/>
  <c r="J1454" i="18"/>
  <c r="J1455" i="18"/>
  <c r="J1456" i="18"/>
  <c r="J1457" i="18"/>
  <c r="J1458" i="18"/>
  <c r="J1459" i="18"/>
  <c r="J1460" i="18"/>
  <c r="J1461" i="18"/>
  <c r="J1462" i="18"/>
  <c r="J1463" i="18"/>
  <c r="L1454" i="18"/>
  <c r="L1455" i="18"/>
  <c r="L1456" i="18"/>
  <c r="L1457" i="18"/>
  <c r="L1458" i="18"/>
  <c r="L1459" i="18"/>
  <c r="L1460" i="18"/>
  <c r="L1461" i="18"/>
  <c r="L1462" i="18"/>
  <c r="L1463" i="18"/>
  <c r="R1454" i="18"/>
  <c r="R1455" i="18"/>
  <c r="R1456" i="18"/>
  <c r="R1457" i="18"/>
  <c r="R1458" i="18"/>
  <c r="R1459" i="18"/>
  <c r="R1460" i="18"/>
  <c r="R1461" i="18"/>
  <c r="R1462" i="18"/>
  <c r="R1463" i="18"/>
  <c r="S1454" i="18"/>
  <c r="S1455" i="18"/>
  <c r="S1456" i="18"/>
  <c r="S1457" i="18"/>
  <c r="S1458" i="18"/>
  <c r="S1459" i="18"/>
  <c r="S1460" i="18"/>
  <c r="S1461" i="18"/>
  <c r="S1462" i="18"/>
  <c r="S1463" i="18"/>
  <c r="T1454" i="18"/>
  <c r="T1455" i="18"/>
  <c r="T1456" i="18"/>
  <c r="T1457" i="18"/>
  <c r="AA1457" i="18" s="1"/>
  <c r="T1458" i="18"/>
  <c r="AA1458" i="18" s="1"/>
  <c r="T1459" i="18"/>
  <c r="AA1459" i="18" s="1"/>
  <c r="T1460" i="18"/>
  <c r="AA1460" i="18" s="1"/>
  <c r="T1461" i="18"/>
  <c r="AA1461" i="18" s="1"/>
  <c r="T1462" i="18"/>
  <c r="AA1462" i="18" s="1"/>
  <c r="T1463" i="18"/>
  <c r="AA1463" i="18" s="1"/>
  <c r="BF104" i="1"/>
  <c r="BM104" i="1" s="1"/>
  <c r="BG104" i="1"/>
  <c r="BL104" i="1"/>
  <c r="B1447" i="18"/>
  <c r="B1448" i="18"/>
  <c r="B1449" i="18"/>
  <c r="B1450" i="18"/>
  <c r="B1451" i="18"/>
  <c r="B1452" i="18"/>
  <c r="B1453" i="18"/>
  <c r="C1447" i="18"/>
  <c r="C1448" i="18"/>
  <c r="C1449" i="18"/>
  <c r="C1450" i="18"/>
  <c r="C1451" i="18"/>
  <c r="C1452" i="18"/>
  <c r="C1453" i="18"/>
  <c r="E1447" i="18"/>
  <c r="E1448" i="18"/>
  <c r="E1449" i="18"/>
  <c r="E1450" i="18"/>
  <c r="E1451" i="18"/>
  <c r="E1452" i="18"/>
  <c r="E1453" i="18"/>
  <c r="H1447" i="18"/>
  <c r="H1448" i="18"/>
  <c r="H1449" i="18"/>
  <c r="H1450" i="18"/>
  <c r="H1451" i="18"/>
  <c r="H1452" i="18"/>
  <c r="H1453" i="18"/>
  <c r="I1447" i="18"/>
  <c r="I1448" i="18"/>
  <c r="I1449" i="18"/>
  <c r="I1450" i="18"/>
  <c r="I1451" i="18"/>
  <c r="I1452" i="18"/>
  <c r="I1453" i="18"/>
  <c r="J1447" i="18"/>
  <c r="J1448" i="18"/>
  <c r="J1449" i="18"/>
  <c r="J1450" i="18"/>
  <c r="J1451" i="18"/>
  <c r="J1452" i="18"/>
  <c r="J1453" i="18"/>
  <c r="L1447" i="18"/>
  <c r="L1448" i="18"/>
  <c r="L1449" i="18"/>
  <c r="L1450" i="18"/>
  <c r="L1451" i="18"/>
  <c r="L1452" i="18"/>
  <c r="L1453" i="18"/>
  <c r="R1447" i="18"/>
  <c r="R1448" i="18"/>
  <c r="R1449" i="18"/>
  <c r="R1450" i="18"/>
  <c r="R1451" i="18"/>
  <c r="R1452" i="18"/>
  <c r="R1453" i="18"/>
  <c r="S1447" i="18"/>
  <c r="S1448" i="18"/>
  <c r="S1449" i="18"/>
  <c r="S1450" i="18"/>
  <c r="S1451" i="18"/>
  <c r="S1452" i="18"/>
  <c r="S1453" i="18"/>
  <c r="T1447" i="18"/>
  <c r="AA1447" i="18" s="1"/>
  <c r="T1448" i="18"/>
  <c r="T1449" i="18"/>
  <c r="T1450" i="18"/>
  <c r="T1451" i="18"/>
  <c r="T1452" i="18"/>
  <c r="T1453" i="18"/>
  <c r="BF103" i="1"/>
  <c r="BM103" i="1" s="1"/>
  <c r="BG103" i="1"/>
  <c r="BL103" i="1"/>
  <c r="B1445" i="18"/>
  <c r="B1446" i="18"/>
  <c r="C1445" i="18"/>
  <c r="C1446" i="18"/>
  <c r="E1445" i="18"/>
  <c r="E1446" i="18"/>
  <c r="H1445" i="18"/>
  <c r="H1446" i="18"/>
  <c r="I1445" i="18"/>
  <c r="I1446" i="18"/>
  <c r="J1445" i="18"/>
  <c r="J1446" i="18"/>
  <c r="L1445" i="18"/>
  <c r="L1446" i="18"/>
  <c r="R1445" i="18"/>
  <c r="R1446" i="18"/>
  <c r="S1445" i="18"/>
  <c r="S1446" i="18"/>
  <c r="T1445" i="18"/>
  <c r="AA1445" i="18" s="1"/>
  <c r="T1446" i="18"/>
  <c r="AA1446" i="18" s="1"/>
  <c r="BF102" i="1"/>
  <c r="BM102" i="1" s="1"/>
  <c r="BG102" i="1"/>
  <c r="BL102" i="1"/>
  <c r="B1442" i="18"/>
  <c r="B1443" i="18"/>
  <c r="B1444" i="18"/>
  <c r="C1442" i="18"/>
  <c r="C1443" i="18"/>
  <c r="C1444" i="18"/>
  <c r="E1442" i="18"/>
  <c r="E1443" i="18"/>
  <c r="E1444" i="18"/>
  <c r="H1442" i="18"/>
  <c r="H1443" i="18"/>
  <c r="H1444" i="18"/>
  <c r="I1442" i="18"/>
  <c r="I1443" i="18"/>
  <c r="I1444" i="18"/>
  <c r="J1442" i="18"/>
  <c r="J1443" i="18"/>
  <c r="J1444" i="18"/>
  <c r="L1442" i="18"/>
  <c r="L1443" i="18"/>
  <c r="L1444" i="18"/>
  <c r="R1442" i="18"/>
  <c r="R1443" i="18"/>
  <c r="R1444" i="18"/>
  <c r="S1442" i="18"/>
  <c r="S1443" i="18"/>
  <c r="S1444" i="18"/>
  <c r="T1442" i="18"/>
  <c r="AA1442" i="18" s="1"/>
  <c r="T1443" i="18"/>
  <c r="AA1443" i="18" s="1"/>
  <c r="T1444" i="18"/>
  <c r="AA1444" i="18" s="1"/>
  <c r="BF101" i="1"/>
  <c r="BM101" i="1" s="1"/>
  <c r="BG101" i="1"/>
  <c r="BL101" i="1"/>
  <c r="L1325" i="18"/>
  <c r="B1325" i="18"/>
  <c r="C1325" i="18"/>
  <c r="E1325" i="18"/>
  <c r="H1325" i="18"/>
  <c r="I1325" i="18"/>
  <c r="J1325" i="18"/>
  <c r="R1325" i="18"/>
  <c r="S1325" i="18"/>
  <c r="T1325" i="18"/>
  <c r="AA1325" i="18" s="1"/>
  <c r="C142" i="19"/>
  <c r="E142" i="19"/>
  <c r="H142" i="19"/>
  <c r="I142" i="19"/>
  <c r="J142" i="19"/>
  <c r="O142" i="19"/>
  <c r="P142" i="19"/>
  <c r="Q142" i="19"/>
  <c r="C141" i="19"/>
  <c r="E141" i="19"/>
  <c r="H141" i="19"/>
  <c r="I141" i="19"/>
  <c r="J141" i="19"/>
  <c r="O141" i="19"/>
  <c r="P141" i="19"/>
  <c r="Q141" i="19"/>
  <c r="X141" i="19" s="1"/>
  <c r="C1434" i="18"/>
  <c r="C1435" i="18"/>
  <c r="C1436" i="18"/>
  <c r="C1437" i="18"/>
  <c r="C1438" i="18"/>
  <c r="C1439" i="18"/>
  <c r="C1440" i="18"/>
  <c r="C1441" i="18"/>
  <c r="B1434" i="18"/>
  <c r="B1435" i="18"/>
  <c r="B1436" i="18"/>
  <c r="B1437" i="18"/>
  <c r="B1438" i="18"/>
  <c r="B1439" i="18"/>
  <c r="B1440" i="18"/>
  <c r="B1441" i="18"/>
  <c r="E1434" i="18"/>
  <c r="E1435" i="18"/>
  <c r="E1436" i="18"/>
  <c r="E1437" i="18"/>
  <c r="E1438" i="18"/>
  <c r="E1439" i="18"/>
  <c r="E1440" i="18"/>
  <c r="E1441" i="18"/>
  <c r="H1434" i="18"/>
  <c r="H1435" i="18"/>
  <c r="H1436" i="18"/>
  <c r="H1437" i="18"/>
  <c r="H1438" i="18"/>
  <c r="H1439" i="18"/>
  <c r="H1440" i="18"/>
  <c r="H1441" i="18"/>
  <c r="I1434" i="18"/>
  <c r="I1435" i="18"/>
  <c r="I1436" i="18"/>
  <c r="I1437" i="18"/>
  <c r="I1438" i="18"/>
  <c r="I1439" i="18"/>
  <c r="I1440" i="18"/>
  <c r="I1441" i="18"/>
  <c r="J1434" i="18"/>
  <c r="J1435" i="18"/>
  <c r="J1436" i="18"/>
  <c r="J1437" i="18"/>
  <c r="J1438" i="18"/>
  <c r="J1439" i="18"/>
  <c r="J1440" i="18"/>
  <c r="J1441" i="18"/>
  <c r="L1434" i="18"/>
  <c r="L1435" i="18"/>
  <c r="L1436" i="18"/>
  <c r="L1437" i="18"/>
  <c r="L1438" i="18"/>
  <c r="L1439" i="18"/>
  <c r="L1440" i="18"/>
  <c r="L1441" i="18"/>
  <c r="R1434" i="18"/>
  <c r="R1435" i="18"/>
  <c r="R1436" i="18"/>
  <c r="R1437" i="18"/>
  <c r="R1438" i="18"/>
  <c r="R1439" i="18"/>
  <c r="R1440" i="18"/>
  <c r="R1441" i="18"/>
  <c r="S1434" i="18"/>
  <c r="S1435" i="18"/>
  <c r="S1436" i="18"/>
  <c r="S1437" i="18"/>
  <c r="S1438" i="18"/>
  <c r="S1439" i="18"/>
  <c r="S1440" i="18"/>
  <c r="S1441" i="18"/>
  <c r="T1434" i="18"/>
  <c r="T1435" i="18"/>
  <c r="T1436" i="18"/>
  <c r="AA1436" i="18" s="1"/>
  <c r="T1437" i="18"/>
  <c r="AA1437" i="18" s="1"/>
  <c r="T1438" i="18"/>
  <c r="AA1438" i="18" s="1"/>
  <c r="T1439" i="18"/>
  <c r="AA1439" i="18" s="1"/>
  <c r="T1440" i="18"/>
  <c r="AA1440" i="18" s="1"/>
  <c r="T1441" i="18"/>
  <c r="AA1441" i="18" s="1"/>
  <c r="BN106" i="1" l="1"/>
  <c r="W1456" i="18"/>
  <c r="W1455" i="18"/>
  <c r="W1461" i="18"/>
  <c r="W1460" i="18"/>
  <c r="W1454" i="18"/>
  <c r="W1448" i="18"/>
  <c r="AA1454" i="18"/>
  <c r="AA1456" i="18"/>
  <c r="AA1455" i="18"/>
  <c r="W1463" i="18"/>
  <c r="W1462" i="18"/>
  <c r="W1459" i="18"/>
  <c r="W1458" i="18"/>
  <c r="W1457" i="18"/>
  <c r="W1450" i="18"/>
  <c r="W1449" i="18"/>
  <c r="AA1448" i="18"/>
  <c r="W1447" i="18"/>
  <c r="W1453" i="18"/>
  <c r="W1452" i="18"/>
  <c r="W1451" i="18"/>
  <c r="BN104" i="1"/>
  <c r="BN103" i="1"/>
  <c r="AA1453" i="18"/>
  <c r="AA1452" i="18"/>
  <c r="AA1451" i="18"/>
  <c r="AA1450" i="18"/>
  <c r="AA1449" i="18"/>
  <c r="W1446" i="18"/>
  <c r="W1445" i="18"/>
  <c r="W1434" i="18"/>
  <c r="BN102" i="1"/>
  <c r="W1443" i="18"/>
  <c r="W1444" i="18"/>
  <c r="W1442" i="18"/>
  <c r="BN101" i="1"/>
  <c r="T142" i="19"/>
  <c r="X142" i="19"/>
  <c r="W1325" i="18"/>
  <c r="W1437" i="18"/>
  <c r="W1440" i="18"/>
  <c r="W1438" i="18"/>
  <c r="W1435" i="18"/>
  <c r="W1441" i="18"/>
  <c r="T141" i="19"/>
  <c r="W1439" i="18"/>
  <c r="W1436" i="18"/>
  <c r="AA1435" i="18"/>
  <c r="AA1434" i="18"/>
  <c r="BF100" i="1" l="1"/>
  <c r="BM100" i="1" s="1"/>
  <c r="BG100" i="1"/>
  <c r="BL100" i="1"/>
  <c r="BN100" i="1" l="1"/>
  <c r="C137" i="19"/>
  <c r="C138" i="19"/>
  <c r="C139" i="19"/>
  <c r="E137" i="19"/>
  <c r="H137" i="19"/>
  <c r="I137" i="19"/>
  <c r="J137" i="19"/>
  <c r="O137" i="19"/>
  <c r="P137" i="19"/>
  <c r="Q137" i="19"/>
  <c r="X137" i="19" s="1"/>
  <c r="E138" i="19"/>
  <c r="H138" i="19"/>
  <c r="I138" i="19"/>
  <c r="J138" i="19"/>
  <c r="O138" i="19"/>
  <c r="P138" i="19"/>
  <c r="Q138" i="19"/>
  <c r="X138" i="19" s="1"/>
  <c r="E139" i="19"/>
  <c r="H139" i="19"/>
  <c r="I139" i="19"/>
  <c r="J139" i="19"/>
  <c r="O139" i="19"/>
  <c r="P139" i="19"/>
  <c r="Q139" i="19"/>
  <c r="X139" i="19" s="1"/>
  <c r="T139" i="19" l="1"/>
  <c r="T138" i="19"/>
  <c r="T137" i="19"/>
  <c r="B1433" i="18" l="1"/>
  <c r="C1433" i="18"/>
  <c r="E1433" i="18"/>
  <c r="H1433" i="18"/>
  <c r="I1433" i="18"/>
  <c r="J1433" i="18"/>
  <c r="L1433" i="18"/>
  <c r="R1433" i="18"/>
  <c r="S1433" i="18"/>
  <c r="T1433" i="18"/>
  <c r="AA1433" i="18" s="1"/>
  <c r="W1433" i="18" l="1"/>
  <c r="B1432" i="18"/>
  <c r="C1432" i="18"/>
  <c r="E1432" i="18"/>
  <c r="H1432" i="18"/>
  <c r="I1432" i="18"/>
  <c r="J1432" i="18"/>
  <c r="L1432" i="18"/>
  <c r="R1432" i="18"/>
  <c r="S1432" i="18"/>
  <c r="T1432" i="18"/>
  <c r="AA1432" i="18" s="1"/>
  <c r="C140" i="19"/>
  <c r="E140" i="19"/>
  <c r="H140" i="19"/>
  <c r="I140" i="19"/>
  <c r="J140" i="19"/>
  <c r="O140" i="19"/>
  <c r="P140" i="19"/>
  <c r="Q140" i="19"/>
  <c r="X140" i="19" s="1"/>
  <c r="B1419" i="18"/>
  <c r="B1420" i="18"/>
  <c r="B1421" i="18"/>
  <c r="B1422" i="18"/>
  <c r="B1423" i="18"/>
  <c r="B1424" i="18"/>
  <c r="B1425" i="18"/>
  <c r="B1426" i="18"/>
  <c r="B1427" i="18"/>
  <c r="B1428" i="18"/>
  <c r="B1429" i="18"/>
  <c r="B1430" i="18"/>
  <c r="B1431" i="18"/>
  <c r="C1419" i="18"/>
  <c r="C1420" i="18"/>
  <c r="C1421" i="18"/>
  <c r="C1422" i="18"/>
  <c r="C1423" i="18"/>
  <c r="C1424" i="18"/>
  <c r="C1425" i="18"/>
  <c r="C1426" i="18"/>
  <c r="C1427" i="18"/>
  <c r="C1428" i="18"/>
  <c r="C1429" i="18"/>
  <c r="C1430" i="18"/>
  <c r="C1431" i="18"/>
  <c r="E1419" i="18"/>
  <c r="E1420" i="18"/>
  <c r="E1421" i="18"/>
  <c r="E1422" i="18"/>
  <c r="E1423" i="18"/>
  <c r="E1424" i="18"/>
  <c r="E1425" i="18"/>
  <c r="E1426" i="18"/>
  <c r="E1427" i="18"/>
  <c r="E1428" i="18"/>
  <c r="E1429" i="18"/>
  <c r="E1430" i="18"/>
  <c r="E1431" i="18"/>
  <c r="H1419" i="18"/>
  <c r="H1420" i="18"/>
  <c r="H1421" i="18"/>
  <c r="H1422" i="18"/>
  <c r="H1423" i="18"/>
  <c r="H1424" i="18"/>
  <c r="H1425" i="18"/>
  <c r="H1426" i="18"/>
  <c r="H1427" i="18"/>
  <c r="H1428" i="18"/>
  <c r="H1429" i="18"/>
  <c r="H1430" i="18"/>
  <c r="H1431" i="18"/>
  <c r="I1419" i="18"/>
  <c r="I1420" i="18"/>
  <c r="I1421" i="18"/>
  <c r="I1422" i="18"/>
  <c r="I1423" i="18"/>
  <c r="I1424" i="18"/>
  <c r="I1425" i="18"/>
  <c r="I1426" i="18"/>
  <c r="I1427" i="18"/>
  <c r="I1428" i="18"/>
  <c r="I1429" i="18"/>
  <c r="I1430" i="18"/>
  <c r="I1431" i="18"/>
  <c r="J1419" i="18"/>
  <c r="J1420" i="18"/>
  <c r="J1421" i="18"/>
  <c r="J1422" i="18"/>
  <c r="J1423" i="18"/>
  <c r="J1424" i="18"/>
  <c r="J1425" i="18"/>
  <c r="J1426" i="18"/>
  <c r="J1427" i="18"/>
  <c r="J1428" i="18"/>
  <c r="J1429" i="18"/>
  <c r="J1430" i="18"/>
  <c r="J1431" i="18"/>
  <c r="L1419" i="18"/>
  <c r="L1420" i="18"/>
  <c r="L1421" i="18"/>
  <c r="L1422" i="18"/>
  <c r="L1423" i="18"/>
  <c r="L1424" i="18"/>
  <c r="L1425" i="18"/>
  <c r="L1426" i="18"/>
  <c r="L1427" i="18"/>
  <c r="L1428" i="18"/>
  <c r="L1429" i="18"/>
  <c r="L1430" i="18"/>
  <c r="L1431" i="18"/>
  <c r="R1419" i="18"/>
  <c r="R1420" i="18"/>
  <c r="R1421" i="18"/>
  <c r="R1422" i="18"/>
  <c r="R1423" i="18"/>
  <c r="R1424" i="18"/>
  <c r="R1425" i="18"/>
  <c r="R1426" i="18"/>
  <c r="R1427" i="18"/>
  <c r="R1428" i="18"/>
  <c r="R1429" i="18"/>
  <c r="R1430" i="18"/>
  <c r="R1431" i="18"/>
  <c r="S1419" i="18"/>
  <c r="S1420" i="18"/>
  <c r="S1421" i="18"/>
  <c r="S1422" i="18"/>
  <c r="S1423" i="18"/>
  <c r="S1424" i="18"/>
  <c r="S1425" i="18"/>
  <c r="S1426" i="18"/>
  <c r="S1427" i="18"/>
  <c r="S1428" i="18"/>
  <c r="S1429" i="18"/>
  <c r="S1430" i="18"/>
  <c r="S1431" i="18"/>
  <c r="T1419" i="18"/>
  <c r="AA1419" i="18" s="1"/>
  <c r="T1420" i="18"/>
  <c r="AA1420" i="18" s="1"/>
  <c r="T1421" i="18"/>
  <c r="AA1421" i="18" s="1"/>
  <c r="T1422" i="18"/>
  <c r="AA1422" i="18" s="1"/>
  <c r="T1423" i="18"/>
  <c r="T1424" i="18"/>
  <c r="T1425" i="18"/>
  <c r="T1426" i="18"/>
  <c r="T1427" i="18"/>
  <c r="AA1427" i="18" s="1"/>
  <c r="T1428" i="18"/>
  <c r="T1429" i="18"/>
  <c r="AA1429" i="18" s="1"/>
  <c r="T1430" i="18"/>
  <c r="AA1430" i="18" s="1"/>
  <c r="T1431" i="18"/>
  <c r="AA1431" i="18" s="1"/>
  <c r="BF99" i="1"/>
  <c r="BM99" i="1" s="1"/>
  <c r="BG99" i="1"/>
  <c r="BL99" i="1"/>
  <c r="B1418" i="18"/>
  <c r="C1418" i="18"/>
  <c r="E1418" i="18"/>
  <c r="H1418" i="18"/>
  <c r="I1418" i="18"/>
  <c r="J1418" i="18"/>
  <c r="L1418" i="18"/>
  <c r="R1418" i="18"/>
  <c r="S1418" i="18"/>
  <c r="T1418" i="18"/>
  <c r="AA1418" i="18" s="1"/>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R1417"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T1396" i="18"/>
  <c r="AA1396" i="18" s="1"/>
  <c r="T1397" i="18"/>
  <c r="AA1397" i="18" s="1"/>
  <c r="T1398" i="18"/>
  <c r="AA1398" i="18" s="1"/>
  <c r="T1399" i="18"/>
  <c r="T1400" i="18"/>
  <c r="AA1400" i="18" s="1"/>
  <c r="T1401" i="18"/>
  <c r="AA1401" i="18" s="1"/>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T1417" i="18"/>
  <c r="AA1417" i="18" s="1"/>
  <c r="BF98" i="1"/>
  <c r="BN98" i="1" s="1"/>
  <c r="BG98" i="1"/>
  <c r="BL98" i="1"/>
  <c r="B1393" i="18"/>
  <c r="B1394" i="18"/>
  <c r="B1395" i="18"/>
  <c r="C1393" i="18"/>
  <c r="C1394" i="18"/>
  <c r="C1395" i="18"/>
  <c r="E1393" i="18"/>
  <c r="E1394" i="18"/>
  <c r="E1395" i="18"/>
  <c r="H1393" i="18"/>
  <c r="H1394" i="18"/>
  <c r="H1395" i="18"/>
  <c r="I1393" i="18"/>
  <c r="I1394" i="18"/>
  <c r="I1395" i="18"/>
  <c r="J1393" i="18"/>
  <c r="J1394" i="18"/>
  <c r="J1395" i="18"/>
  <c r="L1393" i="18"/>
  <c r="L1394" i="18"/>
  <c r="L1395" i="18"/>
  <c r="R1393" i="18"/>
  <c r="R1394" i="18"/>
  <c r="R1395" i="18"/>
  <c r="S1393" i="18"/>
  <c r="S1394" i="18"/>
  <c r="S1395" i="18"/>
  <c r="T1393" i="18"/>
  <c r="AA1393" i="18" s="1"/>
  <c r="T1394" i="18"/>
  <c r="AA1394" i="18" s="1"/>
  <c r="T1395" i="18"/>
  <c r="AA1395" i="18" s="1"/>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R1392"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T1364" i="18"/>
  <c r="T1365" i="18"/>
  <c r="T1366" i="18"/>
  <c r="AA1366" i="18" s="1"/>
  <c r="T1367" i="18"/>
  <c r="AA1367" i="18" s="1"/>
  <c r="T1368" i="18"/>
  <c r="AA1368" i="18" s="1"/>
  <c r="T1369" i="18"/>
  <c r="AA1369" i="18" s="1"/>
  <c r="T1370" i="18"/>
  <c r="AA1370" i="18" s="1"/>
  <c r="T1371" i="18"/>
  <c r="AA1371" i="18" s="1"/>
  <c r="T1372" i="18"/>
  <c r="AA1372" i="18" s="1"/>
  <c r="T1373" i="18"/>
  <c r="AA1373" i="18" s="1"/>
  <c r="T1374" i="18"/>
  <c r="T1375" i="18"/>
  <c r="T1376" i="18"/>
  <c r="T1377" i="18"/>
  <c r="T1378" i="18"/>
  <c r="AA1378" i="18" s="1"/>
  <c r="T1379" i="18"/>
  <c r="AA1379" i="18" s="1"/>
  <c r="T1380" i="18"/>
  <c r="T1381" i="18"/>
  <c r="AA1381" i="18" s="1"/>
  <c r="T1382" i="18"/>
  <c r="AA1382" i="18" s="1"/>
  <c r="T1383" i="18"/>
  <c r="AA1383" i="18" s="1"/>
  <c r="T1384" i="18"/>
  <c r="AA1384" i="18" s="1"/>
  <c r="T1385" i="18"/>
  <c r="AA1385" i="18" s="1"/>
  <c r="T1386" i="18"/>
  <c r="T1387" i="18"/>
  <c r="T1388" i="18"/>
  <c r="T1389" i="18"/>
  <c r="T1390" i="18"/>
  <c r="T1391" i="18"/>
  <c r="AA1391" i="18" s="1"/>
  <c r="T1392" i="18"/>
  <c r="BF97" i="1"/>
  <c r="BM97" i="1" s="1"/>
  <c r="BG97" i="1"/>
  <c r="BL97" i="1"/>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R1363"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T1336" i="18"/>
  <c r="AA1336" i="18" s="1"/>
  <c r="T1337" i="18"/>
  <c r="AA1337" i="18" s="1"/>
  <c r="T1338" i="18"/>
  <c r="AA1338" i="18" s="1"/>
  <c r="T1339" i="18"/>
  <c r="AA1339" i="18" s="1"/>
  <c r="T1340" i="18"/>
  <c r="AA1340" i="18" s="1"/>
  <c r="T1341" i="18"/>
  <c r="AA1341" i="18" s="1"/>
  <c r="T1342" i="18"/>
  <c r="AA1342" i="18" s="1"/>
  <c r="T1343" i="18"/>
  <c r="AA1343" i="18" s="1"/>
  <c r="T1344" i="18"/>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AA1355" i="18" s="1"/>
  <c r="T1356" i="18"/>
  <c r="T1357" i="18"/>
  <c r="T1358" i="18"/>
  <c r="T1359" i="18"/>
  <c r="T1360" i="18"/>
  <c r="AA1360" i="18" s="1"/>
  <c r="T1361" i="18"/>
  <c r="AA1361" i="18" s="1"/>
  <c r="T1362" i="18"/>
  <c r="AA1362" i="18" s="1"/>
  <c r="T1363" i="18"/>
  <c r="AA1363" i="18" s="1"/>
  <c r="BF96" i="1"/>
  <c r="BM96" i="1" s="1"/>
  <c r="AE456" i="16"/>
  <c r="BG96" i="1"/>
  <c r="BL96" i="1"/>
  <c r="W1422" i="18" l="1"/>
  <c r="W1432" i="18"/>
  <c r="W1423" i="18"/>
  <c r="T140" i="19"/>
  <c r="W1429" i="18"/>
  <c r="W1427" i="18"/>
  <c r="W1426" i="18"/>
  <c r="W1428" i="18"/>
  <c r="W1424" i="18"/>
  <c r="W1430" i="18"/>
  <c r="W1421" i="18"/>
  <c r="AA1428" i="18"/>
  <c r="W1420" i="18"/>
  <c r="W1431" i="18"/>
  <c r="W1419" i="18"/>
  <c r="W1425" i="18"/>
  <c r="AA1426" i="18"/>
  <c r="AA1425" i="18"/>
  <c r="AA1424" i="18"/>
  <c r="AA1423" i="18"/>
  <c r="W1418" i="18"/>
  <c r="BN99" i="1"/>
  <c r="W1397" i="18"/>
  <c r="W1399" i="18"/>
  <c r="W1415" i="18"/>
  <c r="W1403" i="18"/>
  <c r="AA1399" i="18"/>
  <c r="W1414" i="18"/>
  <c r="W1402" i="18"/>
  <c r="W1409" i="18"/>
  <c r="W1398" i="18"/>
  <c r="W1410" i="18"/>
  <c r="W1408" i="18"/>
  <c r="W1396" i="18"/>
  <c r="W1411" i="18"/>
  <c r="W1417" i="18"/>
  <c r="W1405" i="18"/>
  <c r="W1416" i="18"/>
  <c r="W1404" i="18"/>
  <c r="W1413" i="18"/>
  <c r="W1401" i="18"/>
  <c r="W1412" i="18"/>
  <c r="W1400" i="18"/>
  <c r="W1407" i="18"/>
  <c r="W1406" i="18"/>
  <c r="BM98" i="1"/>
  <c r="W1384" i="18"/>
  <c r="W1394" i="18"/>
  <c r="W1395" i="18"/>
  <c r="W1393" i="18"/>
  <c r="W1369" i="18"/>
  <c r="W1391" i="18"/>
  <c r="W1377" i="18"/>
  <c r="W1365" i="18"/>
  <c r="W1392" i="18"/>
  <c r="W1380" i="18"/>
  <c r="W1368" i="18"/>
  <c r="W1389" i="18"/>
  <c r="W1387" i="18"/>
  <c r="W1375" i="18"/>
  <c r="W1373" i="18"/>
  <c r="W1386" i="18"/>
  <c r="W1374" i="18"/>
  <c r="W1372" i="18"/>
  <c r="W1371" i="18"/>
  <c r="W1379" i="18"/>
  <c r="W1367" i="18"/>
  <c r="AA1392" i="18"/>
  <c r="W1370" i="18"/>
  <c r="W1383" i="18"/>
  <c r="W1382" i="18"/>
  <c r="AA1380" i="18"/>
  <c r="W1381" i="18"/>
  <c r="W1390" i="18"/>
  <c r="W1385" i="18"/>
  <c r="W1388" i="18"/>
  <c r="W1376" i="18"/>
  <c r="W1364" i="18"/>
  <c r="AA1390" i="18"/>
  <c r="AA1377" i="18"/>
  <c r="AA1388" i="18"/>
  <c r="AA1376" i="18"/>
  <c r="AA1364" i="18"/>
  <c r="W1351" i="18"/>
  <c r="AA1387" i="18"/>
  <c r="AA1375" i="18"/>
  <c r="W1350" i="18"/>
  <c r="AA1386" i="18"/>
  <c r="AA1374" i="18"/>
  <c r="W1363" i="18"/>
  <c r="W1339" i="18"/>
  <c r="W1362" i="18"/>
  <c r="W1338" i="18"/>
  <c r="W1361" i="18"/>
  <c r="W1349" i="18"/>
  <c r="W1337" i="18"/>
  <c r="W1378" i="18"/>
  <c r="W1366" i="18"/>
  <c r="AA1389" i="18"/>
  <c r="AA1365" i="18"/>
  <c r="BN97" i="1"/>
  <c r="BN96" i="1"/>
  <c r="W1353" i="18"/>
  <c r="W1341" i="18"/>
  <c r="W1352" i="18"/>
  <c r="W1340" i="18"/>
  <c r="W1355" i="18"/>
  <c r="W1343" i="18"/>
  <c r="W1354" i="18"/>
  <c r="W1342" i="18"/>
  <c r="W1336" i="18"/>
  <c r="W1357" i="18"/>
  <c r="W1358" i="18"/>
  <c r="W1360" i="18"/>
  <c r="W1348" i="18"/>
  <c r="W1359" i="18"/>
  <c r="W1356" i="18"/>
  <c r="W1344" i="18"/>
  <c r="AA1359" i="18"/>
  <c r="AA1358" i="18"/>
  <c r="AA1356" i="18"/>
  <c r="AA1344" i="18"/>
  <c r="W1347" i="18"/>
  <c r="AA1357" i="18"/>
  <c r="W1346" i="18"/>
  <c r="W1345" i="18"/>
  <c r="B1326" i="18" l="1"/>
  <c r="B1327" i="18"/>
  <c r="B1328" i="18"/>
  <c r="B1329" i="18"/>
  <c r="B1330" i="18"/>
  <c r="B1331" i="18"/>
  <c r="B1332" i="18"/>
  <c r="B1333" i="18"/>
  <c r="B1334" i="18"/>
  <c r="B1335" i="18"/>
  <c r="C1326" i="18"/>
  <c r="C1327" i="18"/>
  <c r="C1328" i="18"/>
  <c r="C1329" i="18"/>
  <c r="C1330" i="18"/>
  <c r="C1331" i="18"/>
  <c r="C1332" i="18"/>
  <c r="C1333" i="18"/>
  <c r="C1334" i="18"/>
  <c r="C1335" i="18"/>
  <c r="E1326" i="18"/>
  <c r="E1327" i="18"/>
  <c r="E1328" i="18"/>
  <c r="E1329" i="18"/>
  <c r="E1330" i="18"/>
  <c r="E1331" i="18"/>
  <c r="E1332" i="18"/>
  <c r="E1333" i="18"/>
  <c r="E1334" i="18"/>
  <c r="E1335" i="18"/>
  <c r="H1326" i="18"/>
  <c r="H1327" i="18"/>
  <c r="H1328" i="18"/>
  <c r="H1329" i="18"/>
  <c r="H1330" i="18"/>
  <c r="H1331" i="18"/>
  <c r="H1332" i="18"/>
  <c r="H1333" i="18"/>
  <c r="H1334" i="18"/>
  <c r="H1335" i="18"/>
  <c r="I1326" i="18"/>
  <c r="I1327" i="18"/>
  <c r="I1328" i="18"/>
  <c r="I1329" i="18"/>
  <c r="I1330" i="18"/>
  <c r="I1331" i="18"/>
  <c r="I1332" i="18"/>
  <c r="I1333" i="18"/>
  <c r="I1334" i="18"/>
  <c r="I1335" i="18"/>
  <c r="J1326" i="18"/>
  <c r="J1327" i="18"/>
  <c r="J1328" i="18"/>
  <c r="J1329" i="18"/>
  <c r="J1330" i="18"/>
  <c r="J1331" i="18"/>
  <c r="J1332" i="18"/>
  <c r="J1333" i="18"/>
  <c r="J1334" i="18"/>
  <c r="J1335" i="18"/>
  <c r="L1326" i="18"/>
  <c r="L1327" i="18"/>
  <c r="L1328" i="18"/>
  <c r="L1329" i="18"/>
  <c r="L1330" i="18"/>
  <c r="L1331" i="18"/>
  <c r="L1332" i="18"/>
  <c r="L1333" i="18"/>
  <c r="L1334" i="18"/>
  <c r="L1335" i="18"/>
  <c r="R1326" i="18"/>
  <c r="R1327" i="18"/>
  <c r="R1328" i="18"/>
  <c r="R1329" i="18"/>
  <c r="R1330" i="18"/>
  <c r="R1331" i="18"/>
  <c r="R1332" i="18"/>
  <c r="R1333" i="18"/>
  <c r="R1334" i="18"/>
  <c r="R1335" i="18"/>
  <c r="S1326" i="18"/>
  <c r="S1327" i="18"/>
  <c r="S1328" i="18"/>
  <c r="S1329" i="18"/>
  <c r="S1330" i="18"/>
  <c r="S1331" i="18"/>
  <c r="S1332" i="18"/>
  <c r="S1333" i="18"/>
  <c r="S1334" i="18"/>
  <c r="S1335" i="18"/>
  <c r="T1326" i="18"/>
  <c r="AA1326" i="18" s="1"/>
  <c r="T1327" i="18"/>
  <c r="T1328" i="18"/>
  <c r="AA1328" i="18" s="1"/>
  <c r="T1329" i="18"/>
  <c r="T1330" i="18"/>
  <c r="AA1330" i="18" s="1"/>
  <c r="T1331" i="18"/>
  <c r="T1332" i="18"/>
  <c r="AA1332" i="18" s="1"/>
  <c r="T1333" i="18"/>
  <c r="AA1333" i="18" s="1"/>
  <c r="T1334" i="18"/>
  <c r="AA1334" i="18" s="1"/>
  <c r="T1335" i="18"/>
  <c r="AA1335"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29" i="18" l="1"/>
  <c r="W1335" i="18"/>
  <c r="W1334" i="18"/>
  <c r="BM95" i="1"/>
  <c r="W1332" i="18"/>
  <c r="W1333" i="18"/>
  <c r="W1331" i="18"/>
  <c r="W1327" i="18"/>
  <c r="AA1329" i="18"/>
  <c r="W1326" i="18"/>
  <c r="AA1327" i="18"/>
  <c r="W1330" i="18"/>
  <c r="W1328" i="18"/>
  <c r="AA1331"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Q2" i="19"/>
  <c r="X2" i="19" s="1"/>
  <c r="Q3" i="19"/>
  <c r="X3" i="19" s="1"/>
  <c r="Q4" i="19"/>
  <c r="X4" i="19" s="1"/>
  <c r="Q5" i="19"/>
  <c r="X5" i="19" s="1"/>
  <c r="Q6" i="19"/>
  <c r="X6" i="19" s="1"/>
  <c r="Q7" i="19"/>
  <c r="X7" i="19" s="1"/>
  <c r="Q8" i="19"/>
  <c r="X8" i="19" s="1"/>
  <c r="Q9" i="19"/>
  <c r="X9" i="19" s="1"/>
  <c r="Q10" i="19"/>
  <c r="X10" i="19" s="1"/>
  <c r="Q11" i="19"/>
  <c r="X11" i="19" s="1"/>
  <c r="Q12" i="19"/>
  <c r="X12" i="19" s="1"/>
  <c r="Q13" i="19"/>
  <c r="X13" i="19" s="1"/>
  <c r="Q14" i="19"/>
  <c r="X14" i="19" s="1"/>
  <c r="Q15" i="19"/>
  <c r="X15" i="19" s="1"/>
  <c r="Q16" i="19"/>
  <c r="X16" i="19" s="1"/>
  <c r="Q17" i="19"/>
  <c r="X17" i="19" s="1"/>
  <c r="Q18" i="19"/>
  <c r="X18" i="19" s="1"/>
  <c r="Q19" i="19"/>
  <c r="X19" i="19" s="1"/>
  <c r="Q20" i="19"/>
  <c r="X20" i="19" s="1"/>
  <c r="Q21" i="19"/>
  <c r="X21" i="19" s="1"/>
  <c r="Q22" i="19"/>
  <c r="X22" i="19" s="1"/>
  <c r="Q23" i="19"/>
  <c r="X23" i="19" s="1"/>
  <c r="Q24" i="19"/>
  <c r="X24" i="19" s="1"/>
  <c r="Q25" i="19"/>
  <c r="X25" i="19" s="1"/>
  <c r="Q26" i="19"/>
  <c r="X26" i="19" s="1"/>
  <c r="Q27" i="19"/>
  <c r="X27" i="19" s="1"/>
  <c r="Q28" i="19"/>
  <c r="X28" i="19" s="1"/>
  <c r="Q29" i="19"/>
  <c r="X29" i="19" s="1"/>
  <c r="Q30" i="19"/>
  <c r="X30" i="19" s="1"/>
  <c r="Q31" i="19"/>
  <c r="X31" i="19" s="1"/>
  <c r="Q32" i="19"/>
  <c r="X32" i="19" s="1"/>
  <c r="Q33" i="19"/>
  <c r="X33" i="19" s="1"/>
  <c r="Q34" i="19"/>
  <c r="X34" i="19" s="1"/>
  <c r="Q35" i="19"/>
  <c r="X35" i="19" s="1"/>
  <c r="Q36" i="19"/>
  <c r="X36" i="19" s="1"/>
  <c r="Q37" i="19"/>
  <c r="X37" i="19" s="1"/>
  <c r="Q38" i="19"/>
  <c r="X38" i="19" s="1"/>
  <c r="Q39" i="19"/>
  <c r="X39" i="19" s="1"/>
  <c r="Q40" i="19"/>
  <c r="X40" i="19" s="1"/>
  <c r="Q41" i="19"/>
  <c r="X41" i="19" s="1"/>
  <c r="Q42" i="19"/>
  <c r="X42" i="19" s="1"/>
  <c r="Q43" i="19"/>
  <c r="X43" i="19" s="1"/>
  <c r="Q44" i="19"/>
  <c r="X44" i="19" s="1"/>
  <c r="Q45" i="19"/>
  <c r="X45" i="19" s="1"/>
  <c r="Q46" i="19"/>
  <c r="X46" i="19" s="1"/>
  <c r="Q47" i="19"/>
  <c r="X47" i="19" s="1"/>
  <c r="Q48" i="19"/>
  <c r="X48" i="19" s="1"/>
  <c r="Q49" i="19"/>
  <c r="X49" i="19" s="1"/>
  <c r="Q50" i="19"/>
  <c r="X50" i="19" s="1"/>
  <c r="Q51" i="19"/>
  <c r="X51" i="19" s="1"/>
  <c r="Q52" i="19"/>
  <c r="X52" i="19" s="1"/>
  <c r="Q53" i="19"/>
  <c r="X53" i="19" s="1"/>
  <c r="Q54" i="19"/>
  <c r="X54" i="19" s="1"/>
  <c r="Q55" i="19"/>
  <c r="X55" i="19" s="1"/>
  <c r="Q56" i="19"/>
  <c r="X56" i="19" s="1"/>
  <c r="Q57" i="19"/>
  <c r="X57" i="19" s="1"/>
  <c r="Q58" i="19"/>
  <c r="X58" i="19" s="1"/>
  <c r="Q59" i="19"/>
  <c r="X59" i="19" s="1"/>
  <c r="Q60" i="19"/>
  <c r="X60" i="19" s="1"/>
  <c r="Q61" i="19"/>
  <c r="X61" i="19" s="1"/>
  <c r="Q62" i="19"/>
  <c r="X62" i="19" s="1"/>
  <c r="Q63" i="19"/>
  <c r="X63" i="19" s="1"/>
  <c r="Q64" i="19"/>
  <c r="X64" i="19" s="1"/>
  <c r="Q65" i="19"/>
  <c r="X65" i="19" s="1"/>
  <c r="Q66" i="19"/>
  <c r="X66" i="19" s="1"/>
  <c r="Q67" i="19"/>
  <c r="X67" i="19" s="1"/>
  <c r="Q68" i="19"/>
  <c r="X68" i="19" s="1"/>
  <c r="Q69" i="19"/>
  <c r="X69" i="19" s="1"/>
  <c r="Q70" i="19"/>
  <c r="X70" i="19" s="1"/>
  <c r="Q71" i="19"/>
  <c r="X71" i="19" s="1"/>
  <c r="Q72" i="19"/>
  <c r="X72" i="19" s="1"/>
  <c r="Q73" i="19"/>
  <c r="X73" i="19" s="1"/>
  <c r="Q74" i="19"/>
  <c r="X74" i="19" s="1"/>
  <c r="Q75" i="19"/>
  <c r="X75" i="19" s="1"/>
  <c r="Q76" i="19"/>
  <c r="X76" i="19" s="1"/>
  <c r="Q77" i="19"/>
  <c r="X77" i="19" s="1"/>
  <c r="Q78" i="19"/>
  <c r="X78" i="19" s="1"/>
  <c r="Q79" i="19"/>
  <c r="X79" i="19" s="1"/>
  <c r="Q80" i="19"/>
  <c r="X80" i="19" s="1"/>
  <c r="Q81" i="19"/>
  <c r="X81" i="19" s="1"/>
  <c r="Q82" i="19"/>
  <c r="X82" i="19" s="1"/>
  <c r="Q83" i="19"/>
  <c r="X83" i="19" s="1"/>
  <c r="Q84" i="19"/>
  <c r="X84" i="19" s="1"/>
  <c r="Q85" i="19"/>
  <c r="X85" i="19" s="1"/>
  <c r="Q86" i="19"/>
  <c r="X86" i="19" s="1"/>
  <c r="Q87" i="19"/>
  <c r="X87" i="19" s="1"/>
  <c r="Q88" i="19"/>
  <c r="X88" i="19" s="1"/>
  <c r="Q89" i="19"/>
  <c r="X89" i="19" s="1"/>
  <c r="Q90" i="19"/>
  <c r="X90" i="19" s="1"/>
  <c r="Q91" i="19"/>
  <c r="X91" i="19" s="1"/>
  <c r="Q92" i="19"/>
  <c r="X92" i="19" s="1"/>
  <c r="Q93" i="19"/>
  <c r="X93" i="19" s="1"/>
  <c r="Q94" i="19"/>
  <c r="X94" i="19" s="1"/>
  <c r="Q95" i="19"/>
  <c r="X95" i="19" s="1"/>
  <c r="Q96" i="19"/>
  <c r="X96" i="19" s="1"/>
  <c r="Q97" i="19"/>
  <c r="X97" i="19" s="1"/>
  <c r="Q98" i="19"/>
  <c r="X98" i="19" s="1"/>
  <c r="Q99" i="19"/>
  <c r="X99" i="19" s="1"/>
  <c r="Q100" i="19"/>
  <c r="X100" i="19" s="1"/>
  <c r="Q101" i="19"/>
  <c r="X101" i="19" s="1"/>
  <c r="Q102" i="19"/>
  <c r="X102" i="19" s="1"/>
  <c r="Q103" i="19"/>
  <c r="X103" i="19" s="1"/>
  <c r="Q104" i="19"/>
  <c r="X104" i="19" s="1"/>
  <c r="Q105" i="19"/>
  <c r="X105" i="19" s="1"/>
  <c r="Q106" i="19"/>
  <c r="X106" i="19" s="1"/>
  <c r="Q107" i="19"/>
  <c r="X107" i="19" s="1"/>
  <c r="Q108" i="19"/>
  <c r="X108" i="19" s="1"/>
  <c r="Q109" i="19"/>
  <c r="X109" i="19" s="1"/>
  <c r="Q110" i="19"/>
  <c r="X110" i="19" s="1"/>
  <c r="Q111" i="19"/>
  <c r="X111" i="19" s="1"/>
  <c r="Q112" i="19"/>
  <c r="X112" i="19" s="1"/>
  <c r="Q113" i="19"/>
  <c r="X113" i="19" s="1"/>
  <c r="Q114" i="19"/>
  <c r="X114" i="19" s="1"/>
  <c r="Q115" i="19"/>
  <c r="X115" i="19" s="1"/>
  <c r="Q116" i="19"/>
  <c r="X116" i="19" s="1"/>
  <c r="Q117" i="19"/>
  <c r="X117" i="19" s="1"/>
  <c r="Q118" i="19"/>
  <c r="X118" i="19" s="1"/>
  <c r="Q119" i="19"/>
  <c r="X119" i="19" s="1"/>
  <c r="Q120" i="19"/>
  <c r="X120" i="19" s="1"/>
  <c r="Q121" i="19"/>
  <c r="X121" i="19" s="1"/>
  <c r="Q122" i="19"/>
  <c r="X122" i="19" s="1"/>
  <c r="Q123" i="19"/>
  <c r="X123" i="19" s="1"/>
  <c r="Q124" i="19"/>
  <c r="X124" i="19" s="1"/>
  <c r="Q125" i="19"/>
  <c r="X125" i="19" s="1"/>
  <c r="Q126" i="19"/>
  <c r="X126" i="19" s="1"/>
  <c r="Q127" i="19"/>
  <c r="X127" i="19" s="1"/>
  <c r="Q128" i="19"/>
  <c r="X128" i="19" s="1"/>
  <c r="Q129" i="19"/>
  <c r="X129" i="19" s="1"/>
  <c r="Q130" i="19"/>
  <c r="X130" i="19" s="1"/>
  <c r="Q131" i="19"/>
  <c r="X131" i="19" s="1"/>
  <c r="Q132" i="19"/>
  <c r="X132" i="19" s="1"/>
  <c r="Q133" i="19"/>
  <c r="X133" i="19" s="1"/>
  <c r="Q134" i="19"/>
  <c r="X134" i="19" s="1"/>
  <c r="Q135" i="19"/>
  <c r="X135" i="19" s="1"/>
  <c r="Q136" i="19"/>
  <c r="X136" i="19" s="1"/>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2" i="18"/>
  <c r="T43" i="18"/>
  <c r="T44" i="18"/>
  <c r="T45" i="18"/>
  <c r="T46" i="18"/>
  <c r="T47" i="18"/>
  <c r="T48" i="18"/>
  <c r="T49" i="18"/>
  <c r="T50" i="18"/>
  <c r="T51" i="18"/>
  <c r="T52" i="18"/>
  <c r="T53" i="18"/>
  <c r="T54" i="18"/>
  <c r="T55" i="18"/>
  <c r="T56" i="18"/>
  <c r="T57" i="18"/>
  <c r="T58" i="18"/>
  <c r="T59" i="18"/>
  <c r="AA59" i="18" s="1"/>
  <c r="T60" i="18"/>
  <c r="T61" i="18"/>
  <c r="T62" i="18"/>
  <c r="T63" i="18"/>
  <c r="T64" i="18"/>
  <c r="T65" i="18"/>
  <c r="T66" i="18"/>
  <c r="T67" i="18"/>
  <c r="T68" i="18"/>
  <c r="T69" i="18"/>
  <c r="T70" i="18"/>
  <c r="T71" i="18"/>
  <c r="T72" i="18"/>
  <c r="T73" i="18"/>
  <c r="T74" i="18"/>
  <c r="T75" i="18"/>
  <c r="T76" i="18"/>
  <c r="T77" i="18"/>
  <c r="T78" i="18"/>
  <c r="T79" i="18"/>
  <c r="T80" i="18"/>
  <c r="AA80" i="18" s="1"/>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1501" i="18" s="1"/>
  <c r="A1502" i="18" s="1"/>
  <c r="A1503" i="18" s="1"/>
  <c r="A1504" i="18" s="1"/>
  <c r="A1505" i="18" s="1"/>
  <c r="A1506" i="18" s="1"/>
  <c r="A1507" i="18" s="1"/>
  <c r="A1508" i="18" s="1"/>
  <c r="A1509" i="18" s="1"/>
  <c r="A1510" i="18" s="1"/>
  <c r="A1511" i="18" s="1"/>
  <c r="A1512" i="18" s="1"/>
  <c r="A1513" i="18" s="1"/>
  <c r="A1514" i="18" s="1"/>
  <c r="A1515" i="18" s="1"/>
  <c r="A1516" i="18" s="1"/>
  <c r="A1517" i="18" s="1"/>
  <c r="A1518" i="18" s="1"/>
  <c r="A1519" i="18" s="1"/>
  <c r="A1520" i="18" s="1"/>
  <c r="A1521" i="18" s="1"/>
  <c r="A1522" i="18" s="1"/>
  <c r="A1523" i="18" s="1"/>
  <c r="A1524" i="18" s="1"/>
  <c r="A1525" i="18" s="1"/>
  <c r="A1526" i="18" s="1"/>
  <c r="A1527" i="18" s="1"/>
  <c r="A1528" i="18" s="1"/>
  <c r="A1529" i="18" s="1"/>
  <c r="A1530" i="18" s="1"/>
  <c r="A1531" i="18" s="1"/>
  <c r="A1532" i="18" s="1"/>
  <c r="A1533" i="18" s="1"/>
  <c r="A1534" i="18" s="1"/>
  <c r="A1535" i="18" s="1"/>
  <c r="A1536" i="18" s="1"/>
  <c r="A1537" i="18" s="1"/>
  <c r="A1538" i="18" s="1"/>
  <c r="A1539" i="18" s="1"/>
  <c r="A1540" i="18" s="1"/>
  <c r="A1541" i="18" s="1"/>
  <c r="A1542" i="18" s="1"/>
  <c r="T132" i="19" l="1"/>
  <c r="T108" i="19"/>
  <c r="T84" i="19"/>
  <c r="T60" i="19"/>
  <c r="T36" i="19"/>
  <c r="T12" i="19"/>
  <c r="T96" i="19"/>
  <c r="T72" i="19"/>
  <c r="T48" i="19"/>
  <c r="T24" i="19"/>
  <c r="T135" i="19"/>
  <c r="T123" i="19"/>
  <c r="T111" i="19"/>
  <c r="T99" i="19"/>
  <c r="T87" i="19"/>
  <c r="T75" i="19"/>
  <c r="T63" i="19"/>
  <c r="T51" i="19"/>
  <c r="T39" i="19"/>
  <c r="T27" i="19"/>
  <c r="T15" i="19"/>
  <c r="T3" i="19"/>
  <c r="T126" i="19"/>
  <c r="T114" i="19"/>
  <c r="T102" i="19"/>
  <c r="T90" i="19"/>
  <c r="T78" i="19"/>
  <c r="T66" i="19"/>
  <c r="T54" i="19"/>
  <c r="T42" i="19"/>
  <c r="T30" i="19"/>
  <c r="T18" i="19"/>
  <c r="T6" i="19"/>
  <c r="T120" i="19"/>
  <c r="T133" i="19"/>
  <c r="T121" i="19"/>
  <c r="T109" i="19"/>
  <c r="T97" i="19"/>
  <c r="T85" i="19"/>
  <c r="T73" i="19"/>
  <c r="T61" i="19"/>
  <c r="T49" i="19"/>
  <c r="T37" i="19"/>
  <c r="T25" i="19"/>
  <c r="T13" i="19"/>
  <c r="A93" i="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T128" i="19"/>
  <c r="T116" i="19"/>
  <c r="T104" i="19"/>
  <c r="T92" i="19"/>
  <c r="T80" i="19"/>
  <c r="T68" i="19"/>
  <c r="T56" i="19"/>
  <c r="T44" i="19"/>
  <c r="T32" i="19"/>
  <c r="T20" i="19"/>
  <c r="T8" i="19"/>
  <c r="T127" i="19"/>
  <c r="T115" i="19"/>
  <c r="T103" i="19"/>
  <c r="T91" i="19"/>
  <c r="T79" i="19"/>
  <c r="T67" i="19"/>
  <c r="T55" i="19"/>
  <c r="T43" i="19"/>
  <c r="T31" i="19"/>
  <c r="T19" i="19"/>
  <c r="T7" i="19"/>
  <c r="T125" i="19"/>
  <c r="T113" i="19"/>
  <c r="T101" i="19"/>
  <c r="T89" i="19"/>
  <c r="T77" i="19"/>
  <c r="T65" i="19"/>
  <c r="T53" i="19"/>
  <c r="T41" i="19"/>
  <c r="T29" i="19"/>
  <c r="T17" i="19"/>
  <c r="T5" i="19"/>
  <c r="T136" i="19"/>
  <c r="T124" i="19"/>
  <c r="T112" i="19"/>
  <c r="T100" i="19"/>
  <c r="T88" i="19"/>
  <c r="T76" i="19"/>
  <c r="T64" i="19"/>
  <c r="T52" i="19"/>
  <c r="T40" i="19"/>
  <c r="T28" i="19"/>
  <c r="T16" i="19"/>
  <c r="T4" i="19"/>
  <c r="T134" i="19"/>
  <c r="T122" i="19"/>
  <c r="T110" i="19"/>
  <c r="T98" i="19"/>
  <c r="T86" i="19"/>
  <c r="T74" i="19"/>
  <c r="T62" i="19"/>
  <c r="T50" i="19"/>
  <c r="T38" i="19"/>
  <c r="T26" i="19"/>
  <c r="T14" i="19"/>
  <c r="T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8" i="18"/>
  <c r="W68" i="18"/>
  <c r="AA56" i="18"/>
  <c r="W56" i="18"/>
  <c r="AA44" i="18"/>
  <c r="W44"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9" i="18"/>
  <c r="W79" i="18"/>
  <c r="AA67" i="18"/>
  <c r="W67" i="18"/>
  <c r="AA55" i="18"/>
  <c r="W55" i="18"/>
  <c r="AA43" i="18"/>
  <c r="W43"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8" i="18"/>
  <c r="W78" i="18"/>
  <c r="AA66" i="18"/>
  <c r="W66" i="18"/>
  <c r="AA54" i="18"/>
  <c r="W54" i="18"/>
  <c r="AA42" i="18"/>
  <c r="W42"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7" i="18"/>
  <c r="W77" i="18"/>
  <c r="AA65" i="18"/>
  <c r="W65" i="18"/>
  <c r="AA53" i="18"/>
  <c r="W53"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76" i="18"/>
  <c r="W76" i="18"/>
  <c r="AA64" i="18"/>
  <c r="W64" i="18"/>
  <c r="AA52" i="18"/>
  <c r="W52"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7" i="18"/>
  <c r="W87" i="18"/>
  <c r="AA75" i="18"/>
  <c r="W75" i="18"/>
  <c r="AA63" i="18"/>
  <c r="W63" i="18"/>
  <c r="AA51" i="18"/>
  <c r="W51"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6" i="18"/>
  <c r="W86" i="18"/>
  <c r="AA74" i="18"/>
  <c r="W74" i="18"/>
  <c r="AA62" i="18"/>
  <c r="W62" i="18"/>
  <c r="AA50" i="18"/>
  <c r="W50"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80"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5" i="18"/>
  <c r="W85" i="18"/>
  <c r="AA73" i="18"/>
  <c r="W73" i="18"/>
  <c r="AA61" i="18"/>
  <c r="W61" i="18"/>
  <c r="AA49" i="18"/>
  <c r="W49"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9"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4" i="18"/>
  <c r="W84" i="18"/>
  <c r="AA72" i="18"/>
  <c r="W72" i="18"/>
  <c r="AA60" i="18"/>
  <c r="W60" i="18"/>
  <c r="AA48" i="18"/>
  <c r="W48"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3" i="18"/>
  <c r="W83" i="18"/>
  <c r="AA71" i="18"/>
  <c r="W71" i="18"/>
  <c r="AA47" i="18"/>
  <c r="W47"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2" i="18"/>
  <c r="W82" i="18"/>
  <c r="AA70" i="18"/>
  <c r="W70" i="18"/>
  <c r="AA58" i="18"/>
  <c r="W58" i="18"/>
  <c r="AA46" i="18"/>
  <c r="W46"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1" i="18"/>
  <c r="W81" i="18"/>
  <c r="AA69" i="18"/>
  <c r="W69" i="18"/>
  <c r="AA57" i="18"/>
  <c r="W57" i="18"/>
  <c r="AA45" i="18"/>
  <c r="W45"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A99" i="1" l="1"/>
  <c r="D98" i="1"/>
  <c r="E98" i="1"/>
  <c r="B98" i="1"/>
  <c r="C98" i="1"/>
  <c r="BN79" i="1"/>
  <c r="BN78" i="1"/>
  <c r="B77" i="1"/>
  <c r="C77" i="1"/>
  <c r="D77" i="1"/>
  <c r="E77" i="1"/>
  <c r="BF77" i="1"/>
  <c r="BM77" i="1" s="1"/>
  <c r="BG77" i="1"/>
  <c r="BL77" i="1"/>
  <c r="A100" i="1" l="1"/>
  <c r="E99" i="1"/>
  <c r="B99" i="1"/>
  <c r="C99" i="1"/>
  <c r="D99" i="1"/>
  <c r="BN77" i="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A101" i="1" l="1"/>
  <c r="D100" i="1"/>
  <c r="E100" i="1"/>
  <c r="B100" i="1"/>
  <c r="C100" i="1"/>
  <c r="BN76" i="1"/>
  <c r="BM75" i="1"/>
  <c r="BM74" i="1"/>
  <c r="BM73" i="1"/>
  <c r="BN72" i="1"/>
  <c r="A102" i="1" l="1"/>
  <c r="A103" i="1" s="1"/>
  <c r="C101" i="1"/>
  <c r="B101" i="1"/>
  <c r="D101" i="1"/>
  <c r="E101" i="1"/>
  <c r="B71" i="1"/>
  <c r="C71" i="1"/>
  <c r="D71" i="1"/>
  <c r="E71" i="1"/>
  <c r="BF71" i="1"/>
  <c r="BM71" i="1" s="1"/>
  <c r="BG71" i="1"/>
  <c r="BL71" i="1"/>
  <c r="B70" i="1"/>
  <c r="C70" i="1"/>
  <c r="D70" i="1"/>
  <c r="E70" i="1"/>
  <c r="BF70" i="1"/>
  <c r="BM70" i="1" s="1"/>
  <c r="BG70" i="1"/>
  <c r="BL70" i="1"/>
  <c r="A104" i="1" l="1"/>
  <c r="C103" i="1"/>
  <c r="B103" i="1"/>
  <c r="D103" i="1"/>
  <c r="E103" i="1"/>
  <c r="C102" i="1"/>
  <c r="E102" i="1"/>
  <c r="D102" i="1"/>
  <c r="B102" i="1"/>
  <c r="BN71" i="1"/>
  <c r="BN70" i="1"/>
  <c r="B69" i="1"/>
  <c r="C69" i="1"/>
  <c r="D69" i="1"/>
  <c r="E69" i="1"/>
  <c r="BF69" i="1"/>
  <c r="BM69" i="1" s="1"/>
  <c r="BG69" i="1"/>
  <c r="BL69" i="1"/>
  <c r="A105" i="1" l="1"/>
  <c r="B104" i="1"/>
  <c r="C104" i="1"/>
  <c r="D104" i="1"/>
  <c r="E104" i="1"/>
  <c r="BN69" i="1"/>
  <c r="A106" i="1" l="1"/>
  <c r="B105" i="1"/>
  <c r="C105" i="1"/>
  <c r="E105" i="1"/>
  <c r="D105" i="1"/>
  <c r="B68" i="1"/>
  <c r="C68" i="1"/>
  <c r="D68" i="1"/>
  <c r="E68" i="1"/>
  <c r="BF68" i="1"/>
  <c r="BN68" i="1" s="1"/>
  <c r="BG68" i="1"/>
  <c r="BL68" i="1"/>
  <c r="A107" i="1" l="1"/>
  <c r="B106" i="1"/>
  <c r="E106" i="1"/>
  <c r="C106" i="1"/>
  <c r="D106" i="1"/>
  <c r="BM68" i="1"/>
  <c r="B67" i="1"/>
  <c r="C67" i="1"/>
  <c r="D67" i="1"/>
  <c r="E67" i="1"/>
  <c r="BF67" i="1"/>
  <c r="BM67" i="1" s="1"/>
  <c r="BG67" i="1"/>
  <c r="BL67" i="1"/>
  <c r="C107" i="1" l="1"/>
  <c r="D107" i="1"/>
  <c r="E107" i="1"/>
  <c r="A108" i="1"/>
  <c r="B107" i="1"/>
  <c r="BN67" i="1"/>
  <c r="C108" i="1" l="1"/>
  <c r="D108" i="1"/>
  <c r="E108" i="1"/>
  <c r="A109" i="1"/>
  <c r="B108" i="1"/>
  <c r="B66" i="1"/>
  <c r="C66" i="1"/>
  <c r="D66" i="1"/>
  <c r="E66" i="1"/>
  <c r="BF66" i="1"/>
  <c r="BM66" i="1" s="1"/>
  <c r="BG66" i="1"/>
  <c r="BL66" i="1"/>
  <c r="B65" i="1"/>
  <c r="C65" i="1"/>
  <c r="D65" i="1"/>
  <c r="E65" i="1"/>
  <c r="BF65" i="1"/>
  <c r="BM65" i="1" s="1"/>
  <c r="BG65" i="1"/>
  <c r="BL65" i="1"/>
  <c r="E109" i="1" l="1"/>
  <c r="B109" i="1"/>
  <c r="C109" i="1"/>
  <c r="A110" i="1"/>
  <c r="A111" i="1" s="1"/>
  <c r="A112" i="1" s="1"/>
  <c r="D109" i="1"/>
  <c r="BN66" i="1"/>
  <c r="BN65" i="1"/>
  <c r="B64" i="1"/>
  <c r="C64" i="1"/>
  <c r="D64" i="1"/>
  <c r="E64" i="1"/>
  <c r="BF64" i="1"/>
  <c r="BM64" i="1" s="1"/>
  <c r="BG64" i="1"/>
  <c r="BL64" i="1"/>
  <c r="B63" i="1"/>
  <c r="C63" i="1"/>
  <c r="D63" i="1"/>
  <c r="E63" i="1"/>
  <c r="BF63" i="1"/>
  <c r="BM63" i="1" s="1"/>
  <c r="BG63" i="1"/>
  <c r="BL63" i="1"/>
  <c r="E111" i="1" l="1"/>
  <c r="C111" i="1"/>
  <c r="D111" i="1"/>
  <c r="B111" i="1"/>
  <c r="B110" i="1"/>
  <c r="C110" i="1"/>
  <c r="D110" i="1"/>
  <c r="E110" i="1"/>
  <c r="BN64" i="1"/>
  <c r="BN63" i="1"/>
  <c r="B62" i="1"/>
  <c r="C62" i="1"/>
  <c r="D62" i="1"/>
  <c r="E62" i="1"/>
  <c r="BF62" i="1"/>
  <c r="BN62" i="1" s="1"/>
  <c r="BG62" i="1"/>
  <c r="BL62" i="1"/>
  <c r="BM62" i="1" l="1"/>
  <c r="B61" i="1" l="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V10" i="19" s="1"/>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V4" i="19" s="1"/>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V113" i="19" s="1"/>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V34" i="19" s="1"/>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V145" i="19" s="1"/>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V71" i="19" s="1"/>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V72" i="19" s="1"/>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V140" i="19" s="1"/>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V3" i="19" s="1"/>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V2" i="19" s="1"/>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V96" i="19" s="1"/>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V128" i="19" s="1"/>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V56" i="19" s="1"/>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V153" i="19" l="1"/>
  <c r="V150" i="19"/>
  <c r="V151" i="19"/>
  <c r="V152" i="19"/>
  <c r="V149" i="19"/>
  <c r="V146" i="19"/>
  <c r="V148" i="19"/>
  <c r="V147" i="19"/>
  <c r="V122" i="19"/>
  <c r="V114" i="19"/>
  <c r="V117" i="19"/>
  <c r="V119" i="19"/>
  <c r="V120" i="19"/>
  <c r="V123" i="19"/>
  <c r="V124" i="19"/>
  <c r="V125" i="19"/>
  <c r="V121" i="19"/>
  <c r="V115" i="19"/>
  <c r="V116" i="19"/>
  <c r="V118" i="19"/>
  <c r="V134" i="19"/>
  <c r="V133" i="19"/>
  <c r="V135" i="19"/>
  <c r="V136" i="19"/>
  <c r="V131" i="19"/>
  <c r="V132" i="19"/>
  <c r="V22" i="19"/>
  <c r="V19" i="19"/>
  <c r="V20" i="19"/>
  <c r="V21" i="19"/>
  <c r="V26" i="19"/>
  <c r="V27" i="19"/>
  <c r="V28" i="19"/>
  <c r="V25" i="19"/>
  <c r="V58" i="19"/>
  <c r="V59" i="19"/>
  <c r="V57" i="19"/>
  <c r="V110" i="19"/>
  <c r="V106" i="19"/>
  <c r="V107" i="19"/>
  <c r="V108" i="19"/>
  <c r="V109" i="19"/>
  <c r="V14" i="19"/>
  <c r="V11" i="19"/>
  <c r="V13" i="19"/>
  <c r="V15" i="19"/>
  <c r="V16" i="19"/>
  <c r="V17" i="19"/>
  <c r="V18" i="19"/>
  <c r="V12" i="19"/>
  <c r="V54" i="19"/>
  <c r="V55" i="19"/>
  <c r="V98" i="19"/>
  <c r="V99" i="19"/>
  <c r="V100" i="19"/>
  <c r="V101" i="19"/>
  <c r="V102" i="19"/>
  <c r="V105" i="19"/>
  <c r="V97" i="19"/>
  <c r="V103" i="19"/>
  <c r="V104" i="19"/>
  <c r="V47" i="19"/>
  <c r="V49" i="19"/>
  <c r="V46" i="19"/>
  <c r="V43" i="19"/>
  <c r="V44" i="19"/>
  <c r="V45" i="19"/>
  <c r="V48" i="19"/>
  <c r="V62" i="19"/>
  <c r="V63" i="19"/>
  <c r="V60" i="19"/>
  <c r="V61" i="19"/>
  <c r="V5" i="19"/>
  <c r="V6" i="19"/>
  <c r="V7" i="19"/>
  <c r="V142" i="19"/>
  <c r="V141" i="19"/>
  <c r="V74" i="19"/>
  <c r="V73" i="19"/>
  <c r="V23" i="19"/>
  <c r="V24" i="19"/>
  <c r="V126" i="19"/>
  <c r="V127" i="19"/>
  <c r="V8" i="19"/>
  <c r="V9" i="19"/>
  <c r="V86" i="19"/>
  <c r="V94" i="19"/>
  <c r="V83" i="19"/>
  <c r="V85" i="19"/>
  <c r="V87" i="19"/>
  <c r="V88" i="19"/>
  <c r="V89" i="19"/>
  <c r="V78" i="19"/>
  <c r="V90" i="19"/>
  <c r="V81" i="19"/>
  <c r="V95" i="19"/>
  <c r="V79" i="19"/>
  <c r="V91" i="19"/>
  <c r="V80" i="19"/>
  <c r="V92" i="19"/>
  <c r="V93" i="19"/>
  <c r="V82" i="19"/>
  <c r="V84" i="19"/>
  <c r="V111" i="19"/>
  <c r="V112" i="19"/>
  <c r="V50" i="19"/>
  <c r="V51" i="19"/>
  <c r="V52" i="19"/>
  <c r="V53" i="19"/>
  <c r="V64" i="19"/>
  <c r="V65" i="19"/>
  <c r="V66" i="19"/>
  <c r="V69" i="19"/>
  <c r="V70" i="19"/>
  <c r="V67" i="19"/>
  <c r="V68" i="19"/>
  <c r="V38" i="19"/>
  <c r="V36" i="19"/>
  <c r="V39" i="19"/>
  <c r="V40" i="19"/>
  <c r="V41" i="19"/>
  <c r="V42" i="19"/>
  <c r="V37" i="19"/>
  <c r="V35" i="19"/>
  <c r="V75" i="19"/>
  <c r="V76" i="19"/>
  <c r="V77" i="19"/>
  <c r="V129" i="19"/>
  <c r="V130" i="19"/>
  <c r="V29" i="19"/>
  <c r="V30" i="19"/>
  <c r="V31" i="19"/>
  <c r="V32" i="19"/>
  <c r="V33" i="19"/>
  <c r="V138" i="19"/>
  <c r="V137" i="19"/>
  <c r="V139" i="19"/>
  <c r="W26" i="14"/>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<sst xmlns="http://schemas.openxmlformats.org/spreadsheetml/2006/main" count="16939" uniqueCount="2097">
  <si>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</si>
  <si>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</si>
  <si>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</si>
  <si>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</si>
  <si>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</si>
  <si>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</si>
  <si>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</si>
  <si>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</si>
  <si>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</si>
  <si>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</si>
  <si>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</si>
  <si>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</si>
  <si>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</si>
  <si>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</si>
  <si>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</si>
  <si>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</si>
  <si>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</si>
  <si>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</si>
  <si>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</si>
  <si>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</si>
  <si>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</si>
  <si>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</si>
  <si>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</si>
  <si>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</si>
  <si>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</si>
  <si>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</si>
  <si>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</si>
  <si>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</si>
  <si>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</si>
  <si>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</si>
  <si>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</si>
  <si>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</si>
  <si>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</si>
  <si>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</si>
  <si>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</si>
  <si>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</si>
  <si>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</si>
  <si>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</si>
  <si>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</si>
  <si>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</si>
  <si>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</si>
  <si>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</si>
  <si>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</si>
  <si>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</si>
  <si>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</si>
  <si>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</si>
  <si>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</si>
  <si>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</si>
  <si>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</si>
  <si>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</si>
  <si>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</si>
  <si>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</si>
  <si>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</si>
  <si>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</si>
  <si>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</si>
  <si>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</si>
  <si>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</si>
  <si>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</si>
  <si>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</si>
  <si>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</si>
  <si>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</si>
  <si>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</si>
  <si>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</si>
  <si>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</si>
  <si>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TGPXIIPL Performance Summary (MTD)</t>
  </si>
  <si>
    <t>Target IGA (%)</t>
  </si>
  <si>
    <t>WTG Total (MWh)</t>
  </si>
  <si>
    <t>Line Losses(%)</t>
  </si>
  <si>
    <t>E_WS_Corrected</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</si>
  <si>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</si>
  <si>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</si>
  <si>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</si>
  <si>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</si>
  <si>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</si>
  <si>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</si>
  <si>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</si>
  <si>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</si>
  <si>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</si>
  <si>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</si>
  <si>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</si>
  <si>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</si>
  <si>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</si>
  <si>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</si>
  <si>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</si>
  <si>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</si>
  <si>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</si>
  <si>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</si>
  <si>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</si>
  <si>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</si>
  <si>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</si>
  <si>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</si>
  <si>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</si>
  <si>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</si>
  <si>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</si>
  <si>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</si>
  <si>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</si>
  <si>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</si>
  <si>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</si>
  <si>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</si>
  <si>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</si>
  <si>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</si>
  <si>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</si>
  <si>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</si>
  <si>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</si>
  <si>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</si>
  <si>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</si>
  <si>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</si>
  <si>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</si>
  <si>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</si>
  <si>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</si>
  <si>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</si>
  <si>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</si>
  <si>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</si>
  <si>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</si>
  <si>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</si>
  <si>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</si>
  <si>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</si>
  <si>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</si>
  <si>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</si>
  <si>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</si>
  <si>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</si>
  <si>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</si>
  <si>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</si>
  <si>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</si>
  <si>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</si>
  <si>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</si>
  <si>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</si>
  <si>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</si>
  <si>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</si>
  <si>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</si>
  <si>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</si>
  <si>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</si>
  <si>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</si>
  <si>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</si>
  <si>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</si>
  <si>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</si>
  <si>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</si>
  <si>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</si>
  <si>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</si>
  <si>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</si>
  <si>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</si>
  <si>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</si>
  <si>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</si>
  <si>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</si>
  <si>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</si>
  <si>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</si>
  <si>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</si>
  <si>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</si>
  <si>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</si>
  <si>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</si>
  <si>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</si>
  <si>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</si>
  <si>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</si>
  <si>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</si>
  <si>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</si>
  <si>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</si>
  <si>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</si>
  <si>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</si>
  <si>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</si>
  <si>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</si>
  <si>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</si>
  <si>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</si>
  <si>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</si>
  <si>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</si>
  <si>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</si>
  <si>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</si>
  <si>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</si>
  <si>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</si>
  <si>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</si>
  <si>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</si>
  <si>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</si>
  <si>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</si>
  <si>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</si>
  <si>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</si>
  <si>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</si>
  <si>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</si>
  <si>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</si>
  <si>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</si>
  <si>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</si>
  <si>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</si>
  <si>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</si>
  <si>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</si>
  <si>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</si>
  <si>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</si>
  <si>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</si>
  <si>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</si>
  <si>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</si>
  <si>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</si>
  <si>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</si>
  <si>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</si>
  <si>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</si>
  <si>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</si>
  <si>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</si>
  <si>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</si>
  <si>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</si>
  <si>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</si>
  <si>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</si>
  <si>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</si>
  <si>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</si>
  <si>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</si>
  <si>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</si>
  <si>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</si>
  <si>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</si>
  <si>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</si>
  <si>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Bugt Capacity</t>
  </si>
  <si>
    <t>CC*Bugt</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</si>
  <si>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</si>
  <si>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</si>
  <si>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</si>
  <si>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</si>
  <si>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</si>
  <si>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</si>
  <si>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</si>
  <si>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</si>
  <si>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</si>
  <si>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</si>
  <si>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</si>
  <si>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</si>
  <si>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</si>
  <si>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</si>
  <si>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</si>
  <si>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</si>
  <si>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</si>
  <si>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</si>
  <si>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</si>
  <si>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</si>
  <si>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</si>
  <si>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</si>
  <si>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</si>
  <si>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</si>
  <si>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</si>
  <si>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</si>
  <si>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</si>
  <si>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</si>
  <si>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</si>
  <si>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</si>
  <si>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</si>
  <si>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</si>
  <si>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</si>
  <si>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</si>
  <si>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</si>
  <si>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</si>
  <si>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</si>
  <si>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</si>
  <si>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</si>
  <si>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</si>
  <si>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</si>
  <si>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</si>
  <si>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</si>
  <si>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</si>
  <si>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</si>
  <si>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</si>
  <si>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</si>
  <si>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</si>
  <si>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</si>
  <si>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</si>
  <si>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</si>
  <si>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</si>
  <si>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</si>
  <si>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</si>
  <si>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</si>
  <si>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</si>
  <si>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</si>
  <si>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</si>
  <si>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</si>
  <si>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</si>
  <si>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</si>
  <si>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</si>
  <si>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</si>
  <si>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</si>
  <si>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</si>
  <si>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</si>
  <si>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</si>
  <si>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</si>
  <si>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</si>
  <si>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</si>
  <si>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</si>
  <si>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</si>
  <si>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</si>
  <si>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</si>
  <si>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</si>
  <si>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</si>
  <si>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</si>
  <si>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</si>
  <si>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Fault Category</t>
  </si>
  <si>
    <t>PTW No.</t>
  </si>
  <si>
    <t>Job Card No.</t>
  </si>
  <si>
    <t>CE100001</t>
  </si>
  <si>
    <t>Project pending work</t>
  </si>
  <si>
    <t>Open</t>
  </si>
  <si>
    <t>WTG Breakdown Maintenance</t>
  </si>
  <si>
    <t xml:space="preserve">Break down </t>
  </si>
  <si>
    <t xml:space="preserve">Auto reset </t>
  </si>
  <si>
    <t>Close</t>
  </si>
  <si>
    <t>WTG Unscheduled Maintenance</t>
  </si>
  <si>
    <t xml:space="preserve">Major BD </t>
  </si>
  <si>
    <t xml:space="preserve">Ladder issue </t>
  </si>
  <si>
    <t>ROW issue</t>
  </si>
  <si>
    <t>Connectivity issue</t>
  </si>
  <si>
    <t>Wind.dir. diff. level 2</t>
  </si>
  <si>
    <t>auto reset</t>
  </si>
  <si>
    <t xml:space="preserve">Road issue </t>
  </si>
  <si>
    <t>TQGXIIPL</t>
  </si>
  <si>
    <t>GEDA</t>
  </si>
  <si>
    <t>Schedule WTG PM</t>
  </si>
  <si>
    <t>WTG Scheduled Maintenance</t>
  </si>
  <si>
    <t>Grid loss</t>
  </si>
  <si>
    <t>Environment</t>
  </si>
  <si>
    <t>Others</t>
  </si>
  <si>
    <t>O2-09</t>
  </si>
  <si>
    <t>O2-07</t>
  </si>
  <si>
    <t>O2-18</t>
  </si>
  <si>
    <t>O2-15</t>
  </si>
  <si>
    <t>O2-11</t>
  </si>
  <si>
    <t>O2-24</t>
  </si>
  <si>
    <t>O2-01</t>
  </si>
  <si>
    <t>O2-25</t>
  </si>
  <si>
    <t>O2-04</t>
  </si>
  <si>
    <t>O2-05</t>
  </si>
  <si>
    <t>O2-06</t>
  </si>
  <si>
    <t>O2-20</t>
  </si>
  <si>
    <t>O2-26</t>
  </si>
  <si>
    <t>O2-14</t>
  </si>
  <si>
    <t>O2-10</t>
  </si>
  <si>
    <t>Configuration error</t>
  </si>
  <si>
    <t>O2-21</t>
  </si>
  <si>
    <t>O2-13</t>
  </si>
  <si>
    <t>O2-12</t>
  </si>
  <si>
    <t>WTR</t>
  </si>
  <si>
    <t>Blade cleaning work</t>
  </si>
  <si>
    <t xml:space="preserve">Load Shedding </t>
  </si>
  <si>
    <t>O2-16</t>
  </si>
  <si>
    <t>O2-03</t>
  </si>
  <si>
    <t>O2-02</t>
  </si>
  <si>
    <t>O2-08</t>
  </si>
  <si>
    <t>open</t>
  </si>
  <si>
    <t>Auto reset</t>
  </si>
  <si>
    <t xml:space="preserve">WTG Manual stop for load shedding due to feeder-01 overloading issue </t>
  </si>
  <si>
    <t>OPEN</t>
  </si>
  <si>
    <t>O2-22</t>
  </si>
  <si>
    <t>O2-23</t>
  </si>
  <si>
    <t>After Grid charge RFO signal coming than Start WTG.</t>
  </si>
  <si>
    <t>O2-17</t>
  </si>
  <si>
    <t>Checked related error data log then reset &amp; start WTG.</t>
  </si>
  <si>
    <t>Checked related error data log then  reset &amp; start WTG.</t>
  </si>
  <si>
    <t>After grid Resume time Converter RFO Single  Note so after so and Reset and start wtg</t>
  </si>
  <si>
    <t>Auto Reset</t>
  </si>
  <si>
    <t>WTG stop for Customer Audit work.</t>
  </si>
  <si>
    <t>Attend and check error related ckt than clean rotor Brake pad and also check brake pad thickness and rotor brake pad temp.sensor connection check found ok than reset and start WTG.</t>
  </si>
  <si>
    <t>Checked related error data log then reset &amp; started WTG.</t>
  </si>
  <si>
    <t>Attend and check error related ckt than found Yaw MPCB Feedback connection loose so tight it than reset and started WTG.</t>
  </si>
  <si>
    <t>WTG stop for YPM day-1 activity complate than started WTG.</t>
  </si>
  <si>
    <t>Check Event log and check Data log after Reset and started  wtg</t>
  </si>
  <si>
    <t>Check  Event and check Converter Data log after Reset and started wtg</t>
  </si>
  <si>
    <t>check event log after check voltage and current data after so ok then reset and started wtg.</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</si>
  <si>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</si>
  <si>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</si>
  <si>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</si>
  <si>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Attend and wtg check MPCB Check Motor and check all connection so found MPCB Connection loose after  then all connection tight after tack  trail all  candion ok then reset and started wtg.</t>
  </si>
  <si>
    <t>Check Data log and all Perameter check and Nacell angle check and check Angle of twist after Removed cable twist after trail so ok then started wtg.</t>
  </si>
  <si>
    <t>check Data log and converter Data check after so ok then reset and started wtg.</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</si>
  <si>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</si>
  <si>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</si>
  <si>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</si>
  <si>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Attend and wtg check Hydraulic unit valve and check pressure and check all valv after replace 9.1 valv and top up hydraulic oil  wtg working pogress</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</si>
  <si>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</si>
  <si>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Check Data log and check hydraulic pressure check by sam and apply Manually oil flushing after Manual Yawing CW Check pressure ok after reset and started WTG.</t>
  </si>
  <si>
    <t>Wtg Manual Stop for slip ring inspection work after reset and started wtg</t>
  </si>
  <si>
    <t>Check event log and check converter Data after trail so ok then reset and started wtg</t>
  </si>
  <si>
    <t>Check Event log and Converter Data check after SO FOUND  coolant Temp High after Temp Normal and started wtg</t>
  </si>
  <si>
    <t>Check Event LOG And Hub Event check after Reboot and trail so ok then reset and started wtg</t>
  </si>
  <si>
    <t>Check event log and check hydraulic  pressure after flushing mode on after check and trail so ok then reset and start wtg.</t>
  </si>
  <si>
    <t>After grid resume time error occurred check event log then reset and started wtg.</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</si>
  <si>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</si>
  <si>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</si>
  <si>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</si>
  <si>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</si>
  <si>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</si>
  <si>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</si>
  <si>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</si>
  <si>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</si>
  <si>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</si>
  <si>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</si>
  <si>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O2-19</t>
  </si>
  <si>
    <t>Attend And check related circuit found MPCB Trip so we check motor winding connection and found Motor Bearing  jam after arrange motor and replace Motor than started WTG.</t>
  </si>
  <si>
    <t>Attend and check error related ckt than found Slipring cable short with the Ground than we use temparory Earthing cable for restore the Turbine and plan for the further rectification work in day Shift.</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</si>
  <si>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</si>
  <si>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</si>
  <si>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</si>
  <si>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</si>
  <si>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</si>
  <si>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Attend and check ckt than found FA01 Surge arrestor feedback connection loose so tight it than started Turbine.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</si>
  <si>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</si>
  <si>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</si>
  <si>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</si>
  <si>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</si>
  <si>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</si>
  <si>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</si>
  <si>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</si>
  <si>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</si>
  <si>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</si>
  <si>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</si>
  <si>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</si>
  <si>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</si>
  <si>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</si>
  <si>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</si>
  <si>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</si>
  <si>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</si>
  <si>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</si>
  <si>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</si>
  <si>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</si>
  <si>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</si>
  <si>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</si>
  <si>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</si>
  <si>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</si>
  <si>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</si>
  <si>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</si>
  <si>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</si>
  <si>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</si>
  <si>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</si>
  <si>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</si>
  <si>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</si>
  <si>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</si>
  <si>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</si>
  <si>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</si>
  <si>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</si>
  <si>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</si>
  <si>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</si>
  <si>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</si>
  <si>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</si>
  <si>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</si>
  <si>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</si>
  <si>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</si>
  <si>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</si>
  <si>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</si>
  <si>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</si>
  <si>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</si>
  <si>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</si>
  <si>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</si>
  <si>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</si>
  <si>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</si>
  <si>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</si>
  <si>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</si>
  <si>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 xml:space="preserve">Affected Feeder </t>
  </si>
  <si>
    <t>Scope</t>
  </si>
  <si>
    <t>Loss of KWH</t>
  </si>
  <si>
    <t>Year_1</t>
  </si>
  <si>
    <t>Wind_F1</t>
  </si>
  <si>
    <t>IG Unscheduled Maintenance</t>
  </si>
  <si>
    <t>O2 Project</t>
  </si>
  <si>
    <t>IG Breakdown Maintenance</t>
  </si>
  <si>
    <t>Wind_F2</t>
  </si>
  <si>
    <t>Feeder-1 Tripped in Earth fault</t>
  </si>
  <si>
    <t>O2-22 WTG Shutdown</t>
  </si>
  <si>
    <t>Feeder-2 tripped in Earth fault after take a trial then charge it.</t>
  </si>
  <si>
    <t>Feeder-1 Tripped in over current.</t>
  </si>
  <si>
    <t>O2-07 Grid loss</t>
  </si>
  <si>
    <t>O2_04 Grid Loss</t>
  </si>
  <si>
    <t>O2_19 Grid Loss</t>
  </si>
  <si>
    <t>O2_07 Grid Loss</t>
  </si>
  <si>
    <t>O2_13 Grid Loss</t>
  </si>
  <si>
    <t>WTG shut down</t>
  </si>
  <si>
    <t>Voltage asymmetry</t>
  </si>
  <si>
    <t>After grid resume found VCB tripped  so VCB Charge after reset and start wtg</t>
  </si>
  <si>
    <t>O2-08 Grid loss</t>
  </si>
  <si>
    <t>O2-04 Grid loss</t>
  </si>
  <si>
    <t>O2-19 Grid loss</t>
  </si>
  <si>
    <t>O2_22 Grid Loss</t>
  </si>
  <si>
    <t>Feeder-1 shutdown</t>
  </si>
  <si>
    <t>Feeder-2 shutdown</t>
  </si>
  <si>
    <t>O2-10 Manual stop (WTG Manual stop for USS Yard transformer oil  leakage arrests work)</t>
  </si>
  <si>
    <t>WTG Manual stop for USS Yard Transformer Oil Leakage Arrests work</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</si>
  <si>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</si>
  <si>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</si>
  <si>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 in Over Current &amp; earth fault/master relay trip</t>
  </si>
  <si>
    <t>Converter torque monitor level 1(grid voltage down)</t>
  </si>
  <si>
    <t>Checked related error data log and found grid voltage down so check by BOP team ,grid volage is normalise then reset &amp; started WTG.</t>
  </si>
  <si>
    <t>Line1</t>
  </si>
  <si>
    <t>Manual shutdown</t>
  </si>
  <si>
    <t>66Kv Line shutdown taking By GETCO team from Getco end 66KV line Strengthening work.</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</si>
  <si>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</si>
  <si>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</si>
  <si>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</si>
  <si>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</si>
  <si>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</si>
  <si>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</si>
  <si>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</si>
  <si>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</si>
  <si>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</si>
  <si>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</si>
  <si>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</si>
  <si>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</si>
  <si>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</si>
  <si>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</si>
  <si>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</si>
  <si>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</si>
  <si>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</si>
  <si>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</si>
  <si>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</si>
  <si>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</si>
  <si>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</si>
  <si>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Consumer</t>
  </si>
  <si>
    <t>% Plant Equiva. Weightage</t>
  </si>
  <si>
    <t>Feeder</t>
  </si>
  <si>
    <t>TX</t>
  </si>
  <si>
    <t>MY</t>
  </si>
  <si>
    <t>System OK</t>
  </si>
  <si>
    <t>Info</t>
  </si>
  <si>
    <t>TX1</t>
  </si>
  <si>
    <t>WTG</t>
  </si>
  <si>
    <t>IG</t>
  </si>
  <si>
    <t>EG</t>
  </si>
  <si>
    <t>Negative power, too little wind</t>
  </si>
  <si>
    <t>Awaiting wind</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</si>
  <si>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</si>
  <si>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</si>
  <si>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</si>
  <si>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</si>
  <si>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</si>
  <si>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</si>
  <si>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</si>
  <si>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</si>
  <si>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</si>
  <si>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 xml:space="preserve">WTG Environmental </t>
  </si>
  <si>
    <t>Manual stop - remote</t>
  </si>
  <si>
    <t>Stop via communica.</t>
  </si>
  <si>
    <t>WTG Force Majeure</t>
  </si>
  <si>
    <t>Manual stop without login</t>
  </si>
  <si>
    <t>X</t>
  </si>
  <si>
    <t>WTG stop</t>
  </si>
  <si>
    <t>Wind sector stop</t>
  </si>
  <si>
    <t>Limiting wind speed exceeded</t>
  </si>
  <si>
    <t>Max. wind dir. deviation high wind sp.</t>
  </si>
  <si>
    <t>Error</t>
  </si>
  <si>
    <t>Nacelle</t>
  </si>
  <si>
    <t>Max. windspeed BP50</t>
  </si>
  <si>
    <t>Night operation</t>
  </si>
  <si>
    <t>Wind dir.dev. level 1</t>
  </si>
  <si>
    <t>WTG shutdown - pitch angle &amp; stormp. Ignored</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</si>
  <si>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</si>
  <si>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</si>
  <si>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</si>
  <si>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</si>
  <si>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</si>
  <si>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</si>
  <si>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</si>
  <si>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</si>
  <si>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</si>
  <si>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</si>
  <si>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</si>
  <si>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</si>
  <si>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</si>
  <si>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</si>
  <si>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</si>
  <si>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</si>
  <si>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</si>
  <si>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</si>
  <si>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</si>
  <si>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</si>
  <si>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</si>
  <si>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</si>
  <si>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</si>
  <si>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</si>
  <si>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</si>
  <si>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</si>
  <si>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</si>
  <si>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</si>
  <si>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</si>
  <si>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</si>
  <si>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</si>
  <si>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</si>
  <si>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</si>
  <si>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</si>
  <si>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</si>
  <si>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</si>
  <si>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</si>
  <si>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</si>
  <si>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</si>
  <si>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</si>
  <si>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</si>
  <si>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</si>
  <si>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</si>
  <si>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</si>
  <si>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</si>
  <si>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</si>
  <si>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</si>
  <si>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</si>
  <si>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</si>
  <si>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</si>
  <si>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</si>
  <si>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</si>
  <si>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</si>
  <si>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</si>
  <si>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</si>
  <si>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</si>
  <si>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</si>
  <si>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</si>
  <si>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</si>
  <si>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</si>
  <si>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</si>
  <si>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</si>
  <si>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</si>
  <si>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</si>
  <si>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</si>
  <si>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</si>
  <si>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</si>
  <si>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</si>
  <si>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</si>
  <si>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</si>
  <si>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</si>
  <si>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</si>
  <si>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</si>
  <si>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</si>
  <si>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</si>
  <si>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</si>
  <si>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</si>
  <si>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</si>
  <si>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</si>
  <si>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</si>
  <si>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</si>
  <si>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</si>
  <si>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</si>
  <si>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</si>
  <si>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</si>
  <si>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</si>
  <si>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</si>
  <si>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</si>
  <si>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</si>
  <si>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</si>
  <si>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</si>
  <si>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</si>
  <si>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</si>
  <si>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</si>
  <si>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</si>
  <si>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</si>
  <si>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</si>
  <si>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</si>
  <si>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</si>
  <si>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</si>
  <si>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</si>
  <si>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</si>
  <si>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</si>
  <si>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</si>
  <si>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</si>
  <si>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</si>
  <si>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</si>
  <si>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</si>
  <si>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</si>
  <si>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</si>
  <si>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</si>
  <si>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</si>
  <si>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</si>
  <si>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</si>
  <si>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</si>
  <si>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</si>
  <si>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</si>
  <si>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</si>
  <si>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</si>
  <si>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</si>
  <si>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</si>
  <si>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</si>
  <si>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</si>
  <si>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</si>
  <si>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</si>
  <si>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</si>
  <si>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</si>
  <si>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</si>
  <si>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</si>
  <si>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</si>
  <si>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</si>
  <si>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</si>
  <si>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</si>
  <si>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</si>
  <si>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</si>
  <si>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</si>
  <si>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</si>
  <si>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</si>
  <si>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</si>
  <si>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</si>
  <si>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</si>
  <si>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</si>
  <si>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</si>
  <si>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</si>
  <si>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</si>
  <si>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</si>
  <si>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</si>
  <si>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</si>
  <si>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</si>
  <si>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</si>
  <si>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</si>
  <si>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</si>
  <si>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</si>
  <si>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</si>
  <si>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</si>
  <si>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</si>
  <si>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</si>
  <si>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</si>
  <si>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</si>
  <si>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</si>
  <si>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</si>
  <si>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</si>
  <si>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</si>
  <si>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</si>
  <si>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</si>
  <si>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</si>
  <si>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</si>
  <si>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</si>
  <si>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</si>
  <si>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</si>
  <si>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</si>
  <si>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</si>
  <si>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</si>
  <si>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</si>
  <si>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</si>
  <si>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</si>
  <si>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</si>
  <si>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</si>
  <si>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</si>
  <si>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</si>
  <si>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</si>
  <si>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</si>
  <si>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</si>
  <si>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</si>
  <si>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</si>
  <si>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</si>
  <si>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</si>
  <si>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</si>
  <si>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</si>
  <si>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</si>
  <si>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</si>
  <si>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</si>
  <si>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</si>
  <si>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</si>
  <si>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</si>
  <si>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</si>
  <si>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</si>
  <si>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</si>
  <si>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</si>
  <si>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</si>
  <si>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</si>
  <si>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</si>
  <si>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</si>
  <si>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</si>
  <si>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</si>
  <si>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</si>
  <si>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</si>
  <si>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</si>
  <si>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</si>
  <si>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</si>
  <si>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</si>
  <si>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</si>
  <si>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</si>
  <si>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</si>
  <si>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</si>
  <si>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</si>
  <si>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</si>
  <si>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</si>
  <si>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</si>
  <si>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</si>
  <si>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</si>
  <si>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</si>
  <si>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</si>
  <si>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</si>
  <si>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</si>
  <si>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</si>
  <si>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</si>
  <si>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</si>
  <si>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</si>
  <si>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</si>
  <si>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</si>
  <si>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</si>
  <si>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</si>
  <si>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</si>
  <si>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</si>
  <si>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</si>
  <si>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</si>
  <si>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</si>
  <si>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</si>
  <si>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</si>
  <si>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</si>
  <si>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</si>
  <si>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</si>
  <si>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</si>
  <si>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</si>
  <si>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</si>
  <si>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</si>
  <si>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</si>
  <si>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</si>
  <si>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</si>
  <si>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</si>
  <si>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</si>
  <si>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</si>
  <si>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</si>
  <si>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</si>
  <si>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</si>
  <si>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</si>
  <si>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</si>
  <si>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</si>
  <si>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</si>
  <si>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</si>
  <si>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</si>
  <si>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</si>
  <si>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</si>
  <si>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</si>
  <si>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</si>
  <si>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</si>
  <si>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</si>
  <si>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</si>
  <si>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</si>
  <si>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</si>
  <si>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</si>
  <si>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</si>
  <si>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</si>
  <si>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</si>
  <si>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</si>
  <si>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</si>
  <si>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</si>
  <si>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</si>
  <si>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</si>
  <si>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</si>
  <si>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</si>
  <si>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</si>
  <si>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</si>
  <si>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</si>
  <si>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</si>
  <si>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</si>
  <si>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</si>
  <si>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</si>
  <si>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</si>
  <si>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</si>
  <si>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</si>
  <si>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</si>
  <si>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</si>
  <si>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</si>
  <si>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</si>
  <si>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</si>
  <si>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</si>
  <si>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</si>
  <si>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</si>
  <si>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</si>
  <si>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</si>
  <si>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</si>
  <si>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</si>
  <si>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</si>
  <si>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</si>
  <si>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</si>
  <si>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</si>
  <si>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</si>
  <si>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</si>
  <si>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</si>
  <si>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</si>
  <si>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</si>
  <si>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</si>
  <si>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</si>
  <si>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</si>
  <si>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</si>
  <si>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</si>
  <si>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</si>
  <si>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</si>
  <si>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</si>
  <si>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</si>
  <si>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</si>
  <si>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</si>
  <si>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</si>
  <si>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</si>
  <si>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</si>
  <si>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</si>
  <si>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</si>
  <si>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</si>
  <si>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</si>
  <si>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</si>
  <si>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</si>
  <si>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</si>
  <si>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</si>
  <si>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</si>
  <si>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</si>
  <si>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</si>
  <si>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</si>
  <si>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</si>
  <si>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</si>
  <si>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</si>
  <si>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</si>
  <si>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</si>
  <si>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</si>
  <si>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</si>
  <si>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</si>
  <si>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</si>
  <si>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</si>
  <si>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</si>
  <si>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</si>
  <si>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</si>
  <si>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</si>
  <si>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</si>
  <si>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</si>
  <si>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</si>
  <si>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</si>
  <si>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</si>
  <si>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</si>
  <si>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</si>
  <si>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</si>
  <si>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</si>
  <si>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</si>
  <si>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</si>
  <si>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</si>
  <si>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</si>
  <si>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</si>
  <si>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</si>
  <si>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</si>
  <si>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</si>
  <si>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</si>
  <si>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</si>
  <si>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</si>
  <si>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</si>
  <si>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</si>
  <si>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</si>
  <si>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</si>
  <si>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</si>
  <si>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</si>
  <si>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</si>
  <si>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</si>
  <si>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</si>
  <si>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</si>
  <si>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</si>
  <si>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</si>
  <si>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</si>
  <si>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</si>
  <si>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</si>
  <si>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</si>
  <si>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</si>
  <si>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</si>
  <si>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</si>
  <si>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</si>
  <si>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</si>
  <si>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</si>
  <si>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</si>
  <si>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</si>
  <si>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</si>
  <si>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</si>
  <si>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</si>
  <si>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</si>
  <si>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</si>
  <si>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</si>
  <si>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</si>
  <si>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</si>
  <si>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</si>
  <si>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</si>
  <si>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</si>
  <si>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</si>
  <si>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</si>
  <si>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</si>
  <si>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</si>
  <si>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</si>
  <si>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</si>
  <si>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</si>
  <si>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</si>
  <si>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</si>
  <si>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</si>
  <si>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</si>
  <si>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</si>
  <si>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</si>
  <si>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</si>
  <si>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</si>
  <si>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</si>
  <si>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</si>
  <si>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</si>
  <si>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</si>
  <si>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</si>
  <si>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</si>
  <si>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</si>
  <si>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</si>
  <si>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</si>
  <si>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</si>
  <si>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</si>
  <si>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</si>
  <si>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</si>
  <si>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</si>
  <si>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</si>
  <si>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</si>
  <si>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</si>
  <si>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</si>
  <si>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</si>
  <si>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</si>
  <si>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</si>
  <si>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</si>
  <si>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</si>
  <si>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</si>
  <si>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</si>
  <si>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</si>
  <si>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</si>
  <si>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</si>
  <si>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</si>
  <si>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</si>
  <si>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</si>
  <si>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</si>
  <si>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</si>
  <si>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</si>
  <si>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</si>
  <si>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</si>
  <si>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</si>
  <si>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</si>
  <si>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</si>
  <si>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</si>
  <si>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</si>
  <si>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</si>
  <si>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</si>
  <si>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</si>
  <si>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</si>
  <si>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</si>
  <si>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</si>
  <si>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</si>
  <si>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</si>
  <si>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</si>
  <si>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</si>
  <si>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</si>
  <si>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</si>
  <si>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</si>
  <si>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</si>
  <si>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</si>
  <si>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</si>
  <si>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</si>
  <si>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</si>
  <si>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</si>
  <si>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</si>
  <si>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</si>
  <si>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</si>
  <si>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</si>
  <si>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</si>
  <si>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</si>
  <si>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</si>
  <si>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</si>
  <si>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</si>
  <si>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</si>
  <si>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</si>
  <si>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</si>
  <si>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</si>
  <si>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</si>
  <si>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</si>
  <si>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</si>
  <si>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</si>
  <si>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</si>
  <si>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</si>
  <si>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</si>
  <si>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</si>
  <si>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</si>
  <si>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</si>
  <si>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</si>
  <si>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</si>
  <si>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</si>
  <si>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</si>
  <si>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</si>
  <si>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</si>
  <si>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</si>
  <si>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</si>
  <si>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</si>
  <si>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</si>
  <si>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</si>
  <si>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</si>
  <si>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</si>
  <si>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</si>
  <si>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</si>
  <si>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</si>
  <si>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</si>
  <si>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</si>
  <si>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</si>
  <si>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</si>
  <si>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</si>
  <si>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</si>
  <si>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</si>
  <si>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</si>
  <si>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</si>
  <si>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</si>
  <si>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</si>
  <si>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</si>
  <si>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</si>
  <si>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</si>
  <si>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</si>
  <si>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</si>
  <si>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</si>
  <si>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</si>
  <si>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</si>
  <si>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</si>
  <si>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</si>
  <si>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</si>
  <si>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</si>
  <si>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</si>
  <si>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</si>
  <si>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</si>
  <si>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</si>
  <si>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</si>
  <si>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</si>
  <si>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</si>
  <si>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</si>
  <si>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</si>
  <si>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</si>
  <si>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</si>
  <si>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</si>
  <si>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</si>
  <si>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</si>
  <si>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</si>
  <si>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</si>
  <si>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</si>
  <si>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</si>
  <si>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</si>
  <si>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</si>
  <si>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</si>
  <si>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</si>
  <si>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</si>
  <si>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</si>
  <si>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</si>
  <si>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</si>
  <si>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</si>
  <si>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</si>
  <si>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</si>
  <si>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</si>
  <si>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</si>
  <si>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</si>
  <si>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</si>
  <si>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</si>
  <si>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</si>
  <si>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</si>
  <si>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</si>
  <si>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</si>
  <si>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</si>
  <si>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</si>
  <si>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</si>
  <si>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</si>
  <si>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</si>
  <si>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</si>
  <si>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</si>
  <si>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</si>
  <si>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</si>
  <si>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</si>
  <si>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</si>
  <si>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</si>
  <si>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</si>
  <si>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</si>
  <si>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</si>
  <si>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</si>
  <si>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</si>
  <si>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</si>
  <si>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</si>
  <si>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</si>
  <si>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</si>
  <si>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</si>
  <si>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</si>
  <si>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</si>
  <si>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</si>
  <si>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</si>
  <si>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</si>
  <si>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</si>
  <si>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</si>
  <si>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</si>
  <si>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</si>
  <si>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</si>
  <si>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</si>
  <si>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</si>
  <si>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</si>
  <si>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</si>
  <si>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</si>
  <si>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</si>
  <si>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</si>
  <si>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</si>
  <si>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</si>
  <si>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</si>
  <si>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</si>
  <si>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</si>
  <si>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</si>
  <si>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</si>
  <si>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</si>
  <si>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</si>
  <si>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</si>
  <si>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</si>
  <si>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</si>
  <si>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</si>
  <si>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</si>
  <si>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</si>
  <si>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</si>
  <si>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</si>
  <si>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</si>
  <si>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</si>
  <si>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</si>
  <si>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</si>
  <si>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</si>
  <si>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</si>
  <si>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</si>
  <si>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</si>
  <si>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</si>
  <si>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</si>
  <si>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</si>
  <si>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</si>
  <si>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</si>
  <si>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</si>
  <si>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</si>
  <si>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</si>
  <si>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</si>
  <si>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</si>
  <si>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</si>
  <si>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</si>
  <si>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</si>
  <si>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</si>
  <si>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</si>
  <si>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</si>
  <si>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</si>
  <si>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</si>
  <si>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</si>
  <si>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</si>
  <si>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</si>
  <si>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</si>
  <si>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</si>
  <si>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</si>
  <si>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</si>
  <si>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</si>
  <si>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</si>
  <si>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</si>
  <si>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</si>
  <si>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</si>
  <si>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</si>
  <si>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</si>
  <si>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</si>
  <si>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</si>
  <si>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</si>
  <si>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</si>
  <si>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</si>
  <si>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</si>
  <si>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</si>
  <si>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</si>
  <si>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</si>
  <si>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</si>
  <si>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</si>
  <si>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</si>
  <si>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</si>
  <si>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</si>
  <si>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</si>
  <si>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</si>
  <si>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</si>
  <si>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</si>
  <si>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</si>
  <si>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</si>
  <si>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</si>
  <si>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</si>
  <si>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</si>
  <si>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</si>
  <si>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</si>
  <si>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</si>
  <si>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</si>
  <si>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</si>
  <si>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</si>
  <si>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</si>
  <si>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</si>
  <si>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</si>
  <si>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</si>
  <si>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</si>
  <si>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</si>
  <si>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</si>
  <si>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</si>
  <si>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</si>
  <si>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</si>
  <si>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</si>
  <si>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</si>
  <si>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</si>
  <si>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</si>
  <si>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</si>
  <si>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</si>
  <si>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</si>
  <si>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</si>
  <si>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</si>
  <si>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</si>
  <si>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</si>
  <si>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</si>
  <si>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</si>
  <si>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</si>
  <si>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</si>
  <si>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</si>
  <si>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</si>
  <si>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</si>
  <si>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</si>
  <si>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</si>
  <si>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</si>
  <si>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</si>
  <si>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</si>
  <si>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</si>
  <si>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</si>
  <si>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</si>
  <si>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</si>
  <si>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</si>
  <si>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</si>
  <si>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</si>
  <si>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</si>
  <si>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</si>
  <si>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</si>
  <si>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</si>
  <si>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</si>
  <si>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</si>
  <si>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</si>
  <si>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</si>
  <si>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</si>
  <si>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</si>
  <si>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</si>
  <si>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</si>
  <si>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</si>
  <si>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</si>
  <si>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</si>
  <si>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</si>
  <si>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</si>
  <si>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</si>
  <si>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</si>
  <si>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</si>
  <si>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</si>
  <si>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</si>
  <si>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</si>
  <si>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</si>
  <si>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</si>
  <si>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</si>
  <si>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</si>
  <si>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</si>
  <si>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</si>
  <si>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</si>
  <si>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</si>
  <si>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</si>
  <si>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</si>
  <si>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</si>
  <si>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</si>
  <si>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</si>
  <si>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</si>
  <si>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</si>
  <si>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</si>
  <si>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</si>
  <si>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</si>
  <si>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</si>
  <si>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</si>
  <si>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</si>
  <si>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</si>
  <si>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</si>
  <si>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</si>
  <si>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</si>
  <si>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</si>
  <si>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</si>
  <si>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</si>
  <si>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</si>
  <si>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</si>
  <si>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</si>
  <si>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</si>
  <si>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</si>
  <si>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</si>
  <si>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</si>
  <si>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</si>
  <si>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</si>
  <si>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</si>
  <si>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</si>
  <si>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</si>
  <si>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</si>
  <si>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</si>
  <si>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</si>
  <si>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</si>
  <si>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</si>
  <si>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</si>
  <si>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</si>
  <si>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</si>
  <si>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</si>
  <si>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</si>
  <si>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</si>
  <si>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</si>
  <si>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</si>
  <si>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</si>
  <si>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</si>
  <si>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</si>
  <si>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</si>
  <si>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</si>
  <si>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</si>
  <si>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</si>
  <si>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</si>
  <si>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</si>
  <si>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</si>
  <si>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</si>
  <si>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</si>
  <si>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</si>
  <si>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</si>
  <si>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</si>
  <si>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</si>
  <si>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</si>
  <si>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</si>
  <si>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</si>
  <si>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</si>
  <si>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</si>
  <si>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</si>
  <si>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</si>
  <si>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</si>
  <si>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</si>
  <si>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</si>
  <si>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</si>
  <si>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</si>
  <si>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</si>
  <si>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</si>
  <si>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</si>
  <si>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</si>
  <si>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</si>
  <si>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</si>
  <si>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</si>
  <si>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</si>
  <si>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</si>
  <si>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</si>
  <si>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</si>
  <si>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</si>
  <si>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</si>
  <si>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</si>
  <si>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</si>
  <si>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</si>
  <si>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</si>
  <si>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</si>
  <si>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</si>
  <si>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</si>
  <si>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</si>
  <si>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</si>
  <si>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</si>
  <si>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</si>
  <si>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</si>
  <si>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</si>
  <si>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</si>
  <si>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</si>
  <si>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</si>
  <si>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</si>
  <si>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</si>
  <si>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</si>
  <si>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</si>
  <si>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</si>
  <si>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</si>
  <si>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</si>
  <si>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</si>
  <si>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</si>
  <si>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</si>
  <si>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</si>
  <si>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</si>
  <si>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</si>
  <si>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</si>
  <si>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</si>
  <si>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</si>
  <si>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</si>
  <si>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</si>
  <si>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</si>
  <si>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</si>
  <si>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</si>
  <si>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</si>
  <si>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</si>
  <si>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</si>
  <si>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</si>
  <si>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</si>
  <si>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</si>
  <si>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</si>
  <si>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</si>
  <si>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</si>
  <si>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</si>
  <si>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</si>
  <si>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</si>
  <si>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</si>
  <si>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</si>
  <si>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</si>
  <si>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</si>
  <si>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</si>
  <si>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</si>
  <si>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</si>
  <si>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</si>
  <si>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</si>
  <si>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</si>
  <si>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</si>
  <si>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</si>
  <si>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</si>
  <si>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</si>
  <si>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</si>
  <si>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</si>
  <si>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</si>
  <si>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</si>
  <si>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</si>
  <si>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</si>
  <si>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</si>
  <si>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</si>
  <si>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</si>
  <si>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</si>
  <si>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</si>
  <si>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</si>
  <si>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</si>
  <si>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</si>
  <si>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</si>
  <si>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</si>
  <si>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</si>
  <si>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</si>
  <si>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</si>
  <si>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</si>
  <si>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</si>
  <si>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</si>
  <si>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</si>
  <si>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</si>
  <si>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</si>
  <si>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</si>
  <si>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</si>
  <si>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</si>
  <si>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</si>
  <si>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</si>
  <si>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</si>
  <si>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</si>
  <si>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</si>
  <si>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</si>
  <si>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</si>
  <si>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</si>
  <si>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</si>
  <si>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</si>
  <si>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</si>
  <si>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</si>
  <si>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</si>
  <si>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</si>
  <si>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</si>
  <si>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</si>
  <si>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</si>
  <si>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</si>
  <si>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</si>
  <si>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</si>
  <si>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</si>
  <si>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</si>
  <si>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</si>
  <si>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</si>
  <si>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</si>
  <si>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</si>
  <si>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</si>
  <si>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</si>
  <si>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</si>
  <si>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</si>
  <si>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</si>
  <si>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</si>
  <si>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</si>
  <si>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</si>
  <si>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</si>
  <si>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</si>
  <si>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</si>
  <si>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</si>
  <si>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</si>
  <si>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</si>
  <si>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</si>
  <si>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</si>
  <si>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</si>
  <si>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</si>
  <si>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</si>
  <si>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</si>
  <si>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</si>
  <si>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</si>
  <si>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</si>
  <si>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</si>
  <si>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</si>
  <si>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</si>
  <si>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</si>
  <si>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</si>
  <si>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</si>
  <si>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</si>
  <si>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</si>
  <si>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</si>
  <si>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</si>
  <si>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</si>
  <si>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</si>
  <si>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</si>
  <si>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</si>
  <si>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</si>
  <si>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</si>
  <si>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</si>
  <si>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</si>
  <si>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</si>
  <si>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</si>
  <si>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</si>
  <si>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</si>
  <si>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</si>
  <si>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</si>
  <si>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</si>
  <si>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</si>
  <si>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</si>
  <si>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</si>
  <si>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</si>
  <si>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</si>
  <si>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</si>
  <si>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</si>
  <si>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</si>
  <si>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</si>
  <si>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</si>
  <si>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</si>
  <si>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</si>
  <si>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</si>
  <si>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</si>
  <si>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</si>
  <si>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</si>
  <si>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</si>
  <si>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</si>
  <si>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</si>
  <si>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</si>
  <si>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</si>
  <si>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</si>
  <si>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</si>
  <si>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</si>
  <si>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</si>
  <si>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</si>
  <si>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</si>
  <si>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</si>
  <si>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</si>
  <si>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</si>
  <si>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</si>
  <si>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</si>
  <si>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</si>
  <si>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</si>
  <si>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</si>
  <si>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</si>
  <si>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</si>
  <si>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</si>
  <si>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</si>
  <si>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</si>
  <si>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</si>
  <si>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</si>
  <si>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</si>
  <si>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</si>
  <si>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</si>
  <si>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</si>
  <si>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</si>
  <si>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</si>
  <si>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</si>
  <si>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</si>
  <si>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</si>
  <si>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</si>
  <si>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</si>
  <si>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</si>
  <si>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</si>
  <si>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</si>
  <si>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</si>
  <si>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</si>
  <si>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</si>
  <si>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</si>
  <si>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</si>
  <si>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</si>
  <si>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</si>
  <si>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</si>
  <si>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</si>
  <si>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</si>
  <si>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</si>
  <si>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</si>
  <si>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</si>
  <si>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</si>
  <si>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</si>
  <si>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</si>
  <si>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</si>
  <si>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</si>
  <si>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</si>
  <si>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</si>
  <si>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</si>
  <si>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</si>
  <si>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</si>
  <si>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</si>
  <si>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</si>
  <si>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</si>
  <si>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</si>
  <si>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</si>
  <si>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</si>
  <si>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</si>
  <si>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</si>
  <si>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</si>
  <si>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</si>
  <si>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</si>
  <si>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</si>
  <si>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</si>
  <si>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</si>
  <si>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</si>
  <si>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</si>
  <si>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</si>
  <si>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</si>
  <si>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</si>
  <si>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</si>
  <si>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</si>
  <si>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</si>
  <si>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</si>
  <si>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</si>
  <si>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</si>
  <si>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</si>
  <si>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</si>
  <si>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</si>
  <si>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</si>
  <si>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</si>
  <si>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</si>
  <si>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</si>
  <si>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</si>
  <si>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</si>
  <si>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</si>
  <si>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</si>
  <si>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</si>
  <si>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</si>
  <si>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</si>
  <si>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</si>
  <si>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</si>
  <si>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</si>
  <si>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</si>
  <si>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</si>
  <si>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</si>
  <si>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</si>
  <si>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</si>
  <si>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</si>
  <si>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</si>
  <si>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</si>
  <si>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</si>
  <si>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</si>
  <si>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</si>
  <si>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</si>
  <si>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</si>
  <si>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O2_01 WTG Shutdown</t>
  </si>
  <si>
    <t>O2_02 WTG Shutdown</t>
  </si>
  <si>
    <t>O2_05 WTG Shutdown</t>
  </si>
  <si>
    <t>O2_08 WTG Shutdown</t>
  </si>
  <si>
    <t>O2_25 WTG Shutdown</t>
  </si>
  <si>
    <t>O2_26 WTG Shutdown</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</si>
  <si>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</si>
  <si>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</si>
  <si>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</si>
  <si>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</si>
  <si>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O2_04 WTG Shutdown</t>
  </si>
  <si>
    <t>O2_07 WTG Shutdown</t>
  </si>
  <si>
    <t>O2_19 WTG Shutdown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</si>
  <si>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</si>
  <si>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</si>
  <si>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</si>
  <si>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</si>
  <si>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</si>
  <si>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</si>
  <si>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</si>
  <si>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</si>
  <si>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</si>
  <si>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</si>
  <si>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</si>
  <si>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</si>
  <si>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WTG Manual stop for Turbine Manual stop for PPC parameter checking work</t>
  </si>
  <si>
    <t>Checked related error data log check parameter by L2 team then reset &amp; started WTG.</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</si>
  <si>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</si>
  <si>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</si>
  <si>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</si>
  <si>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</si>
  <si>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</si>
  <si>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</si>
  <si>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</si>
  <si>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</si>
  <si>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</si>
  <si>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stop for HT Yard Inspection Work.</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</si>
  <si>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</si>
  <si>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</si>
  <si>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</si>
  <si>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Attend WTG for repeated error Sim angle 3 so check all related ckt and found QA001 contactor auxiliary 23 and 24 on loose connection so tight it and apply manually Pitching no any abnormality so reset and started WTG.</t>
  </si>
  <si>
    <t>WTG Manual stop for load shedding due to feeder-01 overloading issue.</t>
  </si>
  <si>
    <t>O2-14 WTG Shutdown (Grid loss)</t>
  </si>
  <si>
    <t>Attend for WTG Repeated error (Wind dire.diff.level 2) so check wind vane connection after wind vane 1 &amp; 2 alignment properly after trail so ok then reset and start WTG.</t>
  </si>
  <si>
    <t>After Software Update work done than start WTG.</t>
  </si>
  <si>
    <t>WTG stop for YPM activity complated than started WTG.</t>
  </si>
  <si>
    <t>In turbine error occurred during bettry test Rotor br. Buff.volt too low so check related error data log and all perameter then apply soft reboot than started Turbine.</t>
  </si>
  <si>
    <t>Attend turbine check connection of rotor brake pad 01 sensor its ohmic value , then remove sensor from pad check physical condition then refixed properly . Then check the temp value found normal so take the trail of  the  turbine and started .</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</si>
  <si>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</si>
  <si>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Manual Shutdown taken for TR LV cable Inspection Work and conductor replacement work.</t>
  </si>
  <si>
    <t>Feeder-1 Shutdown taking by  for near O2_09 conductor repairing work  &amp; Conductor replacement work Note:- O2_01,26,08,25,02,05 jumper open</t>
  </si>
  <si>
    <t>Feeder-2 Shutdown taking by  for near O2_04 conductor repairing work,&amp; conductor replacement work Note:-O2_04,O2_07,O2_19 isolator closing work</t>
  </si>
  <si>
    <t>Feeder-2 Tripped in over current.</t>
  </si>
  <si>
    <t>O2_16 Grid Loss</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</si>
  <si>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</si>
  <si>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</si>
  <si>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After grid resume time VCB OFF after PSS Team attend and charge VCB</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</si>
  <si>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</si>
  <si>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</si>
  <si>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</si>
  <si>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</si>
  <si>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</si>
  <si>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</si>
  <si>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</si>
  <si>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</si>
  <si>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</si>
  <si>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</si>
  <si>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</si>
  <si>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</si>
  <si>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</si>
  <si>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</si>
  <si>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</si>
  <si>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</si>
  <si>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</si>
  <si>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</si>
  <si>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</si>
  <si>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</si>
  <si>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</si>
  <si>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</si>
  <si>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</si>
  <si>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O2_14 Grid Loss</t>
  </si>
  <si>
    <t>O2_25 Grid Loss</t>
  </si>
  <si>
    <t>Feeder-1 shutdown take for OFC Splicing work</t>
  </si>
  <si>
    <t>Auto reset.</t>
  </si>
  <si>
    <t>Check temperature value, after temperature normlize started WTG.</t>
  </si>
  <si>
    <t>WTG stopped for material cannibalize work.</t>
  </si>
  <si>
    <t xml:space="preserve">Arrange material than replaced trip unit card and trial takken and started WTG. </t>
  </si>
  <si>
    <t xml:space="preserve">Trip in over current Due to Havy rain and lighting also gusty wind whether normalisation then line inspection found for panther line pin isulator damage replace with new reset and test trail and feeder charge </t>
  </si>
  <si>
    <t>Feeder-2 Trip in Earth fault</t>
  </si>
  <si>
    <t xml:space="preserve">Feeder-2 shutdown for O2-19 line jumper Open work </t>
  </si>
  <si>
    <t>O2-04, O2-19 &amp; O2-07 Internal lines rectification work</t>
  </si>
  <si>
    <t>O2-19  Internal lines rectification work</t>
  </si>
  <si>
    <t>O2-04 &amp; O2-07 Internal lines rectification work</t>
  </si>
  <si>
    <t>O2_17 Grid Loss</t>
  </si>
  <si>
    <t>O2-17 &amp; O2-22 Internal lines rectification work</t>
  </si>
  <si>
    <t>O2-19  Jumper open work WIP</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</si>
  <si>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</si>
  <si>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</si>
  <si>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</si>
  <si>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</si>
  <si>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</si>
  <si>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</si>
  <si>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</si>
  <si>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</si>
  <si>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</si>
  <si>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</si>
  <si>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Feeder#1 Tripped due to snack fault at Location no O2_13</t>
  </si>
  <si>
    <t>O2-19 Internal lines rectification work</t>
  </si>
  <si>
    <t>O2-19 Isolator closing Work</t>
  </si>
  <si>
    <t>Feeder#1 Tripped due to Snake fault at Location no O2_13</t>
  </si>
  <si>
    <t>After Filling  Nitrogen accumulator pressure set than trail taken and started wtg</t>
  </si>
  <si>
    <t>O2_19 Grid loss</t>
  </si>
  <si>
    <t>O2-19 Transformer Bushing Replacement work</t>
  </si>
  <si>
    <t>AUTO Reset</t>
  </si>
  <si>
    <t>VCB OFF after BOP Team attend and check VCB wip.</t>
  </si>
  <si>
    <t>WTG Manual stop for WTR 656  work.</t>
  </si>
  <si>
    <t>WTG Manual stop for WTR 629,658,656 work.</t>
  </si>
  <si>
    <t>VCB OFF after BOP Team attend and check VCB then charge and start WTG</t>
  </si>
  <si>
    <t>VCB tripped by unknown person after BOP Team attend and check VCB then charge and start WTG</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</si>
  <si>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</si>
  <si>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</si>
  <si>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 xml:space="preserve">Feeder-2 shutdown </t>
  </si>
  <si>
    <t>Feeder#2 Trip in earth Falut/over current (O2_17,O2_22 section isolator open)</t>
  </si>
  <si>
    <t>Feeder-2 shutdown for O2_17 &amp;O2_22 section Isolator closing work</t>
  </si>
  <si>
    <t>O2_17,O2_22 section isolator open BY BOP team</t>
  </si>
  <si>
    <t>ACB smart trip unit Material arrangement for another site WIP</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</si>
  <si>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</si>
  <si>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</si>
  <si>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</si>
  <si>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O2-17 WTG Shutdown</t>
  </si>
  <si>
    <t xml:space="preserve">Feeder-2 Trip in earth Falut/over current </t>
  </si>
  <si>
    <t>Feeder-2 shutdown for O2_07 &amp;O2_04,O2-19 section Isolator closing work</t>
  </si>
  <si>
    <t>O2_07,O2_04,O2_19 section isolator open BY BOP team</t>
  </si>
  <si>
    <t>ACB smart trip unit Material arrangement for another site then replace it then start wtg.</t>
  </si>
  <si>
    <t>Turbine stop in icing (Stop) Error Occurred.But at that time turbine running shown in Fleetpro and status as online but physical in breakdown.Due to data freeze from the server so turbine stop.</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</si>
  <si>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</si>
  <si>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</si>
  <si>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 xml:space="preserve">Feeder-1 shutdown </t>
  </si>
  <si>
    <t>Feeder#1 Shutdown taking by pin insulator fall down repairing work</t>
  </si>
  <si>
    <t>WTG manual stop for Slipring  WTR 646,658,629,633 work.</t>
  </si>
  <si>
    <t>WTG Manual stop for WTR 646,633,656,658,629 work.</t>
  </si>
  <si>
    <t>WTG Manual stop for WTR 633,656,658,629  work.</t>
  </si>
  <si>
    <t>WTG Manual stop for WTR  633,656,658,629 work.</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</si>
  <si>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</si>
  <si>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</si>
  <si>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</si>
  <si>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wtg check releted circuit so found Blade no 1 1.7 ohm Flat resistor faulty after replace then reset and started wtg.</t>
  </si>
  <si>
    <t>WTG stop for YPM activity and replace axis 1 (1.7 ohm)Flat resistor then work complated than started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</si>
  <si>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</si>
  <si>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</si>
  <si>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</si>
  <si>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</si>
  <si>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Feeder-1 Trip in Earth fault</t>
  </si>
  <si>
    <t>Feeder#1Trip in earth Falut/over current /master reley trip after take a trial then charge it.</t>
  </si>
  <si>
    <t>Feeder#2 Trip in earth Falut/over current after take a trial then charge it.</t>
  </si>
  <si>
    <t>after grid resume error is occurs so Checked related error data log then reset &amp; start WTG</t>
  </si>
  <si>
    <t>after grid resume error is occurs so Checked related error data log then reset &amp; start WTG.</t>
  </si>
  <si>
    <t>after grid resume error is occurs so attend Checked related error data log then apply hard reboot then reset &amp; start WTG</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</si>
  <si>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</si>
  <si>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</si>
  <si>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</si>
  <si>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</si>
  <si>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</si>
  <si>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</si>
  <si>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</si>
  <si>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</si>
  <si>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</si>
  <si>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</si>
  <si>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</si>
  <si>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</si>
  <si>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</si>
  <si>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</si>
  <si>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</si>
  <si>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</si>
  <si>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</si>
  <si>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</si>
  <si>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</si>
  <si>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</si>
  <si>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</si>
  <si>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Delayed due to turbine lift not working and lift operation delay from project team</t>
  </si>
  <si>
    <t>Delayed due to turbine access road issue</t>
  </si>
  <si>
    <t>Deleyed due to turbine access road  access issue</t>
  </si>
  <si>
    <t>Checked related error data log then apply shoft reboot then reset &amp; start WTG</t>
  </si>
  <si>
    <t>after grid resume error is occurs so Checked related error data log then reset &amp; start WTG(Late start due to disconnected from scada due to jumer open at O2 14 )</t>
  </si>
  <si>
    <t>O2-01 WTG Shutdown (Grid loss)</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</si>
  <si>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</si>
  <si>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</si>
  <si>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</si>
  <si>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</si>
  <si>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</si>
  <si>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</si>
  <si>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</si>
  <si>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</si>
  <si>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</si>
  <si>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</si>
  <si>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O2-04, O2-07 and O2-19 section Isolator open by BOP team found fault and correct it then close Isotator then start WTG.</t>
  </si>
  <si>
    <t xml:space="preserve">Feeder#1 Shutdown taken by project team for section Isolator installation  work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</si>
  <si>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</si>
  <si>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</si>
  <si>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</si>
  <si>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Feefer-1 shutdown</t>
  </si>
  <si>
    <t xml:space="preserve">Feeder#1 Trip in Over Current </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</si>
  <si>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</si>
  <si>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</si>
  <si>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Feeder#1 Trip in Earth fault</t>
  </si>
  <si>
    <t>Feeder#1 Trip in Over Current after take a trial then charge it.</t>
  </si>
  <si>
    <t>jumper open by project team at O2 14 for section Isolator installation  work.</t>
  </si>
  <si>
    <t>jumper open by project team for section Isolator installation  work.</t>
  </si>
  <si>
    <t>jumper open by project team for section Isolator installation  work. After grid rusume start WTG</t>
  </si>
  <si>
    <t>Feeder#1 Shutdown taken by project team for section Isolator installation  work and jumper closing work at O2-14.</t>
  </si>
  <si>
    <t>Feeder#2 Trip in earth Falut after take a trial then charge it.</t>
  </si>
  <si>
    <t>Feeder-2 Trip in Earth fault after take a trial then charge it.</t>
  </si>
  <si>
    <t>Auto  reset</t>
  </si>
  <si>
    <t>Attend and wtg check Rotor brake pad Temp Sensor check and all connection check and tight after trail then reset and started  wtg.</t>
  </si>
  <si>
    <t>Feefer-2 shutdown</t>
  </si>
  <si>
    <t xml:space="preserve">Feeder#2 Shutdown taken by project team for section Isolator installation  work </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</si>
  <si>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</si>
  <si>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</si>
  <si>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</si>
  <si>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</si>
  <si>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</si>
  <si>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</si>
  <si>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</si>
  <si>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</si>
  <si>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</si>
  <si>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</si>
  <si>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</si>
  <si>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</si>
  <si>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</si>
  <si>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</si>
  <si>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</si>
  <si>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</si>
  <si>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</si>
  <si>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</si>
  <si>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</si>
  <si>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</si>
  <si>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USS work for BOP.</t>
  </si>
  <si>
    <t>EG Force Majeure</t>
  </si>
  <si>
    <t>IG Force Majeure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</si>
  <si>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</si>
  <si>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</si>
  <si>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</si>
  <si>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</si>
  <si>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</si>
  <si>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</si>
  <si>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</si>
  <si>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</si>
  <si>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</si>
  <si>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</si>
  <si>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</si>
  <si>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</si>
  <si>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</si>
  <si>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</si>
  <si>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Customer</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</si>
  <si>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</si>
  <si>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</si>
  <si>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</si>
  <si>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</si>
  <si>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</si>
  <si>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</si>
  <si>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</si>
  <si>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</si>
  <si>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</si>
  <si>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</si>
  <si>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</si>
  <si>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</si>
  <si>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</si>
  <si>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</si>
  <si>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</si>
  <si>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</si>
  <si>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</si>
  <si>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O2-26 Grid loss</t>
  </si>
  <si>
    <t>Feeder#2 Trip in earth Falut/over current.so take trial and charge feeder.</t>
  </si>
  <si>
    <t>Feeder#2 Trip in earth Falut/over current.so take trial and charge feeder.(Due to heavyrain and  lightning at site)</t>
  </si>
  <si>
    <t>After grid resume found VCB tripped  so VCB Charge by BOP team then after reset and start wtg</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</si>
  <si>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</si>
  <si>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</si>
  <si>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</si>
  <si>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</si>
  <si>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</si>
  <si>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</si>
  <si>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</si>
  <si>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</si>
  <si>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</si>
  <si>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</si>
  <si>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Stoppage Type</t>
  </si>
  <si>
    <t>Paired WTG Generation for loss calculation</t>
  </si>
  <si>
    <t>Estimated Energy Loss (kWh)</t>
  </si>
  <si>
    <t>Special Remarks</t>
  </si>
  <si>
    <t>Year_2</t>
  </si>
  <si>
    <t>Breakdown Type</t>
  </si>
  <si>
    <t>Curtailment Order imit.</t>
  </si>
  <si>
    <t>EGA_Including_CurtailmentOrder</t>
  </si>
  <si>
    <t>Breakdown description</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</si>
  <si>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</si>
  <si>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</si>
  <si>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</si>
  <si>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</si>
  <si>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</si>
  <si>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</si>
  <si>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</si>
  <si>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check Event And Data log then apply manual DO for rotor bearing luber found is ok then reset &amp; started wtg.</t>
  </si>
  <si>
    <t>WTG manual stop for blade load sensor related parameter checking work.</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</si>
  <si>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</si>
  <si>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</si>
  <si>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</si>
  <si>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</si>
  <si>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</si>
  <si>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sky lift installation work complate and inspection not done due to whether condition was not ok  rain and wind is very high so further plane tomorrow</t>
  </si>
  <si>
    <t>Today Blade Root TE Joint both top side and bottom side defect grinding work  complate And Defect laminatin all  layer removed Done tode Approx 4 mtr WIP((whether condition was not ok  rain and wind is very high ))</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</si>
  <si>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</si>
  <si>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</si>
  <si>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</si>
  <si>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</si>
  <si>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</si>
  <si>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</si>
  <si>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</si>
  <si>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</si>
  <si>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</si>
  <si>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</si>
  <si>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</si>
  <si>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</si>
  <si>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</si>
  <si>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</si>
  <si>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</si>
  <si>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</si>
  <si>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after Grid charge check SAM in found Sim angle E enc act angle 01 error check snap and found Blade 01 angle value deviation so we have Attend turbine check in pitch axis 01 in QA 001 Contactor,it's working condition,All NO NC auxiliary switch found One auxiliary switch some time not working properly so arrange switch and replace it's.Then we have further check from motor side Encoder cable, it's connection and mounting found All normal. Then we have to carry out Manual Pitching of the blade during time check motor current, Pitch angle and Snap found All normal then Taken WTG successful trail. After going down from the top, then turbine Started.</t>
  </si>
  <si>
    <t>Weather condition was not ok rain and wind was very high</t>
  </si>
  <si>
    <t>Manual stop of the WTG due to a Rep  error and  QHSE audit closure tasks Releted work completed after everything checked out and restarted the WTG.</t>
  </si>
  <si>
    <t>Feeder-1 Tripped in earth fault/Over current</t>
  </si>
  <si>
    <t>Feeder#1 Trip in earth Fault/over current.so take trial and charge feeder.</t>
  </si>
  <si>
    <t>Manual stop of the WTG due to a Rep  error and  QHSE audit closure tasks Releted work WIP</t>
  </si>
  <si>
    <t xml:space="preserve">Feeder-01 tripped in earth fault and overcurrent </t>
  </si>
  <si>
    <t>O2-20 Grid loss</t>
  </si>
  <si>
    <t>Feeder-01 Forcefully tripped by HI tech team for Punch point closing work</t>
  </si>
  <si>
    <t>Avg Wind Speed (m/s)</t>
  </si>
  <si>
    <t>WTG Loss</t>
  </si>
  <si>
    <t>Late reset due to Turbine Disconnect from SCADA.</t>
  </si>
  <si>
    <t>check Event And Data log than apply soft reboot then reset &amp; started wtg.</t>
  </si>
  <si>
    <t>Team work start to lamination work but at that time heavy rain and wind speed suddenly comes so remove past lamination and re lamination work time again wind and rain was comes so work not complated so WIP,</t>
  </si>
  <si>
    <t>WTG Shutdown(Grid loss)</t>
  </si>
  <si>
    <t>Feeder-2 Shutdown for OFC Cable Splicing Work.</t>
  </si>
  <si>
    <t>After VCB Charge than reset and start WTG.</t>
  </si>
  <si>
    <t>Team work start but at that time full day continues heavy rain so work not complated so WIP,</t>
  </si>
  <si>
    <t>Today blade repairing work do on root damaged area like sending,Lamination,Quring and Heating work done than WIP,</t>
  </si>
  <si>
    <t>Frequncy Converter Error occurred so check ingeteam web page found Converter Grid Protection Fuse error occurred so check all Fuse, Current measuiring device and connection, Power cable , Generator Stator and Rotor Connection then Now align with Engineering team and Suppiler as per guidenace further inspection WIP...</t>
  </si>
  <si>
    <t>Check event than done flushing and apply soft reboot than reset and started WTG.</t>
  </si>
  <si>
    <t>Attend and check error related ckt than check All HPU Valve than found oil level is low in Hydraulic Unit so top up oil and started WTG.</t>
  </si>
  <si>
    <t>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</si>
  <si>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After Rain stop work was started and apply heating and putty than WIP&lt;</t>
  </si>
  <si>
    <t>Team work start but at that time heavy rain and wind speed suddenly comes so work not complated so WIP,</t>
  </si>
  <si>
    <t>After Feeder-2 charge 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</si>
  <si>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Srl. No</t>
  </si>
  <si>
    <t>Curtailment Start Time</t>
  </si>
  <si>
    <t>Curtailment Stop Time</t>
  </si>
  <si>
    <t>Total down Hrs</t>
  </si>
  <si>
    <t>Running Generation</t>
  </si>
  <si>
    <t>Curtailment %</t>
  </si>
  <si>
    <t>Energy Loss(MW)</t>
  </si>
  <si>
    <t>After Curtailment Generation</t>
  </si>
  <si>
    <t>as per SLDC certailment there but actual we havent cerail</t>
  </si>
  <si>
    <t>Actual certailment</t>
  </si>
  <si>
    <t>TGPXIIPL -PSS Frequency</t>
  </si>
  <si>
    <t>check Event And Data log also check Error releted Snap than apply soft reboot then reset &amp; started wtg.</t>
  </si>
  <si>
    <t>After Putty and paint apply blade repairing work done than Dismental SKY lift than reset and start WTG.</t>
  </si>
  <si>
    <t>After feeder charge error occurred so check error related ckt than check all connection of PPD than found in PPD Internal Phase short  axis 1 so PPD faulty than  material arrengement WIP…</t>
  </si>
  <si>
    <t>Feeder-1 Shutdown taken for O2-12 Sky lift Rope Dismental work.</t>
  </si>
  <si>
    <t>After feeder charge error occurred so check error related ckt than check all connection of PPD than found in PPD Internal Phase short  axis 1 so PPD faulty than  material arrengement done than replace PPD than take trail  and started Turbine.</t>
  </si>
  <si>
    <t>Turbine Manual stop for PCVT Inspection Work.</t>
  </si>
  <si>
    <t xml:space="preserve">After Material Ingeteam CCU module received we have replace module than discuss with supplier for programming and configuration for module after succsessfull we have performed Precharge,grid Filter and regulation test with our L2 team than we take WTG Generation trail and found all normal,After we have going to naccelle for inspection for any abnormalities checking work that time pitch error occurred so check all 3 Blade PPD side connection ,QA001 Contactor and it,s Auxiliary switch all ok and we found in Central box 24V not comming so proper check and correct than taken trail done than Started WTG. </t>
  </si>
  <si>
    <t>Turbine stop for Ultrasonic Sensor Alignment work WIP….</t>
  </si>
  <si>
    <t>WTG manual stop for Yaw repeated error work so attend and check all releted than found one yaw caliper leakage so arrange caliper and replace with new one than UPS AC fault warning so solved it than reset and started Turbine.</t>
  </si>
  <si>
    <t>Turbine stop for PC Rectification work so check all blade calibration done than found cooling system coolent low so top up and also done Ultarasonic Sensor Alignment than reset and take trail done than started Turbine.</t>
  </si>
  <si>
    <t>Turbine stop for Ultrasonic Sensor Alignment work done than take trail and started Turbine.</t>
  </si>
  <si>
    <t>Turbine stop for Grid Filter contector Inspection work and it's cable replacement work done than started Turbine.</t>
  </si>
  <si>
    <t>Turbine stop for Hurk10 file Update work at that time Pitch Measuring system 1&lt;&gt;2 error occurred so check event than apply soft reboot than reset and started Turbine.</t>
  </si>
  <si>
    <t>Attend turbine for Rep Max opration Generator lubrication Warning apply manual DO and check pulse but not coming so check luber output pipe side Grease but not coming then found Distribution shock up so Clean properly then applied manual DO and found All normal so we taken trail then started turbine.</t>
  </si>
  <si>
    <t>Attended WTG for blade cleaning , blade Cleaning work completed successfully after Blade No 1 and 2 calibration completed 
And Nacelle coolant filled after the trail so ok then Reset and started Wtg.</t>
  </si>
  <si>
    <t>Feeder#1 Trip in earth Falut/over current.so take trial and charge feeder.</t>
  </si>
  <si>
    <t>After feeder-1 charge found grid voltage is single phasing so check by BOP Team WIP</t>
  </si>
  <si>
    <t>attend And check all related ckt and found cooling fan Mcb Trip so check and no any abnormality so charge MCB then reset and start wtg.</t>
  </si>
  <si>
    <t>WTG manual stop for WTG inspection work</t>
  </si>
  <si>
    <t>We have attend turbine check both temp sensor ohms value found normal then check cable condition, connector in connection then after refix Connector properly and found normal temp so taken Wtg trail then started turbine.</t>
  </si>
  <si>
    <t>attend turbine check both temp sensor cable condition, connector in connection wip.</t>
  </si>
  <si>
    <t>Feeder-1 shutdown for O2- 02 jumper replacement work.</t>
  </si>
  <si>
    <t>After feeder-1 charge found grid voltage is single phasing so check by BOP Team.</t>
  </si>
  <si>
    <t>Feeder#1 Trip in earth Falut/over current.</t>
  </si>
  <si>
    <t>O2-02 Grid loss</t>
  </si>
  <si>
    <t>O2-05 Grid loss</t>
  </si>
  <si>
    <t>O2-25 Grid loss</t>
  </si>
  <si>
    <t>wtg manual stop for repeated error attend and replace altrasonic sensor and realignment work done then start WTG</t>
  </si>
  <si>
    <t>We have attend turbine check temp sensor ohms value found ok but one ohms value is minor different to another one so we replace 2 number outdoor sensor temp normal then take Wtg trail and started turbine. Now under observation.</t>
  </si>
  <si>
    <t>wtg manual stop for repeated error, attend and  done both Ultrasonic alignment than started turbine.</t>
  </si>
  <si>
    <t>wtg manual stop for generator earthing brush warring inspection work  so  Generator Earthing brush replace than started Turbine.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</si>
</sst>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_(* #,##0_);_(* \(#,##0\);_(* &quot;-&quot;??_);_(@_)"/>
    <numFmt numFmtId="172" formatCode="0.000000000000000%"/>
  </numFmts>
  <fonts count="57">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color rgb="FF006100"/>
      <name val="Calibri"/>
      <family val="2"/>
      <scheme val="minor"/>
    </font>
    <font>
      <b/>
      <sz val="12"/>
      <color theme="1"/>
      <name val="Calibri"/>
      <family val="2"/>
      <scheme val="minor"/>
    </font>
    <font>
      <sz val="11"/>
      <name val="Calibri"/>
      <scheme val="minor"/>
    </font>
  </fonts>
  <fills count="27">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
      <patternFill patternType="solid">
        <fgColor rgb="FFC6EFCE"/>
      </patternFill>
    </fill>
  </fills>
  <borders count="80">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style="thin">
        <color auto="1"/>
      </left>
      <right style="thin">
        <color auto="1"/>
      </right>
      <top style="thin">
        <color auto="1"/>
      </top>
      <bottom style="thin">
        <color auto="1"/>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dotted">
        <color theme="2" tint="-9.9948118533890809E-2"/>
      </left>
      <right/>
      <top style="dotted">
        <color theme="2" tint="-9.9948118533890809E-2"/>
      </top>
      <bottom/>
      <diagonal/>
    </border>
  </borders>
  <cellStyleXfs count="54794">
    <xf numFmtId="0" fontId="0"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54" fillId="26" borderId="0" applyNumberFormat="0" applyBorder="0" applyAlignment="0" applyProtection="0"/>
  </cellStyleXfs>
  <cellXfs count="641">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5"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6"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4" fontId="7" fillId="0" borderId="1" xfId="4" applyNumberFormat="1" applyFont="1" applyFill="1" applyBorder="1" applyAlignment="1">
      <alignment horizontal="center"/>
    </xf>
    <xf numFmtId="168" fontId="7" fillId="7" borderId="1" xfId="1" applyNumberFormat="1" applyFont="1" applyFill="1" applyBorder="1" applyAlignment="1">
      <alignment horizontal="center"/>
    </xf>
    <xf numFmtId="0" fontId="7" fillId="7" borderId="6" xfId="0" applyFont="1" applyFill="1" applyBorder="1" applyAlignment="1">
      <alignment horizontal="center"/>
    </xf>
    <xf numFmtId="166"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4" fontId="0" fillId="7" borderId="8" xfId="0" applyNumberFormat="1" applyFill="1" applyBorder="1" applyAlignment="1">
      <alignment horizontal="center"/>
    </xf>
    <xf numFmtId="169"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6" fontId="18" fillId="5" borderId="18" xfId="8" applyNumberFormat="1" applyFont="1" applyFill="1" applyBorder="1" applyAlignment="1">
      <alignment horizontal="left" vertical="center"/>
    </xf>
    <xf numFmtId="166" fontId="18" fillId="5" borderId="18" xfId="8" applyNumberFormat="1" applyFont="1" applyFill="1" applyBorder="1" applyAlignment="1">
      <alignment vertical="center"/>
    </xf>
    <xf numFmtId="166" fontId="18" fillId="5" borderId="19" xfId="8" applyNumberFormat="1" applyFont="1" applyFill="1" applyBorder="1" applyAlignment="1">
      <alignment vertical="center"/>
    </xf>
    <xf numFmtId="165"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5" fontId="18" fillId="5" borderId="21" xfId="8" applyNumberFormat="1" applyFont="1" applyFill="1" applyBorder="1" applyAlignment="1">
      <alignment horizontal="left" vertical="center"/>
    </xf>
    <xf numFmtId="166" fontId="18" fillId="5" borderId="22" xfId="8" applyNumberFormat="1" applyFont="1" applyFill="1" applyBorder="1" applyAlignment="1">
      <alignment vertical="center"/>
    </xf>
    <xf numFmtId="166" fontId="18" fillId="5" borderId="23" xfId="8" applyNumberFormat="1" applyFont="1" applyFill="1" applyBorder="1" applyAlignment="1">
      <alignment vertical="center"/>
    </xf>
    <xf numFmtId="0" fontId="19" fillId="5" borderId="24" xfId="0" applyFont="1" applyFill="1" applyBorder="1"/>
    <xf numFmtId="165"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4" fontId="18" fillId="5" borderId="28" xfId="2" applyNumberFormat="1" applyFont="1" applyFill="1" applyBorder="1" applyAlignment="1">
      <alignment horizontal="center" vertical="center"/>
    </xf>
    <xf numFmtId="164" fontId="19" fillId="5" borderId="28" xfId="2" applyNumberFormat="1" applyFont="1" applyFill="1" applyBorder="1" applyAlignment="1">
      <alignment horizontal="center"/>
    </xf>
    <xf numFmtId="164" fontId="18" fillId="5" borderId="30" xfId="2" applyNumberFormat="1" applyFont="1" applyFill="1" applyBorder="1" applyAlignment="1">
      <alignment horizontal="center" vertical="center"/>
    </xf>
    <xf numFmtId="164" fontId="19" fillId="5" borderId="30" xfId="2" applyNumberFormat="1" applyFont="1" applyFill="1" applyBorder="1" applyAlignment="1">
      <alignment horizontal="center"/>
    </xf>
    <xf numFmtId="164" fontId="18" fillId="5" borderId="32" xfId="2" applyNumberFormat="1" applyFont="1" applyFill="1" applyBorder="1" applyAlignment="1">
      <alignment horizontal="center" vertical="center"/>
    </xf>
    <xf numFmtId="164" fontId="19" fillId="5" borderId="32" xfId="2" applyNumberFormat="1" applyFont="1" applyFill="1" applyBorder="1" applyAlignment="1">
      <alignment horizontal="center"/>
    </xf>
    <xf numFmtId="169" fontId="18" fillId="5" borderId="28" xfId="2" applyNumberFormat="1" applyFont="1" applyFill="1" applyBorder="1" applyAlignment="1">
      <alignment horizontal="center" vertical="center"/>
    </xf>
    <xf numFmtId="169" fontId="19" fillId="5" borderId="28" xfId="2" applyNumberFormat="1" applyFont="1" applyFill="1" applyBorder="1" applyAlignment="1">
      <alignment horizontal="center"/>
    </xf>
    <xf numFmtId="169" fontId="18" fillId="5" borderId="30" xfId="2" applyNumberFormat="1" applyFont="1" applyFill="1" applyBorder="1" applyAlignment="1">
      <alignment horizontal="center" vertical="center"/>
    </xf>
    <xf numFmtId="169" fontId="19" fillId="5" borderId="30" xfId="2" applyNumberFormat="1" applyFont="1" applyFill="1" applyBorder="1" applyAlignment="1">
      <alignment horizontal="center"/>
    </xf>
    <xf numFmtId="169" fontId="18" fillId="5" borderId="32" xfId="2" applyNumberFormat="1" applyFont="1" applyFill="1" applyBorder="1" applyAlignment="1">
      <alignment horizontal="center" vertical="center"/>
    </xf>
    <xf numFmtId="169" fontId="19" fillId="5" borderId="32" xfId="2" applyNumberFormat="1" applyFont="1" applyFill="1" applyBorder="1" applyAlignment="1">
      <alignment horizontal="center"/>
    </xf>
    <xf numFmtId="20" fontId="0" fillId="0" borderId="0" xfId="0" applyNumberFormat="1"/>
    <xf numFmtId="43"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4" fontId="7" fillId="0" borderId="6" xfId="4" applyNumberFormat="1" applyFont="1" applyFill="1" applyBorder="1" applyAlignment="1">
      <alignment horizontal="center"/>
    </xf>
    <xf numFmtId="168"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2"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43" fontId="0" fillId="0" borderId="0" xfId="1" applyFont="1" applyAlignment="1">
      <alignment horizontal="center"/>
    </xf>
    <xf numFmtId="43" fontId="14" fillId="9" borderId="10" xfId="1" applyFont="1" applyFill="1" applyBorder="1" applyAlignment="1">
      <alignment horizontal="center" vertical="center" wrapText="1"/>
    </xf>
    <xf numFmtId="43" fontId="0" fillId="7" borderId="0" xfId="1" applyFont="1" applyFill="1" applyBorder="1"/>
    <xf numFmtId="43" fontId="0" fillId="0" borderId="0" xfId="1" applyFont="1"/>
    <xf numFmtId="9" fontId="7" fillId="7" borderId="5" xfId="2" applyFont="1" applyFill="1" applyBorder="1" applyAlignment="1">
      <alignment horizontal="center"/>
    </xf>
    <xf numFmtId="0" fontId="0" fillId="0" borderId="44" xfId="0" applyBorder="1" applyAlignment="1">
      <alignment horizontal="left"/>
    </xf>
    <xf numFmtId="0" fontId="9" fillId="13" borderId="44" xfId="0" applyFont="1" applyFill="1" applyBorder="1" applyAlignment="1">
      <alignment vertical="center"/>
    </xf>
    <xf numFmtId="0" fontId="9" fillId="13" borderId="44" xfId="0" applyFont="1" applyFill="1" applyBorder="1" applyAlignment="1">
      <alignment horizontal="center" vertical="center" wrapText="1"/>
    </xf>
    <xf numFmtId="17" fontId="4" fillId="13" borderId="44" xfId="0" applyNumberFormat="1" applyFont="1" applyFill="1" applyBorder="1" applyAlignment="1">
      <alignment horizontal="center" vertical="center"/>
    </xf>
    <xf numFmtId="1" fontId="0" fillId="14" borderId="44" xfId="0" applyNumberFormat="1" applyFill="1" applyBorder="1" applyAlignment="1">
      <alignment horizontal="center" vertical="center"/>
    </xf>
    <xf numFmtId="2" fontId="0" fillId="14" borderId="44" xfId="0" applyNumberFormat="1" applyFill="1" applyBorder="1" applyAlignment="1">
      <alignment horizontal="center" vertical="center"/>
    </xf>
    <xf numFmtId="2" fontId="0" fillId="15" borderId="44" xfId="0" applyNumberFormat="1" applyFill="1" applyBorder="1" applyAlignment="1">
      <alignment horizontal="center" vertical="center"/>
    </xf>
    <xf numFmtId="1" fontId="0" fillId="15" borderId="44" xfId="0" applyNumberFormat="1" applyFill="1" applyBorder="1" applyAlignment="1">
      <alignment horizontal="center" vertical="center"/>
    </xf>
    <xf numFmtId="169" fontId="0" fillId="14" borderId="44" xfId="2" applyNumberFormat="1" applyFont="1" applyFill="1" applyBorder="1" applyAlignment="1">
      <alignment horizontal="center" vertical="center"/>
    </xf>
    <xf numFmtId="169" fontId="0" fillId="15" borderId="44" xfId="2" applyNumberFormat="1" applyFont="1" applyFill="1" applyBorder="1" applyAlignment="1">
      <alignment horizontal="center" vertical="center"/>
    </xf>
    <xf numFmtId="10" fontId="0" fillId="15" borderId="44" xfId="2" applyNumberFormat="1" applyFont="1" applyFill="1" applyBorder="1" applyAlignment="1">
      <alignment horizontal="center" vertical="center"/>
    </xf>
    <xf numFmtId="0" fontId="9" fillId="13" borderId="44" xfId="0" applyFont="1" applyFill="1" applyBorder="1" applyAlignment="1">
      <alignment horizontal="center" vertical="center"/>
    </xf>
    <xf numFmtId="1" fontId="4" fillId="13" borderId="44" xfId="0" applyNumberFormat="1" applyFont="1" applyFill="1" applyBorder="1" applyAlignment="1">
      <alignment horizontal="center" vertical="center"/>
    </xf>
    <xf numFmtId="0" fontId="0" fillId="10" borderId="44" xfId="0" applyFill="1" applyBorder="1" applyAlignment="1">
      <alignment vertical="center"/>
    </xf>
    <xf numFmtId="15" fontId="0" fillId="11" borderId="44" xfId="0" applyNumberFormat="1" applyFill="1" applyBorder="1" applyAlignment="1">
      <alignment horizontal="center" vertical="center"/>
    </xf>
    <xf numFmtId="0" fontId="0" fillId="0" borderId="44" xfId="0" applyBorder="1" applyAlignment="1">
      <alignment horizontal="left" vertical="top"/>
    </xf>
    <xf numFmtId="0" fontId="0" fillId="20" borderId="44" xfId="0" applyFill="1" applyBorder="1" applyAlignment="1">
      <alignment horizontal="center" vertical="center"/>
    </xf>
    <xf numFmtId="0" fontId="0" fillId="17" borderId="44" xfId="0" applyFill="1" applyBorder="1" applyAlignment="1">
      <alignment horizontal="left" vertical="top"/>
    </xf>
    <xf numFmtId="43" fontId="0" fillId="0" borderId="44" xfId="1" applyFont="1" applyBorder="1"/>
    <xf numFmtId="0" fontId="0" fillId="0" borderId="44" xfId="0" applyBorder="1"/>
    <xf numFmtId="0" fontId="0" fillId="0" borderId="44" xfId="0" pivotButton="1" applyBorder="1"/>
    <xf numFmtId="9" fontId="7" fillId="7" borderId="7" xfId="2" applyFont="1" applyFill="1" applyBorder="1" applyAlignment="1">
      <alignment horizontal="center"/>
    </xf>
    <xf numFmtId="43" fontId="5" fillId="3" borderId="3" xfId="1" applyFont="1" applyFill="1" applyBorder="1" applyAlignment="1">
      <alignment horizontal="center" vertical="center" wrapText="1"/>
    </xf>
    <xf numFmtId="43" fontId="7" fillId="0" borderId="1" xfId="1" applyFont="1" applyFill="1" applyBorder="1" applyAlignment="1">
      <alignment horizontal="center"/>
    </xf>
    <xf numFmtId="43" fontId="7" fillId="0" borderId="6" xfId="1" applyFont="1" applyFill="1" applyBorder="1" applyAlignment="1">
      <alignment horizontal="center"/>
    </xf>
    <xf numFmtId="1" fontId="7" fillId="0" borderId="1" xfId="0" applyNumberFormat="1" applyFont="1" applyBorder="1" applyAlignment="1">
      <alignment horizontal="center"/>
    </xf>
    <xf numFmtId="164" fontId="7" fillId="0" borderId="1" xfId="0" applyNumberFormat="1" applyFont="1" applyBorder="1" applyAlignment="1">
      <alignment horizontal="center"/>
    </xf>
    <xf numFmtId="168" fontId="7" fillId="7" borderId="1" xfId="0" applyNumberFormat="1" applyFont="1" applyFill="1" applyBorder="1" applyAlignment="1">
      <alignment horizontal="center"/>
    </xf>
    <xf numFmtId="164"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8"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43" fontId="7" fillId="0" borderId="1" xfId="122" applyFont="1" applyFill="1" applyBorder="1" applyAlignment="1">
      <alignment horizontal="center"/>
    </xf>
    <xf numFmtId="1" fontId="7" fillId="0" borderId="6" xfId="0" applyNumberFormat="1" applyFont="1" applyBorder="1" applyAlignment="1">
      <alignment horizontal="center"/>
    </xf>
    <xf numFmtId="164" fontId="7" fillId="0" borderId="6" xfId="0" applyNumberFormat="1" applyFont="1" applyBorder="1" applyAlignment="1">
      <alignment horizontal="center"/>
    </xf>
    <xf numFmtId="168" fontId="7" fillId="7" borderId="6" xfId="0" applyNumberFormat="1" applyFont="1" applyFill="1" applyBorder="1" applyAlignment="1">
      <alignment horizontal="center"/>
    </xf>
    <xf numFmtId="164"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8" fontId="7" fillId="7" borderId="7" xfId="0" applyNumberFormat="1" applyFont="1" applyFill="1" applyBorder="1" applyAlignment="1">
      <alignment horizontal="center"/>
    </xf>
    <xf numFmtId="0" fontId="0" fillId="0" borderId="44" xfId="0" applyBorder="1" applyAlignment="1">
      <alignment horizontal="center" vertical="center"/>
    </xf>
    <xf numFmtId="43" fontId="0" fillId="0" borderId="44" xfId="1" applyFont="1" applyBorder="1" applyAlignment="1">
      <alignment horizontal="center" vertical="center"/>
    </xf>
    <xf numFmtId="10" fontId="0" fillId="0" borderId="44" xfId="2" applyNumberFormat="1" applyFont="1" applyBorder="1" applyAlignment="1">
      <alignment horizontal="center" vertical="center"/>
    </xf>
    <xf numFmtId="9" fontId="0" fillId="0" borderId="44" xfId="2" applyFont="1" applyBorder="1" applyAlignment="1">
      <alignment horizontal="center" vertical="center"/>
    </xf>
    <xf numFmtId="169" fontId="0" fillId="0" borderId="44" xfId="2" applyNumberFormat="1" applyFont="1" applyBorder="1" applyAlignment="1">
      <alignment horizontal="center" vertical="center"/>
    </xf>
    <xf numFmtId="169" fontId="0" fillId="0" borderId="44" xfId="0" applyNumberFormat="1" applyBorder="1" applyAlignment="1">
      <alignment horizontal="center" vertical="center"/>
    </xf>
    <xf numFmtId="43" fontId="0" fillId="0" borderId="44" xfId="1" applyFont="1" applyBorder="1" applyAlignment="1">
      <alignment horizontal="left" vertical="center"/>
    </xf>
    <xf numFmtId="165" fontId="5" fillId="0" borderId="46" xfId="54789" applyNumberFormat="1" applyFont="1" applyBorder="1" applyAlignment="1">
      <alignment horizontal="center" vertical="center" wrapText="1"/>
    </xf>
    <xf numFmtId="0" fontId="5" fillId="0" borderId="46" xfId="54789" applyFont="1" applyBorder="1" applyAlignment="1">
      <alignment horizontal="center" vertical="center" wrapText="1"/>
    </xf>
    <xf numFmtId="0" fontId="9" fillId="0" borderId="46" xfId="54790" applyFont="1" applyBorder="1" applyAlignment="1">
      <alignment horizontal="center" vertical="center" wrapText="1"/>
    </xf>
    <xf numFmtId="9" fontId="9" fillId="0" borderId="46"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4"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69"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4"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8" xfId="54790" applyFont="1" applyBorder="1" applyAlignment="1">
      <alignment horizontal="center" vertical="center" wrapText="1"/>
    </xf>
    <xf numFmtId="0" fontId="1" fillId="0" borderId="49" xfId="54790" applyBorder="1" applyAlignment="1">
      <alignment horizontal="center" vertical="center"/>
    </xf>
    <xf numFmtId="17" fontId="0" fillId="0" borderId="49" xfId="54792" applyNumberFormat="1" applyFont="1" applyFill="1" applyBorder="1" applyAlignment="1">
      <alignment horizontal="center" vertical="center"/>
    </xf>
    <xf numFmtId="0" fontId="1" fillId="0" borderId="50" xfId="54790"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4"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0" fontId="0" fillId="0" borderId="50" xfId="54792" applyNumberFormat="1" applyFont="1" applyFill="1" applyBorder="1" applyAlignment="1">
      <alignment horizontal="center" vertical="center"/>
    </xf>
    <xf numFmtId="2" fontId="1" fillId="0" borderId="50" xfId="54790" applyNumberFormat="1" applyBorder="1" applyAlignment="1">
      <alignment horizontal="center" vertical="center"/>
    </xf>
    <xf numFmtId="164" fontId="1" fillId="0" borderId="50" xfId="54790" applyNumberFormat="1" applyBorder="1" applyAlignment="1">
      <alignment horizontal="center" vertical="center"/>
    </xf>
    <xf numFmtId="1" fontId="1" fillId="0" borderId="50" xfId="54790" applyNumberFormat="1" applyBorder="1" applyAlignment="1">
      <alignment horizontal="center" vertical="center"/>
    </xf>
    <xf numFmtId="10" fontId="0" fillId="0" borderId="50" xfId="54791" applyNumberFormat="1" applyFont="1" applyFill="1" applyBorder="1" applyAlignment="1">
      <alignment horizontal="center" vertical="center"/>
    </xf>
    <xf numFmtId="10" fontId="1" fillId="0" borderId="0" xfId="54790" applyNumberFormat="1" applyAlignment="1">
      <alignment horizontal="center" vertical="center"/>
    </xf>
    <xf numFmtId="165" fontId="5" fillId="3" borderId="51" xfId="54789" applyNumberFormat="1" applyFont="1" applyFill="1" applyBorder="1" applyAlignment="1">
      <alignment horizontal="center" vertical="center" wrapText="1"/>
    </xf>
    <xf numFmtId="0" fontId="5" fillId="3" borderId="46" xfId="54789" applyFont="1" applyFill="1" applyBorder="1" applyAlignment="1">
      <alignment horizontal="center" vertical="center" wrapText="1"/>
    </xf>
    <xf numFmtId="15" fontId="1" fillId="21" borderId="47" xfId="54790" applyNumberFormat="1" applyFill="1" applyBorder="1" applyAlignment="1">
      <alignment horizontal="center" vertical="center"/>
    </xf>
    <xf numFmtId="15" fontId="1" fillId="22" borderId="47"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69" fontId="0" fillId="15" borderId="44" xfId="103" applyNumberFormat="1" applyFont="1" applyFill="1" applyBorder="1" applyAlignment="1">
      <alignment horizontal="center" vertical="center"/>
    </xf>
    <xf numFmtId="10" fontId="0" fillId="15" borderId="44" xfId="103" applyNumberFormat="1" applyFont="1" applyFill="1" applyBorder="1" applyAlignment="1">
      <alignment horizontal="center" vertical="center"/>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9" xfId="2" applyNumberFormat="1" applyFont="1" applyFill="1" applyBorder="1" applyAlignment="1">
      <alignment horizontal="center" vertical="center"/>
    </xf>
    <xf numFmtId="10" fontId="9" fillId="0" borderId="48" xfId="2" applyNumberFormat="1" applyFont="1" applyFill="1" applyBorder="1" applyAlignment="1">
      <alignment horizontal="center" vertical="center"/>
    </xf>
    <xf numFmtId="10" fontId="9" fillId="0" borderId="50" xfId="2" applyNumberFormat="1" applyFont="1" applyFill="1" applyBorder="1" applyAlignment="1">
      <alignment horizontal="center" vertical="center"/>
    </xf>
    <xf numFmtId="1" fontId="29" fillId="0" borderId="1" xfId="0" applyNumberFormat="1" applyFont="1" applyBorder="1" applyAlignment="1">
      <alignment horizontal="center"/>
    </xf>
    <xf numFmtId="1" fontId="29" fillId="0" borderId="1" xfId="4" applyNumberFormat="1" applyFont="1" applyFill="1" applyBorder="1" applyAlignment="1">
      <alignment horizontal="center"/>
    </xf>
    <xf numFmtId="164" fontId="29" fillId="0" borderId="1" xfId="0" applyNumberFormat="1" applyFont="1" applyBorder="1" applyAlignment="1">
      <alignment horizontal="center"/>
    </xf>
    <xf numFmtId="164" fontId="29" fillId="0" borderId="1" xfId="4" applyNumberFormat="1" applyFont="1" applyFill="1" applyBorder="1" applyAlignment="1">
      <alignment horizontal="center"/>
    </xf>
    <xf numFmtId="168" fontId="29" fillId="7" borderId="1" xfId="0" applyNumberFormat="1" applyFont="1" applyFill="1" applyBorder="1" applyAlignment="1">
      <alignment horizontal="center"/>
    </xf>
    <xf numFmtId="164" fontId="29" fillId="7" borderId="1" xfId="0" applyNumberFormat="1" applyFont="1" applyFill="1" applyBorder="1" applyAlignment="1">
      <alignment horizontal="center"/>
    </xf>
    <xf numFmtId="1" fontId="29" fillId="5" borderId="1" xfId="0" applyNumberFormat="1" applyFont="1" applyFill="1" applyBorder="1" applyAlignment="1">
      <alignment horizontal="center"/>
    </xf>
    <xf numFmtId="168" fontId="29" fillId="7" borderId="1" xfId="1" applyNumberFormat="1" applyFont="1" applyFill="1" applyBorder="1" applyAlignment="1">
      <alignment horizontal="center"/>
    </xf>
    <xf numFmtId="168" fontId="29" fillId="7" borderId="5" xfId="0" applyNumberFormat="1" applyFont="1" applyFill="1" applyBorder="1" applyAlignment="1">
      <alignment horizontal="center"/>
    </xf>
    <xf numFmtId="43" fontId="29" fillId="0" borderId="1" xfId="1" applyFont="1" applyFill="1" applyBorder="1" applyAlignment="1">
      <alignment horizontal="center"/>
    </xf>
    <xf numFmtId="10" fontId="29" fillId="0" borderId="0" xfId="0" applyNumberFormat="1" applyFont="1" applyAlignment="1">
      <alignment horizontal="center"/>
    </xf>
    <xf numFmtId="166" fontId="18" fillId="5" borderId="18" xfId="8" applyNumberFormat="1" applyFont="1" applyFill="1" applyBorder="1" applyAlignment="1" applyProtection="1">
      <alignment horizontal="left" vertical="center"/>
      <protection locked="0"/>
    </xf>
    <xf numFmtId="165"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2" xfId="0" applyNumberFormat="1" applyFont="1" applyFill="1" applyBorder="1" applyProtection="1">
      <protection locked="0"/>
    </xf>
    <xf numFmtId="0" fontId="19" fillId="5" borderId="53" xfId="0" applyFont="1" applyFill="1" applyBorder="1" applyProtection="1">
      <protection locked="0"/>
    </xf>
    <xf numFmtId="0" fontId="19" fillId="5" borderId="54" xfId="0" applyFont="1" applyFill="1" applyBorder="1" applyProtection="1">
      <protection locked="0"/>
    </xf>
    <xf numFmtId="167" fontId="28" fillId="0" borderId="45" xfId="5" applyNumberFormat="1" applyFont="1" applyBorder="1" applyAlignment="1">
      <alignment horizontal="center" vertical="center"/>
    </xf>
    <xf numFmtId="16" fontId="24" fillId="15" borderId="55" xfId="0" applyNumberFormat="1" applyFont="1" applyFill="1" applyBorder="1" applyAlignment="1">
      <alignment horizontal="center" vertical="top" wrapText="1"/>
    </xf>
    <xf numFmtId="171" fontId="24" fillId="0" borderId="56" xfId="1" applyNumberFormat="1" applyFont="1" applyBorder="1" applyAlignment="1">
      <alignment horizontal="left" vertical="top" wrapText="1"/>
    </xf>
    <xf numFmtId="0" fontId="0" fillId="0" borderId="57" xfId="0" applyBorder="1" applyAlignment="1">
      <alignment horizontal="center"/>
    </xf>
    <xf numFmtId="0" fontId="26" fillId="0" borderId="57" xfId="0" applyFont="1" applyBorder="1" applyAlignment="1">
      <alignment horizontal="center" vertical="center"/>
    </xf>
    <xf numFmtId="1" fontId="0" fillId="0" borderId="57" xfId="0" applyNumberFormat="1" applyBorder="1" applyAlignment="1">
      <alignment horizontal="center"/>
    </xf>
    <xf numFmtId="43" fontId="0" fillId="0" borderId="57" xfId="1" applyFont="1" applyBorder="1" applyAlignment="1">
      <alignment horizontal="center"/>
    </xf>
    <xf numFmtId="0" fontId="0" fillId="0" borderId="57" xfId="0" applyBorder="1"/>
    <xf numFmtId="0" fontId="22" fillId="0" borderId="57" xfId="0" applyFont="1" applyBorder="1" applyAlignment="1">
      <alignment horizontal="left"/>
    </xf>
    <xf numFmtId="0" fontId="0" fillId="19" borderId="57" xfId="0" applyFill="1" applyBorder="1" applyAlignment="1">
      <alignment horizontal="left"/>
    </xf>
    <xf numFmtId="0" fontId="0" fillId="19" borderId="57" xfId="0" applyFill="1" applyBorder="1"/>
    <xf numFmtId="0" fontId="0" fillId="0" borderId="57" xfId="0" applyBorder="1" applyAlignment="1">
      <alignment horizontal="left"/>
    </xf>
    <xf numFmtId="0" fontId="0" fillId="17" borderId="57" xfId="0" applyFill="1" applyBorder="1" applyAlignment="1">
      <alignment horizontal="left"/>
    </xf>
    <xf numFmtId="0" fontId="0" fillId="17" borderId="57" xfId="0" applyFill="1" applyBorder="1"/>
    <xf numFmtId="1" fontId="30" fillId="0" borderId="1" xfId="0" applyNumberFormat="1" applyFont="1" applyBorder="1" applyAlignment="1">
      <alignment horizontal="center"/>
    </xf>
    <xf numFmtId="1" fontId="30" fillId="0" borderId="1" xfId="4" applyNumberFormat="1" applyFont="1" applyFill="1" applyBorder="1" applyAlignment="1">
      <alignment horizontal="center"/>
    </xf>
    <xf numFmtId="164" fontId="30" fillId="0" borderId="1" xfId="0" applyNumberFormat="1" applyFont="1" applyBorder="1" applyAlignment="1">
      <alignment horizontal="center"/>
    </xf>
    <xf numFmtId="164" fontId="30" fillId="0" borderId="1" xfId="4" applyNumberFormat="1" applyFont="1" applyFill="1" applyBorder="1" applyAlignment="1">
      <alignment horizontal="center"/>
    </xf>
    <xf numFmtId="168" fontId="30" fillId="7" borderId="1" xfId="0" applyNumberFormat="1" applyFont="1" applyFill="1" applyBorder="1" applyAlignment="1">
      <alignment horizontal="center"/>
    </xf>
    <xf numFmtId="164" fontId="30" fillId="7" borderId="1" xfId="0" applyNumberFormat="1" applyFont="1" applyFill="1" applyBorder="1" applyAlignment="1">
      <alignment horizontal="center"/>
    </xf>
    <xf numFmtId="1" fontId="30" fillId="5" borderId="1" xfId="0" applyNumberFormat="1" applyFont="1" applyFill="1" applyBorder="1" applyAlignment="1">
      <alignment horizontal="center"/>
    </xf>
    <xf numFmtId="168" fontId="30" fillId="7" borderId="1" xfId="1" applyNumberFormat="1" applyFont="1" applyFill="1" applyBorder="1" applyAlignment="1">
      <alignment horizontal="center"/>
    </xf>
    <xf numFmtId="168" fontId="30" fillId="7" borderId="5" xfId="0" applyNumberFormat="1" applyFont="1" applyFill="1" applyBorder="1" applyAlignment="1">
      <alignment horizontal="center"/>
    </xf>
    <xf numFmtId="43" fontId="30" fillId="0" borderId="1" xfId="1" applyFont="1" applyFill="1" applyBorder="1" applyAlignment="1">
      <alignment horizontal="center"/>
    </xf>
    <xf numFmtId="10" fontId="30" fillId="0" borderId="0" xfId="0" applyNumberFormat="1" applyFont="1" applyAlignment="1">
      <alignment horizontal="center"/>
    </xf>
    <xf numFmtId="1" fontId="31" fillId="0" borderId="1" xfId="0" applyNumberFormat="1" applyFont="1" applyBorder="1" applyAlignment="1">
      <alignment horizontal="center"/>
    </xf>
    <xf numFmtId="1" fontId="31" fillId="0" borderId="1" xfId="4" applyNumberFormat="1" applyFont="1" applyFill="1" applyBorder="1" applyAlignment="1">
      <alignment horizontal="center"/>
    </xf>
    <xf numFmtId="164" fontId="31" fillId="0" borderId="1" xfId="0" applyNumberFormat="1" applyFont="1" applyBorder="1" applyAlignment="1">
      <alignment horizontal="center"/>
    </xf>
    <xf numFmtId="164" fontId="31" fillId="0" borderId="1" xfId="4" applyNumberFormat="1" applyFont="1" applyFill="1" applyBorder="1" applyAlignment="1">
      <alignment horizontal="center"/>
    </xf>
    <xf numFmtId="168" fontId="31" fillId="7" borderId="1" xfId="0" applyNumberFormat="1" applyFont="1" applyFill="1" applyBorder="1" applyAlignment="1">
      <alignment horizontal="center"/>
    </xf>
    <xf numFmtId="164" fontId="31" fillId="7" borderId="1" xfId="0" applyNumberFormat="1" applyFont="1" applyFill="1" applyBorder="1" applyAlignment="1">
      <alignment horizontal="center"/>
    </xf>
    <xf numFmtId="1" fontId="31" fillId="5" borderId="1" xfId="0" applyNumberFormat="1" applyFont="1" applyFill="1" applyBorder="1" applyAlignment="1">
      <alignment horizontal="center"/>
    </xf>
    <xf numFmtId="168" fontId="31" fillId="7" borderId="1" xfId="1" applyNumberFormat="1" applyFont="1" applyFill="1" applyBorder="1" applyAlignment="1">
      <alignment horizontal="center"/>
    </xf>
    <xf numFmtId="168" fontId="31" fillId="7" borderId="5" xfId="0" applyNumberFormat="1" applyFont="1" applyFill="1" applyBorder="1" applyAlignment="1">
      <alignment horizontal="center"/>
    </xf>
    <xf numFmtId="43" fontId="31" fillId="0" borderId="1" xfId="1" applyFont="1" applyFill="1" applyBorder="1" applyAlignment="1">
      <alignment horizontal="center"/>
    </xf>
    <xf numFmtId="10" fontId="31" fillId="0" borderId="0" xfId="0" applyNumberFormat="1" applyFont="1" applyAlignment="1">
      <alignment horizontal="center"/>
    </xf>
    <xf numFmtId="1" fontId="7" fillId="0" borderId="0" xfId="54790" applyNumberFormat="1" applyFont="1" applyAlignment="1">
      <alignment horizontal="center" vertical="center"/>
    </xf>
    <xf numFmtId="1" fontId="32" fillId="0" borderId="1" xfId="0" applyNumberFormat="1" applyFont="1" applyBorder="1" applyAlignment="1">
      <alignment horizontal="center"/>
    </xf>
    <xf numFmtId="1" fontId="32" fillId="0" borderId="1" xfId="4" applyNumberFormat="1" applyFont="1" applyFill="1" applyBorder="1" applyAlignment="1">
      <alignment horizontal="center"/>
    </xf>
    <xf numFmtId="164" fontId="32" fillId="0" borderId="1" xfId="0" applyNumberFormat="1" applyFont="1" applyBorder="1" applyAlignment="1">
      <alignment horizontal="center"/>
    </xf>
    <xf numFmtId="164" fontId="32" fillId="0" borderId="1" xfId="4" applyNumberFormat="1" applyFont="1" applyFill="1" applyBorder="1" applyAlignment="1">
      <alignment horizontal="center"/>
    </xf>
    <xf numFmtId="168" fontId="32" fillId="7" borderId="1" xfId="0" applyNumberFormat="1" applyFont="1" applyFill="1" applyBorder="1" applyAlignment="1">
      <alignment horizontal="center"/>
    </xf>
    <xf numFmtId="164" fontId="32" fillId="7" borderId="1" xfId="0" applyNumberFormat="1" applyFont="1" applyFill="1" applyBorder="1" applyAlignment="1">
      <alignment horizontal="center"/>
    </xf>
    <xf numFmtId="1" fontId="32" fillId="5" borderId="1" xfId="0" applyNumberFormat="1" applyFont="1" applyFill="1" applyBorder="1" applyAlignment="1">
      <alignment horizontal="center"/>
    </xf>
    <xf numFmtId="168" fontId="32" fillId="7" borderId="1" xfId="1" applyNumberFormat="1" applyFont="1" applyFill="1" applyBorder="1" applyAlignment="1">
      <alignment horizontal="center"/>
    </xf>
    <xf numFmtId="168" fontId="32" fillId="7" borderId="5" xfId="0" applyNumberFormat="1" applyFont="1" applyFill="1" applyBorder="1" applyAlignment="1">
      <alignment horizontal="center"/>
    </xf>
    <xf numFmtId="43" fontId="32" fillId="0" borderId="1" xfId="1" applyFont="1" applyFill="1" applyBorder="1" applyAlignment="1">
      <alignment horizontal="center"/>
    </xf>
    <xf numFmtId="10" fontId="32" fillId="0" borderId="0" xfId="0" applyNumberFormat="1" applyFont="1" applyAlignment="1">
      <alignment horizontal="center"/>
    </xf>
    <xf numFmtId="1" fontId="33" fillId="0" borderId="1" xfId="0" applyNumberFormat="1" applyFont="1" applyBorder="1" applyAlignment="1">
      <alignment horizontal="center"/>
    </xf>
    <xf numFmtId="1" fontId="33" fillId="0" borderId="1" xfId="4" applyNumberFormat="1" applyFont="1" applyFill="1" applyBorder="1" applyAlignment="1">
      <alignment horizontal="center"/>
    </xf>
    <xf numFmtId="164" fontId="33" fillId="0" borderId="1" xfId="0" applyNumberFormat="1" applyFont="1" applyBorder="1" applyAlignment="1">
      <alignment horizontal="center"/>
    </xf>
    <xf numFmtId="164" fontId="33" fillId="0" borderId="1" xfId="4" applyNumberFormat="1" applyFont="1" applyFill="1" applyBorder="1" applyAlignment="1">
      <alignment horizontal="center"/>
    </xf>
    <xf numFmtId="168" fontId="33" fillId="7" borderId="1" xfId="0" applyNumberFormat="1" applyFont="1" applyFill="1" applyBorder="1" applyAlignment="1">
      <alignment horizontal="center"/>
    </xf>
    <xf numFmtId="164" fontId="33" fillId="7" borderId="1" xfId="0" applyNumberFormat="1" applyFont="1" applyFill="1" applyBorder="1" applyAlignment="1">
      <alignment horizontal="center"/>
    </xf>
    <xf numFmtId="1" fontId="33" fillId="5" borderId="1" xfId="0" applyNumberFormat="1" applyFont="1" applyFill="1" applyBorder="1" applyAlignment="1">
      <alignment horizontal="center"/>
    </xf>
    <xf numFmtId="168" fontId="33" fillId="7" borderId="1" xfId="1" applyNumberFormat="1" applyFont="1" applyFill="1" applyBorder="1" applyAlignment="1">
      <alignment horizontal="center"/>
    </xf>
    <xf numFmtId="168" fontId="33" fillId="7" borderId="5" xfId="0" applyNumberFormat="1" applyFont="1" applyFill="1" applyBorder="1" applyAlignment="1">
      <alignment horizontal="center"/>
    </xf>
    <xf numFmtId="43" fontId="33" fillId="0" borderId="1" xfId="1" applyFont="1" applyFill="1" applyBorder="1" applyAlignment="1">
      <alignment horizontal="center"/>
    </xf>
    <xf numFmtId="10" fontId="33" fillId="0" borderId="0" xfId="0" applyNumberFormat="1" applyFont="1" applyAlignment="1">
      <alignment horizontal="center"/>
    </xf>
    <xf numFmtId="0" fontId="0" fillId="21" borderId="58" xfId="54790" applyFont="1" applyFill="1" applyBorder="1" applyAlignment="1">
      <alignment horizontal="center" vertical="center"/>
    </xf>
    <xf numFmtId="0" fontId="0" fillId="22" borderId="58" xfId="54790" applyFont="1" applyFill="1" applyBorder="1" applyAlignment="1">
      <alignment horizontal="center" vertical="center"/>
    </xf>
    <xf numFmtId="1" fontId="34" fillId="0" borderId="1" xfId="0" applyNumberFormat="1" applyFont="1" applyBorder="1" applyAlignment="1">
      <alignment horizontal="center"/>
    </xf>
    <xf numFmtId="1" fontId="34" fillId="0" borderId="1" xfId="4" applyNumberFormat="1" applyFont="1" applyFill="1" applyBorder="1" applyAlignment="1">
      <alignment horizontal="center"/>
    </xf>
    <xf numFmtId="164" fontId="34" fillId="0" borderId="1" xfId="0" applyNumberFormat="1" applyFont="1" applyBorder="1" applyAlignment="1">
      <alignment horizontal="center"/>
    </xf>
    <xf numFmtId="164" fontId="34" fillId="0" borderId="1" xfId="4" applyNumberFormat="1" applyFont="1" applyFill="1" applyBorder="1" applyAlignment="1">
      <alignment horizontal="center"/>
    </xf>
    <xf numFmtId="168" fontId="34" fillId="7" borderId="1" xfId="0" applyNumberFormat="1" applyFont="1" applyFill="1" applyBorder="1" applyAlignment="1">
      <alignment horizontal="center"/>
    </xf>
    <xf numFmtId="164" fontId="34" fillId="7" borderId="1" xfId="0" applyNumberFormat="1" applyFont="1" applyFill="1" applyBorder="1" applyAlignment="1">
      <alignment horizontal="center"/>
    </xf>
    <xf numFmtId="1" fontId="34" fillId="5" borderId="1" xfId="0" applyNumberFormat="1" applyFont="1" applyFill="1" applyBorder="1" applyAlignment="1">
      <alignment horizontal="center"/>
    </xf>
    <xf numFmtId="168" fontId="34" fillId="7" borderId="1" xfId="1" applyNumberFormat="1" applyFont="1" applyFill="1" applyBorder="1" applyAlignment="1">
      <alignment horizontal="center"/>
    </xf>
    <xf numFmtId="168" fontId="34" fillId="7" borderId="5" xfId="0" applyNumberFormat="1" applyFont="1" applyFill="1" applyBorder="1" applyAlignment="1">
      <alignment horizontal="center"/>
    </xf>
    <xf numFmtId="43" fontId="34" fillId="0" borderId="1" xfId="1" applyFont="1" applyFill="1" applyBorder="1" applyAlignment="1">
      <alignment horizontal="center"/>
    </xf>
    <xf numFmtId="10" fontId="34" fillId="0" borderId="0" xfId="0" applyNumberFormat="1" applyFont="1" applyAlignment="1">
      <alignment horizontal="center"/>
    </xf>
    <xf numFmtId="1" fontId="35" fillId="0" borderId="1" xfId="0" applyNumberFormat="1" applyFont="1" applyBorder="1" applyAlignment="1">
      <alignment horizontal="center"/>
    </xf>
    <xf numFmtId="1" fontId="35" fillId="0" borderId="1" xfId="4" applyNumberFormat="1" applyFont="1" applyFill="1" applyBorder="1" applyAlignment="1">
      <alignment horizontal="center"/>
    </xf>
    <xf numFmtId="164" fontId="35" fillId="0" borderId="1" xfId="0" applyNumberFormat="1" applyFont="1" applyBorder="1" applyAlignment="1">
      <alignment horizontal="center"/>
    </xf>
    <xf numFmtId="164" fontId="35" fillId="0" borderId="1" xfId="4" applyNumberFormat="1" applyFont="1" applyFill="1" applyBorder="1" applyAlignment="1">
      <alignment horizontal="center"/>
    </xf>
    <xf numFmtId="168" fontId="35" fillId="7" borderId="1" xfId="0" applyNumberFormat="1" applyFont="1" applyFill="1" applyBorder="1" applyAlignment="1">
      <alignment horizontal="center"/>
    </xf>
    <xf numFmtId="164" fontId="35" fillId="7" borderId="1" xfId="0" applyNumberFormat="1" applyFont="1" applyFill="1" applyBorder="1" applyAlignment="1">
      <alignment horizontal="center"/>
    </xf>
    <xf numFmtId="1" fontId="35" fillId="5" borderId="1" xfId="0" applyNumberFormat="1" applyFont="1" applyFill="1" applyBorder="1" applyAlignment="1">
      <alignment horizontal="center"/>
    </xf>
    <xf numFmtId="168" fontId="35" fillId="7" borderId="1" xfId="1" applyNumberFormat="1" applyFont="1" applyFill="1" applyBorder="1" applyAlignment="1">
      <alignment horizontal="center"/>
    </xf>
    <xf numFmtId="168" fontId="35" fillId="7" borderId="5" xfId="0" applyNumberFormat="1" applyFont="1" applyFill="1" applyBorder="1" applyAlignment="1">
      <alignment horizontal="center"/>
    </xf>
    <xf numFmtId="43" fontId="35" fillId="0" borderId="1" xfId="1" applyFont="1" applyFill="1" applyBorder="1" applyAlignment="1">
      <alignment horizontal="center"/>
    </xf>
    <xf numFmtId="10" fontId="35" fillId="0" borderId="0" xfId="0" applyNumberFormat="1" applyFont="1" applyAlignment="1">
      <alignment horizontal="center"/>
    </xf>
    <xf numFmtId="1" fontId="36" fillId="0" borderId="1" xfId="0" applyNumberFormat="1" applyFont="1" applyBorder="1" applyAlignment="1">
      <alignment horizontal="center"/>
    </xf>
    <xf numFmtId="1" fontId="36" fillId="0" borderId="1" xfId="4" applyNumberFormat="1" applyFont="1" applyFill="1" applyBorder="1" applyAlignment="1">
      <alignment horizontal="center"/>
    </xf>
    <xf numFmtId="164" fontId="36" fillId="0" borderId="1" xfId="0" applyNumberFormat="1" applyFont="1" applyBorder="1" applyAlignment="1">
      <alignment horizontal="center"/>
    </xf>
    <xf numFmtId="164" fontId="36" fillId="0" borderId="1" xfId="4" applyNumberFormat="1" applyFont="1" applyFill="1" applyBorder="1" applyAlignment="1">
      <alignment horizontal="center"/>
    </xf>
    <xf numFmtId="168" fontId="36" fillId="7" borderId="1" xfId="0" applyNumberFormat="1" applyFont="1" applyFill="1" applyBorder="1" applyAlignment="1">
      <alignment horizontal="center"/>
    </xf>
    <xf numFmtId="164" fontId="36" fillId="7" borderId="1" xfId="0" applyNumberFormat="1" applyFont="1" applyFill="1" applyBorder="1" applyAlignment="1">
      <alignment horizontal="center"/>
    </xf>
    <xf numFmtId="1" fontId="36" fillId="5" borderId="1" xfId="0" applyNumberFormat="1" applyFont="1" applyFill="1" applyBorder="1" applyAlignment="1">
      <alignment horizontal="center"/>
    </xf>
    <xf numFmtId="168" fontId="36" fillId="7" borderId="1" xfId="1" applyNumberFormat="1" applyFont="1" applyFill="1" applyBorder="1" applyAlignment="1">
      <alignment horizontal="center"/>
    </xf>
    <xf numFmtId="168" fontId="36" fillId="7" borderId="5" xfId="0" applyNumberFormat="1" applyFont="1" applyFill="1" applyBorder="1" applyAlignment="1">
      <alignment horizontal="center"/>
    </xf>
    <xf numFmtId="43" fontId="36" fillId="0" borderId="1" xfId="1" applyFont="1" applyFill="1" applyBorder="1" applyAlignment="1">
      <alignment horizontal="center"/>
    </xf>
    <xf numFmtId="10" fontId="36" fillId="0" borderId="0" xfId="0" applyNumberFormat="1" applyFont="1" applyAlignment="1">
      <alignment horizontal="center"/>
    </xf>
    <xf numFmtId="1" fontId="37" fillId="0" borderId="1" xfId="0" applyNumberFormat="1" applyFont="1" applyBorder="1" applyAlignment="1">
      <alignment horizontal="center"/>
    </xf>
    <xf numFmtId="1" fontId="37" fillId="0" borderId="1" xfId="4" applyNumberFormat="1" applyFont="1" applyFill="1" applyBorder="1" applyAlignment="1">
      <alignment horizontal="center"/>
    </xf>
    <xf numFmtId="164" fontId="37" fillId="0" borderId="1" xfId="0" applyNumberFormat="1" applyFont="1" applyBorder="1" applyAlignment="1">
      <alignment horizontal="center"/>
    </xf>
    <xf numFmtId="164" fontId="37" fillId="0" borderId="1" xfId="4" applyNumberFormat="1" applyFont="1" applyFill="1" applyBorder="1" applyAlignment="1">
      <alignment horizontal="center"/>
    </xf>
    <xf numFmtId="168" fontId="37" fillId="7" borderId="1" xfId="0" applyNumberFormat="1" applyFont="1" applyFill="1" applyBorder="1" applyAlignment="1">
      <alignment horizontal="center"/>
    </xf>
    <xf numFmtId="164" fontId="37" fillId="7" borderId="1" xfId="0" applyNumberFormat="1" applyFont="1" applyFill="1" applyBorder="1" applyAlignment="1">
      <alignment horizontal="center"/>
    </xf>
    <xf numFmtId="1" fontId="37" fillId="5" borderId="1" xfId="0" applyNumberFormat="1" applyFont="1" applyFill="1" applyBorder="1" applyAlignment="1">
      <alignment horizontal="center"/>
    </xf>
    <xf numFmtId="168" fontId="37" fillId="7" borderId="1" xfId="1" applyNumberFormat="1" applyFont="1" applyFill="1" applyBorder="1" applyAlignment="1">
      <alignment horizontal="center"/>
    </xf>
    <xf numFmtId="168" fontId="37" fillId="7" borderId="5" xfId="0" applyNumberFormat="1" applyFont="1" applyFill="1" applyBorder="1" applyAlignment="1">
      <alignment horizontal="center"/>
    </xf>
    <xf numFmtId="43" fontId="37" fillId="0" borderId="1" xfId="1" applyFont="1" applyFill="1" applyBorder="1" applyAlignment="1">
      <alignment horizontal="center"/>
    </xf>
    <xf numFmtId="10" fontId="37" fillId="0" borderId="0" xfId="0" applyNumberFormat="1" applyFont="1" applyAlignment="1">
      <alignment horizontal="center"/>
    </xf>
    <xf numFmtId="0" fontId="38" fillId="24" borderId="59" xfId="0" applyFont="1" applyFill="1" applyBorder="1" applyAlignment="1">
      <alignment horizontal="center" vertical="center"/>
    </xf>
    <xf numFmtId="0" fontId="38" fillId="23" borderId="44" xfId="0" applyFont="1" applyFill="1" applyBorder="1" applyAlignment="1">
      <alignment horizontal="center" vertical="center"/>
    </xf>
    <xf numFmtId="0" fontId="38" fillId="23" borderId="61" xfId="0" applyFont="1" applyFill="1" applyBorder="1" applyAlignment="1">
      <alignment horizontal="center" vertical="center"/>
    </xf>
    <xf numFmtId="0" fontId="38" fillId="24" borderId="44" xfId="0" applyFont="1" applyFill="1" applyBorder="1" applyAlignment="1">
      <alignment horizontal="center" vertical="center"/>
    </xf>
    <xf numFmtId="0" fontId="38" fillId="24" borderId="61" xfId="0" applyFont="1" applyFill="1" applyBorder="1" applyAlignment="1">
      <alignment horizontal="center" vertical="center"/>
    </xf>
    <xf numFmtId="15" fontId="0" fillId="0" borderId="44" xfId="0" applyNumberFormat="1" applyBorder="1" applyAlignment="1">
      <alignment horizontal="center" vertical="center"/>
    </xf>
    <xf numFmtId="15" fontId="38" fillId="2" borderId="44" xfId="0" applyNumberFormat="1" applyFont="1" applyFill="1" applyBorder="1" applyAlignment="1">
      <alignment horizontal="center" vertical="center"/>
    </xf>
    <xf numFmtId="2" fontId="0" fillId="0" borderId="44" xfId="0" applyNumberFormat="1" applyBorder="1" applyAlignment="1">
      <alignment horizontal="center" vertical="center"/>
    </xf>
    <xf numFmtId="1" fontId="0" fillId="0" borderId="44" xfId="0" applyNumberFormat="1" applyBorder="1" applyAlignment="1">
      <alignment horizontal="center"/>
    </xf>
    <xf numFmtId="15" fontId="39" fillId="0" borderId="44" xfId="0" applyNumberFormat="1" applyFont="1" applyBorder="1"/>
    <xf numFmtId="1" fontId="0" fillId="0" borderId="59" xfId="0" applyNumberFormat="1" applyBorder="1" applyAlignment="1">
      <alignment horizontal="center"/>
    </xf>
    <xf numFmtId="15" fontId="39" fillId="0" borderId="62" xfId="0" applyNumberFormat="1" applyFont="1" applyBorder="1"/>
    <xf numFmtId="0" fontId="0" fillId="0" borderId="44" xfId="0" applyBorder="1" applyAlignment="1">
      <alignment horizontal="center"/>
    </xf>
    <xf numFmtId="0" fontId="39" fillId="0" borderId="62" xfId="0" applyFont="1" applyBorder="1"/>
    <xf numFmtId="14" fontId="0" fillId="0" borderId="44" xfId="0" applyNumberFormat="1" applyBorder="1" applyAlignment="1">
      <alignment horizontal="center" vertical="center"/>
    </xf>
    <xf numFmtId="14" fontId="38" fillId="2" borderId="44" xfId="0" applyNumberFormat="1" applyFont="1" applyFill="1" applyBorder="1" applyAlignment="1">
      <alignment horizontal="center" vertical="center"/>
    </xf>
    <xf numFmtId="0" fontId="38" fillId="23" borderId="66" xfId="0" applyFont="1" applyFill="1" applyBorder="1" applyAlignment="1">
      <alignment horizontal="center" vertical="center"/>
    </xf>
    <xf numFmtId="0" fontId="0" fillId="24" borderId="71" xfId="0" applyFill="1" applyBorder="1" applyAlignment="1">
      <alignment vertical="center" wrapText="1"/>
    </xf>
    <xf numFmtId="0" fontId="0" fillId="5" borderId="70" xfId="0" applyFill="1" applyBorder="1" applyAlignment="1">
      <alignment horizontal="center"/>
    </xf>
    <xf numFmtId="0" fontId="0" fillId="0" borderId="71" xfId="0" applyBorder="1"/>
    <xf numFmtId="0" fontId="0" fillId="0" borderId="72" xfId="0" applyBorder="1" applyAlignment="1">
      <alignment horizontal="center" vertical="center"/>
    </xf>
    <xf numFmtId="0" fontId="0" fillId="0" borderId="73" xfId="0" applyBorder="1" applyAlignment="1">
      <alignment horizontal="center" vertical="center"/>
    </xf>
    <xf numFmtId="0" fontId="38" fillId="5" borderId="22" xfId="0" applyFont="1" applyFill="1" applyBorder="1" applyAlignment="1">
      <alignment vertical="center"/>
    </xf>
    <xf numFmtId="0" fontId="0" fillId="5" borderId="23" xfId="0" applyFill="1" applyBorder="1"/>
    <xf numFmtId="15" fontId="40" fillId="25" borderId="62" xfId="0" applyNumberFormat="1" applyFont="1" applyFill="1" applyBorder="1" applyAlignment="1">
      <alignment horizontal="center" vertical="center"/>
    </xf>
    <xf numFmtId="15" fontId="40" fillId="25" borderId="44" xfId="0" applyNumberFormat="1" applyFont="1" applyFill="1" applyBorder="1" applyAlignment="1">
      <alignment horizontal="center" vertical="center"/>
    </xf>
    <xf numFmtId="1" fontId="41" fillId="0" borderId="1" xfId="0" applyNumberFormat="1" applyFont="1" applyBorder="1" applyAlignment="1">
      <alignment horizontal="center"/>
    </xf>
    <xf numFmtId="1" fontId="41" fillId="0" borderId="1" xfId="4" applyNumberFormat="1" applyFont="1" applyFill="1" applyBorder="1" applyAlignment="1">
      <alignment horizontal="center"/>
    </xf>
    <xf numFmtId="164" fontId="41" fillId="0" borderId="1" xfId="0" applyNumberFormat="1" applyFont="1" applyBorder="1" applyAlignment="1">
      <alignment horizontal="center"/>
    </xf>
    <xf numFmtId="164" fontId="41" fillId="0" borderId="1" xfId="4" applyNumberFormat="1" applyFont="1" applyFill="1" applyBorder="1" applyAlignment="1">
      <alignment horizontal="center"/>
    </xf>
    <xf numFmtId="168" fontId="41" fillId="7" borderId="1" xfId="0" applyNumberFormat="1" applyFont="1" applyFill="1" applyBorder="1" applyAlignment="1">
      <alignment horizontal="center"/>
    </xf>
    <xf numFmtId="164" fontId="41" fillId="7" borderId="1" xfId="0" applyNumberFormat="1" applyFont="1" applyFill="1" applyBorder="1" applyAlignment="1">
      <alignment horizontal="center"/>
    </xf>
    <xf numFmtId="1" fontId="41" fillId="5" borderId="1" xfId="0" applyNumberFormat="1" applyFont="1" applyFill="1" applyBorder="1" applyAlignment="1">
      <alignment horizontal="center"/>
    </xf>
    <xf numFmtId="168" fontId="41" fillId="7" borderId="1" xfId="1" applyNumberFormat="1" applyFont="1" applyFill="1" applyBorder="1" applyAlignment="1">
      <alignment horizontal="center"/>
    </xf>
    <xf numFmtId="168" fontId="41" fillId="7" borderId="5" xfId="0" applyNumberFormat="1" applyFont="1" applyFill="1" applyBorder="1" applyAlignment="1">
      <alignment horizontal="center"/>
    </xf>
    <xf numFmtId="43" fontId="41" fillId="0" borderId="1" xfId="1" applyFont="1" applyFill="1" applyBorder="1" applyAlignment="1">
      <alignment horizontal="center"/>
    </xf>
    <xf numFmtId="10" fontId="41" fillId="0" borderId="0" xfId="0" applyNumberFormat="1" applyFont="1" applyAlignment="1">
      <alignment horizontal="center"/>
    </xf>
    <xf numFmtId="1" fontId="42" fillId="0" borderId="1" xfId="0" applyNumberFormat="1" applyFont="1" applyBorder="1" applyAlignment="1">
      <alignment horizontal="center"/>
    </xf>
    <xf numFmtId="1" fontId="42" fillId="0" borderId="1" xfId="4" applyNumberFormat="1" applyFont="1" applyFill="1" applyBorder="1" applyAlignment="1">
      <alignment horizontal="center"/>
    </xf>
    <xf numFmtId="164" fontId="42" fillId="0" borderId="1" xfId="0" applyNumberFormat="1" applyFont="1" applyBorder="1" applyAlignment="1">
      <alignment horizontal="center"/>
    </xf>
    <xf numFmtId="164" fontId="42" fillId="0" borderId="1" xfId="4" applyNumberFormat="1" applyFont="1" applyFill="1" applyBorder="1" applyAlignment="1">
      <alignment horizontal="center"/>
    </xf>
    <xf numFmtId="168" fontId="42" fillId="7" borderId="1" xfId="0" applyNumberFormat="1" applyFont="1" applyFill="1" applyBorder="1" applyAlignment="1">
      <alignment horizontal="center"/>
    </xf>
    <xf numFmtId="164" fontId="42" fillId="7" borderId="1" xfId="0" applyNumberFormat="1" applyFont="1" applyFill="1" applyBorder="1" applyAlignment="1">
      <alignment horizontal="center"/>
    </xf>
    <xf numFmtId="1" fontId="42" fillId="5" borderId="1" xfId="0" applyNumberFormat="1" applyFont="1" applyFill="1" applyBorder="1" applyAlignment="1">
      <alignment horizontal="center"/>
    </xf>
    <xf numFmtId="168" fontId="42" fillId="7" borderId="1" xfId="1" applyNumberFormat="1" applyFont="1" applyFill="1" applyBorder="1" applyAlignment="1">
      <alignment horizontal="center"/>
    </xf>
    <xf numFmtId="168" fontId="42" fillId="7" borderId="5" xfId="0" applyNumberFormat="1" applyFont="1" applyFill="1" applyBorder="1" applyAlignment="1">
      <alignment horizontal="center"/>
    </xf>
    <xf numFmtId="43" fontId="42" fillId="0" borderId="1" xfId="1" applyFont="1" applyFill="1" applyBorder="1" applyAlignment="1">
      <alignment horizontal="center"/>
    </xf>
    <xf numFmtId="10" fontId="42" fillId="0" borderId="0" xfId="0" applyNumberFormat="1" applyFont="1" applyAlignment="1">
      <alignment horizontal="center"/>
    </xf>
    <xf numFmtId="1" fontId="43" fillId="0" borderId="1" xfId="0" applyNumberFormat="1" applyFont="1" applyBorder="1" applyAlignment="1">
      <alignment horizontal="center"/>
    </xf>
    <xf numFmtId="1" fontId="43" fillId="0" borderId="1" xfId="4" applyNumberFormat="1" applyFont="1" applyFill="1" applyBorder="1" applyAlignment="1">
      <alignment horizontal="center"/>
    </xf>
    <xf numFmtId="164" fontId="43" fillId="0" borderId="1" xfId="0" applyNumberFormat="1" applyFont="1" applyBorder="1" applyAlignment="1">
      <alignment horizontal="center"/>
    </xf>
    <xf numFmtId="164" fontId="43" fillId="0" borderId="1" xfId="4" applyNumberFormat="1" applyFont="1" applyFill="1" applyBorder="1" applyAlignment="1">
      <alignment horizontal="center"/>
    </xf>
    <xf numFmtId="168" fontId="43" fillId="7" borderId="1" xfId="0" applyNumberFormat="1" applyFont="1" applyFill="1" applyBorder="1" applyAlignment="1">
      <alignment horizontal="center"/>
    </xf>
    <xf numFmtId="164" fontId="43" fillId="7" borderId="1" xfId="0" applyNumberFormat="1" applyFont="1" applyFill="1" applyBorder="1" applyAlignment="1">
      <alignment horizontal="center"/>
    </xf>
    <xf numFmtId="1" fontId="43" fillId="5" borderId="1" xfId="0" applyNumberFormat="1" applyFont="1" applyFill="1" applyBorder="1" applyAlignment="1">
      <alignment horizontal="center"/>
    </xf>
    <xf numFmtId="168" fontId="43" fillId="7" borderId="1" xfId="1" applyNumberFormat="1" applyFont="1" applyFill="1" applyBorder="1" applyAlignment="1">
      <alignment horizontal="center"/>
    </xf>
    <xf numFmtId="168" fontId="43" fillId="7" borderId="5" xfId="0" applyNumberFormat="1" applyFont="1" applyFill="1" applyBorder="1" applyAlignment="1">
      <alignment horizontal="center"/>
    </xf>
    <xf numFmtId="43" fontId="43" fillId="0" borderId="1" xfId="1" applyFont="1" applyFill="1" applyBorder="1" applyAlignment="1">
      <alignment horizontal="center"/>
    </xf>
    <xf numFmtId="10" fontId="43" fillId="0" borderId="0" xfId="0" applyNumberFormat="1" applyFont="1" applyAlignment="1">
      <alignment horizontal="center"/>
    </xf>
    <xf numFmtId="1" fontId="44" fillId="0" borderId="1" xfId="4" applyNumberFormat="1" applyFont="1" applyFill="1" applyBorder="1" applyAlignment="1">
      <alignment horizontal="center"/>
    </xf>
    <xf numFmtId="168" fontId="44" fillId="7" borderId="1" xfId="0" applyNumberFormat="1" applyFont="1" applyFill="1" applyBorder="1" applyAlignment="1">
      <alignment horizontal="center"/>
    </xf>
    <xf numFmtId="164" fontId="44" fillId="7" borderId="1" xfId="0" applyNumberFormat="1" applyFont="1" applyFill="1" applyBorder="1" applyAlignment="1">
      <alignment horizontal="center"/>
    </xf>
    <xf numFmtId="1" fontId="44" fillId="5" borderId="1" xfId="0" applyNumberFormat="1" applyFont="1" applyFill="1" applyBorder="1" applyAlignment="1">
      <alignment horizontal="center"/>
    </xf>
    <xf numFmtId="168" fontId="44" fillId="7" borderId="1" xfId="1" applyNumberFormat="1" applyFont="1" applyFill="1" applyBorder="1" applyAlignment="1">
      <alignment horizontal="center"/>
    </xf>
    <xf numFmtId="168" fontId="44" fillId="7" borderId="5" xfId="0" applyNumberFormat="1" applyFont="1" applyFill="1" applyBorder="1" applyAlignment="1">
      <alignment horizontal="center"/>
    </xf>
    <xf numFmtId="10" fontId="44" fillId="0" borderId="1" xfId="1" applyNumberFormat="1" applyFont="1" applyFill="1" applyBorder="1" applyAlignment="1">
      <alignment horizontal="center"/>
    </xf>
    <xf numFmtId="43" fontId="44" fillId="0" borderId="1" xfId="1" applyFont="1" applyFill="1" applyBorder="1" applyAlignment="1">
      <alignment horizontal="center"/>
    </xf>
    <xf numFmtId="10" fontId="44" fillId="0" borderId="0" xfId="0" applyNumberFormat="1" applyFont="1" applyAlignment="1">
      <alignment horizontal="center"/>
    </xf>
    <xf numFmtId="164" fontId="44" fillId="0" borderId="1" xfId="4" applyNumberFormat="1" applyFont="1" applyFill="1" applyBorder="1" applyAlignment="1">
      <alignment horizontal="center"/>
    </xf>
    <xf numFmtId="1" fontId="44" fillId="0" borderId="1" xfId="0" applyNumberFormat="1" applyFont="1" applyBorder="1" applyAlignment="1">
      <alignment horizontal="center"/>
    </xf>
    <xf numFmtId="164" fontId="44" fillId="0" borderId="1" xfId="0" applyNumberFormat="1" applyFont="1" applyBorder="1" applyAlignment="1">
      <alignment horizontal="center"/>
    </xf>
    <xf numFmtId="1" fontId="45" fillId="0" borderId="1" xfId="0" applyNumberFormat="1" applyFont="1" applyBorder="1" applyAlignment="1">
      <alignment horizontal="center"/>
    </xf>
    <xf numFmtId="1" fontId="45" fillId="0" borderId="1" xfId="4" applyNumberFormat="1" applyFont="1" applyFill="1" applyBorder="1" applyAlignment="1">
      <alignment horizontal="center"/>
    </xf>
    <xf numFmtId="164" fontId="45" fillId="0" borderId="1" xfId="0" applyNumberFormat="1" applyFont="1" applyBorder="1" applyAlignment="1">
      <alignment horizontal="center"/>
    </xf>
    <xf numFmtId="164" fontId="45" fillId="0" borderId="1" xfId="4" applyNumberFormat="1" applyFont="1" applyFill="1" applyBorder="1" applyAlignment="1">
      <alignment horizontal="center"/>
    </xf>
    <xf numFmtId="168" fontId="45" fillId="7" borderId="1" xfId="0" applyNumberFormat="1" applyFont="1" applyFill="1" applyBorder="1" applyAlignment="1">
      <alignment horizontal="center"/>
    </xf>
    <xf numFmtId="164" fontId="45" fillId="7" borderId="1" xfId="0" applyNumberFormat="1" applyFont="1" applyFill="1" applyBorder="1" applyAlignment="1">
      <alignment horizontal="center"/>
    </xf>
    <xf numFmtId="1" fontId="45" fillId="5" borderId="1" xfId="0" applyNumberFormat="1" applyFont="1" applyFill="1" applyBorder="1" applyAlignment="1">
      <alignment horizontal="center"/>
    </xf>
    <xf numFmtId="168" fontId="45" fillId="7" borderId="1" xfId="1" applyNumberFormat="1" applyFont="1" applyFill="1" applyBorder="1" applyAlignment="1">
      <alignment horizontal="center"/>
    </xf>
    <xf numFmtId="168" fontId="45" fillId="7" borderId="5" xfId="0" applyNumberFormat="1" applyFont="1" applyFill="1" applyBorder="1" applyAlignment="1">
      <alignment horizontal="center"/>
    </xf>
    <xf numFmtId="10" fontId="45" fillId="0" borderId="1" xfId="1" applyNumberFormat="1" applyFont="1" applyFill="1" applyBorder="1" applyAlignment="1">
      <alignment horizontal="center"/>
    </xf>
    <xf numFmtId="43" fontId="45" fillId="0" borderId="1" xfId="1" applyFont="1" applyFill="1" applyBorder="1" applyAlignment="1">
      <alignment horizontal="center"/>
    </xf>
    <xf numFmtId="10" fontId="45" fillId="0" borderId="0" xfId="0" applyNumberFormat="1" applyFont="1" applyAlignment="1">
      <alignment horizontal="center"/>
    </xf>
    <xf numFmtId="1" fontId="46" fillId="0" borderId="1" xfId="0" applyNumberFormat="1" applyFont="1" applyBorder="1" applyAlignment="1">
      <alignment horizontal="center"/>
    </xf>
    <xf numFmtId="1" fontId="46" fillId="0" borderId="1" xfId="4" applyNumberFormat="1" applyFont="1" applyFill="1" applyBorder="1" applyAlignment="1">
      <alignment horizontal="center"/>
    </xf>
    <xf numFmtId="164" fontId="46" fillId="0" borderId="1" xfId="0" applyNumberFormat="1" applyFont="1" applyBorder="1" applyAlignment="1">
      <alignment horizontal="center"/>
    </xf>
    <xf numFmtId="164" fontId="46" fillId="0" borderId="1" xfId="4" applyNumberFormat="1" applyFont="1" applyFill="1" applyBorder="1" applyAlignment="1">
      <alignment horizontal="center"/>
    </xf>
    <xf numFmtId="168" fontId="46" fillId="7" borderId="1" xfId="0" applyNumberFormat="1" applyFont="1" applyFill="1" applyBorder="1" applyAlignment="1">
      <alignment horizontal="center"/>
    </xf>
    <xf numFmtId="164" fontId="46" fillId="7" borderId="1" xfId="0" applyNumberFormat="1" applyFont="1" applyFill="1" applyBorder="1" applyAlignment="1">
      <alignment horizontal="center"/>
    </xf>
    <xf numFmtId="1" fontId="46" fillId="5" borderId="1" xfId="0" applyNumberFormat="1" applyFont="1" applyFill="1" applyBorder="1" applyAlignment="1">
      <alignment horizontal="center"/>
    </xf>
    <xf numFmtId="168" fontId="46" fillId="7" borderId="1" xfId="1" applyNumberFormat="1" applyFont="1" applyFill="1" applyBorder="1" applyAlignment="1">
      <alignment horizontal="center"/>
    </xf>
    <xf numFmtId="168" fontId="46" fillId="7" borderId="5" xfId="0" applyNumberFormat="1" applyFont="1" applyFill="1" applyBorder="1" applyAlignment="1">
      <alignment horizontal="center"/>
    </xf>
    <xf numFmtId="10" fontId="46" fillId="0" borderId="1" xfId="1" applyNumberFormat="1" applyFont="1" applyFill="1" applyBorder="1" applyAlignment="1">
      <alignment horizontal="center"/>
    </xf>
    <xf numFmtId="43" fontId="46" fillId="0" borderId="1" xfId="1" applyFont="1" applyFill="1" applyBorder="1" applyAlignment="1">
      <alignment horizontal="center"/>
    </xf>
    <xf numFmtId="10" fontId="46" fillId="0" borderId="0" xfId="0" applyNumberFormat="1" applyFont="1" applyAlignment="1">
      <alignment horizontal="center"/>
    </xf>
    <xf numFmtId="1" fontId="47" fillId="0" borderId="1" xfId="0" applyNumberFormat="1" applyFont="1" applyBorder="1" applyAlignment="1">
      <alignment horizontal="center"/>
    </xf>
    <xf numFmtId="1" fontId="47" fillId="0" borderId="1" xfId="4" applyNumberFormat="1" applyFont="1" applyFill="1" applyBorder="1" applyAlignment="1">
      <alignment horizontal="center"/>
    </xf>
    <xf numFmtId="164" fontId="47" fillId="0" borderId="1" xfId="0" applyNumberFormat="1" applyFont="1" applyBorder="1" applyAlignment="1">
      <alignment horizontal="center"/>
    </xf>
    <xf numFmtId="164" fontId="47" fillId="0" borderId="1" xfId="4" applyNumberFormat="1" applyFont="1" applyFill="1" applyBorder="1" applyAlignment="1">
      <alignment horizontal="center"/>
    </xf>
    <xf numFmtId="168" fontId="47" fillId="7" borderId="1" xfId="0" applyNumberFormat="1" applyFont="1" applyFill="1" applyBorder="1" applyAlignment="1">
      <alignment horizontal="center"/>
    </xf>
    <xf numFmtId="164" fontId="47" fillId="7" borderId="1" xfId="0" applyNumberFormat="1" applyFont="1" applyFill="1" applyBorder="1" applyAlignment="1">
      <alignment horizontal="center"/>
    </xf>
    <xf numFmtId="1" fontId="47" fillId="5" borderId="1" xfId="0" applyNumberFormat="1" applyFont="1" applyFill="1" applyBorder="1" applyAlignment="1">
      <alignment horizontal="center"/>
    </xf>
    <xf numFmtId="168" fontId="47" fillId="7" borderId="1" xfId="1" applyNumberFormat="1" applyFont="1" applyFill="1" applyBorder="1" applyAlignment="1">
      <alignment horizontal="center"/>
    </xf>
    <xf numFmtId="168" fontId="47" fillId="7" borderId="5" xfId="0" applyNumberFormat="1" applyFont="1" applyFill="1" applyBorder="1" applyAlignment="1">
      <alignment horizontal="center"/>
    </xf>
    <xf numFmtId="10" fontId="47" fillId="0" borderId="1" xfId="1" applyNumberFormat="1" applyFont="1" applyFill="1" applyBorder="1" applyAlignment="1">
      <alignment horizontal="center"/>
    </xf>
    <xf numFmtId="43" fontId="47" fillId="0" borderId="1" xfId="1" applyFont="1" applyFill="1" applyBorder="1" applyAlignment="1">
      <alignment horizontal="center"/>
    </xf>
    <xf numFmtId="10" fontId="47" fillId="0" borderId="0" xfId="0" applyNumberFormat="1" applyFont="1" applyAlignment="1">
      <alignment horizontal="center"/>
    </xf>
    <xf numFmtId="1" fontId="48" fillId="0" borderId="1" xfId="0" applyNumberFormat="1" applyFont="1" applyBorder="1" applyAlignment="1">
      <alignment horizontal="center"/>
    </xf>
    <xf numFmtId="1" fontId="48" fillId="0" borderId="1" xfId="4" applyNumberFormat="1" applyFont="1" applyFill="1" applyBorder="1" applyAlignment="1">
      <alignment horizontal="center"/>
    </xf>
    <xf numFmtId="164" fontId="48" fillId="0" borderId="1" xfId="0" applyNumberFormat="1" applyFont="1" applyBorder="1" applyAlignment="1">
      <alignment horizontal="center"/>
    </xf>
    <xf numFmtId="164" fontId="48" fillId="0" borderId="1" xfId="4" applyNumberFormat="1" applyFont="1" applyFill="1" applyBorder="1" applyAlignment="1">
      <alignment horizontal="center"/>
    </xf>
    <xf numFmtId="168" fontId="48" fillId="7" borderId="1" xfId="0" applyNumberFormat="1" applyFont="1" applyFill="1" applyBorder="1" applyAlignment="1">
      <alignment horizontal="center"/>
    </xf>
    <xf numFmtId="164" fontId="48" fillId="7" borderId="1" xfId="0" applyNumberFormat="1" applyFont="1" applyFill="1" applyBorder="1" applyAlignment="1">
      <alignment horizontal="center"/>
    </xf>
    <xf numFmtId="1" fontId="48" fillId="5" borderId="1" xfId="0" applyNumberFormat="1" applyFont="1" applyFill="1" applyBorder="1" applyAlignment="1">
      <alignment horizontal="center"/>
    </xf>
    <xf numFmtId="168" fontId="48" fillId="7" borderId="1" xfId="1" applyNumberFormat="1" applyFont="1" applyFill="1" applyBorder="1" applyAlignment="1">
      <alignment horizontal="center"/>
    </xf>
    <xf numFmtId="168" fontId="48" fillId="7" borderId="5" xfId="0" applyNumberFormat="1" applyFont="1" applyFill="1" applyBorder="1" applyAlignment="1">
      <alignment horizontal="center"/>
    </xf>
    <xf numFmtId="10" fontId="48" fillId="0" borderId="1" xfId="1" applyNumberFormat="1" applyFont="1" applyFill="1" applyBorder="1" applyAlignment="1">
      <alignment horizontal="center"/>
    </xf>
    <xf numFmtId="43" fontId="48" fillId="0" borderId="1" xfId="1" applyFont="1" applyFill="1" applyBorder="1" applyAlignment="1">
      <alignment horizontal="center"/>
    </xf>
    <xf numFmtId="10" fontId="48" fillId="0" borderId="0" xfId="0" applyNumberFormat="1" applyFont="1" applyAlignment="1">
      <alignment horizontal="center"/>
    </xf>
    <xf numFmtId="0" fontId="5" fillId="3" borderId="0" xfId="104" applyFont="1" applyFill="1" applyAlignment="1">
      <alignment horizontal="center" vertical="center" wrapText="1"/>
    </xf>
    <xf numFmtId="165" fontId="5" fillId="3" borderId="0" xfId="104" applyNumberFormat="1" applyFont="1" applyFill="1" applyAlignment="1">
      <alignment horizontal="center" vertical="center" wrapText="1"/>
    </xf>
    <xf numFmtId="43"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9" fontId="0" fillId="0" borderId="0" xfId="0" applyNumberFormat="1" applyAlignment="1">
      <alignment horizontal="center" vertical="center"/>
    </xf>
    <xf numFmtId="2" fontId="0" fillId="7" borderId="8" xfId="0" applyNumberFormat="1" applyFill="1" applyBorder="1" applyAlignment="1">
      <alignment horizontal="center" vertical="center"/>
    </xf>
    <xf numFmtId="43" fontId="0" fillId="0" borderId="0" xfId="122" applyFont="1" applyFill="1" applyAlignment="1">
      <alignment horizontal="center" vertical="center"/>
    </xf>
    <xf numFmtId="9" fontId="0" fillId="0" borderId="0" xfId="0" applyNumberFormat="1" applyAlignment="1">
      <alignment horizontal="center" vertical="center"/>
    </xf>
    <xf numFmtId="170" fontId="0" fillId="0" borderId="0" xfId="0" applyNumberFormat="1" applyAlignment="1">
      <alignment vertical="center"/>
    </xf>
    <xf numFmtId="170" fontId="26" fillId="0" borderId="0" xfId="0" applyNumberFormat="1" applyFont="1" applyAlignment="1">
      <alignment vertical="center"/>
    </xf>
    <xf numFmtId="170"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75" xfId="104" applyFont="1" applyFill="1" applyBorder="1" applyAlignment="1">
      <alignment horizontal="center" vertical="center" wrapText="1"/>
    </xf>
    <xf numFmtId="0" fontId="5" fillId="3" borderId="76" xfId="104" applyFont="1" applyFill="1" applyBorder="1" applyAlignment="1">
      <alignment horizontal="center" vertical="center" wrapText="1"/>
    </xf>
    <xf numFmtId="165" fontId="5" fillId="3" borderId="76"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0"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69" fontId="0" fillId="0" borderId="0" xfId="103" applyNumberFormat="1" applyFont="1" applyFill="1" applyAlignment="1">
      <alignment horizontal="center"/>
    </xf>
    <xf numFmtId="170"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43"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 fontId="49" fillId="0" borderId="1" xfId="0" applyNumberFormat="1" applyFont="1" applyBorder="1" applyAlignment="1">
      <alignment horizontal="center"/>
    </xf>
    <xf numFmtId="1" fontId="49" fillId="0" borderId="1" xfId="4" applyNumberFormat="1" applyFont="1" applyFill="1" applyBorder="1" applyAlignment="1">
      <alignment horizontal="center"/>
    </xf>
    <xf numFmtId="164" fontId="49" fillId="0" borderId="1" xfId="0" applyNumberFormat="1" applyFont="1" applyBorder="1" applyAlignment="1">
      <alignment horizontal="center"/>
    </xf>
    <xf numFmtId="164" fontId="49" fillId="0" borderId="1" xfId="4" applyNumberFormat="1" applyFont="1" applyFill="1" applyBorder="1" applyAlignment="1">
      <alignment horizontal="center"/>
    </xf>
    <xf numFmtId="168" fontId="49" fillId="7" borderId="1" xfId="0" applyNumberFormat="1" applyFont="1" applyFill="1" applyBorder="1" applyAlignment="1">
      <alignment horizontal="center"/>
    </xf>
    <xf numFmtId="164" fontId="49" fillId="7" borderId="1" xfId="0" applyNumberFormat="1" applyFont="1" applyFill="1" applyBorder="1" applyAlignment="1">
      <alignment horizontal="center"/>
    </xf>
    <xf numFmtId="1" fontId="49" fillId="5" borderId="1" xfId="0" applyNumberFormat="1" applyFont="1" applyFill="1" applyBorder="1" applyAlignment="1">
      <alignment horizontal="center"/>
    </xf>
    <xf numFmtId="168" fontId="49" fillId="7" borderId="1" xfId="1" applyNumberFormat="1" applyFont="1" applyFill="1" applyBorder="1" applyAlignment="1">
      <alignment horizontal="center"/>
    </xf>
    <xf numFmtId="168" fontId="49" fillId="7" borderId="5" xfId="0" applyNumberFormat="1" applyFont="1" applyFill="1" applyBorder="1" applyAlignment="1">
      <alignment horizontal="center"/>
    </xf>
    <xf numFmtId="10" fontId="49" fillId="0" borderId="1" xfId="1" applyNumberFormat="1" applyFont="1" applyFill="1" applyBorder="1" applyAlignment="1">
      <alignment horizontal="center"/>
    </xf>
    <xf numFmtId="43" fontId="49" fillId="0" borderId="1" xfId="1" applyFont="1" applyFill="1" applyBorder="1" applyAlignment="1">
      <alignment horizontal="center"/>
    </xf>
    <xf numFmtId="10" fontId="49" fillId="0" borderId="0" xfId="0" applyNumberFormat="1" applyFont="1" applyAlignment="1">
      <alignment horizontal="center"/>
    </xf>
    <xf numFmtId="1" fontId="50" fillId="0" borderId="1" xfId="0" applyNumberFormat="1" applyFont="1" applyBorder="1" applyAlignment="1">
      <alignment horizontal="center"/>
    </xf>
    <xf numFmtId="1" fontId="50" fillId="0" borderId="1" xfId="4" applyNumberFormat="1" applyFont="1" applyFill="1" applyBorder="1" applyAlignment="1">
      <alignment horizontal="center"/>
    </xf>
    <xf numFmtId="164" fontId="50" fillId="0" borderId="1" xfId="0" applyNumberFormat="1" applyFont="1" applyBorder="1" applyAlignment="1">
      <alignment horizontal="center"/>
    </xf>
    <xf numFmtId="164" fontId="50" fillId="0" borderId="1" xfId="4" applyNumberFormat="1" applyFont="1" applyFill="1" applyBorder="1" applyAlignment="1">
      <alignment horizontal="center"/>
    </xf>
    <xf numFmtId="168" fontId="50" fillId="7" borderId="1" xfId="0" applyNumberFormat="1" applyFont="1" applyFill="1" applyBorder="1" applyAlignment="1">
      <alignment horizontal="center"/>
    </xf>
    <xf numFmtId="164" fontId="50" fillId="7" borderId="1" xfId="0" applyNumberFormat="1" applyFont="1" applyFill="1" applyBorder="1" applyAlignment="1">
      <alignment horizontal="center"/>
    </xf>
    <xf numFmtId="1" fontId="50" fillId="5" borderId="1" xfId="0" applyNumberFormat="1" applyFont="1" applyFill="1" applyBorder="1" applyAlignment="1">
      <alignment horizontal="center"/>
    </xf>
    <xf numFmtId="168" fontId="50" fillId="7" borderId="1" xfId="1" applyNumberFormat="1" applyFont="1" applyFill="1" applyBorder="1" applyAlignment="1">
      <alignment horizontal="center"/>
    </xf>
    <xf numFmtId="168" fontId="50" fillId="7" borderId="5" xfId="0" applyNumberFormat="1" applyFont="1" applyFill="1" applyBorder="1" applyAlignment="1">
      <alignment horizontal="center"/>
    </xf>
    <xf numFmtId="10" fontId="50" fillId="0" borderId="1" xfId="1" applyNumberFormat="1" applyFont="1" applyFill="1" applyBorder="1" applyAlignment="1">
      <alignment horizontal="center"/>
    </xf>
    <xf numFmtId="43" fontId="50" fillId="0" borderId="1" xfId="1" applyFont="1" applyFill="1" applyBorder="1" applyAlignment="1">
      <alignment horizontal="center"/>
    </xf>
    <xf numFmtId="10" fontId="50" fillId="0" borderId="0" xfId="0" applyNumberFormat="1" applyFont="1" applyAlignment="1">
      <alignment horizontal="center"/>
    </xf>
    <xf numFmtId="1" fontId="51" fillId="0" borderId="1" xfId="0" applyNumberFormat="1" applyFont="1" applyBorder="1" applyAlignment="1">
      <alignment horizontal="center"/>
    </xf>
    <xf numFmtId="1" fontId="51" fillId="0" borderId="1" xfId="4" applyNumberFormat="1" applyFont="1" applyFill="1" applyBorder="1" applyAlignment="1">
      <alignment horizontal="center"/>
    </xf>
    <xf numFmtId="164" fontId="51" fillId="0" borderId="1" xfId="0" applyNumberFormat="1" applyFont="1" applyBorder="1" applyAlignment="1">
      <alignment horizontal="center"/>
    </xf>
    <xf numFmtId="164" fontId="51" fillId="0" borderId="1" xfId="4" applyNumberFormat="1" applyFont="1" applyFill="1" applyBorder="1" applyAlignment="1">
      <alignment horizontal="center"/>
    </xf>
    <xf numFmtId="168" fontId="51" fillId="7" borderId="1" xfId="0" applyNumberFormat="1" applyFont="1" applyFill="1" applyBorder="1" applyAlignment="1">
      <alignment horizontal="center"/>
    </xf>
    <xf numFmtId="164" fontId="51" fillId="7" borderId="1" xfId="0" applyNumberFormat="1" applyFont="1" applyFill="1" applyBorder="1" applyAlignment="1">
      <alignment horizontal="center"/>
    </xf>
    <xf numFmtId="1" fontId="51" fillId="5" borderId="1" xfId="0" applyNumberFormat="1" applyFont="1" applyFill="1" applyBorder="1" applyAlignment="1">
      <alignment horizontal="center"/>
    </xf>
    <xf numFmtId="168" fontId="51" fillId="7" borderId="1" xfId="1" applyNumberFormat="1" applyFont="1" applyFill="1" applyBorder="1" applyAlignment="1">
      <alignment horizontal="center"/>
    </xf>
    <xf numFmtId="168" fontId="51" fillId="7" borderId="5" xfId="0" applyNumberFormat="1" applyFont="1" applyFill="1" applyBorder="1" applyAlignment="1">
      <alignment horizontal="center"/>
    </xf>
    <xf numFmtId="10" fontId="51" fillId="0" borderId="1" xfId="1" applyNumberFormat="1" applyFont="1" applyFill="1" applyBorder="1" applyAlignment="1">
      <alignment horizontal="center"/>
    </xf>
    <xf numFmtId="43" fontId="51" fillId="0" borderId="1" xfId="1" applyFont="1" applyFill="1" applyBorder="1" applyAlignment="1">
      <alignment horizontal="center"/>
    </xf>
    <xf numFmtId="10" fontId="51" fillId="0" borderId="0" xfId="0" applyNumberFormat="1" applyFont="1" applyAlignment="1">
      <alignment horizontal="center"/>
    </xf>
    <xf numFmtId="14" fontId="0" fillId="0" borderId="0" xfId="0" applyNumberFormat="1" applyAlignment="1">
      <alignment vertical="center"/>
    </xf>
    <xf numFmtId="1" fontId="52" fillId="0" borderId="1" xfId="0" applyNumberFormat="1" applyFont="1" applyBorder="1" applyAlignment="1">
      <alignment horizontal="center"/>
    </xf>
    <xf numFmtId="1" fontId="52" fillId="0" borderId="1" xfId="4" applyNumberFormat="1" applyFont="1" applyFill="1" applyBorder="1" applyAlignment="1">
      <alignment horizontal="center"/>
    </xf>
    <xf numFmtId="164" fontId="52" fillId="0" borderId="1" xfId="0" applyNumberFormat="1" applyFont="1" applyBorder="1" applyAlignment="1">
      <alignment horizontal="center"/>
    </xf>
    <xf numFmtId="164" fontId="52" fillId="0" borderId="1" xfId="4" applyNumberFormat="1" applyFont="1" applyFill="1" applyBorder="1" applyAlignment="1">
      <alignment horizontal="center"/>
    </xf>
    <xf numFmtId="168" fontId="52" fillId="7" borderId="1" xfId="0" applyNumberFormat="1" applyFont="1" applyFill="1" applyBorder="1" applyAlignment="1">
      <alignment horizontal="center"/>
    </xf>
    <xf numFmtId="164" fontId="52" fillId="7" borderId="1" xfId="0" applyNumberFormat="1" applyFont="1" applyFill="1" applyBorder="1" applyAlignment="1">
      <alignment horizontal="center"/>
    </xf>
    <xf numFmtId="1" fontId="52" fillId="5" borderId="1" xfId="0" applyNumberFormat="1" applyFont="1" applyFill="1" applyBorder="1" applyAlignment="1">
      <alignment horizontal="center"/>
    </xf>
    <xf numFmtId="168" fontId="52" fillId="7" borderId="1" xfId="1" applyNumberFormat="1" applyFont="1" applyFill="1" applyBorder="1" applyAlignment="1">
      <alignment horizontal="center"/>
    </xf>
    <xf numFmtId="168" fontId="52" fillId="7" borderId="5" xfId="0" applyNumberFormat="1" applyFont="1" applyFill="1" applyBorder="1" applyAlignment="1">
      <alignment horizontal="center"/>
    </xf>
    <xf numFmtId="10" fontId="52" fillId="0" borderId="1" xfId="1" applyNumberFormat="1" applyFont="1" applyFill="1" applyBorder="1" applyAlignment="1">
      <alignment horizontal="center"/>
    </xf>
    <xf numFmtId="43" fontId="52" fillId="0" borderId="1" xfId="1" applyFont="1" applyFill="1" applyBorder="1" applyAlignment="1">
      <alignment horizontal="center"/>
    </xf>
    <xf numFmtId="10" fontId="52" fillId="0" borderId="0" xfId="0" applyNumberFormat="1" applyFont="1" applyAlignment="1">
      <alignment horizontal="center"/>
    </xf>
    <xf numFmtId="2" fontId="0" fillId="7" borderId="77" xfId="0" applyNumberFormat="1" applyFill="1" applyBorder="1" applyAlignment="1">
      <alignment horizontal="center"/>
    </xf>
    <xf numFmtId="15" fontId="39" fillId="0" borderId="62" xfId="0" applyNumberFormat="1" applyFont="1" applyBorder="1" applyAlignment="1">
      <alignment horizontal="right"/>
    </xf>
    <xf numFmtId="15" fontId="0" fillId="0" borderId="44" xfId="0" applyNumberFormat="1" applyBorder="1" applyAlignment="1">
      <alignment horizontal="right" vertical="center"/>
    </xf>
    <xf numFmtId="164" fontId="0" fillId="0" borderId="0" xfId="0" applyNumberFormat="1" applyAlignment="1">
      <alignment horizontal="center" vertical="center"/>
    </xf>
    <xf numFmtId="2" fontId="0" fillId="7" borderId="78" xfId="0" applyNumberFormat="1" applyFill="1" applyBorder="1" applyAlignment="1">
      <alignment horizontal="center" vertical="center"/>
    </xf>
    <xf numFmtId="2" fontId="0" fillId="0" borderId="0" xfId="122" applyNumberFormat="1" applyFont="1" applyFill="1" applyBorder="1" applyAlignment="1">
      <alignment horizontal="center" vertical="center"/>
    </xf>
    <xf numFmtId="10" fontId="0" fillId="0" borderId="0" xfId="103" applyNumberFormat="1" applyFont="1" applyBorder="1" applyAlignment="1">
      <alignment horizontal="center" vertical="center"/>
    </xf>
    <xf numFmtId="2" fontId="0" fillId="7" borderId="78" xfId="0" applyNumberFormat="1" applyFill="1" applyBorder="1" applyAlignment="1">
      <alignment horizontal="center"/>
    </xf>
    <xf numFmtId="2" fontId="0" fillId="7" borderId="79" xfId="0" applyNumberFormat="1" applyFill="1" applyBorder="1" applyAlignment="1">
      <alignment horizontal="center"/>
    </xf>
    <xf numFmtId="1" fontId="53" fillId="0" borderId="1" xfId="0" applyNumberFormat="1" applyFont="1" applyBorder="1" applyAlignment="1">
      <alignment horizontal="center"/>
    </xf>
    <xf numFmtId="1" fontId="53" fillId="0" borderId="1" xfId="4" applyNumberFormat="1" applyFont="1" applyFill="1" applyBorder="1" applyAlignment="1">
      <alignment horizontal="center"/>
    </xf>
    <xf numFmtId="164" fontId="53" fillId="0" borderId="1" xfId="0" applyNumberFormat="1" applyFont="1" applyBorder="1" applyAlignment="1">
      <alignment horizontal="center"/>
    </xf>
    <xf numFmtId="164" fontId="53" fillId="0" borderId="1" xfId="4" applyNumberFormat="1" applyFont="1" applyFill="1" applyBorder="1" applyAlignment="1">
      <alignment horizontal="center"/>
    </xf>
    <xf numFmtId="168" fontId="53" fillId="7" borderId="1" xfId="0" applyNumberFormat="1" applyFont="1" applyFill="1" applyBorder="1" applyAlignment="1">
      <alignment horizontal="center"/>
    </xf>
    <xf numFmtId="164" fontId="53" fillId="7" borderId="1" xfId="0" applyNumberFormat="1" applyFont="1" applyFill="1" applyBorder="1" applyAlignment="1">
      <alignment horizontal="center"/>
    </xf>
    <xf numFmtId="1" fontId="53" fillId="5" borderId="1" xfId="0" applyNumberFormat="1" applyFont="1" applyFill="1" applyBorder="1" applyAlignment="1">
      <alignment horizontal="center"/>
    </xf>
    <xf numFmtId="168" fontId="53" fillId="7" borderId="1" xfId="1" applyNumberFormat="1" applyFont="1" applyFill="1" applyBorder="1" applyAlignment="1">
      <alignment horizontal="center"/>
    </xf>
    <xf numFmtId="168" fontId="53" fillId="7" borderId="5" xfId="0" applyNumberFormat="1" applyFont="1" applyFill="1" applyBorder="1" applyAlignment="1">
      <alignment horizontal="center"/>
    </xf>
    <xf numFmtId="10" fontId="53" fillId="0" borderId="1" xfId="1" applyNumberFormat="1" applyFont="1" applyFill="1" applyBorder="1" applyAlignment="1">
      <alignment horizontal="center"/>
    </xf>
    <xf numFmtId="43" fontId="53" fillId="0" borderId="1" xfId="1" applyFont="1" applyFill="1" applyBorder="1" applyAlignment="1">
      <alignment horizontal="center"/>
    </xf>
    <xf numFmtId="10" fontId="53" fillId="0" borderId="0" xfId="0" applyNumberFormat="1" applyFont="1" applyAlignment="1">
      <alignment horizontal="center"/>
    </xf>
    <xf numFmtId="0" fontId="55" fillId="23" borderId="44" xfId="0" applyFont="1" applyFill="1" applyBorder="1" applyAlignment="1">
      <alignment horizontal="center" vertical="center"/>
    </xf>
    <xf numFmtId="20" fontId="0" fillId="0" borderId="44" xfId="0" applyNumberFormat="1" applyBorder="1" applyAlignment="1">
      <alignment horizontal="center" vertical="center"/>
    </xf>
    <xf numFmtId="20" fontId="0" fillId="0" borderId="44" xfId="0" applyNumberFormat="1" applyBorder="1" applyAlignment="1">
      <alignment horizontal="center"/>
    </xf>
    <xf numFmtId="9" fontId="0" fillId="0" borderId="44" xfId="0" applyNumberFormat="1" applyBorder="1" applyAlignment="1">
      <alignment horizontal="center" vertical="center"/>
    </xf>
    <xf numFmtId="9" fontId="0" fillId="0" borderId="44" xfId="0" applyNumberFormat="1" applyBorder="1" applyAlignment="1">
      <alignment horizontal="center"/>
    </xf>
    <xf numFmtId="0" fontId="0" fillId="17" borderId="44" xfId="0" applyFill="1" applyBorder="1" applyAlignment="1">
      <alignment horizontal="center" vertical="center"/>
    </xf>
    <xf numFmtId="14" fontId="54" fillId="17" borderId="44" xfId="54793" applyNumberFormat="1" applyFill="1" applyBorder="1" applyAlignment="1">
      <alignment horizontal="center" vertical="center"/>
    </xf>
    <xf numFmtId="20" fontId="54" fillId="17" borderId="44" xfId="54793" applyNumberFormat="1" applyFill="1" applyBorder="1" applyAlignment="1">
      <alignment horizontal="center"/>
    </xf>
    <xf numFmtId="0" fontId="54" fillId="17" borderId="44" xfId="54793" applyFill="1" applyBorder="1" applyAlignment="1">
      <alignment horizontal="center"/>
    </xf>
    <xf numFmtId="9" fontId="54" fillId="17" borderId="44" xfId="54793" applyNumberFormat="1" applyFill="1" applyBorder="1" applyAlignment="1">
      <alignment horizontal="center"/>
    </xf>
    <xf numFmtId="2" fontId="54" fillId="17" borderId="44" xfId="54793" applyNumberFormat="1" applyFill="1" applyBorder="1" applyAlignment="1">
      <alignment horizontal="center" vertical="center"/>
    </xf>
    <xf numFmtId="0" fontId="54" fillId="17" borderId="44" xfId="54793" applyFill="1" applyBorder="1" applyAlignment="1">
      <alignment horizontal="center" vertical="center"/>
    </xf>
    <xf numFmtId="0" fontId="54" fillId="17" borderId="44" xfId="54793" applyFill="1" applyBorder="1"/>
    <xf numFmtId="0" fontId="54" fillId="5" borderId="0" xfId="54793" applyFill="1"/>
    <xf numFmtId="14" fontId="0" fillId="0" borderId="44" xfId="0" applyNumberFormat="1" applyBorder="1" applyAlignment="1">
      <alignment horizontal="center"/>
    </xf>
    <xf numFmtId="14" fontId="0" fillId="17" borderId="44" xfId="0" applyNumberFormat="1" applyFill="1" applyBorder="1" applyAlignment="1">
      <alignment horizontal="center"/>
    </xf>
    <xf numFmtId="20" fontId="0" fillId="17" borderId="44" xfId="0" applyNumberFormat="1" applyFill="1" applyBorder="1" applyAlignment="1">
      <alignment horizontal="center"/>
    </xf>
    <xf numFmtId="0" fontId="0" fillId="17" borderId="44" xfId="0" applyFill="1" applyBorder="1" applyAlignment="1">
      <alignment horizontal="center"/>
    </xf>
    <xf numFmtId="9" fontId="0" fillId="17" borderId="44" xfId="0" applyNumberFormat="1" applyFill="1" applyBorder="1" applyAlignment="1">
      <alignment horizontal="center"/>
    </xf>
    <xf numFmtId="2" fontId="0" fillId="17" borderId="44" xfId="0" applyNumberFormat="1" applyFill="1" applyBorder="1" applyAlignment="1">
      <alignment horizontal="center" vertical="center"/>
    </xf>
    <xf numFmtId="14" fontId="0" fillId="17" borderId="44" xfId="0" applyNumberFormat="1" applyFill="1" applyBorder="1" applyAlignment="1">
      <alignment horizontal="center" vertical="center"/>
    </xf>
    <xf numFmtId="20" fontId="0" fillId="17" borderId="44" xfId="0" applyNumberFormat="1" applyFill="1" applyBorder="1" applyAlignment="1">
      <alignment horizontal="center" vertical="center"/>
    </xf>
    <xf numFmtId="9" fontId="0" fillId="17" borderId="44" xfId="0" applyNumberFormat="1" applyFill="1" applyBorder="1" applyAlignment="1">
      <alignment horizontal="center" vertical="center"/>
    </xf>
    <xf numFmtId="2" fontId="0" fillId="0" borderId="44" xfId="0" applyNumberFormat="1" applyBorder="1" applyAlignment="1">
      <alignment horizontal="center"/>
    </xf>
    <xf numFmtId="1" fontId="56" fillId="0" borderId="1" xfId="0" applyNumberFormat="1" applyFont="1" applyBorder="1" applyAlignment="1">
      <alignment horizontal="center"/>
    </xf>
    <xf numFmtId="1" fontId="56" fillId="0" borderId="1" xfId="4" applyNumberFormat="1" applyFont="1" applyFill="1" applyBorder="1" applyAlignment="1">
      <alignment horizontal="center"/>
    </xf>
    <xf numFmtId="164" fontId="56" fillId="0" borderId="1" xfId="0" applyNumberFormat="1" applyFont="1" applyBorder="1" applyAlignment="1">
      <alignment horizontal="center"/>
    </xf>
    <xf numFmtId="164" fontId="56" fillId="0" borderId="1" xfId="4" applyNumberFormat="1" applyFont="1" applyFill="1" applyBorder="1" applyAlignment="1">
      <alignment horizontal="center"/>
    </xf>
    <xf numFmtId="168" fontId="56" fillId="7" borderId="1" xfId="0" applyNumberFormat="1" applyFont="1" applyFill="1" applyBorder="1" applyAlignment="1">
      <alignment horizontal="center"/>
    </xf>
    <xf numFmtId="164" fontId="56" fillId="7" borderId="1" xfId="0" applyNumberFormat="1" applyFont="1" applyFill="1" applyBorder="1" applyAlignment="1">
      <alignment horizontal="center"/>
    </xf>
    <xf numFmtId="1" fontId="56" fillId="5" borderId="1" xfId="0" applyNumberFormat="1" applyFont="1" applyFill="1" applyBorder="1" applyAlignment="1">
      <alignment horizontal="center"/>
    </xf>
    <xf numFmtId="168" fontId="56" fillId="7" borderId="1" xfId="1" applyNumberFormat="1" applyFont="1" applyFill="1" applyBorder="1" applyAlignment="1">
      <alignment horizontal="center"/>
    </xf>
    <xf numFmtId="168" fontId="56" fillId="7" borderId="5" xfId="0" applyNumberFormat="1" applyFont="1" applyFill="1" applyBorder="1" applyAlignment="1">
      <alignment horizontal="center"/>
    </xf>
    <xf numFmtId="10" fontId="56" fillId="0" borderId="1" xfId="1" applyNumberFormat="1" applyFont="1" applyFill="1" applyBorder="1" applyAlignment="1">
      <alignment horizontal="center"/>
    </xf>
    <xf numFmtId="43" fontId="56" fillId="0" borderId="1" xfId="1" applyFont="1" applyFill="1" applyBorder="1" applyAlignment="1">
      <alignment horizontal="center"/>
    </xf>
    <xf numFmtId="10" fontId="56" fillId="0" borderId="0" xfId="0" applyNumberFormat="1" applyFont="1" applyAlignment="1">
      <alignment horizont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0" fillId="0" borderId="44" xfId="0" applyBorder="1" applyAlignment="1">
      <alignment horizontal="center" vertical="center"/>
    </xf>
    <xf numFmtId="43" fontId="0" fillId="0" borderId="44" xfId="1" applyFont="1" applyBorder="1" applyAlignment="1">
      <alignment horizontal="center" vertical="center"/>
    </xf>
    <xf numFmtId="0" fontId="23" fillId="0" borderId="44" xfId="0" applyFont="1" applyBorder="1" applyAlignment="1">
      <alignment horizontal="center" vertical="center"/>
    </xf>
    <xf numFmtId="0" fontId="38" fillId="23" borderId="65" xfId="0" applyFont="1" applyFill="1" applyBorder="1" applyAlignment="1">
      <alignment horizontal="center" vertical="center"/>
    </xf>
    <xf numFmtId="0" fontId="38" fillId="23" borderId="66" xfId="0" applyFont="1" applyFill="1" applyBorder="1" applyAlignment="1">
      <alignment horizontal="center" vertical="center"/>
    </xf>
    <xf numFmtId="0" fontId="38" fillId="24" borderId="65" xfId="0" applyFont="1" applyFill="1" applyBorder="1" applyAlignment="1">
      <alignment horizontal="center" vertical="center" wrapText="1"/>
    </xf>
    <xf numFmtId="0" fontId="38" fillId="24" borderId="66" xfId="0" applyFont="1" applyFill="1" applyBorder="1" applyAlignment="1">
      <alignment horizontal="center" vertical="center" wrapText="1"/>
    </xf>
    <xf numFmtId="0" fontId="38" fillId="24" borderId="67" xfId="0" applyFont="1" applyFill="1" applyBorder="1" applyAlignment="1">
      <alignment horizontal="center" vertical="center" wrapText="1"/>
    </xf>
    <xf numFmtId="0" fontId="38" fillId="23" borderId="59" xfId="0" applyFont="1" applyFill="1" applyBorder="1" applyAlignment="1">
      <alignment horizontal="center" vertical="center" wrapText="1"/>
    </xf>
    <xf numFmtId="0" fontId="38" fillId="23" borderId="60" xfId="0"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4" borderId="59" xfId="0" applyFont="1" applyFill="1" applyBorder="1" applyAlignment="1">
      <alignment horizontal="center" vertical="center"/>
    </xf>
    <xf numFmtId="0" fontId="38" fillId="24" borderId="60" xfId="0" applyFont="1" applyFill="1" applyBorder="1" applyAlignment="1">
      <alignment horizontal="center" vertical="center"/>
    </xf>
    <xf numFmtId="0" fontId="38" fillId="24" borderId="69" xfId="0" applyFont="1" applyFill="1" applyBorder="1" applyAlignment="1">
      <alignment horizontal="center" vertical="center"/>
    </xf>
    <xf numFmtId="0" fontId="38" fillId="17" borderId="74" xfId="0" applyFont="1" applyFill="1" applyBorder="1" applyAlignment="1">
      <alignment horizontal="center" vertical="center"/>
    </xf>
    <xf numFmtId="0" fontId="38" fillId="17" borderId="22" xfId="0" applyFont="1" applyFill="1" applyBorder="1" applyAlignment="1">
      <alignment horizontal="center" vertical="center"/>
    </xf>
    <xf numFmtId="0" fontId="38" fillId="17" borderId="63" xfId="0" applyFont="1" applyFill="1" applyBorder="1" applyAlignment="1">
      <alignment horizontal="center" vertical="center"/>
    </xf>
    <xf numFmtId="0" fontId="38" fillId="17" borderId="68" xfId="0" applyFont="1" applyFill="1" applyBorder="1" applyAlignment="1">
      <alignment horizontal="center" vertical="center"/>
    </xf>
    <xf numFmtId="0" fontId="38" fillId="17" borderId="70" xfId="0" applyFont="1" applyFill="1" applyBorder="1" applyAlignment="1">
      <alignment horizontal="center" vertical="center"/>
    </xf>
    <xf numFmtId="0" fontId="38" fillId="17" borderId="64"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62" xfId="0" applyFont="1" applyFill="1" applyBorder="1" applyAlignment="1">
      <alignment horizontal="center" vertical="center"/>
    </xf>
    <xf numFmtId="0" fontId="38" fillId="17" borderId="64" xfId="0" applyFont="1" applyFill="1" applyBorder="1" applyAlignment="1">
      <alignment horizontal="center" vertical="center" wrapText="1"/>
    </xf>
    <xf numFmtId="0" fontId="38" fillId="17" borderId="38" xfId="0" applyFont="1" applyFill="1" applyBorder="1" applyAlignment="1">
      <alignment horizontal="center" vertical="center" wrapText="1"/>
    </xf>
    <xf numFmtId="0" fontId="38" fillId="17" borderId="62" xfId="0" applyFont="1" applyFill="1" applyBorder="1" applyAlignment="1">
      <alignment horizontal="center" vertical="center" wrapText="1"/>
    </xf>
    <xf numFmtId="0" fontId="55" fillId="23" borderId="44" xfId="0" applyFont="1" applyFill="1" applyBorder="1" applyAlignment="1">
      <alignment horizontal="center" vertical="center"/>
    </xf>
    <xf numFmtId="0" fontId="55" fillId="23" borderId="38" xfId="0" applyFont="1" applyFill="1" applyBorder="1" applyAlignment="1">
      <alignment horizontal="center" vertical="center"/>
    </xf>
    <xf numFmtId="0" fontId="55" fillId="23" borderId="62" xfId="0" applyFont="1" applyFill="1" applyBorder="1" applyAlignment="1">
      <alignment horizontal="center" vertical="center"/>
    </xf>
    <xf numFmtId="0" fontId="0" fillId="0" borderId="0" xfId="0" applyAlignment="1">
      <alignment horizontal="center" vertical="center"/>
    </xf>
    <xf numFmtId="1" fontId="56" fillId="0" borderId="1" xfId="0" applyNumberFormat="1" applyFont="1" applyFill="1" applyBorder="1" applyAlignment="1">
      <alignment horizontal="center"/>
    </xf>
    <xf numFmtId="164" fontId="56" fillId="0" borderId="1" xfId="0" applyNumberFormat="1" applyFont="1" applyFill="1" applyBorder="1" applyAlignment="1">
      <alignment horizontal="center"/>
    </xf>
    <xf numFmtId="9" fontId="7" fillId="7" borderId="5" xfId="2" applyNumberFormat="1" applyFont="1" applyFill="1" applyBorder="1" applyAlignment="1">
      <alignment horizontal="center"/>
    </xf>
    <xf numFmtId="10" fontId="56" fillId="0" borderId="0" xfId="0" applyNumberFormat="1" applyFont="1" applyFill="1" applyAlignment="1">
      <alignment horizontal="center"/>
    </xf>
    <xf numFmtId="0" fontId="0" fillId="0" borderId="0" xfId="0" applyNumberFormat="1" applyAlignment="1">
      <alignment horizontal="center" vertical="center"/>
    </xf>
    <xf numFmtId="0" fontId="0" fillId="0" borderId="0" xfId="0" applyNumberFormat="1" applyAlignment="1">
      <alignment vertical="center"/>
    </xf>
  </cellXfs>
  <cellStyles count="54794">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Good" xfId="54793" builtinId="26"/>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006100"/>
      </font>
      <fill>
        <patternFill>
          <bgColor rgb="FFC6EFCE"/>
        </patternFill>
      </fill>
    </dxf>
    <dxf>
      <font>
        <color rgb="FF9C0006"/>
      </font>
      <fill>
        <patternFill>
          <bgColor rgb="FFFFC7CE"/>
        </patternFill>
      </fill>
    </dxf>
    <dxf>
      <numFmt numFmtId="35"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3"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9"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border>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70"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0"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numFmt numFmtId="170"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69"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276">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275">
      <pivotArea type="all" dataOnly="0" outline="0" fieldPosition="0"/>
    </format>
    <format dxfId="274">
      <pivotArea outline="0" collapsedLevelsAreSubtotals="1" fieldPosition="0"/>
    </format>
    <format dxfId="273">
      <pivotArea field="11" type="button" dataOnly="0" labelOnly="1" outline="0" axis="axisRow" fieldPosition="0"/>
    </format>
    <format dxfId="272">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271">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270">
      <pivotArea dataOnly="0" labelOnly="1" grandRow="1" outline="0" fieldPosition="0"/>
    </format>
    <format dxfId="269">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70" dataDxfId="368" totalsRowDxfId="366" headerRowBorderDxfId="369" tableBorderDxfId="367" totalsRowBorderDxfId="365">
  <autoFilter ref="A1:AS369" xr:uid="{3B203726-2095-49D8-A694-A659B4A14C0A}"/>
  <tableColumns count="45">
    <tableColumn id="1" xr3:uid="{705FD7CF-F4D9-4BE9-AB61-F11F2AB5C4B9}" name="Date" dataDxfId="364" totalsRowDxfId="363" dataCellStyle="Normal 26"/>
    <tableColumn id="2" xr3:uid="{16363D35-8AA0-455E-A1CA-ED847A6C02E3}" name="Financial Year" dataDxfId="362" totalsRowDxfId="361" dataCellStyle="Normal 26">
      <calculatedColumnFormula>YEAR(Table13[[#This Row],[Date]])+IF(MONTH(Table13[[#This Row],[Date]])&gt;=4,1,0)</calculatedColumnFormula>
    </tableColumn>
    <tableColumn id="3" xr3:uid="{1390B74D-7B2D-42F3-A035-0FBEDF0B10C2}" name="Calendar Year" dataDxfId="360" totalsRowDxfId="359" dataCellStyle="Normal 26">
      <calculatedColumnFormula>YEAR(Table13[[#This Row],[Date]])</calculatedColumnFormula>
    </tableColumn>
    <tableColumn id="4" xr3:uid="{F2788154-3A0B-4E18-B30E-611DC851EC4C}" name="Month Year" dataDxfId="358" totalsRowDxfId="357" dataCellStyle="Normal 26">
      <calculatedColumnFormula>Table13[[#This Row],[Date]]-DAY(Table13[[#This Row],[Date]])+1</calculatedColumnFormula>
    </tableColumn>
    <tableColumn id="5" xr3:uid="{40B25B3A-DCDA-488A-B89D-2172FC6E810D}" name="Days" dataDxfId="356" totalsRowDxfId="355" dataCellStyle="Normal 26">
      <calculatedColumnFormula>DAY(EOMONTH(A2,0))</calculatedColumnFormula>
    </tableColumn>
    <tableColumn id="6" xr3:uid="{3E574EA2-59F5-45E3-B4FD-CD2A8A05CBC7}" name="Operating Hours" dataDxfId="354" dataCellStyle="Percent"/>
    <tableColumn id="7" xr3:uid="{9B04C0E9-9B44-46F2-AAAC-99A13B1D6041}" name="GHI-UP (KWh/m2)" dataDxfId="353" totalsRowDxfId="352" dataCellStyle="Percent"/>
    <tableColumn id="8" xr3:uid="{1373399C-6314-49A4-B026-5F2184F3E97E}" name="GHI-Down(KWh/m2)" dataDxfId="351" totalsRowDxfId="350" dataCellStyle="Percent"/>
    <tableColumn id="9" xr3:uid="{E95C0369-ACF4-42FF-8C92-A919410C1BE0}" name="POA-UP(KWh/m2)" dataDxfId="349" totalsRowDxfId="348" dataCellStyle="Percent"/>
    <tableColumn id="10" xr3:uid="{074FFD75-7963-466E-8F66-6C331B10447F}" name="POA-Down(KWh/m2)" dataDxfId="347" totalsRowDxfId="346" dataCellStyle="Percent"/>
    <tableColumn id="11" xr3:uid="{1DE943E8-31C6-4D50-B608-348FCF8E093F}" name="Amb_Temp(°C)" dataDxfId="345" totalsRowDxfId="344" dataCellStyle="Percent"/>
    <tableColumn id="12" xr3:uid="{EB8E181F-7E07-47AE-A4DD-738DE3B85C3C}" name="Mod_Temp(°C)" dataDxfId="343" totalsRowDxfId="342" dataCellStyle="Percent"/>
    <tableColumn id="13" xr3:uid="{E1CF4A35-DFC3-4868-BAA8-8C7ED9EA0C85}" name="WS_Avg(m/s)" dataDxfId="341" totalsRowDxfId="340" dataCellStyle="Percent">
      <calculatedColumnFormula>IFERROR(_xlfn.XLOOKUP($A2,Input_Raw!$A:$A,Input_Raw!BG:BG),"")</calculatedColumnFormula>
    </tableColumn>
    <tableColumn id="14" xr3:uid="{EE2D8B57-491A-47E5-B6BD-11062961E6F0}" name="WS_Max(m/s)" dataDxfId="339" totalsRowDxfId="338" dataCellStyle="Percent">
      <calculatedColumnFormula>IFERROR(_xlfn.XLOOKUP($A2,Input_Raw!$A:$A,Input_Raw!BH:BH),"")</calculatedColumnFormula>
    </tableColumn>
    <tableColumn id="15" xr3:uid="{49CD36B9-8034-41A6-949A-F33A9C190CAE}" name="PA(%)" dataDxfId="337" totalsRowDxfId="336" dataCellStyle="Percent">
      <calculatedColumnFormula>IFERROR(P2*Q2,"")</calculatedColumnFormula>
    </tableColumn>
    <tableColumn id="16" xr3:uid="{CFFFBF91-C5C4-4EA5-89B6-B4B65554A854}" name="MA (%)" dataDxfId="335" totalsRowDxfId="334" dataCellStyle="Percent">
      <calculatedColumnFormula>IFERROR(1-SUMIF(WTG_BD!$F:$F,$A2,WTG_BD!$AA:$AA)/($AA2+SUMIF(WTG_BD!$F:$F,$A2,WTG_BD!$AA:$AA)),"")</calculatedColumnFormula>
    </tableColumn>
    <tableColumn id="17" xr3:uid="{6EC851D4-317B-45FD-A762-B7EA924F771D}" name="IGA (%)" dataDxfId="333" totalsRowDxfId="332" dataCellStyle="Percent">
      <calculatedColumnFormula>IFERROR(1-SUMIF(IGA_BD!$F:$F,$A2,IGA_BD!$X:$X)/($AA2+SUMIF(IGA_BD!$F:$F,$A2,IGA_BD!$X:$X)),"")</calculatedColumnFormula>
    </tableColumn>
    <tableColumn id="18" xr3:uid="{C2BF5D2C-8FFF-4B03-8D95-1CFC2F9E1C3C}" name="EGA(%)" dataDxfId="331" totalsRowDxfId="330" dataCellStyle="Percent">
      <calculatedColumnFormula>IFERROR(1-SUMIF(Grid_BD!$F:$F,$A2,Grid_BD!$Y:$Y)/($AA2+SUMIF(Grid_BD!$F:$F,$A2,Grid_BD!$Y:$Y)),"")</calculatedColumnFormula>
    </tableColumn>
    <tableColumn id="19" xr3:uid="{566B512C-B113-40A2-94BB-2617AA87E089}" name="EMA (%)" dataDxfId="329" totalsRowDxfId="328"/>
    <tableColumn id="20" xr3:uid="{DE4C2B6D-BC8A-4840-A763-70000C433E49}" name="TA (%)" dataDxfId="327" totalsRowDxfId="326" dataCellStyle="Percent"/>
    <tableColumn id="21" xr3:uid="{F49287D7-24FD-492A-A36B-025592863436}" name="PR(%)" dataDxfId="325" totalsRowDxfId="324" dataCellStyle="Percent"/>
    <tableColumn id="22" xr3:uid="{790135BD-1827-4F48-8C4B-81408FB6FEC8}" name="WPR(%)" dataDxfId="323" totalsRowDxfId="322"/>
    <tableColumn id="23" xr3:uid="{34747593-2E53-47B6-AC4C-50AEFAD7CA1B}" name="CUF(%)" dataDxfId="321" totalsRowDxfId="320" dataCellStyle="Percent">
      <calculatedColumnFormula>IFERROR(AA2/(24*AR2*1000),"")</calculatedColumnFormula>
    </tableColumn>
    <tableColumn id="24" xr3:uid="{DC60EB18-9B4D-43A2-9DCD-BA99856C93CC}" name="Gen_Exp (kWh)" dataDxfId="319" totalsRowDxfId="318">
      <calculatedColumnFormula>IFERROR(_xlfn.XLOOKUP($A2,Input_Raw!$A:$A,Input_Raw!$BF:$BF),"")</calculatedColumnFormula>
    </tableColumn>
    <tableColumn id="25" xr3:uid="{FCB2C3D7-76EC-4403-B7D3-EFFC79DC7BA2}" name="Mtr_Export (kWh)" dataDxfId="317" totalsRowDxfId="316">
      <calculatedColumnFormula>IFERROR(_xlfn.XLOOKUP($A2,Input_Raw!$A:$A,Input_Raw!BJ:BJ),"")</calculatedColumnFormula>
    </tableColumn>
    <tableColumn id="26" xr3:uid="{A380AC68-BAC1-4677-B3C2-0894809CD125}" name="Mtr_Import (kWh)" dataDxfId="315" totalsRowDxfId="314">
      <calculatedColumnFormula>IFERROR(_xlfn.XLOOKUP($A2,Input_Raw!$A:$A,Input_Raw!BK:BK),"")</calculatedColumnFormula>
    </tableColumn>
    <tableColumn id="27" xr3:uid="{FB83C712-41C4-4247-B29A-CE54B551534B}" name="Mtr_Net_Exp (KWh)" dataDxfId="313" totalsRowDxfId="312">
      <calculatedColumnFormula>IFERROR(_xlfn.XLOOKUP($A2,Input_Raw!$A:$A,Input_Raw!BL:BL),"")</calculatedColumnFormula>
    </tableColumn>
    <tableColumn id="28" xr3:uid="{7567A9BC-6328-4031-9C98-102C880E7577}" name="Operational Capacity (MW)" dataDxfId="311" totalsRowDxfId="310">
      <calculatedColumnFormula>IFERROR(_xlfn.XLOOKUP($A2,Input_Raw!$A:$A,Input_Raw!$BO:$BO),"")</calculatedColumnFormula>
    </tableColumn>
    <tableColumn id="29" xr3:uid="{39B755A2-C2AA-40DE-8DED-E1FAD90A52A5}" name="Bugt_Resource" dataDxfId="309" totalsRowDxfId="308">
      <calculatedColumnFormula>IFERROR(_xlfn.XLOOKUP($D2,'Modelling New'!$D:$D,'Modelling New'!$J:$J),"")</calculatedColumnFormula>
    </tableColumn>
    <tableColumn id="30" xr3:uid="{381AFA7E-59C4-43FD-B534-0DF6008B2E88}" name="Bugt_Energy" dataDxfId="307" totalsRowDxfId="306">
      <calculatedColumnFormula>IFERROR(_xlfn.XLOOKUP($D2,'Modelling New'!$D:$D,'Modelling New'!$T:$T)*1000,"")</calculatedColumnFormula>
    </tableColumn>
    <tableColumn id="43" xr3:uid="{E00139FA-9ED7-4115-95B1-11177798B34C}" name="Bugt PR" dataDxfId="305" totalsRowDxfId="304" dataCellStyle="Percent"/>
    <tableColumn id="42" xr3:uid="{C612A941-EAFE-4B11-8D8F-63D54297C987}" name="Bugt CUF" dataDxfId="303" totalsRowDxfId="302" dataCellStyle="Percent">
      <calculatedColumnFormula>IFERROR(_xlfn.XLOOKUP($D2,'Modelling New'!$D:$D,'Modelling New'!$W:$W),"")</calculatedColumnFormula>
    </tableColumn>
    <tableColumn id="31" xr3:uid="{57C61731-0943-47AC-8DB3-61259FFDC808}" name="Bugt_PA" dataDxfId="301" totalsRowDxfId="300" dataCellStyle="Percent">
      <calculatedColumnFormula>IFERROR(_xlfn.XLOOKUP($D2,'Modelling New'!$D:$D,'Modelling New'!$AE:$AE),"")</calculatedColumnFormula>
    </tableColumn>
    <tableColumn id="32" xr3:uid="{C299B541-2E78-49DD-8C21-39C5413D071A}" name="Bugt_EGA" dataDxfId="299" totalsRowDxfId="298" dataCellStyle="Percent">
      <calculatedColumnFormula>IFERROR(_xlfn.XLOOKUP($D2,'Modelling New'!$D:$D,'Modelling New'!$AF:$AF),"")</calculatedColumnFormula>
    </tableColumn>
    <tableColumn id="33" xr3:uid="{4714D985-200B-40F5-8116-57A077631B30}" name="Expected Energy" dataDxfId="297" totalsRowDxfId="296">
      <calculatedColumnFormula>IFERROR(_xlfn.XLOOKUP($A2,Input_Raw!$A:$A,Input_Raw!$BQ:$BQ),"")</calculatedColumnFormula>
    </tableColumn>
    <tableColumn id="34" xr3:uid="{68D11CAE-E236-4ECC-BEAA-217185C7D4D1}" name="Actual Energy WPR" dataDxfId="295" totalsRowDxfId="294"/>
    <tableColumn id="35" xr3:uid="{709793E2-5DB1-426B-807B-D9163BC8FECB}" name="RA (%)" dataDxfId="293" totalsRowDxfId="292"/>
    <tableColumn id="36" xr3:uid="{9D99B4A8-D998-4B32-830F-7D329EDEA246}" name="Mod Clean Dry (Num)" dataDxfId="291" totalsRowDxfId="290"/>
    <tableColumn id="37" xr3:uid="{02AD2357-FB80-4F40-A01C-F728E3C4C416}" name="Mod Clean Wet (Num)" dataDxfId="289" totalsRowDxfId="288"/>
    <tableColumn id="38" xr3:uid="{24D2C4F4-D950-485D-B2B4-CF833F040436}" name="Line Loss(%)" dataDxfId="287" totalsRowDxfId="286" dataCellStyle="Percent">
      <calculatedColumnFormula>IFERROR(_xlfn.XLOOKUP($A2,Input_Raw!$A:$A,Input_Raw!$BN:$BN),"")</calculatedColumnFormula>
    </tableColumn>
    <tableColumn id="39" xr3:uid="{F9570959-FC2B-48EC-908E-E10800BCF798}" name="Reactive Power (%)" dataDxfId="285" dataCellStyle="Percent">
      <calculatedColumnFormula>IFERROR((_xlfn.XLOOKUP($A2,'WTG Reactive Power'!$A:$A,'WTG Reactive Power'!$AE:$AE))/Table13[[#This Row],[Gen_Exp (kWh)]],"")</calculatedColumnFormula>
    </tableColumn>
    <tableColumn id="40" xr3:uid="{83E5D3E3-9409-493A-9B6C-4ADE3C8EF9CC}" name="Bugt Line loss (%) (Wind)" dataDxfId="284" totalsRowDxfId="283" dataCellStyle="Percent">
      <calculatedColumnFormula>IFERROR(_xlfn.XLOOKUP($D2,'Modelling New'!$D:$D,'Modelling New'!$AK:$AK),"")</calculatedColumnFormula>
    </tableColumn>
    <tableColumn id="41" xr3:uid="{8DCD2425-ADE4-4C1C-8933-405229A26755}" name="Bugt Reactive Power (%) (Wind)" dataDxfId="282" totalsRowDxfId="281" dataCellStyle="Percent">
      <calculatedColumnFormula>IFERROR(_xlfn.XLOOKUP($D2,'Modelling New'!$D:$D,'Modelling New'!$AL:$AL),"")</calculatedColumnFormula>
    </tableColumn>
    <tableColumn id="44" xr3:uid="{05591DD1-A073-42EA-A959-07FCFBB8ADE0}" name="Bugt Capacity" dataDxfId="280" totalsRowDxfId="279">
      <calculatedColumnFormula>IFERROR(_xlfn.XLOOKUP($D2,'Modelling New'!$D:$D,'Modelling New'!$N:$N),"")</calculatedColumnFormula>
    </tableColumn>
    <tableColumn id="45" xr3:uid="{7EC4DB5A-A5BC-427B-B698-14E21E469B16}"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8" dataDxfId="266" headerRowBorderDxfId="267" tableBorderDxfId="265" totalsRowBorderDxfId="264" headerRowCellStyle="Normal 26 41">
  <autoFilter ref="A2:AE1463" xr:uid="{4DC08A22-E01B-48CE-BE9C-5FC092550DC6}"/>
  <tableColumns count="31">
    <tableColumn id="1" xr3:uid="{ACB6CB24-01C3-4845-B48D-85E627AB1A4F}" name="Date" dataDxfId="263"/>
    <tableColumn id="2" xr3:uid="{ABBC9620-5F02-4CF8-9D7F-18C126FFC41C}" name="Financial Year" dataDxfId="262">
      <calculatedColumnFormula>YEAR(Table7[[#This Row],[Date]])+IF(MONTH(Table7[[#This Row],[Date]])&gt;=4,1,0)</calculatedColumnFormula>
    </tableColumn>
    <tableColumn id="3" xr3:uid="{84D5E5CD-4942-41AF-B524-8C256B6D7361}" name="Calendar Year" dataDxfId="261">
      <calculatedColumnFormula>YEAR(Table7[[#This Row],[Date]])</calculatedColumnFormula>
    </tableColumn>
    <tableColumn id="4" xr3:uid="{FDCFEA7C-40C0-47BE-A0AE-A54B0F94824F}" name="Month Year" dataDxfId="260">
      <calculatedColumnFormula>A3-DAY(A3)+1</calculatedColumnFormula>
    </tableColumn>
    <tableColumn id="5" xr3:uid="{75294AFB-21A0-451B-A425-C195445CB294}" name="O2_01 (kVArh)" dataDxfId="259"/>
    <tableColumn id="6" xr3:uid="{29612D5D-2560-4ABD-898B-B540FC202862}" name="O2_02 (kVArh)" dataDxfId="258"/>
    <tableColumn id="7" xr3:uid="{99D9E24D-3581-4232-B3A7-03034AF1B7DE}" name="O2_03 (kVArh)" dataDxfId="257"/>
    <tableColumn id="8" xr3:uid="{6B7D2F3D-4B30-4BA4-A3C2-382FE7F571F3}" name="O2_04 (kVArh)" dataDxfId="256"/>
    <tableColumn id="9" xr3:uid="{28A32976-D1B0-45E8-BEF8-F625AF1ADF94}" name="O2_05 (kVArh)" dataDxfId="255"/>
    <tableColumn id="10" xr3:uid="{959B6CD4-6FD5-4874-A0B1-CCE2AB0AE9E0}" name="O2_06 (kVArh)" dataDxfId="254"/>
    <tableColumn id="11" xr3:uid="{B87B74E5-9519-4F60-BBF5-A3CA4E597E49}" name="O2_07 (kVArh)" dataDxfId="253"/>
    <tableColumn id="12" xr3:uid="{A635D73D-3204-4C8E-B959-D307BDD9E9A3}" name="O2_08 (kVArh)" dataDxfId="252"/>
    <tableColumn id="13" xr3:uid="{FB3CBF94-1329-4A9A-BC83-867331DFAC71}" name="O2_09 (kVArh)" dataDxfId="251"/>
    <tableColumn id="14" xr3:uid="{50DB09C8-7F55-4B9D-976E-4C1D640D8B08}" name="O2_10 (kVArh)" dataDxfId="250"/>
    <tableColumn id="15" xr3:uid="{49A11A47-5C35-4084-BEE2-426A5DA7FF8D}" name="O2_11 (kVArh)" dataDxfId="249"/>
    <tableColumn id="16" xr3:uid="{08249619-8B69-45D3-AA4D-65AFA6D2DA7F}" name="O2_12 (kVArh)" dataDxfId="248"/>
    <tableColumn id="17" xr3:uid="{514D9A36-EC85-40E2-9AF4-71759C9A9D4E}" name="O2_13 (kVArh)" dataDxfId="247"/>
    <tableColumn id="18" xr3:uid="{E899BE02-845D-4D2A-9FD0-C878A8445801}" name="O2_14 (kVArh)" dataDxfId="246"/>
    <tableColumn id="19" xr3:uid="{CAE561BD-4EB1-4C45-A3CB-885E3E9BA77C}" name="O2_15 (kVArh)" dataDxfId="245"/>
    <tableColumn id="20" xr3:uid="{FAE4A78C-462B-4364-B625-6891CF184EFD}" name="O2_16 (kVArh)" dataDxfId="244"/>
    <tableColumn id="21" xr3:uid="{B6EAD221-A25B-4373-9345-BE426F314EB6}" name="O2_17 (kVArh)" dataDxfId="243"/>
    <tableColumn id="22" xr3:uid="{05868037-A13A-4C9A-A200-401D58AF1D0D}" name="O2_18 (kVArh)" dataDxfId="242"/>
    <tableColumn id="23" xr3:uid="{F31A914E-EFBB-4C0E-A2E2-1EE1BA168AF4}" name="O2_19 (kVArh)" dataDxfId="241"/>
    <tableColumn id="24" xr3:uid="{779C400E-DCA5-40DA-912F-B9437C3B36B7}" name="O2_20 (kVArh)" dataDxfId="240"/>
    <tableColumn id="25" xr3:uid="{1C5C5DFB-E3EA-4ECF-B6E5-B84B23C5C620}" name="O2_21 (kVArh)" dataDxfId="239"/>
    <tableColumn id="26" xr3:uid="{312920C7-23F6-4EFD-AA6A-6762AF9DA41D}" name="O2_22 (kVArh)" dataDxfId="238"/>
    <tableColumn id="27" xr3:uid="{926D1C0C-7EB4-4B9F-9565-F4558055BF89}" name="O2_23 (kVArh)" dataDxfId="237"/>
    <tableColumn id="28" xr3:uid="{9CC8DEFA-F976-4DD4-AEB0-9F951DE2FC51}" name="O2_24 (kVArh)" dataDxfId="236"/>
    <tableColumn id="29" xr3:uid="{4E9CC7EF-2B3E-4F59-A168-33588553E7A0}" name="O2_25 (kVArh)" dataDxfId="235"/>
    <tableColumn id="30" xr3:uid="{42FD0C79-3407-4013-A60A-AE42F543EC4F}" name="O2_26 (kVArh)" dataDxfId="234"/>
    <tableColumn id="51" xr3:uid="{6954A3A8-42CB-4A55-931E-846DAA8841FE}" name="Total Reactive Power (kVArh)" dataDxfId="233">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112" totalsRowShown="0" headerRowDxfId="232" dataDxfId="230" headerRowBorderDxfId="231" tableBorderDxfId="229" totalsRowBorderDxfId="228">
  <tableColumns count="70">
    <tableColumn id="5" xr3:uid="{00000000-0010-0000-0100-000005000000}" name="Date" dataDxfId="227" dataCellStyle="Normal 27"/>
    <tableColumn id="1" xr3:uid="{00000000-0010-0000-0100-000001000000}" name="Finacial Year" dataDxfId="226">
      <calculatedColumnFormula>YEAR(Input_Raw[[#This Row],[Date]])+IF(MONTH(Input_Raw[[#This Row],[Date]])&gt;=4,1,0)</calculatedColumnFormula>
    </tableColumn>
    <tableColumn id="2" xr3:uid="{00000000-0010-0000-0100-000002000000}" name="Calendor Year" dataDxfId="225">
      <calculatedColumnFormula>YEAR(Input_Raw[[#This Row],[Date]])</calculatedColumnFormula>
    </tableColumn>
    <tableColumn id="3" xr3:uid="{00000000-0010-0000-0100-000003000000}" name="Month Year" dataDxfId="224">
      <calculatedColumnFormula>A5-DAY(A5)+1</calculatedColumnFormula>
    </tableColumn>
    <tableColumn id="4" xr3:uid="{00000000-0010-0000-0100-000004000000}" name="Days" dataDxfId="223">
      <calculatedColumnFormula>DAY(EOMONTH(Input_Raw[[#This Row],[Date]],0))</calculatedColumnFormula>
    </tableColumn>
    <tableColumn id="6" xr3:uid="{00000000-0010-0000-0100-000006000000}" name="O2_01" dataDxfId="222"/>
    <tableColumn id="7" xr3:uid="{00000000-0010-0000-0100-000007000000}" name="O2_02" dataDxfId="221"/>
    <tableColumn id="8" xr3:uid="{00000000-0010-0000-0100-000008000000}" name="O2_03" dataDxfId="220"/>
    <tableColumn id="9" xr3:uid="{00000000-0010-0000-0100-000009000000}" name="O2_04" dataDxfId="219"/>
    <tableColumn id="10" xr3:uid="{00000000-0010-0000-0100-00000A000000}" name="O2_05" dataDxfId="218"/>
    <tableColumn id="11" xr3:uid="{00000000-0010-0000-0100-00000B000000}" name="O2_06" dataDxfId="217"/>
    <tableColumn id="12" xr3:uid="{00000000-0010-0000-0100-00000C000000}" name="O2_07" dataDxfId="216"/>
    <tableColumn id="13" xr3:uid="{00000000-0010-0000-0100-00000D000000}" name="O2_08" dataDxfId="215"/>
    <tableColumn id="14" xr3:uid="{00000000-0010-0000-0100-00000E000000}" name="O2_09" dataDxfId="214"/>
    <tableColumn id="15" xr3:uid="{00000000-0010-0000-0100-00000F000000}" name="O2_10" dataDxfId="213"/>
    <tableColumn id="16" xr3:uid="{00000000-0010-0000-0100-000010000000}" name="O2_11" dataDxfId="212"/>
    <tableColumn id="17" xr3:uid="{00000000-0010-0000-0100-000011000000}" name="O2_12" dataDxfId="211"/>
    <tableColumn id="18" xr3:uid="{00000000-0010-0000-0100-000012000000}" name="O2_13" dataDxfId="210"/>
    <tableColumn id="19" xr3:uid="{00000000-0010-0000-0100-000013000000}" name="O2_14" dataDxfId="209"/>
    <tableColumn id="20" xr3:uid="{00000000-0010-0000-0100-000014000000}" name="O2_15" dataDxfId="208"/>
    <tableColumn id="21" xr3:uid="{00000000-0010-0000-0100-000015000000}" name="O2_16" dataDxfId="207"/>
    <tableColumn id="22" xr3:uid="{00000000-0010-0000-0100-000016000000}" name="O2_17" dataDxfId="206"/>
    <tableColumn id="23" xr3:uid="{00000000-0010-0000-0100-000017000000}" name="O2_18" dataDxfId="205"/>
    <tableColumn id="24" xr3:uid="{00000000-0010-0000-0100-000018000000}" name="O2_19" dataDxfId="204"/>
    <tableColumn id="25" xr3:uid="{00000000-0010-0000-0100-000019000000}" name="O2_20" dataDxfId="203"/>
    <tableColumn id="26" xr3:uid="{00000000-0010-0000-0100-00001A000000}" name="O2_21" dataDxfId="202"/>
    <tableColumn id="27" xr3:uid="{00000000-0010-0000-0100-00001B000000}" name="O2_22" dataDxfId="201"/>
    <tableColumn id="28" xr3:uid="{00000000-0010-0000-0100-00001C000000}" name="O2_23" dataDxfId="200"/>
    <tableColumn id="78" xr3:uid="{00000000-0010-0000-0100-00004E000000}" name="O2_24" dataDxfId="199" dataCellStyle="Percent 2"/>
    <tableColumn id="79" xr3:uid="{00000000-0010-0000-0100-00004F000000}" name="O2_25" dataDxfId="198" dataCellStyle="Percent 2"/>
    <tableColumn id="80" xr3:uid="{00000000-0010-0000-0100-000050000000}" name="O2_26" dataDxfId="197" dataCellStyle="Percent 2"/>
    <tableColumn id="29" xr3:uid="{00000000-0010-0000-0100-00001D000000}" name="WS_O2_01" dataDxfId="196"/>
    <tableColumn id="30" xr3:uid="{00000000-0010-0000-0100-00001E000000}" name="WS_O2_02" dataDxfId="195"/>
    <tableColumn id="31" xr3:uid="{00000000-0010-0000-0100-00001F000000}" name="WS_O2_03" dataDxfId="194"/>
    <tableColumn id="32" xr3:uid="{00000000-0010-0000-0100-000020000000}" name="WS_O2_04" dataDxfId="193"/>
    <tableColumn id="33" xr3:uid="{00000000-0010-0000-0100-000021000000}" name="WS_O2_05" dataDxfId="192"/>
    <tableColumn id="34" xr3:uid="{00000000-0010-0000-0100-000022000000}" name="WS_O2_06" dataDxfId="191"/>
    <tableColumn id="35" xr3:uid="{00000000-0010-0000-0100-000023000000}" name="WS_O2_07" dataDxfId="190"/>
    <tableColumn id="36" xr3:uid="{00000000-0010-0000-0100-000024000000}" name="WS_O2_08" dataDxfId="189"/>
    <tableColumn id="37" xr3:uid="{00000000-0010-0000-0100-000025000000}" name="WS_O2_09" dataDxfId="188"/>
    <tableColumn id="38" xr3:uid="{00000000-0010-0000-0100-000026000000}" name="WS_O2_10" dataDxfId="187"/>
    <tableColumn id="39" xr3:uid="{00000000-0010-0000-0100-000027000000}" name="WS_O2_11" dataDxfId="186"/>
    <tableColumn id="40" xr3:uid="{00000000-0010-0000-0100-000028000000}" name="WS_O2_12" dataDxfId="185"/>
    <tableColumn id="41" xr3:uid="{00000000-0010-0000-0100-000029000000}" name="WS_O2_13" dataDxfId="184"/>
    <tableColumn id="42" xr3:uid="{00000000-0010-0000-0100-00002A000000}" name="WS_O2_14" dataDxfId="183"/>
    <tableColumn id="43" xr3:uid="{00000000-0010-0000-0100-00002B000000}" name="WS_O2_15" dataDxfId="182"/>
    <tableColumn id="44" xr3:uid="{00000000-0010-0000-0100-00002C000000}" name="WS_O2_16" dataDxfId="181"/>
    <tableColumn id="45" xr3:uid="{00000000-0010-0000-0100-00002D000000}" name="WS_O2_17" dataDxfId="180"/>
    <tableColumn id="46" xr3:uid="{00000000-0010-0000-0100-00002E000000}" name="WS_O2_18" dataDxfId="179"/>
    <tableColumn id="47" xr3:uid="{00000000-0010-0000-0100-00002F000000}" name="WS_O2_19" dataDxfId="178"/>
    <tableColumn id="48" xr3:uid="{00000000-0010-0000-0100-000030000000}" name="WS_O2_20" dataDxfId="177"/>
    <tableColumn id="49" xr3:uid="{00000000-0010-0000-0100-000031000000}" name="WS_O2_21" dataDxfId="176"/>
    <tableColumn id="50" xr3:uid="{00000000-0010-0000-0100-000032000000}" name="WS_O2_22" dataDxfId="175"/>
    <tableColumn id="51" xr3:uid="{00000000-0010-0000-0100-000033000000}" name="WS_O2_23" dataDxfId="174"/>
    <tableColumn id="119" xr3:uid="{00000000-0010-0000-0100-000077000000}" name="WS_O2_24" dataDxfId="173" dataCellStyle="Percent 2"/>
    <tableColumn id="120" xr3:uid="{00000000-0010-0000-0100-000078000000}" name="WS_O2_25" dataDxfId="172" dataCellStyle="Percent 2"/>
    <tableColumn id="121" xr3:uid="{00000000-0010-0000-0100-000079000000}" name="WS_O2_26" dataDxfId="171" dataCellStyle="Percent 2"/>
    <tableColumn id="106" xr3:uid="{00000000-0010-0000-0100-00006A000000}" name="WTG Total Gneration (KWh)" dataDxfId="170">
      <calculatedColumnFormula>SUM(Input_Raw[[#This Row],[O2_01]:[O2_26]])</calculatedColumnFormula>
    </tableColumn>
    <tableColumn id="107" xr3:uid="{00000000-0010-0000-0100-00006B000000}" name="Wind Speed Average cumulative (m/S)2" dataDxfId="169">
      <calculatedColumnFormula>IFERROR(AVERAGE(Input_Raw[[#This Row],[WS_O2_01]:[WS_O2_26]]),"")</calculatedColumnFormula>
    </tableColumn>
    <tableColumn id="108" xr3:uid="{00000000-0010-0000-0100-00006C000000}" name="Wind Speed Max (m/S)" dataDxfId="168"/>
    <tableColumn id="109" xr3:uid="{00000000-0010-0000-0100-00006D000000}" name="Rain (mm)" dataDxfId="167"/>
    <tableColumn id="55" xr3:uid="{A6A75E11-2BDA-4644-B995-2D59ACDA9E94}" name="66 kV_Wind_F1_Export_reading" dataDxfId="166" dataCellStyle="Percent 2"/>
    <tableColumn id="54" xr3:uid="{9ED1A810-6C94-4727-BE14-2E322D5A7920}" name="66 kV_Wind_F1_Import_reading" dataDxfId="165" dataCellStyle="Percent 2"/>
    <tableColumn id="157" xr3:uid="{00000000-0010-0000-0100-00009D000000}" name="66 kV_Wind_Net_Export (KWh)" dataDxfId="164" dataCellStyle="Comma">
      <calculatedColumnFormula>Input_Raw[[#This Row],[66 kV_Wind_F1_Export_reading]]-Input_Raw[[#This Row],[66 kV_Wind_F1_Import_reading]]</calculatedColumnFormula>
    </tableColumn>
    <tableColumn id="105" xr3:uid="{00000000-0010-0000-0100-000069000000}" name="66 kV Line Loss (%)" dataDxfId="163">
      <calculatedColumnFormula>Input_Raw[[#This Row],[WTG Total Gneration (KWh)]]-Input_Raw[[#This Row],[66 kV_Wind_F1_Export_reading]]</calculatedColumnFormula>
    </tableColumn>
    <tableColumn id="52" xr3:uid="{A44405FF-F245-46C9-894C-A2AECCC6C7B8}" name="66 kV Line Loss (%)." dataDxfId="162" dataCellStyle="Percent">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61" dataCellStyle="Comma">
      <calculatedColumnFormula>#REF!/1000</calculatedColumnFormula>
    </tableColumn>
    <tableColumn id="57" xr3:uid="{00000000-0010-0000-0100-000039000000}" name="Forecasting Penalties (INR)" dataDxfId="160" dataCellStyle="Comma"/>
    <tableColumn id="58" xr3:uid="{EB2529EC-424A-471A-A5F0-D17D72C20948}" name="Expected Power as per power curve. (MWh)" dataDxfId="159" dataCellStyle="Comma"/>
    <tableColumn id="56" xr3:uid="{A1891D73-E063-4361-A73E-F02CE65C38DF}" name="Reactive Energy (MVArH)"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542" totalsRowShown="0" headerRowDxfId="157">
  <autoFilter ref="A1:AD1542" xr:uid="{CDAF7152-D30F-4073-B5F4-077C1A879F47}"/>
  <tableColumns count="30">
    <tableColumn id="1" xr3:uid="{59A4B587-CA65-408A-92FF-86B0FDB0228E}" name="Sr. No." dataDxfId="156"/>
    <tableColumn id="2" xr3:uid="{9317FE46-20A9-4632-A8A1-FEF736E59178}" name="Financial Year" dataDxfId="155">
      <calculatedColumnFormula>YEAR(Table6[[#This Row],[Date]])+IF(MONTH(Table6[[#This Row],[Date]])&gt;=4,1,0)</calculatedColumnFormula>
    </tableColumn>
    <tableColumn id="3" xr3:uid="{4DFE9A25-2C03-4567-B60E-D47773D459A4}" name="Calendar Year" dataDxfId="154">
      <calculatedColumnFormula>YEAR(Table6[[#This Row],[Date]])</calculatedColumnFormula>
    </tableColumn>
    <tableColumn id="4" xr3:uid="{25C6A8BE-8308-489D-B06C-026B5D66DD24}" name="Operating Year" dataDxfId="153"/>
    <tableColumn id="5" xr3:uid="{B4B2FB9F-D8F2-409E-811C-4B050D2C2DFE}" name="Month" dataDxfId="152">
      <calculatedColumnFormula>Table6[[#This Row],[Date]]-DAY(Table6[[#This Row],[Date]])+1</calculatedColumnFormula>
    </tableColumn>
    <tableColumn id="6" xr3:uid="{EF254E6E-4E76-4903-8920-3BDA818C132D}" name="Date" dataDxfId="151"/>
    <tableColumn id="7" xr3:uid="{13985CB1-7725-4015-A485-0E84ABA5DD31}" name="Affected WTG" dataDxfId="150"/>
    <tableColumn id="8" xr3:uid="{A25D901E-D793-481C-97F4-7A27113895AE}" name="SPV" dataDxfId="149">
      <calculatedColumnFormula>IFERROR(_xlfn.XLOOKUP(Table6[[#This Row],[Affected WTG]],'Basic Data'!$A:$A,'Basic Data'!$B:$B),"")</calculatedColumnFormula>
    </tableColumn>
    <tableColumn id="9" xr3:uid="{BF7E0764-6802-4209-A9BE-A913FBF50487}" name="Consumer" dataDxfId="148">
      <calculatedColumnFormula>IFERROR(_xlfn.XLOOKUP(Table6[[#This Row],[Affected WTG]],'Basic Data'!$A:$A,'Basic Data'!$C:$C),"")</calculatedColumnFormula>
    </tableColumn>
    <tableColumn id="10" xr3:uid="{245B5B18-21EB-45B3-822B-2459C27643CE}" name="Plant Equivalent Weightage" dataDxfId="147">
      <calculatedColumnFormula>IFERROR(_xlfn.XLOOKUP(Table6[[#This Row],[Affected WTG]],'Basic Data'!$A:$A,'Basic Data'!$E:$E),"")</calculatedColumnFormula>
    </tableColumn>
    <tableColumn id="11" xr3:uid="{7EA9002D-B4D9-4E8A-AC8E-C420663303B0}" name="Error Code" dataDxfId="146"/>
    <tableColumn id="12" xr3:uid="{47F135E7-FF3B-4DF5-AD33-46302D81E77F}" name="Error Text" dataDxfId="145">
      <calculatedColumnFormula>IFERROR(_xlfn.XLOOKUP(Table6[[#This Row],[Error Code]],'Basic Data'!$AA:$AA,'Basic Data'!$AB:$AB),"Incorrect Error Code")</calculatedColumnFormula>
    </tableColumn>
    <tableColumn id="13" xr3:uid="{85CC91F3-1AD7-4A0E-8C38-9F591156D104}" name="Breakdown Description" dataDxfId="144"/>
    <tableColumn id="14" xr3:uid="{D95626F7-F5BA-4EFE-90CE-D2B52AE9521D}" name="Stoppage Type" dataDxfId="143"/>
    <tableColumn id="15" xr3:uid="{22BB039D-7209-4841-9B37-751BFC35B630}" name="Fault Start TimeStamp" dataDxfId="142"/>
    <tableColumn id="16" xr3:uid="{7198957F-C097-46EC-ADCB-F8C870F30146}" name="Work Start TimeStamp" dataDxfId="141"/>
    <tableColumn id="17" xr3:uid="{A096C516-83D3-477C-A64E-B7B8C3E125C7}" name="Fault Clearance time" dataDxfId="140"/>
    <tableColumn id="18" xr3:uid="{580D313D-095A-4F4E-AE15-8399CB48A6F2}" name="Response Time" dataDxfId="139">
      <calculatedColumnFormula>IF(Table6[[#This Row],[Work Start TimeStamp]]="","",(Table6[[#This Row],[Work Start TimeStamp]]-Table6[[#This Row],[Fault Start TimeStamp]])*24)</calculatedColumnFormula>
    </tableColumn>
    <tableColumn id="19" xr3:uid="{CEB6A735-0A91-42DD-AA1F-98AD8E9BE615}" name="Resolution Time" dataDxfId="138">
      <calculatedColumnFormula>(Table6[[#This Row],[Fault Clearance time]]-Table6[[#This Row],[Work Start TimeStamp]])*24</calculatedColumnFormula>
    </tableColumn>
    <tableColumn id="20" xr3:uid="{72567A33-C5A5-4FDB-934B-D23DAF951CC8}" name="Breakdown Time" dataDxfId="137">
      <calculatedColumnFormula>(Table6[[#This Row],[Fault Clearance time]]-Table6[[#This Row],[Fault Start TimeStamp]])*24</calculatedColumnFormula>
    </tableColumn>
    <tableColumn id="21" xr3:uid="{E802F8B6-7FEE-495F-8799-6A9D8FCB9E16}" name="Action taken" dataDxfId="136"/>
    <tableColumn id="22" xr3:uid="{914C56BC-8559-4DCD-BE27-78B756090213}" name="Status" dataDxfId="135"/>
    <tableColumn id="23" xr3:uid="{458EB129-5578-4488-8969-52143E9BC6FD}" name="Plant Equivalent breakdown" dataDxfId="134" dataCellStyle="Comma 10">
      <calculatedColumnFormula>IFERROR(Table6[[#This Row],[Breakdown Time]]*Table6[[#This Row],[Plant Equivalent Weightage]],"")</calculatedColumnFormula>
    </tableColumn>
    <tableColumn id="24" xr3:uid="{F6D5A84F-0BE5-4864-9719-94D1DF4A5D62}" name="Fault Category" dataDxfId="133" dataCellStyle="Comma 10"/>
    <tableColumn id="25" xr3:uid="{714DD876-1B9F-4785-831D-E57A06D3DF04}" name="Paired WTG for Enegy based MA" dataDxfId="132"/>
    <tableColumn id="26" xr3:uid="{0A87C204-08C5-43B0-893F-1D224BA209E6}" name="Paired WTG Generation for loss calculation" dataDxfId="131"/>
    <tableColumn id="27" xr3:uid="{E77115D5-A011-4559-B4C0-A22B69969C79}" name="Estimated Energy Loss (kWh)" dataDxfId="130">
      <calculatedColumnFormula>(Table6[[#This Row],[Paired WTG Generation for loss calculation]]/24)*Table6[[#This Row],[Breakdown Time]]</calculatedColumnFormula>
    </tableColumn>
    <tableColumn id="28" xr3:uid="{A654E51C-9537-408A-B17D-BA7C4589E75E}" name="Special Remarks" dataDxfId="129"/>
    <tableColumn id="29" xr3:uid="{82D4EE00-F0E1-4502-96D3-67F45F17BC83}" name="PTW No." dataDxfId="128"/>
    <tableColumn id="30" xr3:uid="{2876B1B1-3AB1-49F7-A04D-4FC5BC282127}" name="Job Card No." dataDxfId="127"/>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AA153" totalsRowShown="0" headerRowDxfId="126" dataDxfId="124" headerRowBorderDxfId="125" headerRowCellStyle="Normal 26 2 2">
  <autoFilter ref="A1:AA153" xr:uid="{90B19A6E-4FEA-4966-BE48-B1C8FD5EDFAD}"/>
  <tableColumns count="27">
    <tableColumn id="1" xr3:uid="{ABDD85C5-AE5D-4F7E-A82B-ABD9F6112851}" name="Sr. No." dataDxfId="123"/>
    <tableColumn id="2" xr3:uid="{59A19B14-1E2F-4097-BEE1-8EC68F9936B6}" name="Financial Year" dataDxfId="122">
      <calculatedColumnFormula>YEAR(Table10[[#This Row],[Date]])+IF(MONTH(Table10[[#This Row],[Date]])&gt;=4,1,0)</calculatedColumnFormula>
    </tableColumn>
    <tableColumn id="3" xr3:uid="{49C214C5-F423-423B-B4C9-9AC2B0A417F6}" name="Calendar Year" dataDxfId="121">
      <calculatedColumnFormula>YEAR(Table10[[#This Row],[Date]])</calculatedColumnFormula>
    </tableColumn>
    <tableColumn id="4" xr3:uid="{6AFBFF87-01D6-43F9-8F4C-1C4997EF44ED}" name="Operating Year" dataDxfId="120"/>
    <tableColumn id="5" xr3:uid="{98EE08A6-A204-4913-86EB-F8B4A72E92F9}" name="Month" dataDxfId="119">
      <calculatedColumnFormula>Table10[[#This Row],[Date]]-DAY(Table10[[#This Row],[Date]])+1</calculatedColumnFormula>
    </tableColumn>
    <tableColumn id="6" xr3:uid="{C68BCCF8-615F-47C5-BB55-921F8BC07112}" name="Date" dataDxfId="118"/>
    <tableColumn id="7" xr3:uid="{5E6CA8CB-FBC4-4F92-AA2F-C700ED4D6B05}" name="Affected Feeder " dataDxfId="117"/>
    <tableColumn id="8" xr3:uid="{800AC32F-94ED-45E5-A251-7B94DB4F184D}" name="SPV" dataDxfId="116">
      <calculatedColumnFormula>IFERROR(_xlfn.XLOOKUP(Table10[[#This Row],[Affected Feeder ]],'Basic Data'!$A$43:$A$70,'Basic Data'!$B$43:$B$70),"")</calculatedColumnFormula>
    </tableColumn>
    <tableColumn id="9" xr3:uid="{71E6597E-5F33-43F3-B7D9-289396EAC5A7}" name="Consumer" dataDxfId="115">
      <calculatedColumnFormula>IFERROR(_xlfn.XLOOKUP(Table10[[#This Row],[Affected Feeder ]],'Basic Data'!$A$43:$A$70,'Basic Data'!$C$43:$C$70),"")</calculatedColumnFormula>
    </tableColumn>
    <tableColumn id="10" xr3:uid="{FF39B1F2-AECF-4349-82C5-B6A7EAB3740D}" name="Plant Equivalent Weightage" dataDxfId="114" dataCellStyle="Percent 3 2">
      <calculatedColumnFormula>IFERROR(_xlfn.XLOOKUP(Table10[[#This Row],[Affected Feeder ]],'Basic Data'!$A$43:$A$70,'Basic Data'!$E$43:$E$70),"")</calculatedColumnFormula>
    </tableColumn>
    <tableColumn id="11" xr3:uid="{300E1201-2B5B-4BAD-B30C-BBA1A3D7AB4F}" name="Breakdown Description" dataDxfId="113"/>
    <tableColumn id="12" xr3:uid="{8CAA594A-0319-4851-96BF-8D8759A94B9C}" name="Fault Start TimeStamp" dataDxfId="112"/>
    <tableColumn id="13" xr3:uid="{D54BD547-A257-469D-AB89-231C102E10B2}" name="Work Start TimeStamp" dataDxfId="111"/>
    <tableColumn id="14" xr3:uid="{830A0985-7870-48B9-8CDD-48044799C39E}" name="Fault Clearance time" dataDxfId="110"/>
    <tableColumn id="15" xr3:uid="{A0480672-FDDD-42F0-A5F7-83D3D70F2D69}" name="Response Time" dataDxfId="109">
      <calculatedColumnFormula>(Table10[[#This Row],[Work Start TimeStamp]]-Table10[[#This Row],[Fault Start TimeStamp]])*24</calculatedColumnFormula>
    </tableColumn>
    <tableColumn id="16" xr3:uid="{0CD73E3D-7DAE-462B-B883-BD76761DDF92}" name="Resolution Time" dataDxfId="108">
      <calculatedColumnFormula>IF(Table10[[#This Row],[Work Start TimeStamp]]="","",(Table10[[#This Row],[Fault Clearance time]]-Table10[[#This Row],[Work Start TimeStamp]])*24)</calculatedColumnFormula>
    </tableColumn>
    <tableColumn id="17" xr3:uid="{9E4645AB-968B-4173-8912-7A519BCC8D0C}" name="Breakdown Time" dataDxfId="107">
      <calculatedColumnFormula>(Table10[[#This Row],[Fault Clearance time]]-Table10[[#This Row],[Fault Start TimeStamp]])*24</calculatedColumnFormula>
    </tableColumn>
    <tableColumn id="18" xr3:uid="{BABE9442-DD46-45CB-B188-8F364D382079}" name="Action taken" dataDxfId="106"/>
    <tableColumn id="19" xr3:uid="{B51BACA6-B25D-4876-8001-EA5CE1D59C08}" name="Status" dataDxfId="105"/>
    <tableColumn id="20" xr3:uid="{F43EC0A3-EE84-4823-8DFA-E31FDEA6B5CC}" name="Plant Equivalent breakdown" dataDxfId="104">
      <calculatedColumnFormula>IFERROR(Table10[[#This Row],[Breakdown Time]]*Table10[[#This Row],[Plant Equivalent Weightage]],"")</calculatedColumnFormula>
    </tableColumn>
    <tableColumn id="21" xr3:uid="{E0BBAECE-6A93-47DE-8DBD-D43A8E8926BF}" name="Fault Category" dataDxfId="103"/>
    <tableColumn id="27" xr3:uid="{4491C9A4-775D-4CB5-9437-4E88A71A7013}" name="Avg Wind Speed (m/s)" dataDxfId="102">
      <calculatedColumnFormula>IFERROR(_xlfn.XLOOKUP(Table10[[#This Row],[Date]],'Daily KPI'!$A:$A,'Daily KPI'!$M:$M),"")</calculatedColumnFormula>
    </tableColumn>
    <tableColumn id="26" xr3:uid="{3C8E3925-7BBD-454E-A943-64C1F53B8B83}" name="WTG Loss" dataDxfId="101"/>
    <tableColumn id="22" xr3:uid="{201AD2AF-3FFE-44B0-A818-C49DA8122BA9}" name="Estimated Energy Loss (kWh)" dataDxfId="100">
      <calculatedColumnFormula>Table10[[#This Row],[WTG Loss]]*13*Table10[[#This Row],[Breakdown Time]]</calculatedColumnFormula>
    </tableColumn>
    <tableColumn id="23" xr3:uid="{2683EA11-87A0-402E-A50B-902FBB3D1A4D}" name="Scope" dataDxfId="99"/>
    <tableColumn id="24" xr3:uid="{619305FB-E83A-4616-A4CE-8787A2AAF01F}" name="PTW No." dataDxfId="98"/>
    <tableColumn id="25" xr3:uid="{762D92F3-93A7-401D-A76B-F3E9E69EA6A4}" name="Job Card No." dataDxfId="9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6">
  <autoFilter ref="A1:AC3" xr:uid="{82A21A78-3C3B-4AB6-8D62-D85B42693A51}"/>
  <tableColumns count="29">
    <tableColumn id="1" xr3:uid="{DC70BBA5-85C4-4B98-B743-3774286DAB23}" name="Sr. No." dataDxfId="95"/>
    <tableColumn id="2" xr3:uid="{0EB49E92-A0E1-4B27-B662-8F3AE7607852}" name="Financial Year" dataDxfId="94">
      <calculatedColumnFormula>YEAR(Table11[[#This Row],[Date]])+IF(MONTH(Table11[[#This Row],[Date]])&gt;=4,1,0)</calculatedColumnFormula>
    </tableColumn>
    <tableColumn id="3" xr3:uid="{365A6775-C44F-4942-BB42-69D3FC36AF38}" name="Calendar Year" dataDxfId="93">
      <calculatedColumnFormula>YEAR(Table11[[#This Row],[Date]])</calculatedColumnFormula>
    </tableColumn>
    <tableColumn id="4" xr3:uid="{09FFB000-AFAA-41B6-9506-F14F9DB8C375}" name="Operating Year" dataDxfId="92"/>
    <tableColumn id="5" xr3:uid="{C69F96DA-6685-4CBA-9BEB-1BD608B8970C}" name="Month" dataDxfId="91">
      <calculatedColumnFormula>Table11[[#This Row],[Date]]-DAY(Table11[[#This Row],[Date]])+1</calculatedColumnFormula>
    </tableColumn>
    <tableColumn id="6" xr3:uid="{D6A029A7-760F-484E-BCD5-D0716C4DCDA6}" name="Date" dataDxfId="90"/>
    <tableColumn id="7" xr3:uid="{7BE72951-95C0-483D-8D06-96AAF43AEAD5}" name="Affected Feeder "/>
    <tableColumn id="8" xr3:uid="{10951C08-7D12-4139-9242-26048626934D}" name="SPV" dataDxfId="89">
      <calculatedColumnFormula>IFERROR(_xlfn.XLOOKUP(Table11[[#This Row],[Affected Feeder ]],'Basic Data'!$A$82:$A$83,'Basic Data'!$B$82:$B$83),"")</calculatedColumnFormula>
    </tableColumn>
    <tableColumn id="9" xr3:uid="{0FF06368-5290-4FD6-9E74-5A50FEEC8FAA}" name="Concumaer" dataDxfId="88">
      <calculatedColumnFormula>IFERROR(_xlfn.XLOOKUP(Table11[[#This Row],[Affected Feeder ]],'Basic Data'!$A$82:$A$83,'Basic Data'!$C$82:$C$83),"")</calculatedColumnFormula>
    </tableColumn>
    <tableColumn id="10" xr3:uid="{68093E37-0629-4D48-9292-D3509D73EB20}" name="Plant Equivalent Weightage" dataDxfId="87"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6"/>
    <tableColumn id="14" xr3:uid="{111F57AF-48BE-4B72-9102-CC1F38666545}" name="Work Start TimeStamp" dataDxfId="85"/>
    <tableColumn id="15" xr3:uid="{07CFFC5F-8917-4521-9F7A-9B9A7FED21E2}" name="Fault Clearance time" dataDxfId="84"/>
    <tableColumn id="16" xr3:uid="{52311DDF-3763-419B-90CD-6C31244C94C6}" name="Response Time" dataDxfId="83">
      <calculatedColumnFormula>(Table11[[#This Row],[Work Start TimeStamp]]-Table11[[#This Row],[Fault Start TimeStamp]])*24</calculatedColumnFormula>
    </tableColumn>
    <tableColumn id="17" xr3:uid="{113582A9-78F5-4F5C-BF39-3375770974B5}" name="Resolution Time" dataDxfId="82">
      <calculatedColumnFormula>IF(Table11[[#This Row],[Work Start TimeStamp]]="","",(Table11[[#This Row],[Fault Clearance time]]-Table11[[#This Row],[Work Start TimeStamp]])*24)</calculatedColumnFormula>
    </tableColumn>
    <tableColumn id="18" xr3:uid="{17E64C6E-10A8-4550-AFA9-CE1069F6C71E}" name="Breakdown Time" dataDxfId="81">
      <calculatedColumnFormula>(Table11[[#This Row],[Fault Clearance time]]-Table11[[#This Row],[Fault Start TimeStamp]])*24</calculatedColumnFormula>
    </tableColumn>
    <tableColumn id="19" xr3:uid="{69FCC2D4-2572-403C-8DE2-96EFEBBF8585}" name="Action taken" dataDxfId="80"/>
    <tableColumn id="20" xr3:uid="{8097CC26-F316-4214-9C7D-AFB45BD4F270}" name="Status" dataDxfId="79"/>
    <tableColumn id="21" xr3:uid="{DD7EC5C5-D1E1-4DD6-8188-B19D2B7947A8}" name="Plant Equivalent breakdown" dataDxfId="78" dataCellStyle="Comma 10">
      <calculatedColumnFormula>IFERROR(Table11[[#This Row],[Breakdown Time]]*Table11[[#This Row],[Plant Equivalent Weightage]],"")</calculatedColumnFormula>
    </tableColumn>
    <tableColumn id="22" xr3:uid="{A3E15FEE-AB7F-441D-B3C0-A4EC5D22A066}" name="Fault Category" dataDxfId="77" dataCellStyle="Comma 10"/>
    <tableColumn id="23" xr3:uid="{E0823B4F-BDFA-465B-A645-035CC97E2AF2}" name="Paired WTG for Enegy based MA" dataDxfId="76" dataCellStyle="Comma 10"/>
    <tableColumn id="29" xr3:uid="{F624405E-B795-47AB-AC7D-E1E775D55EBD}" name="Loss of KWH" dataDxfId="75" dataCellStyle="Comma 10"/>
    <tableColumn id="24" xr3:uid="{AB70B879-EDE1-4720-B7F3-68CEAF7F8D77}" name="Estimated Energy Loss (kWh)" dataDxfId="74">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3"/>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72" dataDxfId="70" headerRowBorderDxfId="71" tableBorderDxfId="69" totalsRowBorderDxfId="68">
  <tableColumns count="40">
    <tableColumn id="1" xr3:uid="{F3EAD0E3-ABF7-4CDB-A960-698D22A7C417}" name="Sr. No." dataDxfId="67"/>
    <tableColumn id="2" xr3:uid="{B0418144-A78E-4D40-82DA-F0797A0658EE}" name="Month Name" dataDxfId="66" dataCellStyle="Comma 42"/>
    <tableColumn id="3" xr3:uid="{AD83A0A0-0B3B-44B7-87DC-777728711627}" name="Month Number" dataDxfId="65"/>
    <tableColumn id="4" xr3:uid="{B8409966-3B87-4F3E-8AB4-BBBF13B97CF4}" name="Month" dataDxfId="64" dataCellStyle="Comma 42"/>
    <tableColumn id="5" xr3:uid="{020A7E51-D788-4A7F-B286-953BF006A013}" name="CY" dataDxfId="63">
      <calculatedColumnFormula>YEAR(D2)</calculatedColumnFormula>
    </tableColumn>
    <tableColumn id="6" xr3:uid="{D8F8960C-185A-4A0C-8CC5-D991E57F98D4}" name="FY" dataDxfId="62"/>
    <tableColumn id="7" xr3:uid="{417B0174-CD1A-40CD-BC93-E0D7DD62FB38}" name="No. of Days in Month" dataDxfId="61">
      <calculatedColumnFormula>DAY(EOMONTH(D2,0))</calculatedColumnFormula>
    </tableColumn>
    <tableColumn id="8" xr3:uid="{3E645F0B-A4D1-41DD-A694-97379182AD95}" name="GHI" dataDxfId="60"/>
    <tableColumn id="9" xr3:uid="{5DB390D2-8A76-40A0-9307-5C1D6F211C19}" name="POA" dataDxfId="59"/>
    <tableColumn id="10" xr3:uid="{D78EE0DB-78A5-412A-B6BF-7BBC695BF3FD}" name="WS" dataDxfId="58"/>
    <tableColumn id="11" xr3:uid="{AED4DA74-841F-472F-AB20-9EFF4203A7FB}" name="Tamb" dataDxfId="57"/>
    <tableColumn id="12" xr3:uid="{F5BBF801-F550-4711-A0E3-A7D7BECD7EE1}" name="Tmod" dataDxfId="56"/>
    <tableColumn id="13" xr3:uid="{7CFAD92B-8CC6-4C09-9D02-7BDBC917F8B8}" name="Egrid (MWh)" dataDxfId="55"/>
    <tableColumn id="14" xr3:uid="{9BE849CD-3487-4CF3-A1D2-2A24370F630B}" name="Bugt_Capacity" dataDxfId="54"/>
    <tableColumn id="15" xr3:uid="{FB833210-75D4-4A91-9FA4-A12E87659459}" name="PR" dataDxfId="53"/>
    <tableColumn id="16" xr3:uid="{9F8724A7-7007-42B9-AE65-78B7958D81F8}" name="Daily POA" dataDxfId="52"/>
    <tableColumn id="17" xr3:uid="{9B00B68D-96A7-4056-B81D-6A390998F3AA}" name="Days Operated" dataDxfId="51">
      <calculatedColumnFormula>COUNTIFS('Daily KPI'!$D:$D,D2,'Daily KPI'!$M:$M,"&gt;0")</calculatedColumnFormula>
    </tableColumn>
    <tableColumn id="18" xr3:uid="{47B38392-BF91-4396-BD38-DB17B7724AC1}" name="MTD POA" dataDxfId="50"/>
    <tableColumn id="27" xr3:uid="{1EF95AD3-2089-4CAD-AC1C-6780FD0FC541}" name="YTD POA" dataDxfId="49"/>
    <tableColumn id="19" xr3:uid="{8A4F8C6F-E3C3-43C3-9C96-E2DEBEBBA816}" name="Daily Energy (MWh)" dataDxfId="48">
      <calculatedColumnFormula>IFERROR(M2/G2,"")</calculatedColumnFormula>
    </tableColumn>
    <tableColumn id="20" xr3:uid="{8D3A9F5A-0A06-4829-B655-974587229718}" name="MTD Energy (MWh)" dataDxfId="47">
      <calculatedColumnFormula>IFERROR(M2/G2*Q2,"")</calculatedColumnFormula>
    </tableColumn>
    <tableColumn id="28" xr3:uid="{0125BB0D-BA97-4D7A-91F1-AE991FF818F5}" name="YTD Energy (MWh)" dataDxfId="46">
      <calculatedColumnFormula>SUMIF($F$2:F2,F2,$U$2:U2)</calculatedColumnFormula>
    </tableColumn>
    <tableColumn id="38" xr3:uid="{DD55C7C7-3436-4C49-B5F2-AAFF7AA20C25}" name="Bugt CUF (%)" dataDxfId="45" dataCellStyle="Percent">
      <calculatedColumnFormula>IFERROR(T2/(24*N2),"")</calculatedColumnFormula>
    </tableColumn>
    <tableColumn id="37" xr3:uid="{B24E7B0E-4AE3-4B81-A6C9-3448BC554FD8}" name="Bugt CUF (%) MTD" dataDxfId="44" dataCellStyle="Percent">
      <calculatedColumnFormula>IFERROR(U2/(24*N2*Q2),"")</calculatedColumnFormula>
    </tableColumn>
    <tableColumn id="36" xr3:uid="{0AC1542C-AEB6-4BDB-897E-D6C42C46B3B9}" name="Bugt CUF (%)YTD" dataDxfId="43" dataCellStyle="Percent">
      <calculatedColumnFormula>IFERROR(V2/(24*N2*SUMIFS($Q:$Q,$F:$F,$F2,$D:$D,"&lt;="&amp;D2)),"")</calculatedColumnFormula>
    </tableColumn>
    <tableColumn id="21" xr3:uid="{7C1B4714-C254-456B-B100-9EC1C72BD599}" name="Ave. Cap MTD" dataDxfId="42">
      <calculatedColumnFormula>IFERROR(AVERAGEIF('Daily KPI'!D:D,Table14[[#This Row],[Month]],'Daily KPI'!AB:AB),"")</calculatedColumnFormula>
    </tableColumn>
    <tableColumn id="29" xr3:uid="{7F2C1AEA-E207-4994-B3DA-BDA20D42FEE5}" name="Ave. Cap YTD" dataDxfId="41">
      <calculatedColumnFormula>IFERROR(AVERAGEIF($F$2:F2,F2,$Z$2:Z2),"")</calculatedColumnFormula>
    </tableColumn>
    <tableColumn id="22" xr3:uid="{27549171-6290-4BB7-963C-DDEFB44328AE}" name="CC Energy MTD" dataDxfId="40"/>
    <tableColumn id="31" xr3:uid="{B5ECE3E1-4173-43BF-B30D-2632825553C7}" name="WS MTD" dataDxfId="39">
      <calculatedColumnFormula>Table14[[#This Row],[WS]]</calculatedColumnFormula>
    </tableColumn>
    <tableColumn id="23" xr3:uid="{CE44927B-EB28-4500-A875-830BB0EDA955}" name="WS YTD" dataDxfId="38">
      <calculatedColumnFormula>AVERAGEIF($F$2:F2,F2,$AC$2:AC2)</calculatedColumnFormula>
    </tableColumn>
    <tableColumn id="24" xr3:uid="{3CA46770-B3A9-4121-9A41-CB5FDADD7A99}" name="Bugt PA" dataDxfId="37" dataCellStyle="Percent 43">
      <calculatedColumnFormula>IFERROR(AH2*AI2,"")</calculatedColumnFormula>
    </tableColumn>
    <tableColumn id="25" xr3:uid="{27AE7DB1-ADAE-4170-9A8C-9A81C818637A}" name="Bugt EGA" dataDxfId="36" dataCellStyle="Percent 43"/>
    <tableColumn id="35" xr3:uid="{14F4482D-54A4-43FA-9E36-D5A1F5AB6C01}" name="Bugt TA" dataDxfId="35" dataCellStyle="Percent"/>
    <tableColumn id="26" xr3:uid="{26D16F7D-638E-4781-A79E-286264B083D9}" name="Bugt MA" dataDxfId="34" dataCellStyle="Percent"/>
    <tableColumn id="30" xr3:uid="{D0DFBEA8-C2B4-4D9F-ACA7-4B000241429B}" name="Bugt IGA" dataDxfId="33" dataCellStyle="Percent"/>
    <tableColumn id="32" xr3:uid="{BDEA05FD-D9DB-4545-9B4F-8D011B0EA073}" name="Corelation" dataDxfId="32" dataCellStyle="Percent"/>
    <tableColumn id="33" xr3:uid="{C39425F2-CD42-4837-9608-6796E3119220}" name="Bugt Line loss" dataDxfId="31" dataCellStyle="Percent"/>
    <tableColumn id="34" xr3:uid="{E764C683-347B-45FE-8518-FC18586A1B69}" name="Bugt Reactive Power" dataDxfId="30" dataCellStyle="Percent"/>
    <tableColumn id="39" xr3:uid="{82F4ADC2-8437-4A24-BC06-681830409DE4}" name="Bugt Capacity" dataDxfId="29" dataCellStyle="Percent"/>
    <tableColumn id="40" xr3:uid="{4B56E650-7441-46E9-9963-09648AE0B34D}" name="CC*Bugt" dataDxfId="28" dataCellStyle="Percent"/>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7" headerRowBorderDxfId="26" tableBorderDxfId="25" totalsRowBorderDxfId="24">
  <autoFilter ref="B2:R367" xr:uid="{00000000-0009-0000-0100-000005000000}"/>
  <tableColumns count="17">
    <tableColumn id="5" xr3:uid="{00000000-0010-0000-0500-000005000000}" name="Date" dataDxfId="23"/>
    <tableColumn id="1" xr3:uid="{00000000-0010-0000-0500-000001000000}" name="FY" dataDxfId="22">
      <calculatedColumnFormula>YEAR(Modelling[[#This Row],[Date]])+IF(MONTH(Modelling[[#This Row],[Date]])&gt;=4,1,0)</calculatedColumnFormula>
    </tableColumn>
    <tableColumn id="2" xr3:uid="{00000000-0010-0000-0500-000002000000}" name="Year" dataDxfId="21">
      <calculatedColumnFormula>YEAR(B3)</calculatedColumnFormula>
    </tableColumn>
    <tableColumn id="3" xr3:uid="{00000000-0010-0000-0500-000003000000}" name="Month" dataDxfId="20"/>
    <tableColumn id="4" xr3:uid="{00000000-0010-0000-0500-000004000000}" name="Days" dataDxfId="19">
      <calculatedColumnFormula>DAY(EOMONTH(Modelling[[#This Row],[Date]],0))</calculatedColumnFormula>
    </tableColumn>
    <tableColumn id="9" xr3:uid="{00000000-0010-0000-0500-000009000000}" name="E_Grid daily_x000a_MWh" dataDxfId="18">
      <calculatedColumnFormula>VLOOKUP(MONTH(Modelling[[#This Row],[Date]]),$W$3:$Z$14,4,0)/1000/Modelling[[#This Row],[Days]]</calculatedColumnFormula>
    </tableColumn>
    <tableColumn id="10" xr3:uid="{00000000-0010-0000-0500-00000A000000}" name="E_Grid MTD_x000a_MWh" dataDxfId="17">
      <calculatedColumnFormula>SUM($G$3:G3)</calculatedColumnFormula>
    </tableColumn>
    <tableColumn id="11" xr3:uid="{00000000-0010-0000-0500-00000B000000}" name="E_Grid YTD_x000a_MWh" dataDxfId="16">
      <calculatedColumnFormula>SUM($G$3:G3)</calculatedColumnFormula>
    </tableColumn>
    <tableColumn id="12" xr3:uid="{00000000-0010-0000-0500-00000C000000}" name="WS Daily" dataDxfId="15">
      <calculatedColumnFormula>VLOOKUP(MONTH(Modelling[[#This Row],[Date]]),$W$3:$Y$14,3,0)</calculatedColumnFormula>
    </tableColumn>
    <tableColumn id="13" xr3:uid="{00000000-0010-0000-0500-00000D000000}" name="WS MTD" dataDxfId="14">
      <calculatedColumnFormula>VLOOKUP(MONTH(Modelling[[#This Row],[Date]]),$W$3:$Y$14,3,0)</calculatedColumnFormula>
    </tableColumn>
    <tableColumn id="14" xr3:uid="{00000000-0010-0000-0500-00000E000000}" name="WS YTD" dataDxfId="13">
      <calculatedColumnFormula>AVERAGE(J$3:J3)</calculatedColumnFormula>
    </tableColumn>
    <tableColumn id="15" xr3:uid="{00000000-0010-0000-0500-00000F000000}" name="CUF Daily" dataDxfId="12">
      <calculatedColumnFormula>G3/P3/24</calculatedColumnFormula>
    </tableColumn>
    <tableColumn id="16" xr3:uid="{00000000-0010-0000-0500-000010000000}" name="CUF MTD" dataDxfId="11">
      <calculatedColumnFormula>H3/(24*S3)/Q3</calculatedColumnFormula>
    </tableColumn>
    <tableColumn id="17" xr3:uid="{00000000-0010-0000-0500-000011000000}" name="CUF YTD" dataDxfId="10" dataCellStyle="Percent">
      <calculatedColumnFormula>I3/(24*T3)/R3</calculatedColumnFormula>
    </tableColumn>
    <tableColumn id="8" xr3:uid="{5FDBD18B-4977-43D6-A68F-BC660B0985B2}" name="Day Capacity" dataDxfId="9" dataCellStyle="Comma">
      <calculatedColumnFormula>_xlfn.XLOOKUP(MONTH(B3),W:W,AA:AA)</calculatedColumnFormula>
    </tableColumn>
    <tableColumn id="6" xr3:uid="{7D5C94FB-6082-4947-8B71-814D66EE14FF}" name="MTD Capacity" dataDxfId="8"/>
    <tableColumn id="7" xr3:uid="{8518E365-5C36-471F-94CA-B1844743DC26}" name="YTD Capacity" dataDxfId="7">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topLeftCell="A2" zoomScale="94" zoomScaleNormal="80" workbookViewId="0">
      <selection activeCell="G29" sqref="G29"/>
    </sheetView>
  </sheetViews>
  <sheetFormatPr defaultColWidth="9" defaultRowHeight="14.4"/>
  <cols>
    <col min="1" max="1" width="30.88671875" style="37" bestFit="1" customWidth="1"/>
    <col min="2" max="2" width="22.44140625" style="38" customWidth="1"/>
    <col min="3" max="3" width="13.44140625" style="38" customWidth="1"/>
    <col min="4" max="4" width="12" style="39" customWidth="1"/>
    <col min="5" max="5" width="22.109375" style="37" customWidth="1"/>
    <col min="6" max="6" width="31.44140625" style="38" customWidth="1"/>
    <col min="7" max="7" width="11.44140625" style="38" customWidth="1"/>
    <col min="8" max="8" width="14.44140625" style="38" customWidth="1"/>
    <col min="9" max="9" width="11" style="38" customWidth="1"/>
    <col min="10" max="10" width="11.44140625" style="38" customWidth="1"/>
    <col min="11" max="11" width="10.44140625" style="38" customWidth="1"/>
    <col min="12" max="16384" width="9" style="38"/>
  </cols>
  <sheetData>
    <row r="1" spans="1:18" ht="8.25" customHeight="1" thickBot="1"/>
    <row r="2" spans="1:18" ht="25.5" customHeight="1">
      <c r="A2" s="143" t="s">
        <v>0</v>
      </c>
      <c r="B2" s="144"/>
      <c r="C2" s="144"/>
      <c r="D2" s="144"/>
      <c r="E2" s="144"/>
      <c r="F2" s="145"/>
    </row>
    <row r="3" spans="1:18">
      <c r="A3" s="40" t="s">
        <v>1</v>
      </c>
      <c r="B3" s="232">
        <v>45839</v>
      </c>
      <c r="C3" s="42"/>
      <c r="D3" s="42"/>
      <c r="E3" s="42"/>
      <c r="F3" s="43"/>
    </row>
    <row r="4" spans="1:18">
      <c r="A4" s="40" t="s">
        <v>2</v>
      </c>
      <c r="B4" s="233">
        <v>45852</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601">
        <v>1</v>
      </c>
      <c r="B10" s="56" t="s">
        <v>13</v>
      </c>
      <c r="C10" s="57">
        <f>_xlfn.XLOOKUP($B$4,'Daily KPI'!$A:$A,'Daily KPI'!$AD:$AD)/1000</f>
        <v>963.88316796059144</v>
      </c>
      <c r="D10" s="58">
        <f>_xlfn.XLOOKUP($B$4,'Daily KPI'!$A:$A,'Daily KPI'!$AA:$AA)/1000</f>
        <v>793.35</v>
      </c>
      <c r="E10" s="59">
        <f>D10/C10-1</f>
        <v>-0.17692306871735275</v>
      </c>
      <c r="F10" s="234"/>
    </row>
    <row r="11" spans="1:18">
      <c r="A11" s="602"/>
      <c r="B11" s="60" t="s">
        <v>14</v>
      </c>
      <c r="C11" s="61">
        <f>MonthlyKPI!$E$4</f>
        <v>13494.364351448279</v>
      </c>
      <c r="D11" s="62">
        <f>MonthlyKPI!F4</f>
        <v>9130.0499999999993</v>
      </c>
      <c r="E11" s="63">
        <f>D11/C11-1</f>
        <v>-0.32341755697295083</v>
      </c>
      <c r="F11" s="235"/>
    </row>
    <row r="12" spans="1:18" ht="15" thickBot="1">
      <c r="A12" s="603"/>
      <c r="B12" s="64" t="s">
        <v>15</v>
      </c>
      <c r="C12" s="65">
        <f>AnnualKPI!$E$4</f>
        <v>86645.632384551747</v>
      </c>
      <c r="D12" s="66">
        <f>AnnualKPI!F4</f>
        <v>73061.100000000006</v>
      </c>
      <c r="E12" s="67">
        <f>D12/C12-1</f>
        <v>-0.15678265609812503</v>
      </c>
      <c r="F12" s="236"/>
    </row>
    <row r="13" spans="1:18">
      <c r="A13" s="601">
        <v>2</v>
      </c>
      <c r="B13" s="56" t="s">
        <v>16</v>
      </c>
      <c r="C13" s="68">
        <f>_xlfn.XLOOKUP($B$3,'Modelling New'!$D:$D,'Modelling New'!$J:$J)</f>
        <v>8.18</v>
      </c>
      <c r="D13" s="69">
        <f>_xlfn.XLOOKUP($B$4,'Daily KPI'!$A:$A,'Daily KPI'!$M:$M)</f>
        <v>7.3103846153846144</v>
      </c>
      <c r="E13" s="59">
        <f t="shared" ref="E13:E39" si="0">(D13-C13)/(C13)</f>
        <v>-0.10630994921948476</v>
      </c>
      <c r="F13" s="234"/>
    </row>
    <row r="14" spans="1:18">
      <c r="A14" s="602"/>
      <c r="B14" s="60" t="s">
        <v>17</v>
      </c>
      <c r="C14" s="70">
        <f>MonthlyKPI!C4</f>
        <v>8.18</v>
      </c>
      <c r="D14" s="71">
        <f>MonthlyKPI!D4</f>
        <v>6.7983440794788601</v>
      </c>
      <c r="E14" s="63">
        <f t="shared" si="0"/>
        <v>-0.16890659175075057</v>
      </c>
      <c r="F14" s="235"/>
    </row>
    <row r="15" spans="1:18" ht="15" thickBot="1">
      <c r="A15" s="603"/>
      <c r="B15" s="64" t="s">
        <v>18</v>
      </c>
      <c r="C15" s="72">
        <f>AnnualKPI!C4</f>
        <v>7.2925000000000004</v>
      </c>
      <c r="D15" s="73">
        <f>AnnualKPI!D4</f>
        <v>6.8395640683576833</v>
      </c>
      <c r="E15" s="67">
        <f t="shared" si="0"/>
        <v>-6.210982950186042E-2</v>
      </c>
      <c r="F15" s="236"/>
    </row>
    <row r="16" spans="1:18">
      <c r="A16" s="601">
        <v>3</v>
      </c>
      <c r="B16" s="56" t="s">
        <v>19</v>
      </c>
      <c r="C16" s="74">
        <f>_xlfn.XLOOKUP($B$3,'Modelling New'!$D:$D,'Modelling New'!$AE:$AE)</f>
        <v>0.96029999999999993</v>
      </c>
      <c r="D16" s="75">
        <f>_xlfn.XLOOKUP($B$4,'Daily KPI'!$A:$A,'Daily KPI'!$O:$O)</f>
        <v>0.98989447543657616</v>
      </c>
      <c r="E16" s="59">
        <f t="shared" si="0"/>
        <v>3.0817947971025963E-2</v>
      </c>
      <c r="F16" s="234"/>
      <c r="H16" s="100"/>
    </row>
    <row r="17" spans="1:6">
      <c r="A17" s="602"/>
      <c r="B17" s="60" t="s">
        <v>20</v>
      </c>
      <c r="C17" s="76">
        <f>_xlfn.XLOOKUP($B$3,'Modelling New'!$D:$D,'Modelling New'!$AE:$AE)</f>
        <v>0.96029999999999993</v>
      </c>
      <c r="D17" s="77">
        <f>MonthlyKPI!P4</f>
        <v>0.95073462049058166</v>
      </c>
      <c r="E17" s="63">
        <f t="shared" si="0"/>
        <v>-9.9608242314050514E-3</v>
      </c>
      <c r="F17" s="235"/>
    </row>
    <row r="18" spans="1:6" ht="15" thickBot="1">
      <c r="A18" s="603"/>
      <c r="B18" s="64" t="s">
        <v>21</v>
      </c>
      <c r="C18" s="78">
        <f>_xlfn.XLOOKUP($B$3,'Modelling New'!$D:$D,'Modelling New'!$AE:$AE)</f>
        <v>0.96029999999999993</v>
      </c>
      <c r="D18" s="79">
        <f>AnnualKPI!P4</f>
        <v>0.94101939511745281</v>
      </c>
      <c r="E18" s="67">
        <f t="shared" si="0"/>
        <v>-2.0077689141463215E-2</v>
      </c>
      <c r="F18" s="236"/>
    </row>
    <row r="19" spans="1:6">
      <c r="A19" s="601">
        <v>4</v>
      </c>
      <c r="B19" s="56" t="s">
        <v>22</v>
      </c>
      <c r="C19" s="74">
        <f>_xlfn.XLOOKUP($B$3,'Modelling New'!$D:$D,'Modelling New'!$AF:$AF)</f>
        <v>0.995</v>
      </c>
      <c r="D19" s="75">
        <f>_xlfn.XLOOKUP($B$4,'Daily KPI'!$A:$A,'Daily KPI'!$R:$R)</f>
        <v>1</v>
      </c>
      <c r="E19" s="59">
        <f t="shared" si="0"/>
        <v>5.0251256281407079E-3</v>
      </c>
      <c r="F19" s="234"/>
    </row>
    <row r="20" spans="1:6">
      <c r="A20" s="602"/>
      <c r="B20" s="60" t="s">
        <v>23</v>
      </c>
      <c r="C20" s="76">
        <f>_xlfn.XLOOKUP($B$3,'Modelling New'!$D:$D,'Modelling New'!$AF:$AF)</f>
        <v>0.995</v>
      </c>
      <c r="D20" s="77">
        <f>MonthlyKPI!J4</f>
        <v>1</v>
      </c>
      <c r="E20" s="63">
        <f t="shared" si="0"/>
        <v>5.0251256281407079E-3</v>
      </c>
      <c r="F20" s="235"/>
    </row>
    <row r="21" spans="1:6" ht="15" thickBot="1">
      <c r="A21" s="603"/>
      <c r="B21" s="64" t="s">
        <v>24</v>
      </c>
      <c r="C21" s="78">
        <f>_xlfn.XLOOKUP($B$3,'Modelling New'!$D:$D,'Modelling New'!$AF:$AF)</f>
        <v>0.995</v>
      </c>
      <c r="D21" s="79">
        <f>AnnualKPI!J4</f>
        <v>1</v>
      </c>
      <c r="E21" s="67">
        <f t="shared" si="0"/>
        <v>5.0251256281407079E-3</v>
      </c>
      <c r="F21" s="236"/>
    </row>
    <row r="22" spans="1:6">
      <c r="A22" s="601">
        <v>5</v>
      </c>
      <c r="B22" s="56" t="s">
        <v>25</v>
      </c>
      <c r="C22" s="74">
        <f>_xlfn.XLOOKUP($B$3,'Modelling New'!$D:$D,'Modelling New'!$AI:$AI)</f>
        <v>0.99</v>
      </c>
      <c r="D22" s="75">
        <f>_xlfn.XLOOKUP($B$4,'Daily KPI'!$A:$A,'Daily KPI'!$Q:$Q)</f>
        <v>1</v>
      </c>
      <c r="E22" s="59">
        <f t="shared" si="0"/>
        <v>1.0101010101010111E-2</v>
      </c>
      <c r="F22" s="234"/>
    </row>
    <row r="23" spans="1:6">
      <c r="A23" s="602"/>
      <c r="B23" s="60" t="s">
        <v>26</v>
      </c>
      <c r="C23" s="76">
        <f>_xlfn.XLOOKUP($B$3,'Modelling New'!$D:$D,'Modelling New'!$AI:$AI)</f>
        <v>0.99</v>
      </c>
      <c r="D23" s="77">
        <f>MonthlyKPI!N4</f>
        <v>0.99375750519189443</v>
      </c>
      <c r="E23" s="63">
        <f t="shared" si="0"/>
        <v>3.7954597897923627E-3</v>
      </c>
      <c r="F23" s="235"/>
    </row>
    <row r="24" spans="1:6" ht="15" thickBot="1">
      <c r="A24" s="603"/>
      <c r="B24" s="64" t="s">
        <v>27</v>
      </c>
      <c r="C24" s="78">
        <f>_xlfn.XLOOKUP($B$3,'Modelling New'!$D:$D,'Modelling New'!$AI:$AI)</f>
        <v>0.99</v>
      </c>
      <c r="D24" s="79">
        <f>AnnualKPI!N4</f>
        <v>0.97190344272330997</v>
      </c>
      <c r="E24" s="67">
        <f t="shared" si="0"/>
        <v>-1.827935078453537E-2</v>
      </c>
      <c r="F24" s="236"/>
    </row>
    <row r="25" spans="1:6">
      <c r="A25" s="601">
        <v>6</v>
      </c>
      <c r="B25" s="56" t="s">
        <v>28</v>
      </c>
      <c r="C25" s="75">
        <f>_xlfn.XLOOKUP($B$3,'Modelling New'!$D:$D,'Modelling New'!$AH:$AH)</f>
        <v>0.97</v>
      </c>
      <c r="D25" s="75">
        <f>_xlfn.XLOOKUP($B$4,'Daily KPI'!$A:$A,'Daily KPI'!$P:$P)</f>
        <v>0.98989447543657616</v>
      </c>
      <c r="E25" s="59">
        <f t="shared" ref="E25:E27" si="1">(D25-C25)/(C25)</f>
        <v>2.0509768491315656E-2</v>
      </c>
      <c r="F25" s="234"/>
    </row>
    <row r="26" spans="1:6">
      <c r="A26" s="602"/>
      <c r="B26" s="60" t="s">
        <v>29</v>
      </c>
      <c r="C26" s="77">
        <f>_xlfn.XLOOKUP($B$3,'Modelling New'!$D:$D,'Modelling New'!$AH:$AH)</f>
        <v>0.97</v>
      </c>
      <c r="D26" s="77">
        <f>MonthlyKPI!$L$4</f>
        <v>0.95670685808505662</v>
      </c>
      <c r="E26" s="63">
        <f t="shared" si="1"/>
        <v>-1.3704270015405518E-2</v>
      </c>
      <c r="F26" s="235"/>
    </row>
    <row r="27" spans="1:6" ht="15" thickBot="1">
      <c r="A27" s="603"/>
      <c r="B27" s="64" t="s">
        <v>30</v>
      </c>
      <c r="C27" s="79">
        <f>_xlfn.XLOOKUP($B$3,'Modelling New'!$D:$D,'Modelling New'!$AH:$AH)</f>
        <v>0.97</v>
      </c>
      <c r="D27" s="79">
        <f>AnnualKPI!$L$4</f>
        <v>0.96822313179659192</v>
      </c>
      <c r="E27" s="67">
        <f t="shared" si="1"/>
        <v>-1.8318228901113972E-3</v>
      </c>
      <c r="F27" s="236"/>
    </row>
    <row r="28" spans="1:6">
      <c r="A28" s="601">
        <v>7</v>
      </c>
      <c r="B28" s="56" t="s">
        <v>31</v>
      </c>
      <c r="C28" s="74">
        <f>_xlfn.XLOOKUP($B$4,'Daily KPI'!$A:$A,'Daily KPI'!$AF:$AF)</f>
        <v>0.57210539408867012</v>
      </c>
      <c r="D28" s="75">
        <f>_xlfn.XLOOKUP($B$4,'Daily KPI'!$A:$A,'Daily KPI'!$W:$W)</f>
        <v>0.47088675213675207</v>
      </c>
      <c r="E28" s="59">
        <f t="shared" si="0"/>
        <v>-0.17692306871735289</v>
      </c>
      <c r="F28" s="234"/>
    </row>
    <row r="29" spans="1:6">
      <c r="A29" s="602"/>
      <c r="B29" s="60" t="s">
        <v>32</v>
      </c>
      <c r="C29" s="76">
        <f>MonthlyKPI!$G$4</f>
        <v>0.57210539408867001</v>
      </c>
      <c r="D29" s="77">
        <f>MonthlyKPI!H4</f>
        <v>0.38707646520146516</v>
      </c>
      <c r="E29" s="63">
        <f t="shared" si="0"/>
        <v>-0.32341755697295071</v>
      </c>
      <c r="F29" s="235"/>
    </row>
    <row r="30" spans="1:6" ht="15" thickBot="1">
      <c r="A30" s="603"/>
      <c r="B30" s="64" t="s">
        <v>33</v>
      </c>
      <c r="C30" s="78">
        <f>AnnualKPI!$G$4</f>
        <v>0.48978899507389168</v>
      </c>
      <c r="D30" s="79">
        <f>AnnualKPI!H4</f>
        <v>0.41299857549857555</v>
      </c>
      <c r="E30" s="67">
        <f t="shared" si="0"/>
        <v>-0.15678265609812486</v>
      </c>
      <c r="F30" s="236"/>
    </row>
    <row r="31" spans="1:6">
      <c r="A31" s="601">
        <v>8</v>
      </c>
      <c r="B31" s="56" t="s">
        <v>34</v>
      </c>
      <c r="C31" s="210">
        <f>_xlfn.XLOOKUP($B$4,'Daily KPI'!$A:$A,'Daily KPI'!$AP:$AP)</f>
        <v>0.05</v>
      </c>
      <c r="D31" s="211">
        <f>_xlfn.XLOOKUP($B$4,'Daily KPI'!$A:$A,'Daily KPI'!$AN:$AN)</f>
        <v>2.590824985174062E-2</v>
      </c>
      <c r="E31" s="59">
        <f>-(D31-C31)/(C31)</f>
        <v>0.48183500296518761</v>
      </c>
      <c r="F31" s="237"/>
    </row>
    <row r="32" spans="1:6">
      <c r="A32" s="602"/>
      <c r="B32" s="60" t="s">
        <v>35</v>
      </c>
      <c r="C32" s="212">
        <f>_xlfn.XLOOKUP($B$3,'Modelling New'!$D:$D,'Modelling New'!$AK:$AK)</f>
        <v>0.05</v>
      </c>
      <c r="D32" s="213">
        <f>MonthlyKPI!$U$4</f>
        <v>2.5515670468404493E-2</v>
      </c>
      <c r="E32" s="63">
        <f t="shared" ref="E32:E33" si="2">-(D32-C32)/(C32)</f>
        <v>0.48968659063191017</v>
      </c>
      <c r="F32" s="238"/>
    </row>
    <row r="33" spans="1:7" ht="15" thickBot="1">
      <c r="A33" s="603"/>
      <c r="B33" s="64" t="s">
        <v>36</v>
      </c>
      <c r="C33" s="214">
        <f>_xlfn.XLOOKUP($B$3,'Modelling New'!$D:$D,'Modelling New'!$AK:$AK)</f>
        <v>0.05</v>
      </c>
      <c r="D33" s="215">
        <f>AnnualKPI!$R$4</f>
        <v>3.43142594698315E-2</v>
      </c>
      <c r="E33" s="67">
        <f t="shared" si="2"/>
        <v>0.31371481060337003</v>
      </c>
      <c r="F33" s="239"/>
      <c r="G33" s="209"/>
    </row>
    <row r="34" spans="1:7">
      <c r="A34" s="601">
        <v>9</v>
      </c>
      <c r="B34" s="56" t="s">
        <v>37</v>
      </c>
      <c r="C34" s="74">
        <f>_xlfn.XLOOKUP($B$4,'Daily KPI'!$A:$A,'Daily KPI'!$AQ:$AQ)</f>
        <v>0.05</v>
      </c>
      <c r="D34" s="211">
        <f>_xlfn.XLOOKUP($B$4,'Daily KPI'!$A:$A,'Daily KPI'!$AO:$AO)</f>
        <v>2.7623270153760019E-3</v>
      </c>
      <c r="E34" s="59">
        <f>-(D34-C34)/(C34)</f>
        <v>0.94475345969248004</v>
      </c>
      <c r="F34" s="237"/>
      <c r="G34" s="209"/>
    </row>
    <row r="35" spans="1:7">
      <c r="A35" s="602"/>
      <c r="B35" s="60" t="s">
        <v>38</v>
      </c>
      <c r="C35" s="76">
        <f>_xlfn.XLOOKUP($B$3,'Modelling New'!$D:$D,'Modelling New'!$AL:$AL)</f>
        <v>0.05</v>
      </c>
      <c r="D35" s="217">
        <f>MonthlyKPI!$V$4</f>
        <v>1.1157637349746067E-2</v>
      </c>
      <c r="E35" s="63">
        <f>-(D35-C35)/(C35)</f>
        <v>0.77684725300507873</v>
      </c>
      <c r="F35" s="238"/>
      <c r="G35" s="209"/>
    </row>
    <row r="36" spans="1:7" ht="15" thickBot="1">
      <c r="A36" s="603"/>
      <c r="B36" s="64" t="s">
        <v>39</v>
      </c>
      <c r="C36" s="78">
        <f>_xlfn.XLOOKUP($B$3,'Modelling New'!$D:$D,'Modelling New'!$AL:$AL)</f>
        <v>0.05</v>
      </c>
      <c r="D36" s="215">
        <f>AnnualKPI!$S$4</f>
        <v>7.9531023515452947E-3</v>
      </c>
      <c r="E36" s="67">
        <f>-(D36-C36)/(C36)</f>
        <v>0.84093795296909413</v>
      </c>
      <c r="F36" s="239"/>
      <c r="G36" s="209"/>
    </row>
    <row r="37" spans="1:7">
      <c r="A37" s="601">
        <v>10</v>
      </c>
      <c r="B37" s="56" t="s">
        <v>40</v>
      </c>
      <c r="C37" s="201">
        <f>IFERROR(_xlfn.XLOOKUP($B$4,'Daily KPI'!$A:$A,'Daily KPI'!$AI:$AI),"")</f>
        <v>845.66</v>
      </c>
      <c r="D37" s="202">
        <f>IFERROR(_xlfn.XLOOKUP($B$4,'Daily KPI'!A:A,'Daily KPI'!$X:$X)/1000,"")</f>
        <v>814.45100000000002</v>
      </c>
      <c r="E37" s="59">
        <f t="shared" si="0"/>
        <v>-3.6904902679563832E-2</v>
      </c>
      <c r="F37" s="237"/>
      <c r="G37" s="209"/>
    </row>
    <row r="38" spans="1:7">
      <c r="A38" s="602"/>
      <c r="B38" s="60" t="s">
        <v>41</v>
      </c>
      <c r="C38" s="203">
        <f>MonthlyKPI!$T$4</f>
        <v>10082.15</v>
      </c>
      <c r="D38" s="204">
        <f>IFERROR(SUMIF('Daily KPI'!D:D,$B$3,'Daily KPI'!$X:$X)/1000,"")</f>
        <v>9372.2569999999996</v>
      </c>
      <c r="E38" s="63">
        <f t="shared" si="0"/>
        <v>-7.0410874664630071E-2</v>
      </c>
      <c r="F38" s="238"/>
      <c r="G38" s="209"/>
    </row>
    <row r="39" spans="1:7" ht="15" thickBot="1">
      <c r="A39" s="603"/>
      <c r="B39" s="64" t="s">
        <v>42</v>
      </c>
      <c r="C39" s="205">
        <f>AnnualKPI!$Q$4</f>
        <v>79506.354499999987</v>
      </c>
      <c r="D39" s="206">
        <f>IFERROR(SUMIFS('Daily KPI'!$X:$X,'Daily KPI'!$A:$A,"&gt;="&amp;O2Summary!$B$6,'Daily KPI'!$A:$A,"&lt;="&amp;O2Summary!$B$4)/1000,"")</f>
        <v>75512.183999999994</v>
      </c>
      <c r="E39" s="67">
        <f t="shared" si="0"/>
        <v>-5.0237122870474382E-2</v>
      </c>
      <c r="F39" s="239"/>
      <c r="G39" s="209"/>
    </row>
    <row r="40" spans="1:7">
      <c r="G40" s="20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topLeftCell="C1" zoomScale="78" workbookViewId="0">
      <selection activeCell="U4" sqref="U4"/>
    </sheetView>
  </sheetViews>
  <sheetFormatPr defaultColWidth="8.44140625" defaultRowHeight="29.25" customHeight="1"/>
  <cols>
    <col min="1" max="1" width="15" bestFit="1" customWidth="1"/>
    <col min="2" max="3" width="12.44140625" customWidth="1"/>
    <col min="4" max="4" width="12" customWidth="1"/>
    <col min="5" max="5" width="14.44140625" customWidth="1"/>
    <col min="6" max="16" width="12.44140625" customWidth="1"/>
    <col min="17" max="17" width="12" customWidth="1"/>
    <col min="18" max="18" width="14.44140625" bestFit="1" customWidth="1"/>
    <col min="19" max="19" width="10.109375" customWidth="1"/>
    <col min="20" max="20" width="12.44140625" customWidth="1"/>
  </cols>
  <sheetData>
    <row r="1" spans="1:22" ht="29.25" customHeight="1">
      <c r="A1" s="32" t="s">
        <v>43</v>
      </c>
      <c r="B1" s="33">
        <f>O2Summary!B4</f>
        <v>45852</v>
      </c>
      <c r="C1" s="34">
        <v>0</v>
      </c>
      <c r="D1" s="34">
        <v>0</v>
      </c>
      <c r="E1" s="34">
        <v>0</v>
      </c>
      <c r="F1" s="34">
        <v>0</v>
      </c>
    </row>
    <row r="2" spans="1:22" ht="29.25" customHeight="1">
      <c r="A2" s="604" t="s">
        <v>64</v>
      </c>
      <c r="B2" s="605"/>
      <c r="C2" s="605"/>
      <c r="D2" s="605"/>
      <c r="E2" s="605"/>
      <c r="F2" s="605"/>
      <c r="G2" s="605"/>
      <c r="H2" s="605"/>
      <c r="I2" s="605"/>
      <c r="J2" s="605"/>
      <c r="K2" s="605"/>
      <c r="L2" s="605"/>
      <c r="M2" s="605"/>
      <c r="N2" s="605"/>
      <c r="O2" s="605"/>
      <c r="P2" s="605"/>
      <c r="Q2" s="605"/>
      <c r="R2" s="605"/>
    </row>
    <row r="3" spans="1:22" ht="29.25" customHeight="1">
      <c r="A3" s="113" t="s">
        <v>45</v>
      </c>
      <c r="B3" s="113" t="s">
        <v>46</v>
      </c>
      <c r="C3" s="114" t="s">
        <v>47</v>
      </c>
      <c r="D3" s="114" t="s">
        <v>48</v>
      </c>
      <c r="E3" s="114" t="s">
        <v>49</v>
      </c>
      <c r="F3" s="114" t="s">
        <v>50</v>
      </c>
      <c r="G3" s="114" t="s">
        <v>51</v>
      </c>
      <c r="H3" s="114" t="s">
        <v>52</v>
      </c>
      <c r="I3" s="114" t="s">
        <v>53</v>
      </c>
      <c r="J3" s="114" t="s">
        <v>54</v>
      </c>
      <c r="K3" s="114" t="s">
        <v>55</v>
      </c>
      <c r="L3" s="114" t="s">
        <v>56</v>
      </c>
      <c r="M3" s="114" t="s">
        <v>65</v>
      </c>
      <c r="N3" s="114" t="s">
        <v>58</v>
      </c>
      <c r="O3" s="114" t="s">
        <v>59</v>
      </c>
      <c r="P3" s="114" t="s">
        <v>60</v>
      </c>
      <c r="Q3" s="114" t="s">
        <v>66</v>
      </c>
      <c r="R3" s="114" t="s">
        <v>67</v>
      </c>
      <c r="S3" s="114" t="s">
        <v>68</v>
      </c>
      <c r="T3" s="198" t="s">
        <v>61</v>
      </c>
      <c r="U3" s="198" t="s">
        <v>62</v>
      </c>
      <c r="V3" s="198" t="s">
        <v>63</v>
      </c>
    </row>
    <row r="4" spans="1:22" s="35" customFormat="1" ht="29.25" customHeight="1">
      <c r="A4" s="115">
        <f>O2Summary!B3</f>
        <v>45839</v>
      </c>
      <c r="B4" s="116">
        <f>DAY(B1)</f>
        <v>14</v>
      </c>
      <c r="C4" s="117">
        <f>IFERROR(_xlfn.XLOOKUP($A$4,'Modelling New'!$D:$D,'Modelling New'!$AC:$AC),"")</f>
        <v>8.18</v>
      </c>
      <c r="D4" s="118">
        <f>AVERAGEIF('Daily KPI'!$D:$D,$A$4,'Daily KPI'!$M:$M)</f>
        <v>6.7983440794788601</v>
      </c>
      <c r="E4" s="116">
        <f>IFERROR(_xlfn.XLOOKUP($A$4,'Modelling New'!$D:$D,'Modelling New'!$U:$U),"")</f>
        <v>13494.364351448279</v>
      </c>
      <c r="F4" s="119">
        <f>SUMIFS('Daily KPI'!$AA:$AA,'Daily KPI'!$D:$D,$A$4)/1000</f>
        <v>9130.0499999999993</v>
      </c>
      <c r="G4" s="120">
        <f>IFERROR(_xlfn.XLOOKUP($A$4,'Modelling New'!$D:$D,'Modelling New'!$X:$X),"")</f>
        <v>0.57210539408867001</v>
      </c>
      <c r="H4" s="121">
        <f>F4/(24*B4*(_xlfn.XLOOKUP($B$1,'Daily KPI'!$A:$A,'Daily KPI'!$AR:$AR)))</f>
        <v>0.38707646520146516</v>
      </c>
      <c r="I4" s="120">
        <f>_xlfn.XLOOKUP($A$4,'Modelling New'!$D:$D,'Modelling New'!$AF:$AF)</f>
        <v>0.995</v>
      </c>
      <c r="J4" s="121">
        <f>AVERAGEIFS('Daily KPI'!$R:$R,'Daily KPI'!$A:$A,"&lt;="&amp;MonthlyKPI!$B$1,'Daily KPI'!$D:$D,$A$4)</f>
        <v>1</v>
      </c>
      <c r="K4" s="120">
        <f>_xlfn.XLOOKUP($A$4,'Modelling New'!$D:$D,'Modelling New'!$AH:$AH)</f>
        <v>0.97</v>
      </c>
      <c r="L4" s="121">
        <f>AVERAGEIFS('Daily KPI'!$P:$P,'Daily KPI'!$A:$A,"&lt;="&amp;MonthlyKPI!$B$1,'Daily KPI'!$D:$D,$A$4)</f>
        <v>0.95670685808505662</v>
      </c>
      <c r="M4" s="120">
        <f>_xlfn.XLOOKUP($A$4,'Modelling New'!$D:$D,'Modelling New'!$AI:$AI)</f>
        <v>0.99</v>
      </c>
      <c r="N4" s="121">
        <f>AVERAGEIFS('Daily KPI'!$Q:$Q,'Daily KPI'!$A:$A,"&lt;="&amp;MonthlyKPI!$B$1,'Daily KPI'!$D:$D,$A$4)</f>
        <v>0.99375750519189443</v>
      </c>
      <c r="O4" s="120">
        <f>K4*M4</f>
        <v>0.96029999999999993</v>
      </c>
      <c r="P4" s="122">
        <f>L4*N4</f>
        <v>0.95073462049058166</v>
      </c>
      <c r="Q4" s="116">
        <f>SUMIFS('Daily KPI'!$X:$X,'Daily KPI'!$D:$D,$A$4)/1000</f>
        <v>9372.2569999999996</v>
      </c>
      <c r="R4" s="122">
        <f>Q4/F4-1</f>
        <v>2.6528551322281935E-2</v>
      </c>
      <c r="S4" s="116">
        <f>SUMIFS(Input_Raw!BQ:BQ,Input_Raw!A:A,"&gt;="&amp;A4,Input_Raw!A:A,"&lt;="&amp;B1)</f>
        <v>10082.15</v>
      </c>
      <c r="T4" s="119">
        <f>SUMIFS('Daily KPI'!$AI:$AI,'Daily KPI'!$D:$D,$A$4)</f>
        <v>10082.15</v>
      </c>
      <c r="U4" s="200">
        <f>IFERROR(AVERAGEIFS('Daily KPI'!$AN:$AN,'Daily KPI'!$D:$D,MonthlyKPI!$A$4,'Daily KPI'!$A:$A,"&lt;="&amp;MonthlyKPI!$B$1),"")</f>
        <v>2.5515670468404493E-2</v>
      </c>
      <c r="V4" s="199">
        <f>AVERAGEIFS('Daily KPI'!$AO:$AO,'Daily KPI'!$A:$A,"&lt;="&amp;MonthlyKPI!$B$1,'Daily KPI'!$D:$D,$A$4)</f>
        <v>1.1157637349746067E-2</v>
      </c>
    </row>
    <row r="6" spans="1:22" ht="29.25" customHeight="1">
      <c r="Q6" s="2"/>
    </row>
    <row r="7" spans="1:22" ht="29.25" customHeight="1">
      <c r="A7" s="32" t="s">
        <v>69</v>
      </c>
      <c r="B7" s="33">
        <f>B8-6</f>
        <v>45846</v>
      </c>
      <c r="D7" s="36"/>
      <c r="F7" s="36"/>
    </row>
    <row r="8" spans="1:22" ht="29.25" customHeight="1">
      <c r="A8" s="32" t="s">
        <v>70</v>
      </c>
      <c r="B8" s="33">
        <f>B1</f>
        <v>45852</v>
      </c>
    </row>
    <row r="9" spans="1:22" ht="29.25" customHeight="1">
      <c r="A9" s="604" t="s">
        <v>71</v>
      </c>
      <c r="B9" s="605"/>
      <c r="C9" s="605"/>
      <c r="D9" s="605"/>
      <c r="E9" s="605"/>
      <c r="F9" s="605"/>
      <c r="G9" s="605"/>
      <c r="H9" s="605"/>
      <c r="I9" s="605"/>
      <c r="J9" s="605"/>
      <c r="K9" s="605"/>
      <c r="L9" s="605"/>
      <c r="M9" s="605"/>
      <c r="N9" s="605"/>
      <c r="O9" s="605"/>
      <c r="P9" s="605"/>
    </row>
    <row r="10" spans="1:22" ht="29.25" customHeight="1">
      <c r="A10" s="113" t="s">
        <v>45</v>
      </c>
      <c r="B10" s="113" t="s">
        <v>46</v>
      </c>
      <c r="C10" s="114" t="s">
        <v>47</v>
      </c>
      <c r="D10" s="114" t="s">
        <v>48</v>
      </c>
      <c r="E10" s="114" t="s">
        <v>49</v>
      </c>
      <c r="F10" s="114" t="s">
        <v>50</v>
      </c>
      <c r="G10" s="114" t="s">
        <v>51</v>
      </c>
      <c r="H10" s="114" t="s">
        <v>52</v>
      </c>
      <c r="I10" s="114" t="s">
        <v>53</v>
      </c>
      <c r="J10" s="114" t="s">
        <v>54</v>
      </c>
      <c r="K10" s="114" t="s">
        <v>55</v>
      </c>
      <c r="L10" s="114" t="s">
        <v>56</v>
      </c>
      <c r="M10" s="114" t="s">
        <v>65</v>
      </c>
      <c r="N10" s="114" t="s">
        <v>58</v>
      </c>
      <c r="O10" s="114" t="s">
        <v>59</v>
      </c>
      <c r="P10" s="114" t="s">
        <v>60</v>
      </c>
      <c r="Q10" s="114" t="s">
        <v>68</v>
      </c>
    </row>
    <row r="11" spans="1:22" s="35" customFormat="1" ht="29.25" customHeight="1">
      <c r="A11" s="115">
        <f>A4</f>
        <v>45839</v>
      </c>
      <c r="B11" s="116">
        <f>(B8-B7)+1</f>
        <v>7</v>
      </c>
      <c r="C11" s="117">
        <f>IFERROR(_xlfn.XLOOKUP($A$11,'Modelling New'!$D:$D,'Modelling New'!$AC:$AC),"")</f>
        <v>8.18</v>
      </c>
      <c r="D11" s="118">
        <f>AVERAGEIFS('Daily KPI'!$M:$M,'Daily KPI'!$A:$A,"&gt;="&amp;$B$7,'Daily KPI'!$A:$A,"&lt;="&amp;$B$8)</f>
        <v>6.5490216260327356</v>
      </c>
      <c r="E11" s="116">
        <f>SUMIFS('Daily KPI'!$AD:$AD,'Daily KPI'!$A:$A,"&gt;="&amp;$B$7,'Daily KPI'!$A:$A,"&lt;="&amp;$B$8)/1000</f>
        <v>6747.1821757241405</v>
      </c>
      <c r="F11" s="119">
        <f>SUMIFS('Daily KPI'!$AA:$AA,'Daily KPI'!$A:$A,"&gt;="&amp;$B$7,'Daily KPI'!$A:$A,"&lt;="&amp;$B$8)/1000</f>
        <v>4201.6499999999996</v>
      </c>
      <c r="G11" s="120">
        <f>E11/(24*$B$11*'Basic Data'!$K$3)</f>
        <v>0.57210539408866989</v>
      </c>
      <c r="H11" s="121">
        <f>F11/(24*B11*'Basic Data'!$K$3)</f>
        <v>0.3562652625152623</v>
      </c>
      <c r="I11" s="120">
        <f>_xlfn.XLOOKUP($A$4,'Modelling New'!$D:$D,'Modelling New'!$AF:$AF)</f>
        <v>0.995</v>
      </c>
      <c r="J11" s="121">
        <f>AVERAGEIFS('Daily KPI'!$R:$R,'Daily KPI'!$A:$A,"&gt;="&amp;$B$7,'Daily KPI'!$A:$A,"&lt;="&amp;$B$8)</f>
        <v>1</v>
      </c>
      <c r="K11" s="120">
        <f>_xlfn.XLOOKUP($A$4,'Modelling New'!$D:$D,'Modelling New'!$AH:$AH)</f>
        <v>0.97</v>
      </c>
      <c r="L11" s="121">
        <f>AVERAGEIFS('Daily KPI'!$P:$P,'Daily KPI'!$A:$A,"&gt;="&amp;$B$7,'Daily KPI'!$A:$A,"&lt;="&amp;$B$8)</f>
        <v>0.97854483479695531</v>
      </c>
      <c r="M11" s="120">
        <f>_xlfn.XLOOKUP($A$4,'Modelling New'!$D:$D,'Modelling New'!$AI:$AI)</f>
        <v>0.99</v>
      </c>
      <c r="N11" s="121">
        <f>AVERAGEIFS('Daily KPI'!$Q:$Q,'Daily KPI'!$A:$A,"&gt;="&amp;$B$7,'Daily KPI'!$A:$A,"&lt;="&amp;$B$8)</f>
        <v>0.99274753404434202</v>
      </c>
      <c r="O11" s="120">
        <f>K11*M11</f>
        <v>0.96029999999999993</v>
      </c>
      <c r="P11" s="122">
        <f>L11*N11</f>
        <v>0.97144797169650543</v>
      </c>
      <c r="Q11" s="116">
        <f>SUMIFS(Input_Raw!BQ:BQ,Input_Raw!A:A,"&gt;="&amp;B7,Input_Raw!A:A,"&lt;="&amp;B8)</f>
        <v>4555.18</v>
      </c>
    </row>
    <row r="14" spans="1:22" ht="29.25" customHeight="1">
      <c r="A14" s="32" t="s">
        <v>69</v>
      </c>
      <c r="B14" s="33">
        <f>B15-29</f>
        <v>45823</v>
      </c>
      <c r="D14" s="36"/>
      <c r="F14" s="36"/>
    </row>
    <row r="15" spans="1:22" ht="29.25" customHeight="1">
      <c r="A15" s="32" t="s">
        <v>70</v>
      </c>
      <c r="B15" s="33">
        <f>B8</f>
        <v>45852</v>
      </c>
    </row>
    <row r="16" spans="1:22" ht="29.25" customHeight="1">
      <c r="A16" s="604" t="s">
        <v>72</v>
      </c>
      <c r="B16" s="605"/>
      <c r="C16" s="605"/>
      <c r="D16" s="605"/>
      <c r="E16" s="605"/>
      <c r="F16" s="605"/>
      <c r="G16" s="605"/>
      <c r="H16" s="605"/>
      <c r="I16" s="605"/>
      <c r="J16" s="605"/>
      <c r="K16" s="605"/>
      <c r="L16" s="605"/>
      <c r="M16" s="605"/>
      <c r="N16" s="605"/>
      <c r="O16" s="605"/>
      <c r="P16" s="605"/>
    </row>
    <row r="17" spans="1:18" ht="29.25" customHeight="1">
      <c r="A17" s="113" t="s">
        <v>45</v>
      </c>
      <c r="B17" s="113" t="s">
        <v>46</v>
      </c>
      <c r="C17" s="114" t="s">
        <v>47</v>
      </c>
      <c r="D17" s="114" t="s">
        <v>48</v>
      </c>
      <c r="E17" s="114" t="s">
        <v>49</v>
      </c>
      <c r="F17" s="114" t="s">
        <v>50</v>
      </c>
      <c r="G17" s="114" t="s">
        <v>51</v>
      </c>
      <c r="H17" s="114" t="s">
        <v>52</v>
      </c>
      <c r="I17" s="114" t="s">
        <v>53</v>
      </c>
      <c r="J17" s="114" t="s">
        <v>54</v>
      </c>
      <c r="K17" s="114" t="s">
        <v>55</v>
      </c>
      <c r="L17" s="114" t="s">
        <v>56</v>
      </c>
      <c r="M17" s="114" t="s">
        <v>65</v>
      </c>
      <c r="N17" s="114" t="s">
        <v>58</v>
      </c>
      <c r="O17" s="114" t="s">
        <v>59</v>
      </c>
      <c r="P17" s="114" t="s">
        <v>60</v>
      </c>
    </row>
    <row r="18" spans="1:18" s="35" customFormat="1" ht="29.25" customHeight="1">
      <c r="A18" s="115">
        <f>A11</f>
        <v>45839</v>
      </c>
      <c r="B18" s="116">
        <f>(B15-B14)+1</f>
        <v>30</v>
      </c>
      <c r="C18" s="117">
        <f>_xlfn.XLOOKUP($A$18,'Modelling New'!$D:$D,'Modelling New'!$AC:$AC)</f>
        <v>8.18</v>
      </c>
      <c r="D18" s="118">
        <f>AVERAGEIFS('Daily KPI'!$M:$M,'Daily KPI'!$A:$A,"&gt;="&amp;$B$14,'Daily KPI'!$A:$A,"&lt;="&amp;$B$15)</f>
        <v>7.3190662331950298</v>
      </c>
      <c r="E18" s="116">
        <f>SUMIFS('Daily KPI'!$AD:$AD,'Daily KPI'!$A:$A,"&gt;="&amp;$B$14,'Daily KPI'!$A:$A,"&lt;="&amp;$B$15)/1000</f>
        <v>26320.176741280797</v>
      </c>
      <c r="F18" s="119">
        <f>SUMIFS('Daily KPI'!$X:$X,'Daily KPI'!$A:$A,"&gt;="&amp;$B$14,'Daily KPI'!$A:$A,"&lt;="&amp;$B$15)/1000</f>
        <v>24343.492999999999</v>
      </c>
      <c r="G18" s="120">
        <f>E18/(24*$B$18*'Basic Data'!$K$3)</f>
        <v>0.5207379064039408</v>
      </c>
      <c r="H18" s="121">
        <f>F18/(24*B18*'Basic Data'!$K$3)</f>
        <v>0.48162972855333941</v>
      </c>
      <c r="I18" s="120">
        <v>0.997</v>
      </c>
      <c r="J18" s="121">
        <f>AVERAGEIFS('Daily KPI'!$R:$R,'Daily KPI'!$A:$A,"&gt;="&amp;$B$14,'Daily KPI'!$A:$A,"&lt;="&amp;$B$15)</f>
        <v>1</v>
      </c>
      <c r="K18" s="120">
        <v>0.98599999999999999</v>
      </c>
      <c r="L18" s="121">
        <f>AVERAGEIFS('Daily KPI'!$P:$P,'Daily KPI'!$A:$A,"&gt;="&amp;$B$14,'Daily KPI'!$A:$A,"&lt;="&amp;$B$15)</f>
        <v>0.9562070628457664</v>
      </c>
      <c r="M18" s="120">
        <v>0.995</v>
      </c>
      <c r="N18" s="121">
        <f>AVERAGEIFS('Daily KPI'!$Q:$Q,'Daily KPI'!$A:$A,"&gt;="&amp;$B$14,'Daily KPI'!$A:$A,"&lt;="&amp;$B$15)</f>
        <v>0.9888253359983693</v>
      </c>
      <c r="O18" s="120">
        <f>K18*M18</f>
        <v>0.98107</v>
      </c>
      <c r="P18" s="122">
        <f>L18*N18</f>
        <v>0.94552177020247874</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80" zoomScaleNormal="90" workbookViewId="0">
      <pane xSplit="1" ySplit="1" topLeftCell="C93" activePane="bottomRight" state="frozen"/>
      <selection pane="topRight" activeCell="AB39" sqref="AB39"/>
      <selection pane="bottomLeft" activeCell="AB39" sqref="AB39"/>
      <selection pane="bottomRight" activeCell="M101" sqref="M101"/>
    </sheetView>
  </sheetViews>
  <sheetFormatPr defaultColWidth="8.88671875" defaultRowHeight="14.4"/>
  <cols>
    <col min="1" max="1" width="9.88671875" style="164" bestFit="1" customWidth="1"/>
    <col min="2" max="5" width="9" style="164" customWidth="1"/>
    <col min="6" max="9" width="10.109375" style="164" customWidth="1"/>
    <col min="10" max="12" width="11.109375" style="164" customWidth="1"/>
    <col min="13" max="13" width="15.109375" style="164" bestFit="1" customWidth="1"/>
    <col min="14" max="39" width="11.109375" style="164" customWidth="1"/>
    <col min="40" max="40" width="11.109375" style="178" customWidth="1"/>
    <col min="41" max="43" width="11.109375" style="164" customWidth="1"/>
    <col min="44" max="16384" width="8.88671875" style="164"/>
  </cols>
  <sheetData>
    <row r="1" spans="1:45" ht="57.6">
      <c r="A1" s="160" t="s">
        <v>128</v>
      </c>
      <c r="B1" s="161" t="s">
        <v>3</v>
      </c>
      <c r="C1" s="161" t="s">
        <v>129</v>
      </c>
      <c r="D1" s="161" t="s">
        <v>130</v>
      </c>
      <c r="E1" s="161" t="s">
        <v>46</v>
      </c>
      <c r="F1" s="162" t="s">
        <v>131</v>
      </c>
      <c r="G1" s="162" t="s">
        <v>132</v>
      </c>
      <c r="H1" s="162" t="s">
        <v>133</v>
      </c>
      <c r="I1" s="162" t="s">
        <v>134</v>
      </c>
      <c r="J1" s="162" t="s">
        <v>135</v>
      </c>
      <c r="K1" s="162" t="s">
        <v>136</v>
      </c>
      <c r="L1" s="162" t="s">
        <v>137</v>
      </c>
      <c r="M1" s="162" t="s">
        <v>138</v>
      </c>
      <c r="N1" s="162" t="s">
        <v>139</v>
      </c>
      <c r="O1" s="162" t="s">
        <v>140</v>
      </c>
      <c r="P1" s="162" t="s">
        <v>141</v>
      </c>
      <c r="Q1" s="162" t="s">
        <v>142</v>
      </c>
      <c r="R1" s="162" t="s">
        <v>143</v>
      </c>
      <c r="S1" s="162" t="s">
        <v>144</v>
      </c>
      <c r="T1" s="162" t="s">
        <v>145</v>
      </c>
      <c r="U1" s="162" t="s">
        <v>146</v>
      </c>
      <c r="V1" s="162" t="s">
        <v>147</v>
      </c>
      <c r="W1" s="162" t="s">
        <v>148</v>
      </c>
      <c r="X1" s="162" t="s">
        <v>149</v>
      </c>
      <c r="Y1" s="162" t="s">
        <v>150</v>
      </c>
      <c r="Z1" s="162" t="s">
        <v>151</v>
      </c>
      <c r="AA1" s="162" t="s">
        <v>152</v>
      </c>
      <c r="AB1" s="162" t="s">
        <v>153</v>
      </c>
      <c r="AC1" s="162" t="s">
        <v>154</v>
      </c>
      <c r="AD1" s="162" t="s">
        <v>155</v>
      </c>
      <c r="AE1" s="162" t="s">
        <v>156</v>
      </c>
      <c r="AF1" s="162" t="s">
        <v>157</v>
      </c>
      <c r="AG1" s="162" t="s">
        <v>158</v>
      </c>
      <c r="AH1" s="162" t="s">
        <v>159</v>
      </c>
      <c r="AI1" s="162" t="s">
        <v>61</v>
      </c>
      <c r="AJ1" s="162" t="s">
        <v>160</v>
      </c>
      <c r="AK1" s="162" t="s">
        <v>161</v>
      </c>
      <c r="AL1" s="162" t="s">
        <v>162</v>
      </c>
      <c r="AM1" s="162" t="s">
        <v>163</v>
      </c>
      <c r="AN1" s="163" t="s">
        <v>164</v>
      </c>
      <c r="AO1" s="162" t="s">
        <v>63</v>
      </c>
      <c r="AP1" s="162" t="s">
        <v>165</v>
      </c>
      <c r="AQ1" s="162" t="s">
        <v>166</v>
      </c>
      <c r="AR1" s="162" t="s">
        <v>204</v>
      </c>
      <c r="AS1" s="162" t="s">
        <v>205</v>
      </c>
    </row>
    <row r="2" spans="1:45">
      <c r="A2" s="165">
        <v>45745</v>
      </c>
      <c r="B2" s="166">
        <f>YEAR(Table13[[#This Row],[Date]])+IF(MONTH(Table13[[#This Row],[Date]])&gt;=4,1,0)</f>
        <v>2025</v>
      </c>
      <c r="C2" s="167">
        <f>YEAR(Table13[[#This Row],[Date]])</f>
        <v>2025</v>
      </c>
      <c r="D2" s="168">
        <f>Table13[[#This Row],[Date]]-DAY(Table13[[#This Row],[Date]])+1</f>
        <v>45717</v>
      </c>
      <c r="E2" s="167">
        <f t="shared" ref="E2:E23" si="0">DAY(EOMONTH(A2,0))</f>
        <v>31</v>
      </c>
      <c r="F2" s="169"/>
      <c r="G2" s="170"/>
      <c r="H2" s="170"/>
      <c r="I2" s="170"/>
      <c r="J2" s="170"/>
      <c r="K2" s="171"/>
      <c r="L2" s="170"/>
      <c r="M2" s="170">
        <f>IFERROR(_xlfn.XLOOKUP($A2,Input_Raw!$A:$A,Input_Raw!BG:BG),"")</f>
        <v>7.1400000000000006</v>
      </c>
      <c r="N2" s="170">
        <f>IFERROR(_xlfn.XLOOKUP($A2,Input_Raw!$A:$A,Input_Raw!BH:BH),"")</f>
        <v>0</v>
      </c>
      <c r="O2" s="173">
        <f t="shared" ref="O2:O23" si="1">IFERROR(P2*Q2,"")</f>
        <v>1</v>
      </c>
      <c r="P2" s="173">
        <f>IFERROR(1-SUMIF(WTG_BD!$F:$F,$A2,WTG_BD!$AA:$AA)/($AA2+SUMIF(WTG_BD!$F:$F,$A2,WTG_BD!$AA:$AA)),"")</f>
        <v>1</v>
      </c>
      <c r="Q2" s="173">
        <f>IFERROR(1-SUMIF(IGA_BD!$F:$F,$A2,IGA_BD!$X:$X)/($AA2+SUMIF(IGA_BD!$F:$F,$A2,IGA_BD!$X:$X)),"")</f>
        <v>1</v>
      </c>
      <c r="R2" s="173">
        <f>IFERROR(1-SUMIF(Grid_BD!$F:$F,$A2,Grid_BD!$Y:$Y)/($AA2+SUMIF(Grid_BD!$F:$F,$A2,Grid_BD!$Y:$Y)),"")</f>
        <v>1</v>
      </c>
      <c r="S2" s="167"/>
      <c r="T2" s="172"/>
      <c r="U2" s="173"/>
      <c r="V2" s="167"/>
      <c r="W2" s="174">
        <f t="shared" ref="W2:W23" si="2">IFERROR(AA2/(24*AR2*1000),"")</f>
        <v>0.45806623931623924</v>
      </c>
      <c r="X2" s="167">
        <f>IFERROR(_xlfn.XLOOKUP($A2,Input_Raw!$A:$A,Input_Raw!$BF:$BF),"")</f>
        <v>801666</v>
      </c>
      <c r="Y2" s="167">
        <f>IFERROR(_xlfn.XLOOKUP($A2,Input_Raw!$A:$A,Input_Raw!BJ:BJ),"")</f>
        <v>771750</v>
      </c>
      <c r="Z2" s="167">
        <f>IFERROR(_xlfn.XLOOKUP($A2,Input_Raw!$A:$A,Input_Raw!BK:BK),"")</f>
        <v>0</v>
      </c>
      <c r="AA2" s="167">
        <f>IFERROR(_xlfn.XLOOKUP($A2,Input_Raw!$A:$A,Input_Raw!BL:BL),"")</f>
        <v>771750</v>
      </c>
      <c r="AB2" s="167">
        <f>IFERROR(_xlfn.XLOOKUP($A2,Input_Raw!$A:$A,Input_Raw!$BO:$BO),"")</f>
        <v>70.2</v>
      </c>
      <c r="AC2" s="176">
        <f>IFERROR(_xlfn.XLOOKUP($D2,'Modelling New'!$D:$D,'Modelling New'!$J:$J),"")</f>
        <v>6.89</v>
      </c>
      <c r="AD2" s="166">
        <f>IFERROR(_xlfn.XLOOKUP($D2,'Modelling New'!$D:$D,'Modelling New'!$T:$T)*1000,"")</f>
        <v>632771.03225806449</v>
      </c>
      <c r="AE2" s="174"/>
      <c r="AF2" s="174">
        <f>IFERROR(_xlfn.XLOOKUP($D2,'Modelling New'!$D:$D,'Modelling New'!$W:$W),"")</f>
        <v>0.37557634868118733</v>
      </c>
      <c r="AG2" s="174">
        <f>IFERROR(_xlfn.XLOOKUP($D2,'Modelling New'!$D:$D,'Modelling New'!$AE:$AE),"")</f>
        <v>0.96029999999999993</v>
      </c>
      <c r="AH2" s="174">
        <f>IFERROR(_xlfn.XLOOKUP($D2,'Modelling New'!$D:$D,'Modelling New'!$AF:$AF),"")</f>
        <v>0.995</v>
      </c>
      <c r="AI2" s="177">
        <f>IFERROR(_xlfn.XLOOKUP($A2,Input_Raw!$A:$A,Input_Raw!$BQ:$BQ),"")</f>
        <v>843.53353333333143</v>
      </c>
      <c r="AJ2" s="167"/>
      <c r="AK2" s="167"/>
      <c r="AL2" s="167"/>
      <c r="AM2" s="167"/>
      <c r="AN2" s="175">
        <f>IFERROR(_xlfn.XLOOKUP($A2,Input_Raw!$A:$A,Input_Raw!$BN:$BN),"")</f>
        <v>3.7317286750342411E-2</v>
      </c>
      <c r="AO2" s="174">
        <f>IFERROR((_xlfn.XLOOKUP($A2,'WTG Reactive Power'!$A:$A,'WTG Reactive Power'!$AE:$AE))/Table13[[#This Row],[Gen_Exp (kWh)]],"")</f>
        <v>0</v>
      </c>
      <c r="AP2" s="174">
        <f>IFERROR(_xlfn.XLOOKUP($D2,'Modelling New'!$D:$D,'Modelling New'!$AK:$AK),"")</f>
        <v>0.05</v>
      </c>
      <c r="AQ2" s="174">
        <f>IFERROR(_xlfn.XLOOKUP($D2,'Modelling New'!$D:$D,'Modelling New'!$AL:$AL),"")</f>
        <v>0.05</v>
      </c>
      <c r="AR2" s="276">
        <f>IFERROR(_xlfn.XLOOKUP($D2,'Modelling New'!$D:$D,'Modelling New'!$N:$N),"")</f>
        <v>70.2</v>
      </c>
      <c r="AS2" s="276"/>
    </row>
    <row r="3" spans="1:45">
      <c r="A3" s="165">
        <f t="shared" ref="A3:A25" si="3">A2+1</f>
        <v>45746</v>
      </c>
      <c r="B3" s="166">
        <f>YEAR(Table13[[#This Row],[Date]])+IF(MONTH(Table13[[#This Row],[Date]])&gt;=4,1,0)</f>
        <v>2025</v>
      </c>
      <c r="C3" s="167">
        <f>YEAR(Table13[[#This Row],[Date]])</f>
        <v>2025</v>
      </c>
      <c r="D3" s="168">
        <f>Table13[[#This Row],[Date]]-DAY(Table13[[#This Row],[Date]])+1</f>
        <v>45717</v>
      </c>
      <c r="E3" s="167">
        <f t="shared" si="0"/>
        <v>31</v>
      </c>
      <c r="F3" s="169"/>
      <c r="G3" s="176"/>
      <c r="H3" s="176"/>
      <c r="I3" s="176"/>
      <c r="J3" s="176"/>
      <c r="K3" s="171"/>
      <c r="L3" s="170"/>
      <c r="M3" s="170">
        <f>IFERROR(_xlfn.XLOOKUP($A3,Input_Raw!$A:$A,Input_Raw!BG:BG),"")</f>
        <v>5.9436965821804399</v>
      </c>
      <c r="N3" s="170">
        <f>IFERROR(_xlfn.XLOOKUP($A3,Input_Raw!$A:$A,Input_Raw!BH:BH),"")</f>
        <v>0</v>
      </c>
      <c r="O3" s="173">
        <f t="shared" si="1"/>
        <v>1</v>
      </c>
      <c r="P3" s="173">
        <f>IFERROR(1-SUMIF(WTG_BD!$F:$F,$A3,WTG_BD!$AA:$AA)/($AA3+SUMIF(WTG_BD!$F:$F,$A3,WTG_BD!$AA:$AA)),"")</f>
        <v>1</v>
      </c>
      <c r="Q3" s="173">
        <f>IFERROR(1-SUMIF(IGA_BD!$F:$F,$A3,IGA_BD!$X:$X)/($AA3+SUMIF(IGA_BD!$F:$F,$A3,IGA_BD!$X:$X)),"")</f>
        <v>1</v>
      </c>
      <c r="R3" s="173">
        <f>IFERROR(1-SUMIF(Grid_BD!$F:$F,$A3,Grid_BD!$Y:$Y)/($AA3+SUMIF(Grid_BD!$F:$F,$A3,Grid_BD!$Y:$Y)),"")</f>
        <v>1</v>
      </c>
      <c r="S3" s="167"/>
      <c r="T3" s="172"/>
      <c r="U3" s="173"/>
      <c r="V3" s="167"/>
      <c r="W3" s="174">
        <f t="shared" si="2"/>
        <v>0.31784188034188032</v>
      </c>
      <c r="X3" s="167">
        <f>IFERROR(_xlfn.XLOOKUP($A3,Input_Raw!$A:$A,Input_Raw!$BF:$BF),"")</f>
        <v>552111</v>
      </c>
      <c r="Y3" s="167">
        <f>IFERROR(_xlfn.XLOOKUP($A3,Input_Raw!$A:$A,Input_Raw!BJ:BJ),"")</f>
        <v>535500</v>
      </c>
      <c r="Z3" s="167">
        <f>IFERROR(_xlfn.XLOOKUP($A3,Input_Raw!$A:$A,Input_Raw!BK:BK),"")</f>
        <v>0</v>
      </c>
      <c r="AA3" s="167">
        <f>IFERROR(_xlfn.XLOOKUP($A3,Input_Raw!$A:$A,Input_Raw!BL:BL),"")</f>
        <v>535500</v>
      </c>
      <c r="AB3" s="167">
        <f>IFERROR(_xlfn.XLOOKUP($A3,Input_Raw!$A:$A,Input_Raw!$BO:$BO),"")</f>
        <v>70.2</v>
      </c>
      <c r="AC3" s="176">
        <f>IFERROR(_xlfn.XLOOKUP($D3,'Modelling New'!$D:$D,'Modelling New'!$J:$J),"")</f>
        <v>6.89</v>
      </c>
      <c r="AD3" s="166">
        <f>IFERROR(_xlfn.XLOOKUP($D3,'Modelling New'!$D:$D,'Modelling New'!$T:$T)*1000,"")</f>
        <v>632771.03225806449</v>
      </c>
      <c r="AE3" s="174"/>
      <c r="AF3" s="174">
        <f>IFERROR(_xlfn.XLOOKUP($D3,'Modelling New'!$D:$D,'Modelling New'!$W:$W),"")</f>
        <v>0.37557634868118733</v>
      </c>
      <c r="AG3" s="174">
        <f>IFERROR(_xlfn.XLOOKUP($D3,'Modelling New'!$D:$D,'Modelling New'!$AE:$AE),"")</f>
        <v>0.96029999999999993</v>
      </c>
      <c r="AH3" s="174">
        <f>IFERROR(_xlfn.XLOOKUP($D3,'Modelling New'!$D:$D,'Modelling New'!$AF:$AF),"")</f>
        <v>0.995</v>
      </c>
      <c r="AI3" s="177">
        <f>IFERROR(_xlfn.XLOOKUP($A3,Input_Raw!$A:$A,Input_Raw!$BQ:$BQ),"")</f>
        <v>562.59158333333312</v>
      </c>
      <c r="AJ3" s="167"/>
      <c r="AK3" s="167"/>
      <c r="AL3" s="167"/>
      <c r="AM3" s="167"/>
      <c r="AN3" s="175">
        <f>IFERROR(_xlfn.XLOOKUP($A3,Input_Raw!$A:$A,Input_Raw!$BN:$BN),"")</f>
        <v>3.0086341333536191E-2</v>
      </c>
      <c r="AO3" s="174">
        <f>IFERROR((_xlfn.XLOOKUP($A3,'WTG Reactive Power'!$A:$A,'WTG Reactive Power'!$AE:$AE))/Table13[[#This Row],[Gen_Exp (kWh)]],"")</f>
        <v>0</v>
      </c>
      <c r="AP3" s="174">
        <f>IFERROR(_xlfn.XLOOKUP($D3,'Modelling New'!$D:$D,'Modelling New'!$AK:$AK),"")</f>
        <v>0.05</v>
      </c>
      <c r="AQ3" s="174">
        <f>IFERROR(_xlfn.XLOOKUP($D3,'Modelling New'!$D:$D,'Modelling New'!$AL:$AL),"")</f>
        <v>0.05</v>
      </c>
      <c r="AR3" s="276">
        <f>IFERROR(_xlfn.XLOOKUP($D3,'Modelling New'!$D:$D,'Modelling New'!$N:$N),"")</f>
        <v>70.2</v>
      </c>
      <c r="AS3" s="276"/>
    </row>
    <row r="4" spans="1:45">
      <c r="A4" s="165">
        <f t="shared" si="3"/>
        <v>45747</v>
      </c>
      <c r="B4" s="166">
        <f>YEAR(Table13[[#This Row],[Date]])+IF(MONTH(Table13[[#This Row],[Date]])&gt;=4,1,0)</f>
        <v>2025</v>
      </c>
      <c r="C4" s="167">
        <f>YEAR(Table13[[#This Row],[Date]])</f>
        <v>2025</v>
      </c>
      <c r="D4" s="168">
        <f>Table13[[#This Row],[Date]]-DAY(Table13[[#This Row],[Date]])+1</f>
        <v>45717</v>
      </c>
      <c r="E4" s="167">
        <f t="shared" si="0"/>
        <v>31</v>
      </c>
      <c r="F4" s="169"/>
      <c r="G4" s="170"/>
      <c r="H4" s="170"/>
      <c r="I4" s="170"/>
      <c r="J4" s="170"/>
      <c r="K4" s="171"/>
      <c r="L4" s="170"/>
      <c r="M4" s="170">
        <f>IFERROR(_xlfn.XLOOKUP($A4,Input_Raw!$A:$A,Input_Raw!BG:BG),"")</f>
        <v>6.5130021386166925</v>
      </c>
      <c r="N4" s="170">
        <f>IFERROR(_xlfn.XLOOKUP($A4,Input_Raw!$A:$A,Input_Raw!BH:BH),"")</f>
        <v>0</v>
      </c>
      <c r="O4" s="173">
        <f t="shared" si="1"/>
        <v>1</v>
      </c>
      <c r="P4" s="173">
        <f>IFERROR(1-SUMIF(WTG_BD!$F:$F,$A4,WTG_BD!$AA:$AA)/($AA4+SUMIF(WTG_BD!$F:$F,$A4,WTG_BD!$AA:$AA)),"")</f>
        <v>1</v>
      </c>
      <c r="Q4" s="173">
        <f>IFERROR(1-SUMIF(IGA_BD!$F:$F,$A4,IGA_BD!$X:$X)/($AA4+SUMIF(IGA_BD!$F:$F,$A4,IGA_BD!$X:$X)),"")</f>
        <v>1</v>
      </c>
      <c r="R4" s="173">
        <f>IFERROR(1-SUMIF(Grid_BD!$F:$F,$A4,Grid_BD!$Y:$Y)/($AA4+SUMIF(Grid_BD!$F:$F,$A4,Grid_BD!$Y:$Y)),"")</f>
        <v>1</v>
      </c>
      <c r="S4" s="167"/>
      <c r="T4" s="172"/>
      <c r="U4" s="173"/>
      <c r="V4" s="167"/>
      <c r="W4" s="174">
        <f t="shared" si="2"/>
        <v>0.38381410256410253</v>
      </c>
      <c r="X4" s="167">
        <f>IFERROR(_xlfn.XLOOKUP($A4,Input_Raw!$A:$A,Input_Raw!$BF:$BF),"")</f>
        <v>667722</v>
      </c>
      <c r="Y4" s="167">
        <f>IFERROR(_xlfn.XLOOKUP($A4,Input_Raw!$A:$A,Input_Raw!BJ:BJ),"")</f>
        <v>646650</v>
      </c>
      <c r="Z4" s="167">
        <f>IFERROR(_xlfn.XLOOKUP($A4,Input_Raw!$A:$A,Input_Raw!BK:BK),"")</f>
        <v>0</v>
      </c>
      <c r="AA4" s="167">
        <f>IFERROR(_xlfn.XLOOKUP($A4,Input_Raw!$A:$A,Input_Raw!BL:BL),"")</f>
        <v>646650</v>
      </c>
      <c r="AB4" s="167">
        <f>IFERROR(_xlfn.XLOOKUP($A4,Input_Raw!$A:$A,Input_Raw!$BO:$BO),"")</f>
        <v>70.2</v>
      </c>
      <c r="AC4" s="176">
        <f>IFERROR(_xlfn.XLOOKUP($D4,'Modelling New'!$D:$D,'Modelling New'!$J:$J),"")</f>
        <v>6.89</v>
      </c>
      <c r="AD4" s="166">
        <f>IFERROR(_xlfn.XLOOKUP($D4,'Modelling New'!$D:$D,'Modelling New'!$T:$T)*1000,"")</f>
        <v>632771.03225806449</v>
      </c>
      <c r="AE4" s="174"/>
      <c r="AF4" s="174">
        <f>IFERROR(_xlfn.XLOOKUP($D4,'Modelling New'!$D:$D,'Modelling New'!$W:$W),"")</f>
        <v>0.37557634868118733</v>
      </c>
      <c r="AG4" s="174">
        <f>IFERROR(_xlfn.XLOOKUP($D4,'Modelling New'!$D:$D,'Modelling New'!$AE:$AE),"")</f>
        <v>0.96029999999999993</v>
      </c>
      <c r="AH4" s="174">
        <f>IFERROR(_xlfn.XLOOKUP($D4,'Modelling New'!$D:$D,'Modelling New'!$AF:$AF),"")</f>
        <v>0.995</v>
      </c>
      <c r="AI4" s="177">
        <f>IFERROR(_xlfn.XLOOKUP($A4,Input_Raw!$A:$A,Input_Raw!$BQ:$BQ),"")</f>
        <v>675.40492499999823</v>
      </c>
      <c r="AJ4" s="167"/>
      <c r="AK4" s="167"/>
      <c r="AL4" s="167"/>
      <c r="AM4" s="167"/>
      <c r="AN4" s="175">
        <f>IFERROR(_xlfn.XLOOKUP($A4,Input_Raw!$A:$A,Input_Raw!$BN:$BN),"")</f>
        <v>3.1558043616954363E-2</v>
      </c>
      <c r="AO4" s="174">
        <f>IFERROR((_xlfn.XLOOKUP($A4,'WTG Reactive Power'!$A:$A,'WTG Reactive Power'!$AE:$AE))/Table13[[#This Row],[Gen_Exp (kWh)]],"")</f>
        <v>0</v>
      </c>
      <c r="AP4" s="174">
        <f>IFERROR(_xlfn.XLOOKUP($D4,'Modelling New'!$D:$D,'Modelling New'!$AK:$AK),"")</f>
        <v>0.05</v>
      </c>
      <c r="AQ4" s="174">
        <f>IFERROR(_xlfn.XLOOKUP($D4,'Modelling New'!$D:$D,'Modelling New'!$AL:$AL),"")</f>
        <v>0.05</v>
      </c>
      <c r="AR4" s="276">
        <f>IFERROR(_xlfn.XLOOKUP($D4,'Modelling New'!$D:$D,'Modelling New'!$N:$N),"")</f>
        <v>70.2</v>
      </c>
      <c r="AS4" s="276"/>
    </row>
    <row r="5" spans="1:45">
      <c r="A5" s="165">
        <f t="shared" si="3"/>
        <v>45748</v>
      </c>
      <c r="B5" s="166">
        <f>YEAR(Table13[[#This Row],[Date]])+IF(MONTH(Table13[[#This Row],[Date]])&gt;=4,1,0)</f>
        <v>2026</v>
      </c>
      <c r="C5" s="167">
        <f>YEAR(Table13[[#This Row],[Date]])</f>
        <v>2025</v>
      </c>
      <c r="D5" s="168">
        <f>Table13[[#This Row],[Date]]-DAY(Table13[[#This Row],[Date]])+1</f>
        <v>45748</v>
      </c>
      <c r="E5" s="167">
        <f t="shared" si="0"/>
        <v>30</v>
      </c>
      <c r="F5" s="169"/>
      <c r="G5" s="176"/>
      <c r="H5" s="176"/>
      <c r="I5" s="176"/>
      <c r="J5" s="176"/>
      <c r="K5" s="171"/>
      <c r="L5" s="170"/>
      <c r="M5" s="170">
        <f>IFERROR(_xlfn.XLOOKUP($A5,Input_Raw!$A:$A,Input_Raw!BG:BG),"")</f>
        <v>6.0269097167138863</v>
      </c>
      <c r="N5" s="170">
        <f>IFERROR(_xlfn.XLOOKUP($A5,Input_Raw!$A:$A,Input_Raw!BH:BH),"")</f>
        <v>0</v>
      </c>
      <c r="O5" s="173">
        <f t="shared" si="1"/>
        <v>0.98286450896846134</v>
      </c>
      <c r="P5" s="173">
        <f>IFERROR(1-SUMIF(WTG_BD!$F:$F,$A5,WTG_BD!$AA:$AA)/($AA5+SUMIF(WTG_BD!$F:$F,$A5,WTG_BD!$AA:$AA)),"")</f>
        <v>0.98286450896846134</v>
      </c>
      <c r="Q5" s="173">
        <f>IFERROR(1-SUMIF(IGA_BD!$F:$F,$A5,IGA_BD!$X:$X)/($AA5+SUMIF(IGA_BD!$F:$F,$A5,IGA_BD!$X:$X)),"")</f>
        <v>1</v>
      </c>
      <c r="R5" s="173">
        <f>IFERROR(1-SUMIF(Grid_BD!$F:$F,$A5,Grid_BD!$Y:$Y)/($AA5+SUMIF(Grid_BD!$F:$F,$A5,Grid_BD!$Y:$Y)),"")</f>
        <v>1</v>
      </c>
      <c r="S5" s="167"/>
      <c r="T5" s="172"/>
      <c r="U5" s="173"/>
      <c r="V5" s="167"/>
      <c r="W5" s="174">
        <f t="shared" si="2"/>
        <v>0.31196581196581191</v>
      </c>
      <c r="X5" s="167">
        <f>IFERROR(_xlfn.XLOOKUP($A5,Input_Raw!$A:$A,Input_Raw!$BF:$BF),"")</f>
        <v>544118</v>
      </c>
      <c r="Y5" s="167">
        <f>IFERROR(_xlfn.XLOOKUP($A5,Input_Raw!$A:$A,Input_Raw!BJ:BJ),"")</f>
        <v>525600</v>
      </c>
      <c r="Z5" s="167">
        <f>IFERROR(_xlfn.XLOOKUP($A5,Input_Raw!$A:$A,Input_Raw!BK:BK),"")</f>
        <v>0</v>
      </c>
      <c r="AA5" s="167">
        <f>IFERROR(_xlfn.XLOOKUP($A5,Input_Raw!$A:$A,Input_Raw!BL:BL),"")</f>
        <v>525600</v>
      </c>
      <c r="AB5" s="167">
        <f>IFERROR(_xlfn.XLOOKUP($A5,Input_Raw!$A:$A,Input_Raw!$BO:$BO),"")</f>
        <v>70.2</v>
      </c>
      <c r="AC5" s="176">
        <f>IFERROR(_xlfn.XLOOKUP($D5,'Modelling New'!$D:$D,'Modelling New'!$J:$J),"")</f>
        <v>6.65</v>
      </c>
      <c r="AD5" s="166">
        <f>IFERROR(_xlfn.XLOOKUP($D5,'Modelling New'!$D:$D,'Modelling New'!$T:$T)*1000,"")</f>
        <v>697760.5424630543</v>
      </c>
      <c r="AE5" s="174"/>
      <c r="AF5" s="174">
        <f>IFERROR(_xlfn.XLOOKUP($D5,'Modelling New'!$D:$D,'Modelling New'!$W:$W),"")</f>
        <v>0.41415036945812811</v>
      </c>
      <c r="AG5" s="174">
        <f>IFERROR(_xlfn.XLOOKUP($D5,'Modelling New'!$D:$D,'Modelling New'!$AE:$AE),"")</f>
        <v>0.96029999999999993</v>
      </c>
      <c r="AH5" s="174">
        <f>IFERROR(_xlfn.XLOOKUP($D5,'Modelling New'!$D:$D,'Modelling New'!$AF:$AF),"")</f>
        <v>0.995</v>
      </c>
      <c r="AI5" s="177">
        <f>IFERROR(_xlfn.XLOOKUP($A5,Input_Raw!$A:$A,Input_Raw!$BQ:$BQ),"")</f>
        <v>664.42114166666602</v>
      </c>
      <c r="AJ5" s="167"/>
      <c r="AK5" s="167"/>
      <c r="AL5" s="167"/>
      <c r="AM5" s="167"/>
      <c r="AN5" s="216">
        <f>IFERROR(_xlfn.XLOOKUP($A5,Input_Raw!$A:$A,Input_Raw!$BN:$BN),"")</f>
        <v>3.4033059005583351E-2</v>
      </c>
      <c r="AO5" s="174">
        <f>IFERROR((_xlfn.XLOOKUP($A5,'WTG Reactive Power'!$A:$A,'WTG Reactive Power'!$AE:$AE))/Table13[[#This Row],[Gen_Exp (kWh)]],"")</f>
        <v>0</v>
      </c>
      <c r="AP5" s="174">
        <f>IFERROR(_xlfn.XLOOKUP($D5,'Modelling New'!$D:$D,'Modelling New'!$AK:$AK),"")</f>
        <v>0.05</v>
      </c>
      <c r="AQ5" s="174">
        <f>IFERROR(_xlfn.XLOOKUP($D5,'Modelling New'!$D:$D,'Modelling New'!$AL:$AL),"")</f>
        <v>0.05</v>
      </c>
      <c r="AR5" s="276">
        <f>IFERROR(_xlfn.XLOOKUP($D5,'Modelling New'!$D:$D,'Modelling New'!$N:$N),"")</f>
        <v>70.2</v>
      </c>
      <c r="AS5" s="276"/>
    </row>
    <row r="6" spans="1:45">
      <c r="A6" s="165">
        <f t="shared" si="3"/>
        <v>45749</v>
      </c>
      <c r="B6" s="166">
        <f>YEAR(Table13[[#This Row],[Date]])+IF(MONTH(Table13[[#This Row],[Date]])&gt;=4,1,0)</f>
        <v>2026</v>
      </c>
      <c r="C6" s="167">
        <f>YEAR(Table13[[#This Row],[Date]])</f>
        <v>2025</v>
      </c>
      <c r="D6" s="168">
        <f>Table13[[#This Row],[Date]]-DAY(Table13[[#This Row],[Date]])+1</f>
        <v>45748</v>
      </c>
      <c r="E6" s="167">
        <f t="shared" si="0"/>
        <v>30</v>
      </c>
      <c r="F6" s="169"/>
      <c r="G6" s="170"/>
      <c r="H6" s="170"/>
      <c r="I6" s="170"/>
      <c r="J6" s="170"/>
      <c r="K6" s="171"/>
      <c r="L6" s="170"/>
      <c r="M6" s="170">
        <f>IFERROR(_xlfn.XLOOKUP($A6,Input_Raw!$A:$A,Input_Raw!BG:BG),"")</f>
        <v>4.4381925953095074</v>
      </c>
      <c r="N6" s="170">
        <f>IFERROR(_xlfn.XLOOKUP($A6,Input_Raw!$A:$A,Input_Raw!BH:BH),"")</f>
        <v>0</v>
      </c>
      <c r="O6" s="173">
        <f t="shared" si="1"/>
        <v>0.98144556581332343</v>
      </c>
      <c r="P6" s="173">
        <f>IFERROR(1-SUMIF(WTG_BD!$F:$F,$A6,WTG_BD!$AA:$AA)/($AA6+SUMIF(WTG_BD!$F:$F,$A6,WTG_BD!$AA:$AA)),"")</f>
        <v>0.98144556581332343</v>
      </c>
      <c r="Q6" s="173">
        <f>IFERROR(1-SUMIF(IGA_BD!$F:$F,$A6,IGA_BD!$X:$X)/($AA6+SUMIF(IGA_BD!$F:$F,$A6,IGA_BD!$X:$X)),"")</f>
        <v>1</v>
      </c>
      <c r="R6" s="173">
        <f>IFERROR(1-SUMIF(Grid_BD!$F:$F,$A6,Grid_BD!$Y:$Y)/($AA6+SUMIF(Grid_BD!$F:$F,$A6,Grid_BD!$Y:$Y)),"")</f>
        <v>1</v>
      </c>
      <c r="S6" s="167"/>
      <c r="T6" s="172"/>
      <c r="U6" s="173"/>
      <c r="V6" s="167"/>
      <c r="W6" s="174">
        <f t="shared" si="2"/>
        <v>0.16372863247863245</v>
      </c>
      <c r="X6" s="167">
        <f>IFERROR(_xlfn.XLOOKUP($A6,Input_Raw!$A:$A,Input_Raw!$BF:$BF),"")</f>
        <v>285682</v>
      </c>
      <c r="Y6" s="167">
        <f>IFERROR(_xlfn.XLOOKUP($A6,Input_Raw!$A:$A,Input_Raw!BJ:BJ),"")</f>
        <v>275850</v>
      </c>
      <c r="Z6" s="167">
        <f>IFERROR(_xlfn.XLOOKUP($A6,Input_Raw!$A:$A,Input_Raw!BK:BK),"")</f>
        <v>0</v>
      </c>
      <c r="AA6" s="167">
        <f>IFERROR(_xlfn.XLOOKUP($A6,Input_Raw!$A:$A,Input_Raw!BL:BL),"")</f>
        <v>275850</v>
      </c>
      <c r="AB6" s="167">
        <f>IFERROR(_xlfn.XLOOKUP($A6,Input_Raw!$A:$A,Input_Raw!$BO:$BO),"")</f>
        <v>70.2</v>
      </c>
      <c r="AC6" s="176">
        <f>IFERROR(_xlfn.XLOOKUP($D6,'Modelling New'!$D:$D,'Modelling New'!$J:$J),"")</f>
        <v>6.65</v>
      </c>
      <c r="AD6" s="166">
        <f>IFERROR(_xlfn.XLOOKUP($D6,'Modelling New'!$D:$D,'Modelling New'!$T:$T)*1000,"")</f>
        <v>697760.5424630543</v>
      </c>
      <c r="AE6" s="174"/>
      <c r="AF6" s="174">
        <f>IFERROR(_xlfn.XLOOKUP($D6,'Modelling New'!$D:$D,'Modelling New'!$W:$W),"")</f>
        <v>0.41415036945812811</v>
      </c>
      <c r="AG6" s="174">
        <f>IFERROR(_xlfn.XLOOKUP($D6,'Modelling New'!$D:$D,'Modelling New'!$AE:$AE),"")</f>
        <v>0.96029999999999993</v>
      </c>
      <c r="AH6" s="174">
        <f>IFERROR(_xlfn.XLOOKUP($D6,'Modelling New'!$D:$D,'Modelling New'!$AF:$AF),"")</f>
        <v>0.995</v>
      </c>
      <c r="AI6" s="177">
        <f>IFERROR(_xlfn.XLOOKUP($A6,Input_Raw!$A:$A,Input_Raw!$BQ:$BQ),"")</f>
        <v>294.64035833333321</v>
      </c>
      <c r="AJ6" s="167"/>
      <c r="AK6" s="167"/>
      <c r="AL6" s="167"/>
      <c r="AM6" s="167"/>
      <c r="AN6" s="216">
        <f>IFERROR(_xlfn.XLOOKUP($A6,Input_Raw!$A:$A,Input_Raw!$BN:$BN),"")</f>
        <v>3.4415888995456487E-2</v>
      </c>
      <c r="AO6" s="174">
        <f>IFERROR((_xlfn.XLOOKUP($A6,'WTG Reactive Power'!$A:$A,'WTG Reactive Power'!$AE:$AE))/Table13[[#This Row],[Gen_Exp (kWh)]],"")</f>
        <v>0</v>
      </c>
      <c r="AP6" s="174">
        <f>IFERROR(_xlfn.XLOOKUP($D6,'Modelling New'!$D:$D,'Modelling New'!$AK:$AK),"")</f>
        <v>0.05</v>
      </c>
      <c r="AQ6" s="174">
        <f>IFERROR(_xlfn.XLOOKUP($D6,'Modelling New'!$D:$D,'Modelling New'!$AL:$AL),"")</f>
        <v>0.05</v>
      </c>
      <c r="AR6" s="276">
        <f>IFERROR(_xlfn.XLOOKUP($D6,'Modelling New'!$D:$D,'Modelling New'!$N:$N),"")</f>
        <v>70.2</v>
      </c>
      <c r="AS6" s="276"/>
    </row>
    <row r="7" spans="1:45">
      <c r="A7" s="165">
        <f t="shared" si="3"/>
        <v>45750</v>
      </c>
      <c r="B7" s="166">
        <f>YEAR(Table13[[#This Row],[Date]])+IF(MONTH(Table13[[#This Row],[Date]])&gt;=4,1,0)</f>
        <v>2026</v>
      </c>
      <c r="C7" s="167">
        <f>YEAR(Table13[[#This Row],[Date]])</f>
        <v>2025</v>
      </c>
      <c r="D7" s="168">
        <f>Table13[[#This Row],[Date]]-DAY(Table13[[#This Row],[Date]])+1</f>
        <v>45748</v>
      </c>
      <c r="E7" s="167">
        <f t="shared" si="0"/>
        <v>30</v>
      </c>
      <c r="F7" s="169"/>
      <c r="G7" s="176"/>
      <c r="H7" s="176"/>
      <c r="I7" s="176"/>
      <c r="J7" s="176"/>
      <c r="K7" s="171"/>
      <c r="L7" s="170"/>
      <c r="M7" s="170">
        <f>IFERROR(_xlfn.XLOOKUP($A7,Input_Raw!$A:$A,Input_Raw!BG:BG),"")</f>
        <v>4.848190264908002</v>
      </c>
      <c r="N7" s="170">
        <f>IFERROR(_xlfn.XLOOKUP($A7,Input_Raw!$A:$A,Input_Raw!BH:BH),"")</f>
        <v>0</v>
      </c>
      <c r="O7" s="173">
        <f t="shared" si="1"/>
        <v>0.97615984929805177</v>
      </c>
      <c r="P7" s="173">
        <f>IFERROR(1-SUMIF(WTG_BD!$F:$F,$A7,WTG_BD!$AA:$AA)/($AA7+SUMIF(WTG_BD!$F:$F,$A7,WTG_BD!$AA:$AA)),"")</f>
        <v>0.97651771808539567</v>
      </c>
      <c r="Q7" s="173">
        <f>IFERROR(1-SUMIF(IGA_BD!$F:$F,$A7,IGA_BD!$X:$X)/($AA7+SUMIF(IGA_BD!$F:$F,$A7,IGA_BD!$X:$X)),"")</f>
        <v>0.99963352555645835</v>
      </c>
      <c r="R7" s="173">
        <f>IFERROR(1-SUMIF(Grid_BD!$F:$F,$A7,Grid_BD!$Y:$Y)/($AA7+SUMIF(Grid_BD!$F:$F,$A7,Grid_BD!$Y:$Y)),"")</f>
        <v>1</v>
      </c>
      <c r="S7" s="167"/>
      <c r="T7" s="172"/>
      <c r="U7" s="173"/>
      <c r="V7" s="167"/>
      <c r="W7" s="174">
        <f t="shared" si="2"/>
        <v>0.20512820512820509</v>
      </c>
      <c r="X7" s="167">
        <f>IFERROR(_xlfn.XLOOKUP($A7,Input_Raw!$A:$A,Input_Raw!$BF:$BF),"")</f>
        <v>357239</v>
      </c>
      <c r="Y7" s="167">
        <f>IFERROR(_xlfn.XLOOKUP($A7,Input_Raw!$A:$A,Input_Raw!BJ:BJ),"")</f>
        <v>346050</v>
      </c>
      <c r="Z7" s="167">
        <f>IFERROR(_xlfn.XLOOKUP($A7,Input_Raw!$A:$A,Input_Raw!BK:BK),"")</f>
        <v>450</v>
      </c>
      <c r="AA7" s="167">
        <f>IFERROR(_xlfn.XLOOKUP($A7,Input_Raw!$A:$A,Input_Raw!BL:BL),"")</f>
        <v>345600</v>
      </c>
      <c r="AB7" s="167">
        <f>IFERROR(_xlfn.XLOOKUP($A7,Input_Raw!$A:$A,Input_Raw!$BO:$BO),"")</f>
        <v>70.2</v>
      </c>
      <c r="AC7" s="176">
        <f>IFERROR(_xlfn.XLOOKUP($D7,'Modelling New'!$D:$D,'Modelling New'!$J:$J),"")</f>
        <v>6.65</v>
      </c>
      <c r="AD7" s="166">
        <f>IFERROR(_xlfn.XLOOKUP($D7,'Modelling New'!$D:$D,'Modelling New'!$T:$T)*1000,"")</f>
        <v>697760.5424630543</v>
      </c>
      <c r="AE7" s="174"/>
      <c r="AF7" s="174">
        <f>IFERROR(_xlfn.XLOOKUP($D7,'Modelling New'!$D:$D,'Modelling New'!$W:$W),"")</f>
        <v>0.41415036945812811</v>
      </c>
      <c r="AG7" s="174">
        <f>IFERROR(_xlfn.XLOOKUP($D7,'Modelling New'!$D:$D,'Modelling New'!$AE:$AE),"")</f>
        <v>0.96029999999999993</v>
      </c>
      <c r="AH7" s="174">
        <f>IFERROR(_xlfn.XLOOKUP($D7,'Modelling New'!$D:$D,'Modelling New'!$AF:$AF),"")</f>
        <v>0.995</v>
      </c>
      <c r="AI7" s="177">
        <f>IFERROR(_xlfn.XLOOKUP($A7,Input_Raw!$A:$A,Input_Raw!$BQ:$BQ),"")</f>
        <v>371.21</v>
      </c>
      <c r="AJ7" s="167"/>
      <c r="AK7" s="167"/>
      <c r="AL7" s="167"/>
      <c r="AM7" s="167"/>
      <c r="AN7" s="216">
        <f>IFERROR(_xlfn.XLOOKUP($A7,Input_Raw!$A:$A,Input_Raw!$BN:$BN),"")</f>
        <v>3.1320768449133493E-2</v>
      </c>
      <c r="AO7" s="174">
        <f>IFERROR((_xlfn.XLOOKUP($A7,'WTG Reactive Power'!$A:$A,'WTG Reactive Power'!$AE:$AE))/Table13[[#This Row],[Gen_Exp (kWh)]],"")</f>
        <v>0</v>
      </c>
      <c r="AP7" s="174">
        <f>IFERROR(_xlfn.XLOOKUP($D7,'Modelling New'!$D:$D,'Modelling New'!$AK:$AK),"")</f>
        <v>0.05</v>
      </c>
      <c r="AQ7" s="174">
        <f>IFERROR(_xlfn.XLOOKUP($D7,'Modelling New'!$D:$D,'Modelling New'!$AL:$AL),"")</f>
        <v>0.05</v>
      </c>
      <c r="AR7" s="276">
        <f>IFERROR(_xlfn.XLOOKUP($D7,'Modelling New'!$D:$D,'Modelling New'!$N:$N),"")</f>
        <v>70.2</v>
      </c>
      <c r="AS7" s="276"/>
    </row>
    <row r="8" spans="1:45">
      <c r="A8" s="165">
        <f t="shared" si="3"/>
        <v>45751</v>
      </c>
      <c r="B8" s="166">
        <f>YEAR(Table13[[#This Row],[Date]])+IF(MONTH(Table13[[#This Row],[Date]])&gt;=4,1,0)</f>
        <v>2026</v>
      </c>
      <c r="C8" s="167">
        <f>YEAR(Table13[[#This Row],[Date]])</f>
        <v>2025</v>
      </c>
      <c r="D8" s="168">
        <f>Table13[[#This Row],[Date]]-DAY(Table13[[#This Row],[Date]])+1</f>
        <v>45748</v>
      </c>
      <c r="E8" s="167">
        <f t="shared" si="0"/>
        <v>30</v>
      </c>
      <c r="F8" s="169"/>
      <c r="G8" s="170"/>
      <c r="H8" s="170"/>
      <c r="I8" s="170"/>
      <c r="J8" s="170"/>
      <c r="K8" s="171"/>
      <c r="L8" s="170"/>
      <c r="M8" s="170">
        <f>IFERROR(_xlfn.XLOOKUP($A8,Input_Raw!$A:$A,Input_Raw!BG:BG),"")</f>
        <v>4.2849993333425322</v>
      </c>
      <c r="N8" s="170">
        <f>IFERROR(_xlfn.XLOOKUP($A8,Input_Raw!$A:$A,Input_Raw!BH:BH),"")</f>
        <v>0</v>
      </c>
      <c r="O8" s="173">
        <f t="shared" si="1"/>
        <v>0.97590520002321868</v>
      </c>
      <c r="P8" s="173">
        <f>IFERROR(1-SUMIF(WTG_BD!$F:$F,$A8,WTG_BD!$AA:$AA)/($AA8+SUMIF(WTG_BD!$F:$F,$A8,WTG_BD!$AA:$AA)),"")</f>
        <v>0.97590520002321868</v>
      </c>
      <c r="Q8" s="173">
        <f>IFERROR(1-SUMIF(IGA_BD!$F:$F,$A8,IGA_BD!$X:$X)/($AA8+SUMIF(IGA_BD!$F:$F,$A8,IGA_BD!$X:$X)),"")</f>
        <v>1</v>
      </c>
      <c r="R8" s="173">
        <f>IFERROR(1-SUMIF(Grid_BD!$F:$F,$A8,Grid_BD!$Y:$Y)/($AA8+SUMIF(Grid_BD!$F:$F,$A8,Grid_BD!$Y:$Y)),"")</f>
        <v>1</v>
      </c>
      <c r="S8" s="167"/>
      <c r="T8" s="172"/>
      <c r="U8" s="173"/>
      <c r="V8" s="167"/>
      <c r="W8" s="174">
        <f t="shared" si="2"/>
        <v>0.15251068376068375</v>
      </c>
      <c r="X8" s="167">
        <f>IFERROR(_xlfn.XLOOKUP($A8,Input_Raw!$A:$A,Input_Raw!$BF:$BF),"")</f>
        <v>269263</v>
      </c>
      <c r="Y8" s="167">
        <f>IFERROR(_xlfn.XLOOKUP($A8,Input_Raw!$A:$A,Input_Raw!BJ:BJ),"")</f>
        <v>257400</v>
      </c>
      <c r="Z8" s="167">
        <f>IFERROR(_xlfn.XLOOKUP($A8,Input_Raw!$A:$A,Input_Raw!BK:BK),"")</f>
        <v>450</v>
      </c>
      <c r="AA8" s="167">
        <f>IFERROR(_xlfn.XLOOKUP($A8,Input_Raw!$A:$A,Input_Raw!BL:BL),"")</f>
        <v>256950</v>
      </c>
      <c r="AB8" s="167">
        <f>IFERROR(_xlfn.XLOOKUP($A8,Input_Raw!$A:$A,Input_Raw!$BO:$BO),"")</f>
        <v>70.2</v>
      </c>
      <c r="AC8" s="176">
        <f>IFERROR(_xlfn.XLOOKUP($D8,'Modelling New'!$D:$D,'Modelling New'!$J:$J),"")</f>
        <v>6.65</v>
      </c>
      <c r="AD8" s="166">
        <f>IFERROR(_xlfn.XLOOKUP($D8,'Modelling New'!$D:$D,'Modelling New'!$T:$T)*1000,"")</f>
        <v>697760.5424630543</v>
      </c>
      <c r="AE8" s="174"/>
      <c r="AF8" s="174">
        <f>IFERROR(_xlfn.XLOOKUP($D8,'Modelling New'!$D:$D,'Modelling New'!$W:$W),"")</f>
        <v>0.41415036945812811</v>
      </c>
      <c r="AG8" s="174">
        <f>IFERROR(_xlfn.XLOOKUP($D8,'Modelling New'!$D:$D,'Modelling New'!$AE:$AE),"")</f>
        <v>0.96029999999999993</v>
      </c>
      <c r="AH8" s="174">
        <f>IFERROR(_xlfn.XLOOKUP($D8,'Modelling New'!$D:$D,'Modelling New'!$AF:$AF),"")</f>
        <v>0.995</v>
      </c>
      <c r="AI8" s="177">
        <f>IFERROR(_xlfn.XLOOKUP($A8,Input_Raw!$A:$A,Input_Raw!$BQ:$BQ),"")</f>
        <v>281.07</v>
      </c>
      <c r="AJ8" s="167"/>
      <c r="AK8" s="167"/>
      <c r="AL8" s="167"/>
      <c r="AM8" s="167"/>
      <c r="AN8" s="216">
        <f>IFERROR(_xlfn.XLOOKUP($A8,Input_Raw!$A:$A,Input_Raw!$BN:$BN),"")</f>
        <v>4.4057297140713728E-2</v>
      </c>
      <c r="AO8" s="174">
        <f>IFERROR((_xlfn.XLOOKUP($A8,'WTG Reactive Power'!$A:$A,'WTG Reactive Power'!$AE:$AE))/Table13[[#This Row],[Gen_Exp (kWh)]],"")</f>
        <v>4.8463398238896569E-3</v>
      </c>
      <c r="AP8" s="174">
        <f>IFERROR(_xlfn.XLOOKUP($D8,'Modelling New'!$D:$D,'Modelling New'!$AK:$AK),"")</f>
        <v>0.05</v>
      </c>
      <c r="AQ8" s="174">
        <f>IFERROR(_xlfn.XLOOKUP($D8,'Modelling New'!$D:$D,'Modelling New'!$AL:$AL),"")</f>
        <v>0.05</v>
      </c>
      <c r="AR8" s="276">
        <f>IFERROR(_xlfn.XLOOKUP($D8,'Modelling New'!$D:$D,'Modelling New'!$N:$N),"")</f>
        <v>70.2</v>
      </c>
      <c r="AS8" s="276"/>
    </row>
    <row r="9" spans="1:45">
      <c r="A9" s="165">
        <f t="shared" si="3"/>
        <v>45752</v>
      </c>
      <c r="B9" s="166">
        <f>YEAR(Table13[[#This Row],[Date]])+IF(MONTH(Table13[[#This Row],[Date]])&gt;=4,1,0)</f>
        <v>2026</v>
      </c>
      <c r="C9" s="167">
        <f>YEAR(Table13[[#This Row],[Date]])</f>
        <v>2025</v>
      </c>
      <c r="D9" s="168">
        <f>Table13[[#This Row],[Date]]-DAY(Table13[[#This Row],[Date]])+1</f>
        <v>45748</v>
      </c>
      <c r="E9" s="167">
        <f t="shared" si="0"/>
        <v>30</v>
      </c>
      <c r="F9" s="169"/>
      <c r="G9" s="176"/>
      <c r="H9" s="176"/>
      <c r="I9" s="176"/>
      <c r="J9" s="176"/>
      <c r="K9" s="171"/>
      <c r="L9" s="170"/>
      <c r="M9" s="170">
        <f>IFERROR(_xlfn.XLOOKUP($A9,Input_Raw!$A:$A,Input_Raw!BG:BG),"")</f>
        <v>4.3638956124082213</v>
      </c>
      <c r="N9" s="170">
        <f>IFERROR(_xlfn.XLOOKUP($A9,Input_Raw!$A:$A,Input_Raw!BH:BH),"")</f>
        <v>0</v>
      </c>
      <c r="O9" s="173">
        <f t="shared" si="1"/>
        <v>0.94684072820535292</v>
      </c>
      <c r="P9" s="173">
        <f>IFERROR(1-SUMIF(WTG_BD!$F:$F,$A9,WTG_BD!$AA:$AA)/($AA9+SUMIF(WTG_BD!$F:$F,$A9,WTG_BD!$AA:$AA)),"")</f>
        <v>0.95602549583571095</v>
      </c>
      <c r="Q9" s="173">
        <f>IFERROR(1-SUMIF(IGA_BD!$F:$F,$A9,IGA_BD!$X:$X)/($AA9+SUMIF(IGA_BD!$F:$F,$A9,IGA_BD!$X:$X)),"")</f>
        <v>0.99039275869695387</v>
      </c>
      <c r="R9" s="173">
        <f>IFERROR(1-SUMIF(Grid_BD!$F:$F,$A9,Grid_BD!$Y:$Y)/($AA9+SUMIF(Grid_BD!$F:$F,$A9,Grid_BD!$Y:$Y)),"")</f>
        <v>1</v>
      </c>
      <c r="S9" s="167"/>
      <c r="T9" s="172"/>
      <c r="U9" s="173"/>
      <c r="V9" s="167"/>
      <c r="W9" s="174">
        <f t="shared" si="2"/>
        <v>0.12713675213675213</v>
      </c>
      <c r="X9" s="167">
        <f>IFERROR(_xlfn.XLOOKUP($A9,Input_Raw!$A:$A,Input_Raw!$BF:$BF),"")</f>
        <v>223271</v>
      </c>
      <c r="Y9" s="167">
        <f>IFERROR(_xlfn.XLOOKUP($A9,Input_Raw!$A:$A,Input_Raw!BJ:BJ),"")</f>
        <v>214200</v>
      </c>
      <c r="Z9" s="167">
        <f>IFERROR(_xlfn.XLOOKUP($A9,Input_Raw!$A:$A,Input_Raw!BK:BK),"")</f>
        <v>0</v>
      </c>
      <c r="AA9" s="167">
        <f>IFERROR(_xlfn.XLOOKUP($A9,Input_Raw!$A:$A,Input_Raw!BL:BL),"")</f>
        <v>214200</v>
      </c>
      <c r="AB9" s="167">
        <f>IFERROR(_xlfn.XLOOKUP($A9,Input_Raw!$A:$A,Input_Raw!$BO:$BO),"")</f>
        <v>70.2</v>
      </c>
      <c r="AC9" s="176">
        <f>IFERROR(_xlfn.XLOOKUP($D9,'Modelling New'!$D:$D,'Modelling New'!$J:$J),"")</f>
        <v>6.65</v>
      </c>
      <c r="AD9" s="166">
        <f>IFERROR(_xlfn.XLOOKUP($D9,'Modelling New'!$D:$D,'Modelling New'!$T:$T)*1000,"")</f>
        <v>697760.5424630543</v>
      </c>
      <c r="AE9" s="174"/>
      <c r="AF9" s="174">
        <f>IFERROR(_xlfn.XLOOKUP($D9,'Modelling New'!$D:$D,'Modelling New'!$W:$W),"")</f>
        <v>0.41415036945812811</v>
      </c>
      <c r="AG9" s="174">
        <f>IFERROR(_xlfn.XLOOKUP($D9,'Modelling New'!$D:$D,'Modelling New'!$AE:$AE),"")</f>
        <v>0.96029999999999993</v>
      </c>
      <c r="AH9" s="174">
        <f>IFERROR(_xlfn.XLOOKUP($D9,'Modelling New'!$D:$D,'Modelling New'!$AF:$AF),"")</f>
        <v>0.995</v>
      </c>
      <c r="AI9" s="177">
        <f>IFERROR(_xlfn.XLOOKUP($A9,Input_Raw!$A:$A,Input_Raw!$BQ:$BQ),"")</f>
        <v>230.95</v>
      </c>
      <c r="AJ9" s="167"/>
      <c r="AK9" s="167"/>
      <c r="AL9" s="167"/>
      <c r="AM9" s="167"/>
      <c r="AN9" s="175">
        <f>IFERROR(_xlfn.XLOOKUP($A9,Input_Raw!$A:$A,Input_Raw!$BN:$BN),"")</f>
        <v>4.062775729942536E-2</v>
      </c>
      <c r="AO9" s="174">
        <f>IFERROR((_xlfn.XLOOKUP($A9,'WTG Reactive Power'!$A:$A,'WTG Reactive Power'!$AE:$AE))/Table13[[#This Row],[Gen_Exp (kWh)]],"")</f>
        <v>4.0303487689847773E-3</v>
      </c>
      <c r="AP9" s="174">
        <f>IFERROR(_xlfn.XLOOKUP($D9,'Modelling New'!$D:$D,'Modelling New'!$AK:$AK),"")</f>
        <v>0.05</v>
      </c>
      <c r="AQ9" s="174">
        <f>IFERROR(_xlfn.XLOOKUP($D9,'Modelling New'!$D:$D,'Modelling New'!$AL:$AL),"")</f>
        <v>0.05</v>
      </c>
      <c r="AR9" s="276">
        <f>IFERROR(_xlfn.XLOOKUP($D9,'Modelling New'!$D:$D,'Modelling New'!$N:$N),"")</f>
        <v>70.2</v>
      </c>
      <c r="AS9" s="276"/>
    </row>
    <row r="10" spans="1:45">
      <c r="A10" s="165">
        <f t="shared" si="3"/>
        <v>45753</v>
      </c>
      <c r="B10" s="166">
        <f>YEAR(Table13[[#This Row],[Date]])+IF(MONTH(Table13[[#This Row],[Date]])&gt;=4,1,0)</f>
        <v>2026</v>
      </c>
      <c r="C10" s="167">
        <f>YEAR(Table13[[#This Row],[Date]])</f>
        <v>2025</v>
      </c>
      <c r="D10" s="168">
        <f>Table13[[#This Row],[Date]]-DAY(Table13[[#This Row],[Date]])+1</f>
        <v>45748</v>
      </c>
      <c r="E10" s="167">
        <f t="shared" si="0"/>
        <v>30</v>
      </c>
      <c r="F10" s="169"/>
      <c r="G10" s="170"/>
      <c r="H10" s="170"/>
      <c r="I10" s="170"/>
      <c r="J10" s="170"/>
      <c r="K10" s="171"/>
      <c r="L10" s="170"/>
      <c r="M10" s="170">
        <f>IFERROR(_xlfn.XLOOKUP($A10,Input_Raw!$A:$A,Input_Raw!BG:BG),"")</f>
        <v>6.43857639103524</v>
      </c>
      <c r="N10" s="170">
        <f>IFERROR(_xlfn.XLOOKUP($A10,Input_Raw!$A:$A,Input_Raw!BH:BH),"")</f>
        <v>0</v>
      </c>
      <c r="O10" s="173">
        <f t="shared" si="1"/>
        <v>0.98397972291934666</v>
      </c>
      <c r="P10" s="173">
        <f>IFERROR(1-SUMIF(WTG_BD!$F:$F,$A10,WTG_BD!$AA:$AA)/($AA10+SUMIF(WTG_BD!$F:$F,$A10,WTG_BD!$AA:$AA)),"")</f>
        <v>0.98397972291934666</v>
      </c>
      <c r="Q10" s="173">
        <f>IFERROR(1-SUMIF(IGA_BD!$F:$F,$A10,IGA_BD!$X:$X)/($AA10+SUMIF(IGA_BD!$F:$F,$A10,IGA_BD!$X:$X)),"")</f>
        <v>1</v>
      </c>
      <c r="R10" s="173">
        <f>IFERROR(1-SUMIF(Grid_BD!$F:$F,$A10,Grid_BD!$Y:$Y)/($AA10+SUMIF(Grid_BD!$F:$F,$A10,Grid_BD!$Y:$Y)),"")</f>
        <v>1</v>
      </c>
      <c r="S10" s="167"/>
      <c r="T10" s="172"/>
      <c r="U10" s="173"/>
      <c r="V10" s="167"/>
      <c r="W10" s="174">
        <f t="shared" si="2"/>
        <v>0.35790598290598286</v>
      </c>
      <c r="X10" s="167">
        <f>IFERROR(_xlfn.XLOOKUP($A10,Input_Raw!$A:$A,Input_Raw!$BF:$BF),"")</f>
        <v>620284</v>
      </c>
      <c r="Y10" s="167">
        <f>IFERROR(_xlfn.XLOOKUP($A10,Input_Raw!$A:$A,Input_Raw!BJ:BJ),"")</f>
        <v>603000</v>
      </c>
      <c r="Z10" s="167">
        <f>IFERROR(_xlfn.XLOOKUP($A10,Input_Raw!$A:$A,Input_Raw!BK:BK),"")</f>
        <v>0</v>
      </c>
      <c r="AA10" s="167">
        <f>IFERROR(_xlfn.XLOOKUP($A10,Input_Raw!$A:$A,Input_Raw!BL:BL),"")</f>
        <v>603000</v>
      </c>
      <c r="AB10" s="167">
        <f>IFERROR(_xlfn.XLOOKUP($A10,Input_Raw!$A:$A,Input_Raw!$BO:$BO),"")</f>
        <v>70.2</v>
      </c>
      <c r="AC10" s="176">
        <f>IFERROR(_xlfn.XLOOKUP($D10,'Modelling New'!$D:$D,'Modelling New'!$J:$J),"")</f>
        <v>6.65</v>
      </c>
      <c r="AD10" s="166">
        <f>IFERROR(_xlfn.XLOOKUP($D10,'Modelling New'!$D:$D,'Modelling New'!$T:$T)*1000,"")</f>
        <v>697760.5424630543</v>
      </c>
      <c r="AE10" s="174"/>
      <c r="AF10" s="174">
        <f>IFERROR(_xlfn.XLOOKUP($D10,'Modelling New'!$D:$D,'Modelling New'!$W:$W),"")</f>
        <v>0.41415036945812811</v>
      </c>
      <c r="AG10" s="174">
        <f>IFERROR(_xlfn.XLOOKUP($D10,'Modelling New'!$D:$D,'Modelling New'!$AE:$AE),"")</f>
        <v>0.96029999999999993</v>
      </c>
      <c r="AH10" s="174">
        <f>IFERROR(_xlfn.XLOOKUP($D10,'Modelling New'!$D:$D,'Modelling New'!$AF:$AF),"")</f>
        <v>0.995</v>
      </c>
      <c r="AI10" s="177">
        <f>IFERROR(_xlfn.XLOOKUP($A10,Input_Raw!$A:$A,Input_Raw!$BQ:$BQ),"")</f>
        <v>667.03</v>
      </c>
      <c r="AJ10" s="167"/>
      <c r="AK10" s="167"/>
      <c r="AL10" s="167"/>
      <c r="AM10" s="167"/>
      <c r="AN10" s="175">
        <f>IFERROR(_xlfn.XLOOKUP($A10,Input_Raw!$A:$A,Input_Raw!$BN:$BN),"")</f>
        <v>2.7864655544879442E-2</v>
      </c>
      <c r="AO10" s="174">
        <f>IFERROR((_xlfn.XLOOKUP($A10,'WTG Reactive Power'!$A:$A,'WTG Reactive Power'!$AE:$AE))/Table13[[#This Row],[Gen_Exp (kWh)]],"")</f>
        <v>5.0781577470964939E-3</v>
      </c>
      <c r="AP10" s="174">
        <f>IFERROR(_xlfn.XLOOKUP($D10,'Modelling New'!$D:$D,'Modelling New'!$AK:$AK),"")</f>
        <v>0.05</v>
      </c>
      <c r="AQ10" s="174">
        <f>IFERROR(_xlfn.XLOOKUP($D10,'Modelling New'!$D:$D,'Modelling New'!$AL:$AL),"")</f>
        <v>0.05</v>
      </c>
      <c r="AR10" s="276">
        <f>IFERROR(_xlfn.XLOOKUP($D10,'Modelling New'!$D:$D,'Modelling New'!$N:$N),"")</f>
        <v>70.2</v>
      </c>
      <c r="AS10" s="276"/>
    </row>
    <row r="11" spans="1:45">
      <c r="A11" s="165">
        <f t="shared" si="3"/>
        <v>45754</v>
      </c>
      <c r="B11" s="166">
        <f>YEAR(Table13[[#This Row],[Date]])+IF(MONTH(Table13[[#This Row],[Date]])&gt;=4,1,0)</f>
        <v>2026</v>
      </c>
      <c r="C11" s="167">
        <f>YEAR(Table13[[#This Row],[Date]])</f>
        <v>2025</v>
      </c>
      <c r="D11" s="168">
        <f>Table13[[#This Row],[Date]]-DAY(Table13[[#This Row],[Date]])+1</f>
        <v>45748</v>
      </c>
      <c r="E11" s="167">
        <f t="shared" si="0"/>
        <v>30</v>
      </c>
      <c r="F11" s="169"/>
      <c r="G11" s="176"/>
      <c r="H11" s="176"/>
      <c r="I11" s="176"/>
      <c r="J11" s="176"/>
      <c r="K11" s="171"/>
      <c r="L11" s="170"/>
      <c r="M11" s="170">
        <f>IFERROR(_xlfn.XLOOKUP($A11,Input_Raw!$A:$A,Input_Raw!BG:BG),"")</f>
        <v>7.1744298151518429</v>
      </c>
      <c r="N11" s="170">
        <f>IFERROR(_xlfn.XLOOKUP($A11,Input_Raw!$A:$A,Input_Raw!BH:BH),"")</f>
        <v>0</v>
      </c>
      <c r="O11" s="173">
        <f t="shared" si="1"/>
        <v>0.96775064542953471</v>
      </c>
      <c r="P11" s="173">
        <f>IFERROR(1-SUMIF(WTG_BD!$F:$F,$A11,WTG_BD!$AA:$AA)/($AA11+SUMIF(WTG_BD!$F:$F,$A11,WTG_BD!$AA:$AA)),"")</f>
        <v>0.9754159023894845</v>
      </c>
      <c r="Q11" s="173">
        <f>IFERROR(1-SUMIF(IGA_BD!$F:$F,$A11,IGA_BD!$X:$X)/($AA11+SUMIF(IGA_BD!$F:$F,$A11,IGA_BD!$X:$X)),"")</f>
        <v>0.99214155014166561</v>
      </c>
      <c r="R11" s="173">
        <f>IFERROR(1-SUMIF(Grid_BD!$F:$F,$A11,Grid_BD!$Y:$Y)/($AA11+SUMIF(Grid_BD!$F:$F,$A11,Grid_BD!$Y:$Y)),"")</f>
        <v>1</v>
      </c>
      <c r="S11" s="167"/>
      <c r="T11" s="172"/>
      <c r="U11" s="173"/>
      <c r="V11" s="167"/>
      <c r="W11" s="174">
        <f t="shared" si="2"/>
        <v>0.47649572649572641</v>
      </c>
      <c r="X11" s="167">
        <f>IFERROR(_xlfn.XLOOKUP($A11,Input_Raw!$A:$A,Input_Raw!$BF:$BF),"")</f>
        <v>834723</v>
      </c>
      <c r="Y11" s="167">
        <f>IFERROR(_xlfn.XLOOKUP($A11,Input_Raw!$A:$A,Input_Raw!BJ:BJ),"")</f>
        <v>802800</v>
      </c>
      <c r="Z11" s="167">
        <f>IFERROR(_xlfn.XLOOKUP($A11,Input_Raw!$A:$A,Input_Raw!BK:BK),"")</f>
        <v>0</v>
      </c>
      <c r="AA11" s="167">
        <f>IFERROR(_xlfn.XLOOKUP($A11,Input_Raw!$A:$A,Input_Raw!BL:BL),"")</f>
        <v>802800</v>
      </c>
      <c r="AB11" s="167">
        <f>IFERROR(_xlfn.XLOOKUP($A11,Input_Raw!$A:$A,Input_Raw!$BO:$BO),"")</f>
        <v>70.2</v>
      </c>
      <c r="AC11" s="176">
        <f>IFERROR(_xlfn.XLOOKUP($D11,'Modelling New'!$D:$D,'Modelling New'!$J:$J),"")</f>
        <v>6.65</v>
      </c>
      <c r="AD11" s="166">
        <f>IFERROR(_xlfn.XLOOKUP($D11,'Modelling New'!$D:$D,'Modelling New'!$T:$T)*1000,"")</f>
        <v>697760.5424630543</v>
      </c>
      <c r="AE11" s="174"/>
      <c r="AF11" s="174">
        <f>IFERROR(_xlfn.XLOOKUP($D11,'Modelling New'!$D:$D,'Modelling New'!$W:$W),"")</f>
        <v>0.41415036945812811</v>
      </c>
      <c r="AG11" s="174">
        <f>IFERROR(_xlfn.XLOOKUP($D11,'Modelling New'!$D:$D,'Modelling New'!$AE:$AE),"")</f>
        <v>0.96029999999999993</v>
      </c>
      <c r="AH11" s="174">
        <f>IFERROR(_xlfn.XLOOKUP($D11,'Modelling New'!$D:$D,'Modelling New'!$AF:$AF),"")</f>
        <v>0.995</v>
      </c>
      <c r="AI11" s="177">
        <f>IFERROR(_xlfn.XLOOKUP($A11,Input_Raw!$A:$A,Input_Raw!$BQ:$BQ),"")</f>
        <v>890.54</v>
      </c>
      <c r="AJ11" s="167"/>
      <c r="AK11" s="167"/>
      <c r="AL11" s="167"/>
      <c r="AM11" s="167"/>
      <c r="AN11" s="175">
        <f>IFERROR(_xlfn.XLOOKUP($A11,Input_Raw!$A:$A,Input_Raw!$BN:$BN),"")</f>
        <v>3.8243824598100211E-2</v>
      </c>
      <c r="AO11" s="174">
        <f>IFERROR((_xlfn.XLOOKUP($A11,'WTG Reactive Power'!$A:$A,'WTG Reactive Power'!$AE:$AE))/Table13[[#This Row],[Gen_Exp (kWh)]],"")</f>
        <v>3.8275978977457194E-2</v>
      </c>
      <c r="AP11" s="174">
        <f>IFERROR(_xlfn.XLOOKUP($D11,'Modelling New'!$D:$D,'Modelling New'!$AK:$AK),"")</f>
        <v>0.05</v>
      </c>
      <c r="AQ11" s="174">
        <f>IFERROR(_xlfn.XLOOKUP($D11,'Modelling New'!$D:$D,'Modelling New'!$AL:$AL),"")</f>
        <v>0.05</v>
      </c>
      <c r="AR11" s="276">
        <f>IFERROR(_xlfn.XLOOKUP($D11,'Modelling New'!$D:$D,'Modelling New'!$N:$N),"")</f>
        <v>70.2</v>
      </c>
      <c r="AS11" s="276"/>
    </row>
    <row r="12" spans="1:45">
      <c r="A12" s="165">
        <f t="shared" si="3"/>
        <v>45755</v>
      </c>
      <c r="B12" s="166">
        <f>YEAR(Table13[[#This Row],[Date]])+IF(MONTH(Table13[[#This Row],[Date]])&gt;=4,1,0)</f>
        <v>2026</v>
      </c>
      <c r="C12" s="167">
        <f>YEAR(Table13[[#This Row],[Date]])</f>
        <v>2025</v>
      </c>
      <c r="D12" s="168">
        <f>Table13[[#This Row],[Date]]-DAY(Table13[[#This Row],[Date]])+1</f>
        <v>45748</v>
      </c>
      <c r="E12" s="167">
        <f t="shared" si="0"/>
        <v>30</v>
      </c>
      <c r="F12" s="169"/>
      <c r="G12" s="170"/>
      <c r="H12" s="170"/>
      <c r="I12" s="170"/>
      <c r="J12" s="170"/>
      <c r="K12" s="171"/>
      <c r="L12" s="170"/>
      <c r="M12" s="170">
        <f>IFERROR(_xlfn.XLOOKUP($A12,Input_Raw!$A:$A,Input_Raw!BG:BG),"")</f>
        <v>7.0790919906407161</v>
      </c>
      <c r="N12" s="170">
        <f>IFERROR(_xlfn.XLOOKUP($A12,Input_Raw!$A:$A,Input_Raw!BH:BH),"")</f>
        <v>0</v>
      </c>
      <c r="O12" s="173">
        <f t="shared" si="1"/>
        <v>0.97183444830491272</v>
      </c>
      <c r="P12" s="173">
        <f>IFERROR(1-SUMIF(WTG_BD!$F:$F,$A12,WTG_BD!$AA:$AA)/($AA12+SUMIF(WTG_BD!$F:$F,$A12,WTG_BD!$AA:$AA)),"")</f>
        <v>0.97183444830491272</v>
      </c>
      <c r="Q12" s="173">
        <f>IFERROR(1-SUMIF(IGA_BD!$F:$F,$A12,IGA_BD!$X:$X)/($AA12+SUMIF(IGA_BD!$F:$F,$A12,IGA_BD!$X:$X)),"")</f>
        <v>1</v>
      </c>
      <c r="R12" s="173">
        <f>IFERROR(1-SUMIF(Grid_BD!$F:$F,$A12,Grid_BD!$Y:$Y)/($AA12+SUMIF(Grid_BD!$F:$F,$A12,Grid_BD!$Y:$Y)),"")</f>
        <v>1</v>
      </c>
      <c r="S12" s="167"/>
      <c r="T12" s="172"/>
      <c r="U12" s="173"/>
      <c r="V12" s="167"/>
      <c r="W12" s="174">
        <f t="shared" si="2"/>
        <v>0.47088675213675207</v>
      </c>
      <c r="X12" s="167">
        <f>IFERROR(_xlfn.XLOOKUP($A12,Input_Raw!$A:$A,Input_Raw!$BF:$BF),"")</f>
        <v>823138</v>
      </c>
      <c r="Y12" s="167">
        <f>IFERROR(_xlfn.XLOOKUP($A12,Input_Raw!$A:$A,Input_Raw!BJ:BJ),"")</f>
        <v>793800</v>
      </c>
      <c r="Z12" s="167">
        <f>IFERROR(_xlfn.XLOOKUP($A12,Input_Raw!$A:$A,Input_Raw!BK:BK),"")</f>
        <v>450</v>
      </c>
      <c r="AA12" s="167">
        <f>IFERROR(_xlfn.XLOOKUP($A12,Input_Raw!$A:$A,Input_Raw!BL:BL),"")</f>
        <v>793350</v>
      </c>
      <c r="AB12" s="167">
        <f>IFERROR(_xlfn.XLOOKUP($A12,Input_Raw!$A:$A,Input_Raw!$BO:$BO),"")</f>
        <v>70.2</v>
      </c>
      <c r="AC12" s="176">
        <f>IFERROR(_xlfn.XLOOKUP($D12,'Modelling New'!$D:$D,'Modelling New'!$J:$J),"")</f>
        <v>6.65</v>
      </c>
      <c r="AD12" s="166">
        <f>IFERROR(_xlfn.XLOOKUP($D12,'Modelling New'!$D:$D,'Modelling New'!$T:$T)*1000,"")</f>
        <v>697760.5424630543</v>
      </c>
      <c r="AE12" s="174"/>
      <c r="AF12" s="174">
        <f>IFERROR(_xlfn.XLOOKUP($D12,'Modelling New'!$D:$D,'Modelling New'!$W:$W),"")</f>
        <v>0.41415036945812811</v>
      </c>
      <c r="AG12" s="174">
        <f>IFERROR(_xlfn.XLOOKUP($D12,'Modelling New'!$D:$D,'Modelling New'!$AE:$AE),"")</f>
        <v>0.96029999999999993</v>
      </c>
      <c r="AH12" s="174">
        <f>IFERROR(_xlfn.XLOOKUP($D12,'Modelling New'!$D:$D,'Modelling New'!$AF:$AF),"")</f>
        <v>0.995</v>
      </c>
      <c r="AI12" s="177">
        <f>IFERROR(_xlfn.XLOOKUP($A12,Input_Raw!$A:$A,Input_Raw!$BQ:$BQ),"")</f>
        <v>885.16</v>
      </c>
      <c r="AJ12" s="167"/>
      <c r="AK12" s="167"/>
      <c r="AL12" s="167"/>
      <c r="AM12" s="167"/>
      <c r="AN12" s="175">
        <f>IFERROR(_xlfn.XLOOKUP($A12,Input_Raw!$A:$A,Input_Raw!$BN:$BN),"")</f>
        <v>3.5641654254815108E-2</v>
      </c>
      <c r="AO12" s="174">
        <f>IFERROR((_xlfn.XLOOKUP($A12,'WTG Reactive Power'!$A:$A,'WTG Reactive Power'!$AE:$AE))/Table13[[#This Row],[Gen_Exp (kWh)]],"")</f>
        <v>3.279936049605291E-3</v>
      </c>
      <c r="AP12" s="174">
        <f>IFERROR(_xlfn.XLOOKUP($D12,'Modelling New'!$D:$D,'Modelling New'!$AK:$AK),"")</f>
        <v>0.05</v>
      </c>
      <c r="AQ12" s="174">
        <f>IFERROR(_xlfn.XLOOKUP($D12,'Modelling New'!$D:$D,'Modelling New'!$AL:$AL),"")</f>
        <v>0.05</v>
      </c>
      <c r="AR12" s="276">
        <f>IFERROR(_xlfn.XLOOKUP($D12,'Modelling New'!$D:$D,'Modelling New'!$N:$N),"")</f>
        <v>70.2</v>
      </c>
      <c r="AS12" s="276"/>
    </row>
    <row r="13" spans="1:45">
      <c r="A13" s="165">
        <f t="shared" si="3"/>
        <v>45756</v>
      </c>
      <c r="B13" s="166">
        <f>YEAR(Table13[[#This Row],[Date]])+IF(MONTH(Table13[[#This Row],[Date]])&gt;=4,1,0)</f>
        <v>2026</v>
      </c>
      <c r="C13" s="167">
        <f>YEAR(Table13[[#This Row],[Date]])</f>
        <v>2025</v>
      </c>
      <c r="D13" s="168">
        <f>Table13[[#This Row],[Date]]-DAY(Table13[[#This Row],[Date]])+1</f>
        <v>45748</v>
      </c>
      <c r="E13" s="167">
        <f t="shared" si="0"/>
        <v>30</v>
      </c>
      <c r="F13" s="169"/>
      <c r="G13" s="176"/>
      <c r="H13" s="176"/>
      <c r="I13" s="176"/>
      <c r="J13" s="176"/>
      <c r="K13" s="171"/>
      <c r="L13" s="170"/>
      <c r="M13" s="170">
        <f>IFERROR(_xlfn.XLOOKUP($A13,Input_Raw!$A:$A,Input_Raw!BG:BG),"")</f>
        <v>7.0899600119265944</v>
      </c>
      <c r="N13" s="170">
        <f>IFERROR(_xlfn.XLOOKUP($A13,Input_Raw!$A:$A,Input_Raw!BH:BH),"")</f>
        <v>0</v>
      </c>
      <c r="O13" s="173">
        <f t="shared" si="1"/>
        <v>0.98745153570407818</v>
      </c>
      <c r="P13" s="173">
        <f>IFERROR(1-SUMIF(WTG_BD!$F:$F,$A13,WTG_BD!$AA:$AA)/($AA13+SUMIF(WTG_BD!$F:$F,$A13,WTG_BD!$AA:$AA)),"")</f>
        <v>0.98745153570407818</v>
      </c>
      <c r="Q13" s="173">
        <f>IFERROR(1-SUMIF(IGA_BD!$F:$F,$A13,IGA_BD!$X:$X)/($AA13+SUMIF(IGA_BD!$F:$F,$A13,IGA_BD!$X:$X)),"")</f>
        <v>1</v>
      </c>
      <c r="R13" s="173">
        <f>IFERROR(1-SUMIF(Grid_BD!$F:$F,$A13,Grid_BD!$Y:$Y)/($AA13+SUMIF(Grid_BD!$F:$F,$A13,Grid_BD!$Y:$Y)),"")</f>
        <v>1</v>
      </c>
      <c r="S13" s="167"/>
      <c r="T13" s="172"/>
      <c r="U13" s="173"/>
      <c r="V13" s="167"/>
      <c r="W13" s="174">
        <f t="shared" si="2"/>
        <v>0.44070512820512814</v>
      </c>
      <c r="X13" s="167">
        <f>IFERROR(_xlfn.XLOOKUP($A13,Input_Raw!$A:$A,Input_Raw!$BF:$BF),"")</f>
        <v>766278</v>
      </c>
      <c r="Y13" s="167">
        <f>IFERROR(_xlfn.XLOOKUP($A13,Input_Raw!$A:$A,Input_Raw!BJ:BJ),"")</f>
        <v>742500</v>
      </c>
      <c r="Z13" s="167">
        <f>IFERROR(_xlfn.XLOOKUP($A13,Input_Raw!$A:$A,Input_Raw!BK:BK),"")</f>
        <v>0</v>
      </c>
      <c r="AA13" s="167">
        <f>IFERROR(_xlfn.XLOOKUP($A13,Input_Raw!$A:$A,Input_Raw!BL:BL),"")</f>
        <v>742500</v>
      </c>
      <c r="AB13" s="167">
        <f>IFERROR(_xlfn.XLOOKUP($A13,Input_Raw!$A:$A,Input_Raw!$BO:$BO),"")</f>
        <v>70.2</v>
      </c>
      <c r="AC13" s="176">
        <f>IFERROR(_xlfn.XLOOKUP($D13,'Modelling New'!$D:$D,'Modelling New'!$J:$J),"")</f>
        <v>6.65</v>
      </c>
      <c r="AD13" s="166">
        <f>IFERROR(_xlfn.XLOOKUP($D13,'Modelling New'!$D:$D,'Modelling New'!$T:$T)*1000,"")</f>
        <v>697760.5424630543</v>
      </c>
      <c r="AE13" s="174"/>
      <c r="AF13" s="174">
        <f>IFERROR(_xlfn.XLOOKUP($D13,'Modelling New'!$D:$D,'Modelling New'!$W:$W),"")</f>
        <v>0.41415036945812811</v>
      </c>
      <c r="AG13" s="174">
        <f>IFERROR(_xlfn.XLOOKUP($D13,'Modelling New'!$D:$D,'Modelling New'!$AE:$AE),"")</f>
        <v>0.96029999999999993</v>
      </c>
      <c r="AH13" s="174">
        <f>IFERROR(_xlfn.XLOOKUP($D13,'Modelling New'!$D:$D,'Modelling New'!$AF:$AF),"")</f>
        <v>0.995</v>
      </c>
      <c r="AI13" s="177">
        <f>IFERROR(_xlfn.XLOOKUP($A13,Input_Raw!$A:$A,Input_Raw!$BQ:$BQ),"")</f>
        <v>808</v>
      </c>
      <c r="AJ13" s="167"/>
      <c r="AK13" s="167"/>
      <c r="AL13" s="167"/>
      <c r="AM13" s="167"/>
      <c r="AN13" s="175">
        <f>IFERROR(_xlfn.XLOOKUP($A13,Input_Raw!$A:$A,Input_Raw!$BN:$BN),"")</f>
        <v>3.1030513730003994E-2</v>
      </c>
      <c r="AO13" s="174">
        <f>IFERROR((_xlfn.XLOOKUP($A13,'WTG Reactive Power'!$A:$A,'WTG Reactive Power'!$AE:$AE))/Table13[[#This Row],[Gen_Exp (kWh)]],"")</f>
        <v>3.5233166031127085E-3</v>
      </c>
      <c r="AP13" s="174">
        <f>IFERROR(_xlfn.XLOOKUP($D13,'Modelling New'!$D:$D,'Modelling New'!$AK:$AK),"")</f>
        <v>0.05</v>
      </c>
      <c r="AQ13" s="174">
        <f>IFERROR(_xlfn.XLOOKUP($D13,'Modelling New'!$D:$D,'Modelling New'!$AL:$AL),"")</f>
        <v>0.05</v>
      </c>
      <c r="AR13" s="276">
        <f>IFERROR(_xlfn.XLOOKUP($D13,'Modelling New'!$D:$D,'Modelling New'!$N:$N),"")</f>
        <v>70.2</v>
      </c>
      <c r="AS13" s="276"/>
    </row>
    <row r="14" spans="1:45">
      <c r="A14" s="165">
        <f t="shared" si="3"/>
        <v>45757</v>
      </c>
      <c r="B14" s="166">
        <f>YEAR(Table13[[#This Row],[Date]])+IF(MONTH(Table13[[#This Row],[Date]])&gt;=4,1,0)</f>
        <v>2026</v>
      </c>
      <c r="C14" s="167">
        <f>YEAR(Table13[[#This Row],[Date]])</f>
        <v>2025</v>
      </c>
      <c r="D14" s="168">
        <f>Table13[[#This Row],[Date]]-DAY(Table13[[#This Row],[Date]])+1</f>
        <v>45748</v>
      </c>
      <c r="E14" s="167">
        <f t="shared" si="0"/>
        <v>30</v>
      </c>
      <c r="F14" s="169"/>
      <c r="G14" s="170"/>
      <c r="H14" s="170"/>
      <c r="I14" s="170"/>
      <c r="J14" s="170"/>
      <c r="K14" s="171"/>
      <c r="L14" s="170"/>
      <c r="M14" s="170">
        <f>IFERROR(_xlfn.XLOOKUP($A14,Input_Raw!$A:$A,Input_Raw!BG:BG),"")</f>
        <v>8.2136084425907825</v>
      </c>
      <c r="N14" s="170">
        <f>IFERROR(_xlfn.XLOOKUP($A14,Input_Raw!$A:$A,Input_Raw!BH:BH),"")</f>
        <v>0</v>
      </c>
      <c r="O14" s="173">
        <f t="shared" si="1"/>
        <v>0.98076312257540421</v>
      </c>
      <c r="P14" s="173">
        <f>IFERROR(1-SUMIF(WTG_BD!$F:$F,$A14,WTG_BD!$AA:$AA)/($AA14+SUMIF(WTG_BD!$F:$F,$A14,WTG_BD!$AA:$AA)),"")</f>
        <v>0.98076312257540421</v>
      </c>
      <c r="Q14" s="173">
        <f>IFERROR(1-SUMIF(IGA_BD!$F:$F,$A14,IGA_BD!$X:$X)/($AA14+SUMIF(IGA_BD!$F:$F,$A14,IGA_BD!$X:$X)),"")</f>
        <v>1</v>
      </c>
      <c r="R14" s="173">
        <f>IFERROR(1-SUMIF(Grid_BD!$F:$F,$A14,Grid_BD!$Y:$Y)/($AA14+SUMIF(Grid_BD!$F:$F,$A14,Grid_BD!$Y:$Y)),"")</f>
        <v>1</v>
      </c>
      <c r="S14" s="167"/>
      <c r="T14" s="172"/>
      <c r="U14" s="173"/>
      <c r="V14" s="167"/>
      <c r="W14" s="174">
        <f t="shared" si="2"/>
        <v>0.57852564102564097</v>
      </c>
      <c r="X14" s="167">
        <f>IFERROR(_xlfn.XLOOKUP($A14,Input_Raw!$A:$A,Input_Raw!$BF:$BF),"")</f>
        <v>1006142</v>
      </c>
      <c r="Y14" s="167">
        <f>IFERROR(_xlfn.XLOOKUP($A14,Input_Raw!$A:$A,Input_Raw!BJ:BJ),"")</f>
        <v>974700</v>
      </c>
      <c r="Z14" s="167">
        <f>IFERROR(_xlfn.XLOOKUP($A14,Input_Raw!$A:$A,Input_Raw!BK:BK),"")</f>
        <v>0</v>
      </c>
      <c r="AA14" s="167">
        <f>IFERROR(_xlfn.XLOOKUP($A14,Input_Raw!$A:$A,Input_Raw!BL:BL),"")</f>
        <v>974700</v>
      </c>
      <c r="AB14" s="167">
        <f>IFERROR(_xlfn.XLOOKUP($A14,Input_Raw!$A:$A,Input_Raw!$BO:$BO),"")</f>
        <v>70.2</v>
      </c>
      <c r="AC14" s="176">
        <f>IFERROR(_xlfn.XLOOKUP($D14,'Modelling New'!$D:$D,'Modelling New'!$J:$J),"")</f>
        <v>6.65</v>
      </c>
      <c r="AD14" s="166">
        <f>IFERROR(_xlfn.XLOOKUP($D14,'Modelling New'!$D:$D,'Modelling New'!$T:$T)*1000,"")</f>
        <v>697760.5424630543</v>
      </c>
      <c r="AE14" s="174"/>
      <c r="AF14" s="174">
        <f>IFERROR(_xlfn.XLOOKUP($D14,'Modelling New'!$D:$D,'Modelling New'!$W:$W),"")</f>
        <v>0.41415036945812811</v>
      </c>
      <c r="AG14" s="174">
        <f>IFERROR(_xlfn.XLOOKUP($D14,'Modelling New'!$D:$D,'Modelling New'!$AE:$AE),"")</f>
        <v>0.96029999999999993</v>
      </c>
      <c r="AH14" s="174">
        <f>IFERROR(_xlfn.XLOOKUP($D14,'Modelling New'!$D:$D,'Modelling New'!$AF:$AF),"")</f>
        <v>0.995</v>
      </c>
      <c r="AI14" s="177">
        <f>IFERROR(_xlfn.XLOOKUP($A14,Input_Raw!$A:$A,Input_Raw!$BQ:$BQ),"")</f>
        <v>1103.33</v>
      </c>
      <c r="AJ14" s="167"/>
      <c r="AK14" s="167"/>
      <c r="AL14" s="167"/>
      <c r="AM14" s="167"/>
      <c r="AN14" s="175">
        <f>IFERROR(_xlfn.XLOOKUP($A14,Input_Raw!$A:$A,Input_Raw!$BN:$BN),"")</f>
        <v>3.1250062118468369E-2</v>
      </c>
      <c r="AO14" s="174">
        <f>IFERROR((_xlfn.XLOOKUP($A14,'WTG Reactive Power'!$A:$A,'WTG Reactive Power'!$AE:$AE))/Table13[[#This Row],[Gen_Exp (kWh)]],"")</f>
        <v>1.6548240705586279E-2</v>
      </c>
      <c r="AP14" s="174">
        <f>IFERROR(_xlfn.XLOOKUP($D14,'Modelling New'!$D:$D,'Modelling New'!$AK:$AK),"")</f>
        <v>0.05</v>
      </c>
      <c r="AQ14" s="174">
        <f>IFERROR(_xlfn.XLOOKUP($D14,'Modelling New'!$D:$D,'Modelling New'!$AL:$AL),"")</f>
        <v>0.05</v>
      </c>
      <c r="AR14" s="276">
        <f>IFERROR(_xlfn.XLOOKUP($D14,'Modelling New'!$D:$D,'Modelling New'!$N:$N),"")</f>
        <v>70.2</v>
      </c>
      <c r="AS14" s="276"/>
    </row>
    <row r="15" spans="1:45">
      <c r="A15" s="165">
        <f t="shared" si="3"/>
        <v>45758</v>
      </c>
      <c r="B15" s="166">
        <f>YEAR(Table13[[#This Row],[Date]])+IF(MONTH(Table13[[#This Row],[Date]])&gt;=4,1,0)</f>
        <v>2026</v>
      </c>
      <c r="C15" s="167">
        <f>YEAR(Table13[[#This Row],[Date]])</f>
        <v>2025</v>
      </c>
      <c r="D15" s="168">
        <f>Table13[[#This Row],[Date]]-DAY(Table13[[#This Row],[Date]])+1</f>
        <v>45748</v>
      </c>
      <c r="E15" s="167">
        <f t="shared" si="0"/>
        <v>30</v>
      </c>
      <c r="F15" s="169"/>
      <c r="G15" s="176"/>
      <c r="H15" s="176"/>
      <c r="I15" s="176"/>
      <c r="J15" s="176"/>
      <c r="K15" s="171"/>
      <c r="L15" s="170"/>
      <c r="M15" s="170">
        <f>IFERROR(_xlfn.XLOOKUP($A15,Input_Raw!$A:$A,Input_Raw!BG:BG),"")</f>
        <v>8.1076084877697365</v>
      </c>
      <c r="N15" s="170">
        <f>IFERROR(_xlfn.XLOOKUP($A15,Input_Raw!$A:$A,Input_Raw!BH:BH),"")</f>
        <v>0</v>
      </c>
      <c r="O15" s="173">
        <f t="shared" si="1"/>
        <v>0.96147714696504882</v>
      </c>
      <c r="P15" s="173">
        <f>IFERROR(1-SUMIF(WTG_BD!$F:$F,$A15,WTG_BD!$AA:$AA)/($AA15+SUMIF(WTG_BD!$F:$F,$A15,WTG_BD!$AA:$AA)),"")</f>
        <v>0.96147714696504882</v>
      </c>
      <c r="Q15" s="173">
        <f>IFERROR(1-SUMIF(IGA_BD!$F:$F,$A15,IGA_BD!$X:$X)/($AA15+SUMIF(IGA_BD!$F:$F,$A15,IGA_BD!$X:$X)),"")</f>
        <v>1</v>
      </c>
      <c r="R15" s="173">
        <f>IFERROR(1-SUMIF(Grid_BD!$F:$F,$A15,Grid_BD!$Y:$Y)/($AA15+SUMIF(Grid_BD!$F:$F,$A15,Grid_BD!$Y:$Y)),"")</f>
        <v>1</v>
      </c>
      <c r="S15" s="167"/>
      <c r="T15" s="172"/>
      <c r="U15" s="173"/>
      <c r="V15" s="167"/>
      <c r="W15" s="174">
        <f t="shared" si="2"/>
        <v>0.59615384615384603</v>
      </c>
      <c r="X15" s="167">
        <f>IFERROR(_xlfn.XLOOKUP($A15,Input_Raw!$A:$A,Input_Raw!$BF:$BF),"")</f>
        <v>1041716</v>
      </c>
      <c r="Y15" s="167">
        <f>IFERROR(_xlfn.XLOOKUP($A15,Input_Raw!$A:$A,Input_Raw!BJ:BJ),"")</f>
        <v>1004400</v>
      </c>
      <c r="Z15" s="167">
        <f>IFERROR(_xlfn.XLOOKUP($A15,Input_Raw!$A:$A,Input_Raw!BK:BK),"")</f>
        <v>0</v>
      </c>
      <c r="AA15" s="167">
        <f>IFERROR(_xlfn.XLOOKUP($A15,Input_Raw!$A:$A,Input_Raw!BL:BL),"")</f>
        <v>1004400</v>
      </c>
      <c r="AB15" s="167">
        <f>IFERROR(_xlfn.XLOOKUP($A15,Input_Raw!$A:$A,Input_Raw!$BO:$BO),"")</f>
        <v>70.2</v>
      </c>
      <c r="AC15" s="176">
        <f>IFERROR(_xlfn.XLOOKUP($D15,'Modelling New'!$D:$D,'Modelling New'!$J:$J),"")</f>
        <v>6.65</v>
      </c>
      <c r="AD15" s="166">
        <f>IFERROR(_xlfn.XLOOKUP($D15,'Modelling New'!$D:$D,'Modelling New'!$T:$T)*1000,"")</f>
        <v>697760.5424630543</v>
      </c>
      <c r="AE15" s="174"/>
      <c r="AF15" s="174">
        <f>IFERROR(_xlfn.XLOOKUP($D15,'Modelling New'!$D:$D,'Modelling New'!$W:$W),"")</f>
        <v>0.41415036945812811</v>
      </c>
      <c r="AG15" s="174">
        <f>IFERROR(_xlfn.XLOOKUP($D15,'Modelling New'!$D:$D,'Modelling New'!$AE:$AE),"")</f>
        <v>0.96029999999999993</v>
      </c>
      <c r="AH15" s="174">
        <f>IFERROR(_xlfn.XLOOKUP($D15,'Modelling New'!$D:$D,'Modelling New'!$AF:$AF),"")</f>
        <v>0.995</v>
      </c>
      <c r="AI15" s="177">
        <f>IFERROR(_xlfn.XLOOKUP($A15,Input_Raw!$A:$A,Input_Raw!$BQ:$BQ),"")</f>
        <v>1083.02</v>
      </c>
      <c r="AJ15" s="167"/>
      <c r="AK15" s="167"/>
      <c r="AL15" s="167"/>
      <c r="AM15" s="167"/>
      <c r="AN15" s="175">
        <f>IFERROR(_xlfn.XLOOKUP($A15,Input_Raw!$A:$A,Input_Raw!$BN:$BN),"")</f>
        <v>3.5821663486017299E-2</v>
      </c>
      <c r="AO15" s="174">
        <f>IFERROR((_xlfn.XLOOKUP($A15,'WTG Reactive Power'!$A:$A,'WTG Reactive Power'!$AE:$AE))/Table13[[#This Row],[Gen_Exp (kWh)]],"")</f>
        <v>5.183696900114808E-3</v>
      </c>
      <c r="AP15" s="174">
        <f>IFERROR(_xlfn.XLOOKUP($D15,'Modelling New'!$D:$D,'Modelling New'!$AK:$AK),"")</f>
        <v>0.05</v>
      </c>
      <c r="AQ15" s="174">
        <f>IFERROR(_xlfn.XLOOKUP($D15,'Modelling New'!$D:$D,'Modelling New'!$AL:$AL),"")</f>
        <v>0.05</v>
      </c>
      <c r="AR15" s="276">
        <f>IFERROR(_xlfn.XLOOKUP($D15,'Modelling New'!$D:$D,'Modelling New'!$N:$N),"")</f>
        <v>70.2</v>
      </c>
      <c r="AS15" s="276"/>
    </row>
    <row r="16" spans="1:45">
      <c r="A16" s="165">
        <f t="shared" si="3"/>
        <v>45759</v>
      </c>
      <c r="B16" s="166">
        <f>YEAR(Table13[[#This Row],[Date]])+IF(MONTH(Table13[[#This Row],[Date]])&gt;=4,1,0)</f>
        <v>2026</v>
      </c>
      <c r="C16" s="167">
        <f>YEAR(Table13[[#This Row],[Date]])</f>
        <v>2025</v>
      </c>
      <c r="D16" s="168">
        <f>Table13[[#This Row],[Date]]-DAY(Table13[[#This Row],[Date]])+1</f>
        <v>45748</v>
      </c>
      <c r="E16" s="167">
        <f t="shared" si="0"/>
        <v>30</v>
      </c>
      <c r="F16" s="169"/>
      <c r="G16" s="170"/>
      <c r="H16" s="170"/>
      <c r="I16" s="170"/>
      <c r="J16" s="170"/>
      <c r="K16" s="171"/>
      <c r="L16" s="170"/>
      <c r="M16" s="170">
        <f>IFERROR(_xlfn.XLOOKUP($A16,Input_Raw!$A:$A,Input_Raw!BG:BG),"")</f>
        <v>4.983076923076923</v>
      </c>
      <c r="N16" s="170">
        <f>IFERROR(_xlfn.XLOOKUP($A16,Input_Raw!$A:$A,Input_Raw!BH:BH),"")</f>
        <v>0</v>
      </c>
      <c r="O16" s="173">
        <f t="shared" si="1"/>
        <v>0.56475494393588377</v>
      </c>
      <c r="P16" s="173">
        <f>IFERROR(1-SUMIF(WTG_BD!$F:$F,$A16,WTG_BD!$AA:$AA)/($AA16+SUMIF(WTG_BD!$F:$F,$A16,WTG_BD!$AA:$AA)),"")</f>
        <v>0.98704670994792909</v>
      </c>
      <c r="Q16" s="173">
        <f>IFERROR(1-SUMIF(IGA_BD!$F:$F,$A16,IGA_BD!$X:$X)/($AA16+SUMIF(IGA_BD!$F:$F,$A16,IGA_BD!$X:$X)),"")</f>
        <v>0.57216638102737505</v>
      </c>
      <c r="R16" s="173">
        <f>IFERROR(1-SUMIF(Grid_BD!$F:$F,$A16,Grid_BD!$Y:$Y)/($AA16+SUMIF(Grid_BD!$F:$F,$A16,Grid_BD!$Y:$Y)),"")</f>
        <v>1</v>
      </c>
      <c r="S16" s="167"/>
      <c r="T16" s="172"/>
      <c r="U16" s="173"/>
      <c r="V16" s="167"/>
      <c r="W16" s="174">
        <f t="shared" si="2"/>
        <v>9.7756410256410242E-2</v>
      </c>
      <c r="X16" s="167">
        <f>IFERROR(_xlfn.XLOOKUP($A16,Input_Raw!$A:$A,Input_Raw!$BF:$BF),"")</f>
        <v>173786</v>
      </c>
      <c r="Y16" s="167">
        <f>IFERROR(_xlfn.XLOOKUP($A16,Input_Raw!$A:$A,Input_Raw!BJ:BJ),"")</f>
        <v>164700</v>
      </c>
      <c r="Z16" s="167">
        <f>IFERROR(_xlfn.XLOOKUP($A16,Input_Raw!$A:$A,Input_Raw!BK:BK),"")</f>
        <v>0</v>
      </c>
      <c r="AA16" s="167">
        <f>IFERROR(_xlfn.XLOOKUP($A16,Input_Raw!$A:$A,Input_Raw!BL:BL),"")</f>
        <v>164700</v>
      </c>
      <c r="AB16" s="167">
        <f>IFERROR(_xlfn.XLOOKUP($A16,Input_Raw!$A:$A,Input_Raw!$BO:$BO),"")</f>
        <v>70.2</v>
      </c>
      <c r="AC16" s="176">
        <f>IFERROR(_xlfn.XLOOKUP($D16,'Modelling New'!$D:$D,'Modelling New'!$J:$J),"")</f>
        <v>6.65</v>
      </c>
      <c r="AD16" s="166">
        <f>IFERROR(_xlfn.XLOOKUP($D16,'Modelling New'!$D:$D,'Modelling New'!$T:$T)*1000,"")</f>
        <v>697760.5424630543</v>
      </c>
      <c r="AE16" s="174"/>
      <c r="AF16" s="174">
        <f>IFERROR(_xlfn.XLOOKUP($D16,'Modelling New'!$D:$D,'Modelling New'!$W:$W),"")</f>
        <v>0.41415036945812811</v>
      </c>
      <c r="AG16" s="174">
        <f>IFERROR(_xlfn.XLOOKUP($D16,'Modelling New'!$D:$D,'Modelling New'!$AE:$AE),"")</f>
        <v>0.96029999999999993</v>
      </c>
      <c r="AH16" s="174">
        <f>IFERROR(_xlfn.XLOOKUP($D16,'Modelling New'!$D:$D,'Modelling New'!$AF:$AF),"")</f>
        <v>0.995</v>
      </c>
      <c r="AI16" s="177">
        <f>IFERROR(_xlfn.XLOOKUP($A16,Input_Raw!$A:$A,Input_Raw!$BQ:$BQ),"")</f>
        <v>176.01</v>
      </c>
      <c r="AJ16" s="167"/>
      <c r="AK16" s="167"/>
      <c r="AL16" s="167"/>
      <c r="AM16" s="167"/>
      <c r="AN16" s="175">
        <f>IFERROR(_xlfn.XLOOKUP($A16,Input_Raw!$A:$A,Input_Raw!$BN:$BN),"")</f>
        <v>5.2282692506876276E-2</v>
      </c>
      <c r="AO16" s="174">
        <f>IFERROR((_xlfn.XLOOKUP($A16,'WTG Reactive Power'!$A:$A,'WTG Reactive Power'!$AE:$AE))/Table13[[#This Row],[Gen_Exp (kWh)]],"")</f>
        <v>2.5882407098385381E-3</v>
      </c>
      <c r="AP16" s="174">
        <f>IFERROR(_xlfn.XLOOKUP($D16,'Modelling New'!$D:$D,'Modelling New'!$AK:$AK),"")</f>
        <v>0.05</v>
      </c>
      <c r="AQ16" s="174">
        <f>IFERROR(_xlfn.XLOOKUP($D16,'Modelling New'!$D:$D,'Modelling New'!$AL:$AL),"")</f>
        <v>0.05</v>
      </c>
      <c r="AR16" s="276">
        <f>IFERROR(_xlfn.XLOOKUP($D16,'Modelling New'!$D:$D,'Modelling New'!$N:$N),"")</f>
        <v>70.2</v>
      </c>
      <c r="AS16" s="276"/>
    </row>
    <row r="17" spans="1:45">
      <c r="A17" s="165">
        <f t="shared" si="3"/>
        <v>45760</v>
      </c>
      <c r="B17" s="166">
        <f>YEAR(Table13[[#This Row],[Date]])+IF(MONTH(Table13[[#This Row],[Date]])&gt;=4,1,0)</f>
        <v>2026</v>
      </c>
      <c r="C17" s="167">
        <f>YEAR(Table13[[#This Row],[Date]])</f>
        <v>2025</v>
      </c>
      <c r="D17" s="168">
        <f>Table13[[#This Row],[Date]]-DAY(Table13[[#This Row],[Date]])+1</f>
        <v>45748</v>
      </c>
      <c r="E17" s="167">
        <f t="shared" si="0"/>
        <v>30</v>
      </c>
      <c r="F17" s="169"/>
      <c r="G17" s="176"/>
      <c r="H17" s="176"/>
      <c r="I17" s="176"/>
      <c r="J17" s="176"/>
      <c r="K17" s="171"/>
      <c r="L17" s="170"/>
      <c r="M17" s="170">
        <f>IFERROR(_xlfn.XLOOKUP($A17,Input_Raw!$A:$A,Input_Raw!BG:BG),"")</f>
        <v>7.6407920586270697</v>
      </c>
      <c r="N17" s="170">
        <f>IFERROR(_xlfn.XLOOKUP($A17,Input_Raw!$A:$A,Input_Raw!BH:BH),"")</f>
        <v>0</v>
      </c>
      <c r="O17" s="173">
        <f t="shared" si="1"/>
        <v>0.65173781622925875</v>
      </c>
      <c r="P17" s="173">
        <f>IFERROR(1-SUMIF(WTG_BD!$F:$F,$A17,WTG_BD!$AA:$AA)/($AA17+SUMIF(WTG_BD!$F:$F,$A17,WTG_BD!$AA:$AA)),"")</f>
        <v>0.95417273874545816</v>
      </c>
      <c r="Q17" s="173">
        <f>IFERROR(1-SUMIF(IGA_BD!$F:$F,$A17,IGA_BD!$X:$X)/($AA17+SUMIF(IGA_BD!$F:$F,$A17,IGA_BD!$X:$X)),"")</f>
        <v>0.68303965284751333</v>
      </c>
      <c r="R17" s="173">
        <f>IFERROR(1-SUMIF(Grid_BD!$F:$F,$A17,Grid_BD!$Y:$Y)/($AA17+SUMIF(Grid_BD!$F:$F,$A17,Grid_BD!$Y:$Y)),"")</f>
        <v>1</v>
      </c>
      <c r="S17" s="167"/>
      <c r="T17" s="172"/>
      <c r="U17" s="173"/>
      <c r="V17" s="167"/>
      <c r="W17" s="174">
        <f t="shared" si="2"/>
        <v>0.35016025641025639</v>
      </c>
      <c r="X17" s="167">
        <f>IFERROR(_xlfn.XLOOKUP($A17,Input_Raw!$A:$A,Input_Raw!$BF:$BF),"")</f>
        <v>607437</v>
      </c>
      <c r="Y17" s="167">
        <f>IFERROR(_xlfn.XLOOKUP($A17,Input_Raw!$A:$A,Input_Raw!BJ:BJ),"")</f>
        <v>589950</v>
      </c>
      <c r="Z17" s="167">
        <f>IFERROR(_xlfn.XLOOKUP($A17,Input_Raw!$A:$A,Input_Raw!BK:BK),"")</f>
        <v>0</v>
      </c>
      <c r="AA17" s="167">
        <f>IFERROR(_xlfn.XLOOKUP($A17,Input_Raw!$A:$A,Input_Raw!BL:BL),"")</f>
        <v>589950</v>
      </c>
      <c r="AB17" s="167">
        <f>IFERROR(_xlfn.XLOOKUP($A17,Input_Raw!$A:$A,Input_Raw!$BO:$BO),"")</f>
        <v>70.2</v>
      </c>
      <c r="AC17" s="176">
        <f>IFERROR(_xlfn.XLOOKUP($D17,'Modelling New'!$D:$D,'Modelling New'!$J:$J),"")</f>
        <v>6.65</v>
      </c>
      <c r="AD17" s="166">
        <f>IFERROR(_xlfn.XLOOKUP($D17,'Modelling New'!$D:$D,'Modelling New'!$T:$T)*1000,"")</f>
        <v>697760.5424630543</v>
      </c>
      <c r="AE17" s="174"/>
      <c r="AF17" s="174">
        <f>IFERROR(_xlfn.XLOOKUP($D17,'Modelling New'!$D:$D,'Modelling New'!$W:$W),"")</f>
        <v>0.41415036945812811</v>
      </c>
      <c r="AG17" s="174">
        <f>IFERROR(_xlfn.XLOOKUP($D17,'Modelling New'!$D:$D,'Modelling New'!$AE:$AE),"")</f>
        <v>0.96029999999999993</v>
      </c>
      <c r="AH17" s="174">
        <f>IFERROR(_xlfn.XLOOKUP($D17,'Modelling New'!$D:$D,'Modelling New'!$AF:$AF),"")</f>
        <v>0.995</v>
      </c>
      <c r="AI17" s="177">
        <f>IFERROR(_xlfn.XLOOKUP($A17,Input_Raw!$A:$A,Input_Raw!$BQ:$BQ),"")</f>
        <v>682.2</v>
      </c>
      <c r="AJ17" s="167"/>
      <c r="AK17" s="167"/>
      <c r="AL17" s="167"/>
      <c r="AM17" s="167"/>
      <c r="AN17" s="175">
        <f>IFERROR(_xlfn.XLOOKUP($A17,Input_Raw!$A:$A,Input_Raw!$BN:$BN),"")</f>
        <v>2.8788170625101861E-2</v>
      </c>
      <c r="AO17" s="174">
        <f>IFERROR((_xlfn.XLOOKUP($A17,'WTG Reactive Power'!$A:$A,'WTG Reactive Power'!$AE:$AE))/Table13[[#This Row],[Gen_Exp (kWh)]],"")</f>
        <v>3.7037256538538154E-3</v>
      </c>
      <c r="AP17" s="174">
        <f>IFERROR(_xlfn.XLOOKUP($D17,'Modelling New'!$D:$D,'Modelling New'!$AK:$AK),"")</f>
        <v>0.05</v>
      </c>
      <c r="AQ17" s="174">
        <f>IFERROR(_xlfn.XLOOKUP($D17,'Modelling New'!$D:$D,'Modelling New'!$AL:$AL),"")</f>
        <v>0.05</v>
      </c>
      <c r="AR17" s="276">
        <f>IFERROR(_xlfn.XLOOKUP($D17,'Modelling New'!$D:$D,'Modelling New'!$N:$N),"")</f>
        <v>70.2</v>
      </c>
      <c r="AS17" s="276"/>
    </row>
    <row r="18" spans="1:45">
      <c r="A18" s="165">
        <f t="shared" si="3"/>
        <v>45761</v>
      </c>
      <c r="B18" s="166">
        <f>YEAR(Table13[[#This Row],[Date]])+IF(MONTH(Table13[[#This Row],[Date]])&gt;=4,1,0)</f>
        <v>2026</v>
      </c>
      <c r="C18" s="167">
        <f>YEAR(Table13[[#This Row],[Date]])</f>
        <v>2025</v>
      </c>
      <c r="D18" s="168">
        <f>Table13[[#This Row],[Date]]-DAY(Table13[[#This Row],[Date]])+1</f>
        <v>45748</v>
      </c>
      <c r="E18" s="167">
        <f t="shared" si="0"/>
        <v>30</v>
      </c>
      <c r="F18" s="169"/>
      <c r="G18" s="170"/>
      <c r="H18" s="170"/>
      <c r="I18" s="170"/>
      <c r="J18" s="170"/>
      <c r="K18" s="171"/>
      <c r="L18" s="170"/>
      <c r="M18" s="170">
        <f>IFERROR(_xlfn.XLOOKUP($A18,Input_Raw!$A:$A,Input_Raw!BG:BG),"")</f>
        <v>8.9526900483064686</v>
      </c>
      <c r="N18" s="170">
        <f>IFERROR(_xlfn.XLOOKUP($A18,Input_Raw!$A:$A,Input_Raw!BH:BH),"")</f>
        <v>0</v>
      </c>
      <c r="O18" s="173">
        <f t="shared" si="1"/>
        <v>0.95989079084779227</v>
      </c>
      <c r="P18" s="173">
        <f>IFERROR(1-SUMIF(WTG_BD!$F:$F,$A18,WTG_BD!$AA:$AA)/($AA18+SUMIF(WTG_BD!$F:$F,$A18,WTG_BD!$AA:$AA)),"")</f>
        <v>0.95989079084779227</v>
      </c>
      <c r="Q18" s="173">
        <f>IFERROR(1-SUMIF(IGA_BD!$F:$F,$A18,IGA_BD!$X:$X)/($AA18+SUMIF(IGA_BD!$F:$F,$A18,IGA_BD!$X:$X)),"")</f>
        <v>1</v>
      </c>
      <c r="R18" s="173">
        <f>IFERROR(1-SUMIF(Grid_BD!$F:$F,$A18,Grid_BD!$Y:$Y)/($AA18+SUMIF(Grid_BD!$F:$F,$A18,Grid_BD!$Y:$Y)),"")</f>
        <v>1</v>
      </c>
      <c r="S18" s="167"/>
      <c r="T18" s="172"/>
      <c r="U18" s="173"/>
      <c r="V18" s="167"/>
      <c r="W18" s="174">
        <f t="shared" si="2"/>
        <v>0.67174145299145294</v>
      </c>
      <c r="X18" s="167">
        <f>IFERROR(_xlfn.XLOOKUP($A18,Input_Raw!$A:$A,Input_Raw!$BF:$BF),"")</f>
        <v>1174575</v>
      </c>
      <c r="Y18" s="167">
        <f>IFERROR(_xlfn.XLOOKUP($A18,Input_Raw!$A:$A,Input_Raw!BJ:BJ),"")</f>
        <v>1131750</v>
      </c>
      <c r="Z18" s="167">
        <f>IFERROR(_xlfn.XLOOKUP($A18,Input_Raw!$A:$A,Input_Raw!BK:BK),"")</f>
        <v>0</v>
      </c>
      <c r="AA18" s="167">
        <f>IFERROR(_xlfn.XLOOKUP($A18,Input_Raw!$A:$A,Input_Raw!BL:BL),"")</f>
        <v>1131750</v>
      </c>
      <c r="AB18" s="167">
        <f>IFERROR(_xlfn.XLOOKUP($A18,Input_Raw!$A:$A,Input_Raw!$BO:$BO),"")</f>
        <v>70.2</v>
      </c>
      <c r="AC18" s="176">
        <f>IFERROR(_xlfn.XLOOKUP($D18,'Modelling New'!$D:$D,'Modelling New'!$J:$J),"")</f>
        <v>6.65</v>
      </c>
      <c r="AD18" s="166">
        <f>IFERROR(_xlfn.XLOOKUP($D18,'Modelling New'!$D:$D,'Modelling New'!$T:$T)*1000,"")</f>
        <v>697760.5424630543</v>
      </c>
      <c r="AE18" s="174"/>
      <c r="AF18" s="174">
        <f>IFERROR(_xlfn.XLOOKUP($D18,'Modelling New'!$D:$D,'Modelling New'!$W:$W),"")</f>
        <v>0.41415036945812811</v>
      </c>
      <c r="AG18" s="174">
        <f>IFERROR(_xlfn.XLOOKUP($D18,'Modelling New'!$D:$D,'Modelling New'!$AE:$AE),"")</f>
        <v>0.96029999999999993</v>
      </c>
      <c r="AH18" s="174">
        <f>IFERROR(_xlfn.XLOOKUP($D18,'Modelling New'!$D:$D,'Modelling New'!$AF:$AF),"")</f>
        <v>0.995</v>
      </c>
      <c r="AI18" s="177">
        <f>IFERROR(_xlfn.XLOOKUP($A18,Input_Raw!$A:$A,Input_Raw!$BQ:$BQ),"")</f>
        <v>1310.71</v>
      </c>
      <c r="AJ18" s="167"/>
      <c r="AK18" s="167"/>
      <c r="AL18" s="167"/>
      <c r="AM18" s="167"/>
      <c r="AN18" s="175">
        <f>IFERROR(_xlfn.XLOOKUP($A18,Input_Raw!$A:$A,Input_Raw!$BN:$BN),"")</f>
        <v>3.6459996168827023E-2</v>
      </c>
      <c r="AO18" s="174">
        <f>IFERROR((_xlfn.XLOOKUP($A18,'WTG Reactive Power'!$A:$A,'WTG Reactive Power'!$AE:$AE))/Table13[[#This Row],[Gen_Exp (kWh)]],"")</f>
        <v>1.3025954068492851E-2</v>
      </c>
      <c r="AP18" s="174">
        <f>IFERROR(_xlfn.XLOOKUP($D18,'Modelling New'!$D:$D,'Modelling New'!$AK:$AK),"")</f>
        <v>0.05</v>
      </c>
      <c r="AQ18" s="174">
        <f>IFERROR(_xlfn.XLOOKUP($D18,'Modelling New'!$D:$D,'Modelling New'!$AL:$AL),"")</f>
        <v>0.05</v>
      </c>
      <c r="AR18" s="276">
        <f>IFERROR(_xlfn.XLOOKUP($D18,'Modelling New'!$D:$D,'Modelling New'!$N:$N),"")</f>
        <v>70.2</v>
      </c>
      <c r="AS18" s="276"/>
    </row>
    <row r="19" spans="1:45">
      <c r="A19" s="165">
        <f t="shared" si="3"/>
        <v>45762</v>
      </c>
      <c r="B19" s="166">
        <f>YEAR(Table13[[#This Row],[Date]])+IF(MONTH(Table13[[#This Row],[Date]])&gt;=4,1,0)</f>
        <v>2026</v>
      </c>
      <c r="C19" s="167">
        <f>YEAR(Table13[[#This Row],[Date]])</f>
        <v>2025</v>
      </c>
      <c r="D19" s="168">
        <f>Table13[[#This Row],[Date]]-DAY(Table13[[#This Row],[Date]])+1</f>
        <v>45748</v>
      </c>
      <c r="E19" s="167">
        <f t="shared" si="0"/>
        <v>30</v>
      </c>
      <c r="F19" s="169"/>
      <c r="G19" s="176"/>
      <c r="H19" s="176"/>
      <c r="I19" s="176"/>
      <c r="J19" s="176"/>
      <c r="K19" s="171"/>
      <c r="L19" s="170"/>
      <c r="M19" s="170">
        <f>IFERROR(_xlfn.XLOOKUP($A19,Input_Raw!$A:$A,Input_Raw!BG:BG),"")</f>
        <v>8.6513936270192335</v>
      </c>
      <c r="N19" s="170">
        <f>IFERROR(_xlfn.XLOOKUP($A19,Input_Raw!$A:$A,Input_Raw!BH:BH),"")</f>
        <v>0</v>
      </c>
      <c r="O19" s="173">
        <f t="shared" si="1"/>
        <v>0.93616354486619657</v>
      </c>
      <c r="P19" s="173">
        <f>IFERROR(1-SUMIF(WTG_BD!$F:$F,$A19,WTG_BD!$AA:$AA)/($AA19+SUMIF(WTG_BD!$F:$F,$A19,WTG_BD!$AA:$AA)),"")</f>
        <v>0.93616354486619657</v>
      </c>
      <c r="Q19" s="173">
        <f>IFERROR(1-SUMIF(IGA_BD!$F:$F,$A19,IGA_BD!$X:$X)/($AA19+SUMIF(IGA_BD!$F:$F,$A19,IGA_BD!$X:$X)),"")</f>
        <v>1</v>
      </c>
      <c r="R19" s="173">
        <f>IFERROR(1-SUMIF(Grid_BD!$F:$F,$A19,Grid_BD!$Y:$Y)/($AA19+SUMIF(Grid_BD!$F:$F,$A19,Grid_BD!$Y:$Y)),"")</f>
        <v>1</v>
      </c>
      <c r="S19" s="167"/>
      <c r="T19" s="172"/>
      <c r="U19" s="173"/>
      <c r="V19" s="167"/>
      <c r="W19" s="174">
        <f t="shared" si="2"/>
        <v>0.62927350427350415</v>
      </c>
      <c r="X19" s="167">
        <f>IFERROR(_xlfn.XLOOKUP($A19,Input_Raw!$A:$A,Input_Raw!$BF:$BF),"")</f>
        <v>1098717</v>
      </c>
      <c r="Y19" s="167">
        <f>IFERROR(_xlfn.XLOOKUP($A19,Input_Raw!$A:$A,Input_Raw!BJ:BJ),"")</f>
        <v>1060200</v>
      </c>
      <c r="Z19" s="167">
        <f>IFERROR(_xlfn.XLOOKUP($A19,Input_Raw!$A:$A,Input_Raw!BK:BK),"")</f>
        <v>0</v>
      </c>
      <c r="AA19" s="167">
        <f>IFERROR(_xlfn.XLOOKUP($A19,Input_Raw!$A:$A,Input_Raw!BL:BL),"")</f>
        <v>1060200</v>
      </c>
      <c r="AB19" s="167">
        <f>IFERROR(_xlfn.XLOOKUP($A19,Input_Raw!$A:$A,Input_Raw!$BO:$BO),"")</f>
        <v>70.2</v>
      </c>
      <c r="AC19" s="176">
        <f>IFERROR(_xlfn.XLOOKUP($D19,'Modelling New'!$D:$D,'Modelling New'!$J:$J),"")</f>
        <v>6.65</v>
      </c>
      <c r="AD19" s="166">
        <f>IFERROR(_xlfn.XLOOKUP($D19,'Modelling New'!$D:$D,'Modelling New'!$T:$T)*1000,"")</f>
        <v>697760.5424630543</v>
      </c>
      <c r="AE19" s="174"/>
      <c r="AF19" s="174">
        <f>IFERROR(_xlfn.XLOOKUP($D19,'Modelling New'!$D:$D,'Modelling New'!$W:$W),"")</f>
        <v>0.41415036945812811</v>
      </c>
      <c r="AG19" s="174">
        <f>IFERROR(_xlfn.XLOOKUP($D19,'Modelling New'!$D:$D,'Modelling New'!$AE:$AE),"")</f>
        <v>0.96029999999999993</v>
      </c>
      <c r="AH19" s="174">
        <f>IFERROR(_xlfn.XLOOKUP($D19,'Modelling New'!$D:$D,'Modelling New'!$AF:$AF),"")</f>
        <v>0.995</v>
      </c>
      <c r="AI19" s="177">
        <f>IFERROR(_xlfn.XLOOKUP($A19,Input_Raw!$A:$A,Input_Raw!$BQ:$BQ),"")</f>
        <v>1204.55</v>
      </c>
      <c r="AJ19" s="167"/>
      <c r="AK19" s="167"/>
      <c r="AL19" s="167"/>
      <c r="AM19" s="167"/>
      <c r="AN19" s="175">
        <f>IFERROR(_xlfn.XLOOKUP($A19,Input_Raw!$A:$A,Input_Raw!$BN:$BN),"")</f>
        <v>3.5056342989140968E-2</v>
      </c>
      <c r="AO19" s="174">
        <f>IFERROR((_xlfn.XLOOKUP($A19,'WTG Reactive Power'!$A:$A,'WTG Reactive Power'!$AE:$AE))/Table13[[#This Row],[Gen_Exp (kWh)]],"")</f>
        <v>1.679218579488622E-2</v>
      </c>
      <c r="AP19" s="174">
        <f>IFERROR(_xlfn.XLOOKUP($D19,'Modelling New'!$D:$D,'Modelling New'!$AK:$AK),"")</f>
        <v>0.05</v>
      </c>
      <c r="AQ19" s="174">
        <f>IFERROR(_xlfn.XLOOKUP($D19,'Modelling New'!$D:$D,'Modelling New'!$AL:$AL),"")</f>
        <v>0.05</v>
      </c>
      <c r="AR19" s="276">
        <f>IFERROR(_xlfn.XLOOKUP($D19,'Modelling New'!$D:$D,'Modelling New'!$N:$N),"")</f>
        <v>70.2</v>
      </c>
      <c r="AS19" s="276"/>
    </row>
    <row r="20" spans="1:45">
      <c r="A20" s="165">
        <f t="shared" si="3"/>
        <v>45763</v>
      </c>
      <c r="B20" s="166">
        <f>YEAR(Table13[[#This Row],[Date]])+IF(MONTH(Table13[[#This Row],[Date]])&gt;=4,1,0)</f>
        <v>2026</v>
      </c>
      <c r="C20" s="167">
        <f>YEAR(Table13[[#This Row],[Date]])</f>
        <v>2025</v>
      </c>
      <c r="D20" s="168">
        <f>Table13[[#This Row],[Date]]-DAY(Table13[[#This Row],[Date]])+1</f>
        <v>45748</v>
      </c>
      <c r="E20" s="167">
        <f t="shared" si="0"/>
        <v>30</v>
      </c>
      <c r="F20" s="169"/>
      <c r="G20" s="170"/>
      <c r="H20" s="170"/>
      <c r="I20" s="170"/>
      <c r="J20" s="170"/>
      <c r="K20" s="171"/>
      <c r="L20" s="170"/>
      <c r="M20" s="170">
        <f>IFERROR(_xlfn.XLOOKUP($A20,Input_Raw!$A:$A,Input_Raw!BG:BG),"")</f>
        <v>7.9018868801493038</v>
      </c>
      <c r="N20" s="170">
        <f>IFERROR(_xlfn.XLOOKUP($A20,Input_Raw!$A:$A,Input_Raw!BH:BH),"")</f>
        <v>0</v>
      </c>
      <c r="O20" s="173">
        <f t="shared" si="1"/>
        <v>0.9254197239579246</v>
      </c>
      <c r="P20" s="173">
        <f>IFERROR(1-SUMIF(WTG_BD!$F:$F,$A20,WTG_BD!$AA:$AA)/($AA20+SUMIF(WTG_BD!$F:$F,$A20,WTG_BD!$AA:$AA)),"")</f>
        <v>0.92586538079674296</v>
      </c>
      <c r="Q20" s="173">
        <f>IFERROR(1-SUMIF(IGA_BD!$F:$F,$A20,IGA_BD!$X:$X)/($AA20+SUMIF(IGA_BD!$F:$F,$A20,IGA_BD!$X:$X)),"")</f>
        <v>0.99951865913980409</v>
      </c>
      <c r="R20" s="173">
        <f>IFERROR(1-SUMIF(Grid_BD!$F:$F,$A20,Grid_BD!$Y:$Y)/($AA20+SUMIF(Grid_BD!$F:$F,$A20,Grid_BD!$Y:$Y)),"")</f>
        <v>1</v>
      </c>
      <c r="S20" s="167"/>
      <c r="T20" s="172"/>
      <c r="U20" s="173"/>
      <c r="V20" s="167"/>
      <c r="W20" s="174">
        <f t="shared" si="2"/>
        <v>0.54246794871794868</v>
      </c>
      <c r="X20" s="167">
        <f>IFERROR(_xlfn.XLOOKUP($A20,Input_Raw!$A:$A,Input_Raw!$BF:$BF),"")</f>
        <v>947749</v>
      </c>
      <c r="Y20" s="167">
        <f>IFERROR(_xlfn.XLOOKUP($A20,Input_Raw!$A:$A,Input_Raw!BJ:BJ),"")</f>
        <v>913950</v>
      </c>
      <c r="Z20" s="167">
        <f>IFERROR(_xlfn.XLOOKUP($A20,Input_Raw!$A:$A,Input_Raw!BK:BK),"")</f>
        <v>0</v>
      </c>
      <c r="AA20" s="167">
        <f>IFERROR(_xlfn.XLOOKUP($A20,Input_Raw!$A:$A,Input_Raw!BL:BL),"")</f>
        <v>913950</v>
      </c>
      <c r="AB20" s="167">
        <f>IFERROR(_xlfn.XLOOKUP($A20,Input_Raw!$A:$A,Input_Raw!$BO:$BO),"")</f>
        <v>70.2</v>
      </c>
      <c r="AC20" s="176">
        <f>IFERROR(_xlfn.XLOOKUP($D20,'Modelling New'!$D:$D,'Modelling New'!$J:$J),"")</f>
        <v>6.65</v>
      </c>
      <c r="AD20" s="166">
        <f>IFERROR(_xlfn.XLOOKUP($D20,'Modelling New'!$D:$D,'Modelling New'!$T:$T)*1000,"")</f>
        <v>697760.5424630543</v>
      </c>
      <c r="AE20" s="174"/>
      <c r="AF20" s="174">
        <f>IFERROR(_xlfn.XLOOKUP($D20,'Modelling New'!$D:$D,'Modelling New'!$W:$W),"")</f>
        <v>0.41415036945812811</v>
      </c>
      <c r="AG20" s="174">
        <f>IFERROR(_xlfn.XLOOKUP($D20,'Modelling New'!$D:$D,'Modelling New'!$AE:$AE),"")</f>
        <v>0.96029999999999993</v>
      </c>
      <c r="AH20" s="174">
        <f>IFERROR(_xlfn.XLOOKUP($D20,'Modelling New'!$D:$D,'Modelling New'!$AF:$AF),"")</f>
        <v>0.995</v>
      </c>
      <c r="AI20" s="177">
        <f>IFERROR(_xlfn.XLOOKUP($A20,Input_Raw!$A:$A,Input_Raw!$BQ:$BQ),"")</f>
        <v>1042.18</v>
      </c>
      <c r="AJ20" s="167"/>
      <c r="AK20" s="167"/>
      <c r="AL20" s="167"/>
      <c r="AM20" s="167"/>
      <c r="AN20" s="175">
        <f>IFERROR(_xlfn.XLOOKUP($A20,Input_Raw!$A:$A,Input_Raw!$BN:$BN),"")</f>
        <v>3.5662395845313472E-2</v>
      </c>
      <c r="AO20" s="174">
        <f>IFERROR((_xlfn.XLOOKUP($A20,'WTG Reactive Power'!$A:$A,'WTG Reactive Power'!$AE:$AE))/Table13[[#This Row],[Gen_Exp (kWh)]],"")</f>
        <v>2.9437984107606546E-2</v>
      </c>
      <c r="AP20" s="174">
        <f>IFERROR(_xlfn.XLOOKUP($D20,'Modelling New'!$D:$D,'Modelling New'!$AK:$AK),"")</f>
        <v>0.05</v>
      </c>
      <c r="AQ20" s="174">
        <f>IFERROR(_xlfn.XLOOKUP($D20,'Modelling New'!$D:$D,'Modelling New'!$AL:$AL),"")</f>
        <v>0.05</v>
      </c>
      <c r="AR20" s="276">
        <f>IFERROR(_xlfn.XLOOKUP($D20,'Modelling New'!$D:$D,'Modelling New'!$N:$N),"")</f>
        <v>70.2</v>
      </c>
      <c r="AS20" s="276"/>
    </row>
    <row r="21" spans="1:45">
      <c r="A21" s="165">
        <f t="shared" si="3"/>
        <v>45764</v>
      </c>
      <c r="B21" s="166">
        <f>YEAR(Table13[[#This Row],[Date]])+IF(MONTH(Table13[[#This Row],[Date]])&gt;=4,1,0)</f>
        <v>2026</v>
      </c>
      <c r="C21" s="167">
        <f>YEAR(Table13[[#This Row],[Date]])</f>
        <v>2025</v>
      </c>
      <c r="D21" s="168">
        <f>Table13[[#This Row],[Date]]-DAY(Table13[[#This Row],[Date]])+1</f>
        <v>45748</v>
      </c>
      <c r="E21" s="167">
        <f t="shared" si="0"/>
        <v>30</v>
      </c>
      <c r="F21" s="169"/>
      <c r="G21" s="176"/>
      <c r="H21" s="176"/>
      <c r="I21" s="176"/>
      <c r="J21" s="176"/>
      <c r="K21" s="171"/>
      <c r="L21" s="170"/>
      <c r="M21" s="170">
        <f>IFERROR(_xlfn.XLOOKUP($A21,Input_Raw!$A:$A,Input_Raw!BG:BG),"")</f>
        <v>7.2235294332983582</v>
      </c>
      <c r="N21" s="170">
        <f>IFERROR(_xlfn.XLOOKUP($A21,Input_Raw!$A:$A,Input_Raw!BH:BH),"")</f>
        <v>0</v>
      </c>
      <c r="O21" s="173">
        <f t="shared" si="1"/>
        <v>0.97170926712397088</v>
      </c>
      <c r="P21" s="173">
        <f>IFERROR(1-SUMIF(WTG_BD!$F:$F,$A21,WTG_BD!$AA:$AA)/($AA21+SUMIF(WTG_BD!$F:$F,$A21,WTG_BD!$AA:$AA)),"")</f>
        <v>0.97170926712397088</v>
      </c>
      <c r="Q21" s="173">
        <f>IFERROR(1-SUMIF(IGA_BD!$F:$F,$A21,IGA_BD!$X:$X)/($AA21+SUMIF(IGA_BD!$F:$F,$A21,IGA_BD!$X:$X)),"")</f>
        <v>1</v>
      </c>
      <c r="R21" s="173">
        <f>IFERROR(1-SUMIF(Grid_BD!$F:$F,$A21,Grid_BD!$Y:$Y)/($AA21+SUMIF(Grid_BD!$F:$F,$A21,Grid_BD!$Y:$Y)),"")</f>
        <v>1</v>
      </c>
      <c r="S21" s="167"/>
      <c r="T21" s="172"/>
      <c r="U21" s="173"/>
      <c r="V21" s="167"/>
      <c r="W21" s="174">
        <f t="shared" si="2"/>
        <v>0.50133547008546997</v>
      </c>
      <c r="X21" s="167">
        <f>IFERROR(_xlfn.XLOOKUP($A21,Input_Raw!$A:$A,Input_Raw!$BF:$BF),"")</f>
        <v>875991</v>
      </c>
      <c r="Y21" s="167">
        <f>IFERROR(_xlfn.XLOOKUP($A21,Input_Raw!$A:$A,Input_Raw!BJ:BJ),"")</f>
        <v>845100</v>
      </c>
      <c r="Z21" s="167">
        <f>IFERROR(_xlfn.XLOOKUP($A21,Input_Raw!$A:$A,Input_Raw!BK:BK),"")</f>
        <v>450</v>
      </c>
      <c r="AA21" s="167">
        <f>IFERROR(_xlfn.XLOOKUP($A21,Input_Raw!$A:$A,Input_Raw!BL:BL),"")</f>
        <v>844650</v>
      </c>
      <c r="AB21" s="167">
        <f>IFERROR(_xlfn.XLOOKUP($A21,Input_Raw!$A:$A,Input_Raw!$BO:$BO),"")</f>
        <v>70.2</v>
      </c>
      <c r="AC21" s="176">
        <f>IFERROR(_xlfn.XLOOKUP($D21,'Modelling New'!$D:$D,'Modelling New'!$J:$J),"")</f>
        <v>6.65</v>
      </c>
      <c r="AD21" s="166">
        <f>IFERROR(_xlfn.XLOOKUP($D21,'Modelling New'!$D:$D,'Modelling New'!$T:$T)*1000,"")</f>
        <v>697760.5424630543</v>
      </c>
      <c r="AE21" s="174"/>
      <c r="AF21" s="174">
        <f>IFERROR(_xlfn.XLOOKUP($D21,'Modelling New'!$D:$D,'Modelling New'!$W:$W),"")</f>
        <v>0.41415036945812811</v>
      </c>
      <c r="AG21" s="174">
        <f>IFERROR(_xlfn.XLOOKUP($D21,'Modelling New'!$D:$D,'Modelling New'!$AE:$AE),"")</f>
        <v>0.96029999999999993</v>
      </c>
      <c r="AH21" s="174">
        <f>IFERROR(_xlfn.XLOOKUP($D21,'Modelling New'!$D:$D,'Modelling New'!$AF:$AF),"")</f>
        <v>0.995</v>
      </c>
      <c r="AI21" s="177">
        <f>IFERROR(_xlfn.XLOOKUP($A21,Input_Raw!$A:$A,Input_Raw!$BQ:$BQ),"")</f>
        <v>924.98</v>
      </c>
      <c r="AJ21" s="167"/>
      <c r="AK21" s="167"/>
      <c r="AL21" s="167"/>
      <c r="AM21" s="167"/>
      <c r="AN21" s="175">
        <f>IFERROR(_xlfn.XLOOKUP($A21,Input_Raw!$A:$A,Input_Raw!$BN:$BN),"")</f>
        <v>3.5264060932132864E-2</v>
      </c>
      <c r="AO21" s="174">
        <f>IFERROR((_xlfn.XLOOKUP($A21,'WTG Reactive Power'!$A:$A,'WTG Reactive Power'!$AE:$AE))/Table13[[#This Row],[Gen_Exp (kWh)]],"")</f>
        <v>4.2123697617897901E-2</v>
      </c>
      <c r="AP21" s="174">
        <f>IFERROR(_xlfn.XLOOKUP($D21,'Modelling New'!$D:$D,'Modelling New'!$AK:$AK),"")</f>
        <v>0.05</v>
      </c>
      <c r="AQ21" s="174">
        <f>IFERROR(_xlfn.XLOOKUP($D21,'Modelling New'!$D:$D,'Modelling New'!$AL:$AL),"")</f>
        <v>0.05</v>
      </c>
      <c r="AR21" s="276">
        <f>IFERROR(_xlfn.XLOOKUP($D21,'Modelling New'!$D:$D,'Modelling New'!$N:$N),"")</f>
        <v>70.2</v>
      </c>
      <c r="AS21" s="276"/>
    </row>
    <row r="22" spans="1:45">
      <c r="A22" s="165">
        <f t="shared" si="3"/>
        <v>45765</v>
      </c>
      <c r="B22" s="166">
        <f>YEAR(Table13[[#This Row],[Date]])+IF(MONTH(Table13[[#This Row],[Date]])&gt;=4,1,0)</f>
        <v>2026</v>
      </c>
      <c r="C22" s="167">
        <f>YEAR(Table13[[#This Row],[Date]])</f>
        <v>2025</v>
      </c>
      <c r="D22" s="168">
        <f>Table13[[#This Row],[Date]]-DAY(Table13[[#This Row],[Date]])+1</f>
        <v>45748</v>
      </c>
      <c r="E22" s="167">
        <f t="shared" si="0"/>
        <v>30</v>
      </c>
      <c r="F22" s="169"/>
      <c r="G22" s="170"/>
      <c r="H22" s="170"/>
      <c r="I22" s="170"/>
      <c r="J22" s="170"/>
      <c r="K22" s="171"/>
      <c r="L22" s="170"/>
      <c r="M22" s="170">
        <f>IFERROR(_xlfn.XLOOKUP($A22,Input_Raw!$A:$A,Input_Raw!BG:BG),"")</f>
        <v>7.6607104748264545</v>
      </c>
      <c r="N22" s="170">
        <f>IFERROR(_xlfn.XLOOKUP($A22,Input_Raw!$A:$A,Input_Raw!BH:BH),"")</f>
        <v>0</v>
      </c>
      <c r="O22" s="173">
        <f t="shared" si="1"/>
        <v>0.96459575211034543</v>
      </c>
      <c r="P22" s="173">
        <f>IFERROR(1-SUMIF(WTG_BD!$F:$F,$A22,WTG_BD!$AA:$AA)/($AA22+SUMIF(WTG_BD!$F:$F,$A22,WTG_BD!$AA:$AA)),"")</f>
        <v>0.96459575211034543</v>
      </c>
      <c r="Q22" s="173">
        <f>IFERROR(1-SUMIF(IGA_BD!$F:$F,$A22,IGA_BD!$X:$X)/($AA22+SUMIF(IGA_BD!$F:$F,$A22,IGA_BD!$X:$X)),"")</f>
        <v>1</v>
      </c>
      <c r="R22" s="173">
        <f>IFERROR(1-SUMIF(Grid_BD!$F:$F,$A22,Grid_BD!$Y:$Y)/($AA22+SUMIF(Grid_BD!$F:$F,$A22,Grid_BD!$Y:$Y)),"")</f>
        <v>1</v>
      </c>
      <c r="S22" s="167"/>
      <c r="T22" s="172"/>
      <c r="U22" s="173"/>
      <c r="V22" s="167"/>
      <c r="W22" s="174">
        <f t="shared" si="2"/>
        <v>0.49652777777777773</v>
      </c>
      <c r="X22" s="167">
        <f>IFERROR(_xlfn.XLOOKUP($A22,Input_Raw!$A:$A,Input_Raw!$BF:$BF),"")</f>
        <v>864039</v>
      </c>
      <c r="Y22" s="167">
        <f>IFERROR(_xlfn.XLOOKUP($A22,Input_Raw!$A:$A,Input_Raw!BJ:BJ),"")</f>
        <v>836550</v>
      </c>
      <c r="Z22" s="167">
        <f>IFERROR(_xlfn.XLOOKUP($A22,Input_Raw!$A:$A,Input_Raw!BK:BK),"")</f>
        <v>0</v>
      </c>
      <c r="AA22" s="167">
        <f>IFERROR(_xlfn.XLOOKUP($A22,Input_Raw!$A:$A,Input_Raw!BL:BL),"")</f>
        <v>836550</v>
      </c>
      <c r="AB22" s="167">
        <f>IFERROR(_xlfn.XLOOKUP($A22,Input_Raw!$A:$A,Input_Raw!$BO:$BO),"")</f>
        <v>70.2</v>
      </c>
      <c r="AC22" s="176">
        <f>IFERROR(_xlfn.XLOOKUP($D22,'Modelling New'!$D:$D,'Modelling New'!$J:$J),"")</f>
        <v>6.65</v>
      </c>
      <c r="AD22" s="166">
        <f>IFERROR(_xlfn.XLOOKUP($D22,'Modelling New'!$D:$D,'Modelling New'!$T:$T)*1000,"")</f>
        <v>697760.5424630543</v>
      </c>
      <c r="AE22" s="174"/>
      <c r="AF22" s="174">
        <f>IFERROR(_xlfn.XLOOKUP($D22,'Modelling New'!$D:$D,'Modelling New'!$W:$W),"")</f>
        <v>0.41415036945812811</v>
      </c>
      <c r="AG22" s="174">
        <f>IFERROR(_xlfn.XLOOKUP($D22,'Modelling New'!$D:$D,'Modelling New'!$AE:$AE),"")</f>
        <v>0.96029999999999993</v>
      </c>
      <c r="AH22" s="174">
        <f>IFERROR(_xlfn.XLOOKUP($D22,'Modelling New'!$D:$D,'Modelling New'!$AF:$AF),"")</f>
        <v>0.995</v>
      </c>
      <c r="AI22" s="177">
        <f>IFERROR(_xlfn.XLOOKUP($A22,Input_Raw!$A:$A,Input_Raw!$BQ:$BQ),"")</f>
        <v>946.76</v>
      </c>
      <c r="AJ22" s="167"/>
      <c r="AK22" s="167"/>
      <c r="AL22" s="167"/>
      <c r="AM22" s="167"/>
      <c r="AN22" s="175">
        <f>IFERROR(_xlfn.XLOOKUP($A22,Input_Raw!$A:$A,Input_Raw!$BN:$BN),"")</f>
        <v>3.1814536149409919E-2</v>
      </c>
      <c r="AO22" s="174">
        <f>IFERROR((_xlfn.XLOOKUP($A22,'WTG Reactive Power'!$A:$A,'WTG Reactive Power'!$AE:$AE))/Table13[[#This Row],[Gen_Exp (kWh)]],"")</f>
        <v>2.6037945046462024E-3</v>
      </c>
      <c r="AP22" s="174">
        <f>IFERROR(_xlfn.XLOOKUP($D22,'Modelling New'!$D:$D,'Modelling New'!$AK:$AK),"")</f>
        <v>0.05</v>
      </c>
      <c r="AQ22" s="174">
        <f>IFERROR(_xlfn.XLOOKUP($D22,'Modelling New'!$D:$D,'Modelling New'!$AL:$AL),"")</f>
        <v>0.05</v>
      </c>
      <c r="AR22" s="276">
        <f>IFERROR(_xlfn.XLOOKUP($D22,'Modelling New'!$D:$D,'Modelling New'!$N:$N),"")</f>
        <v>70.2</v>
      </c>
      <c r="AS22" s="276"/>
    </row>
    <row r="23" spans="1:45">
      <c r="A23" s="165">
        <f t="shared" si="3"/>
        <v>45766</v>
      </c>
      <c r="B23" s="166">
        <f>YEAR(Table13[[#This Row],[Date]])+IF(MONTH(Table13[[#This Row],[Date]])&gt;=4,1,0)</f>
        <v>2026</v>
      </c>
      <c r="C23" s="167">
        <f>YEAR(Table13[[#This Row],[Date]])</f>
        <v>2025</v>
      </c>
      <c r="D23" s="168">
        <f>Table13[[#This Row],[Date]]-DAY(Table13[[#This Row],[Date]])+1</f>
        <v>45748</v>
      </c>
      <c r="E23" s="167">
        <f t="shared" si="0"/>
        <v>30</v>
      </c>
      <c r="F23" s="169"/>
      <c r="G23" s="176"/>
      <c r="H23" s="176"/>
      <c r="I23" s="176"/>
      <c r="J23" s="176"/>
      <c r="K23" s="171"/>
      <c r="L23" s="170"/>
      <c r="M23" s="170">
        <f>IFERROR(_xlfn.XLOOKUP($A23,Input_Raw!$A:$A,Input_Raw!BG:BG),"")</f>
        <v>8.9049759635176322</v>
      </c>
      <c r="N23" s="170">
        <f>IFERROR(_xlfn.XLOOKUP($A23,Input_Raw!$A:$A,Input_Raw!BH:BH),"")</f>
        <v>0</v>
      </c>
      <c r="O23" s="173">
        <f t="shared" si="1"/>
        <v>0.9694238098439133</v>
      </c>
      <c r="P23" s="173">
        <f>IFERROR(1-SUMIF(WTG_BD!$F:$F,$A23,WTG_BD!$AA:$AA)/($AA23+SUMIF(WTG_BD!$F:$F,$A23,WTG_BD!$AA:$AA)),"")</f>
        <v>0.9694238098439133</v>
      </c>
      <c r="Q23" s="173">
        <f>IFERROR(1-SUMIF(IGA_BD!$F:$F,$A23,IGA_BD!$X:$X)/($AA23+SUMIF(IGA_BD!$F:$F,$A23,IGA_BD!$X:$X)),"")</f>
        <v>1</v>
      </c>
      <c r="R23" s="173">
        <f>IFERROR(1-SUMIF(Grid_BD!$F:$F,$A23,Grid_BD!$Y:$Y)/($AA23+SUMIF(Grid_BD!$F:$F,$A23,Grid_BD!$Y:$Y)),"")</f>
        <v>1</v>
      </c>
      <c r="S23" s="167"/>
      <c r="T23" s="172"/>
      <c r="U23" s="173"/>
      <c r="V23" s="167"/>
      <c r="W23" s="174">
        <f t="shared" si="2"/>
        <v>0.66399572649572636</v>
      </c>
      <c r="X23" s="167">
        <f>IFERROR(_xlfn.XLOOKUP($A23,Input_Raw!$A:$A,Input_Raw!$BF:$BF),"")</f>
        <v>1158786</v>
      </c>
      <c r="Y23" s="167">
        <f>IFERROR(_xlfn.XLOOKUP($A23,Input_Raw!$A:$A,Input_Raw!BJ:BJ),"")</f>
        <v>1118700</v>
      </c>
      <c r="Z23" s="167">
        <f>IFERROR(_xlfn.XLOOKUP($A23,Input_Raw!$A:$A,Input_Raw!BK:BK),"")</f>
        <v>0</v>
      </c>
      <c r="AA23" s="167">
        <f>IFERROR(_xlfn.XLOOKUP($A23,Input_Raw!$A:$A,Input_Raw!BL:BL),"")</f>
        <v>1118700</v>
      </c>
      <c r="AB23" s="167">
        <f>IFERROR(_xlfn.XLOOKUP($A23,Input_Raw!$A:$A,Input_Raw!$BO:$BO),"")</f>
        <v>70.2</v>
      </c>
      <c r="AC23" s="176">
        <f>IFERROR(_xlfn.XLOOKUP($D23,'Modelling New'!$D:$D,'Modelling New'!$J:$J),"")</f>
        <v>6.65</v>
      </c>
      <c r="AD23" s="166">
        <f>IFERROR(_xlfn.XLOOKUP($D23,'Modelling New'!$D:$D,'Modelling New'!$T:$T)*1000,"")</f>
        <v>697760.5424630543</v>
      </c>
      <c r="AE23" s="174"/>
      <c r="AF23" s="174">
        <f>IFERROR(_xlfn.XLOOKUP($D23,'Modelling New'!$D:$D,'Modelling New'!$W:$W),"")</f>
        <v>0.41415036945812811</v>
      </c>
      <c r="AG23" s="174">
        <f>IFERROR(_xlfn.XLOOKUP($D23,'Modelling New'!$D:$D,'Modelling New'!$AE:$AE),"")</f>
        <v>0.96029999999999993</v>
      </c>
      <c r="AH23" s="174">
        <f>IFERROR(_xlfn.XLOOKUP($D23,'Modelling New'!$D:$D,'Modelling New'!$AF:$AF),"")</f>
        <v>0.995</v>
      </c>
      <c r="AI23" s="177">
        <f>IFERROR(_xlfn.XLOOKUP($A23,Input_Raw!$A:$A,Input_Raw!$BQ:$BQ),"")</f>
        <v>1285.97</v>
      </c>
      <c r="AJ23" s="167"/>
      <c r="AK23" s="167"/>
      <c r="AL23" s="167"/>
      <c r="AM23" s="167"/>
      <c r="AN23" s="175">
        <f>IFERROR(_xlfn.XLOOKUP($A23,Input_Raw!$A:$A,Input_Raw!$BN:$BN),"")</f>
        <v>3.459310002019355E-2</v>
      </c>
      <c r="AO23" s="174">
        <f>IFERROR((_xlfn.XLOOKUP($A23,'WTG Reactive Power'!$A:$A,'WTG Reactive Power'!$AE:$AE))/Table13[[#This Row],[Gen_Exp (kWh)]],"")</f>
        <v>8.5432167803200978E-3</v>
      </c>
      <c r="AP23" s="174">
        <f>IFERROR(_xlfn.XLOOKUP($D23,'Modelling New'!$D:$D,'Modelling New'!$AK:$AK),"")</f>
        <v>0.05</v>
      </c>
      <c r="AQ23" s="174">
        <f>IFERROR(_xlfn.XLOOKUP($D23,'Modelling New'!$D:$D,'Modelling New'!$AL:$AL),"")</f>
        <v>0.05</v>
      </c>
      <c r="AR23" s="276">
        <f>IFERROR(_xlfn.XLOOKUP($D23,'Modelling New'!$D:$D,'Modelling New'!$N:$N),"")</f>
        <v>70.2</v>
      </c>
      <c r="AS23" s="276"/>
    </row>
    <row r="24" spans="1:45">
      <c r="A24" s="165">
        <f t="shared" si="3"/>
        <v>45767</v>
      </c>
      <c r="B24" s="166">
        <f>YEAR(Table13[[#This Row],[Date]])+IF(MONTH(Table13[[#This Row],[Date]])&gt;=4,1,0)</f>
        <v>2026</v>
      </c>
      <c r="C24" s="167">
        <f>YEAR(Table13[[#This Row],[Date]])</f>
        <v>2025</v>
      </c>
      <c r="D24" s="168">
        <f>Table13[[#This Row],[Date]]-DAY(Table13[[#This Row],[Date]])+1</f>
        <v>45748</v>
      </c>
      <c r="E24" s="167">
        <f t="shared" ref="E24:E87" si="4">DAY(EOMONTH(A24,0))</f>
        <v>30</v>
      </c>
      <c r="F24" s="169"/>
      <c r="G24" s="170"/>
      <c r="H24" s="170"/>
      <c r="I24" s="170"/>
      <c r="J24" s="170"/>
      <c r="K24" s="171"/>
      <c r="L24" s="170"/>
      <c r="M24" s="170">
        <f>IFERROR(_xlfn.XLOOKUP($A24,Input_Raw!$A:$A,Input_Raw!BG:BG),"")</f>
        <v>6.856387018638447</v>
      </c>
      <c r="N24" s="170">
        <f>IFERROR(_xlfn.XLOOKUP($A24,Input_Raw!$A:$A,Input_Raw!BH:BH),"")</f>
        <v>0</v>
      </c>
      <c r="O24" s="173">
        <f t="shared" ref="O24:O87" si="5">IFERROR(P24*Q24,"")</f>
        <v>0.98176055473103263</v>
      </c>
      <c r="P24" s="173">
        <f>IFERROR(1-SUMIF(WTG_BD!$F:$F,$A24,WTG_BD!$AA:$AA)/($AA24+SUMIF(WTG_BD!$F:$F,$A24,WTG_BD!$AA:$AA)),"")</f>
        <v>0.98176055473103263</v>
      </c>
      <c r="Q24" s="173">
        <f>IFERROR(1-SUMIF(IGA_BD!$F:$F,$A24,IGA_BD!$X:$X)/($AA24+SUMIF(IGA_BD!$F:$F,$A24,IGA_BD!$X:$X)),"")</f>
        <v>1</v>
      </c>
      <c r="R24" s="173">
        <f>IFERROR(1-SUMIF(Grid_BD!$F:$F,$A24,Grid_BD!$Y:$Y)/($AA24+SUMIF(Grid_BD!$F:$F,$A24,Grid_BD!$Y:$Y)),"")</f>
        <v>1</v>
      </c>
      <c r="S24" s="167"/>
      <c r="T24" s="172"/>
      <c r="U24" s="173"/>
      <c r="V24" s="167"/>
      <c r="W24" s="174">
        <f t="shared" ref="W24:W87" si="6">IFERROR(AA24/(24*AR24*1000),"")</f>
        <v>0.40785256410256404</v>
      </c>
      <c r="X24" s="167">
        <f>IFERROR(_xlfn.XLOOKUP($A24,Input_Raw!$A:$A,Input_Raw!$BF:$BF),"")</f>
        <v>708938</v>
      </c>
      <c r="Y24" s="167">
        <f>IFERROR(_xlfn.XLOOKUP($A24,Input_Raw!$A:$A,Input_Raw!BJ:BJ),"")</f>
        <v>687150</v>
      </c>
      <c r="Z24" s="167">
        <f>IFERROR(_xlfn.XLOOKUP($A24,Input_Raw!$A:$A,Input_Raw!BK:BK),"")</f>
        <v>0</v>
      </c>
      <c r="AA24" s="167">
        <f>IFERROR(_xlfn.XLOOKUP($A24,Input_Raw!$A:$A,Input_Raw!BL:BL),"")</f>
        <v>687150</v>
      </c>
      <c r="AB24" s="167">
        <f>IFERROR(_xlfn.XLOOKUP($A24,Input_Raw!$A:$A,Input_Raw!$BO:$BO),"")</f>
        <v>70.2</v>
      </c>
      <c r="AC24" s="176">
        <f>IFERROR(_xlfn.XLOOKUP($D24,'Modelling New'!$D:$D,'Modelling New'!$J:$J),"")</f>
        <v>6.65</v>
      </c>
      <c r="AD24" s="166">
        <f>IFERROR(_xlfn.XLOOKUP($D24,'Modelling New'!$D:$D,'Modelling New'!$T:$T)*1000,"")</f>
        <v>697760.5424630543</v>
      </c>
      <c r="AE24" s="174"/>
      <c r="AF24" s="174">
        <f>IFERROR(_xlfn.XLOOKUP($D24,'Modelling New'!$D:$D,'Modelling New'!$W:$W),"")</f>
        <v>0.41415036945812811</v>
      </c>
      <c r="AG24" s="174">
        <f>IFERROR(_xlfn.XLOOKUP($D24,'Modelling New'!$D:$D,'Modelling New'!$AE:$AE),"")</f>
        <v>0.96029999999999993</v>
      </c>
      <c r="AH24" s="174">
        <f>IFERROR(_xlfn.XLOOKUP($D24,'Modelling New'!$D:$D,'Modelling New'!$AF:$AF),"")</f>
        <v>0.995</v>
      </c>
      <c r="AI24" s="177">
        <f>IFERROR(_xlfn.XLOOKUP($A24,Input_Raw!$A:$A,Input_Raw!$BQ:$BQ),"")</f>
        <v>742.63</v>
      </c>
      <c r="AJ24" s="167"/>
      <c r="AK24" s="167"/>
      <c r="AL24" s="167"/>
      <c r="AM24" s="167"/>
      <c r="AN24" s="175">
        <f>IFERROR(_xlfn.XLOOKUP($A24,Input_Raw!$A:$A,Input_Raw!$BN:$BN),"")</f>
        <v>3.0733294025711698E-2</v>
      </c>
      <c r="AO24" s="174">
        <f>IFERROR((_xlfn.XLOOKUP($A24,'WTG Reactive Power'!$A:$A,'WTG Reactive Power'!$AE:$AE))/Table13[[#This Row],[Gen_Exp (kWh)]],"")</f>
        <v>1.9041439448865768E-3</v>
      </c>
      <c r="AP24" s="174">
        <f>IFERROR(_xlfn.XLOOKUP($D24,'Modelling New'!$D:$D,'Modelling New'!$AK:$AK),"")</f>
        <v>0.05</v>
      </c>
      <c r="AQ24" s="174">
        <f>IFERROR(_xlfn.XLOOKUP($D24,'Modelling New'!$D:$D,'Modelling New'!$AL:$AL),"")</f>
        <v>0.05</v>
      </c>
      <c r="AR24" s="276">
        <f>IFERROR(_xlfn.XLOOKUP($D24,'Modelling New'!$D:$D,'Modelling New'!$N:$N),"")</f>
        <v>70.2</v>
      </c>
      <c r="AS24" s="276"/>
    </row>
    <row r="25" spans="1:45">
      <c r="A25" s="165">
        <f t="shared" si="3"/>
        <v>45768</v>
      </c>
      <c r="B25" s="166">
        <f>YEAR(Table13[[#This Row],[Date]])+IF(MONTH(Table13[[#This Row],[Date]])&gt;=4,1,0)</f>
        <v>2026</v>
      </c>
      <c r="C25" s="167">
        <f>YEAR(Table13[[#This Row],[Date]])</f>
        <v>2025</v>
      </c>
      <c r="D25" s="168">
        <f>Table13[[#This Row],[Date]]-DAY(Table13[[#This Row],[Date]])+1</f>
        <v>45748</v>
      </c>
      <c r="E25" s="167">
        <f t="shared" si="4"/>
        <v>30</v>
      </c>
      <c r="F25" s="169"/>
      <c r="G25" s="176"/>
      <c r="H25" s="176"/>
      <c r="I25" s="176"/>
      <c r="J25" s="176"/>
      <c r="K25" s="171"/>
      <c r="L25" s="170"/>
      <c r="M25" s="170">
        <f>IFERROR(_xlfn.XLOOKUP($A25,Input_Raw!$A:$A,Input_Raw!BG:BG),"")</f>
        <v>4.9753116044268859</v>
      </c>
      <c r="N25" s="170">
        <f>IFERROR(_xlfn.XLOOKUP($A25,Input_Raw!$A:$A,Input_Raw!BH:BH),"")</f>
        <v>0</v>
      </c>
      <c r="O25" s="173">
        <f t="shared" si="5"/>
        <v>0.6647993842450477</v>
      </c>
      <c r="P25" s="173">
        <f>IFERROR(1-SUMIF(WTG_BD!$F:$F,$A25,WTG_BD!$AA:$AA)/($AA25+SUMIF(WTG_BD!$F:$F,$A25,WTG_BD!$AA:$AA)),"")</f>
        <v>0.97807707836619462</v>
      </c>
      <c r="Q25" s="173">
        <f>IFERROR(1-SUMIF(IGA_BD!$F:$F,$A25,IGA_BD!$X:$X)/($AA25+SUMIF(IGA_BD!$F:$F,$A25,IGA_BD!$X:$X)),"")</f>
        <v>0.67970040291256584</v>
      </c>
      <c r="R25" s="173">
        <f>IFERROR(1-SUMIF(Grid_BD!$F:$F,$A25,Grid_BD!$Y:$Y)/($AA25+SUMIF(Grid_BD!$F:$F,$A25,Grid_BD!$Y:$Y)),"")</f>
        <v>1</v>
      </c>
      <c r="S25" s="167"/>
      <c r="T25" s="172"/>
      <c r="U25" s="173"/>
      <c r="V25" s="167"/>
      <c r="W25" s="174">
        <f t="shared" si="6"/>
        <v>0.15865384615384615</v>
      </c>
      <c r="X25" s="167">
        <f>IFERROR(_xlfn.XLOOKUP($A25,Input_Raw!$A:$A,Input_Raw!$BF:$BF),"")</f>
        <v>276454</v>
      </c>
      <c r="Y25" s="167">
        <f>IFERROR(_xlfn.XLOOKUP($A25,Input_Raw!$A:$A,Input_Raw!BJ:BJ),"")</f>
        <v>267300</v>
      </c>
      <c r="Z25" s="167">
        <f>IFERROR(_xlfn.XLOOKUP($A25,Input_Raw!$A:$A,Input_Raw!BK:BK),"")</f>
        <v>0</v>
      </c>
      <c r="AA25" s="167">
        <f>IFERROR(_xlfn.XLOOKUP($A25,Input_Raw!$A:$A,Input_Raw!BL:BL),"")</f>
        <v>267300</v>
      </c>
      <c r="AB25" s="167">
        <f>IFERROR(_xlfn.XLOOKUP($A25,Input_Raw!$A:$A,Input_Raw!$BO:$BO),"")</f>
        <v>70.2</v>
      </c>
      <c r="AC25" s="176">
        <f>IFERROR(_xlfn.XLOOKUP($D25,'Modelling New'!$D:$D,'Modelling New'!$J:$J),"")</f>
        <v>6.65</v>
      </c>
      <c r="AD25" s="166">
        <f>IFERROR(_xlfn.XLOOKUP($D25,'Modelling New'!$D:$D,'Modelling New'!$T:$T)*1000,"")</f>
        <v>697760.5424630543</v>
      </c>
      <c r="AE25" s="174"/>
      <c r="AF25" s="174">
        <f>IFERROR(_xlfn.XLOOKUP($D25,'Modelling New'!$D:$D,'Modelling New'!$W:$W),"")</f>
        <v>0.41415036945812811</v>
      </c>
      <c r="AG25" s="174">
        <f>IFERROR(_xlfn.XLOOKUP($D25,'Modelling New'!$D:$D,'Modelling New'!$AE:$AE),"")</f>
        <v>0.96029999999999993</v>
      </c>
      <c r="AH25" s="174">
        <f>IFERROR(_xlfn.XLOOKUP($D25,'Modelling New'!$D:$D,'Modelling New'!$AF:$AF),"")</f>
        <v>0.995</v>
      </c>
      <c r="AI25" s="177">
        <f>IFERROR(_xlfn.XLOOKUP($A25,Input_Raw!$A:$A,Input_Raw!$BQ:$BQ),"")</f>
        <v>287.24</v>
      </c>
      <c r="AJ25" s="167"/>
      <c r="AK25" s="167"/>
      <c r="AL25" s="167"/>
      <c r="AM25" s="167"/>
      <c r="AN25" s="175">
        <f>IFERROR(_xlfn.XLOOKUP($A25,Input_Raw!$A:$A,Input_Raw!$BN:$BN),"")</f>
        <v>3.3112199497927319E-2</v>
      </c>
      <c r="AO25" s="174">
        <f>IFERROR((_xlfn.XLOOKUP($A25,'WTG Reactive Power'!$A:$A,'WTG Reactive Power'!$AE:$AE))/Table13[[#This Row],[Gen_Exp (kWh)]],"")</f>
        <v>1.6270337922403011E-3</v>
      </c>
      <c r="AP25" s="174">
        <f>IFERROR(_xlfn.XLOOKUP($D25,'Modelling New'!$D:$D,'Modelling New'!$AK:$AK),"")</f>
        <v>0.05</v>
      </c>
      <c r="AQ25" s="174">
        <f>IFERROR(_xlfn.XLOOKUP($D25,'Modelling New'!$D:$D,'Modelling New'!$AL:$AL),"")</f>
        <v>0.05</v>
      </c>
      <c r="AR25" s="276">
        <f>IFERROR(_xlfn.XLOOKUP($D25,'Modelling New'!$D:$D,'Modelling New'!$N:$N),"")</f>
        <v>70.2</v>
      </c>
      <c r="AS25" s="276"/>
    </row>
    <row r="26" spans="1:45">
      <c r="A26" s="165">
        <f t="shared" ref="A26:A89" si="7">A25+1</f>
        <v>45769</v>
      </c>
      <c r="B26" s="166">
        <f>YEAR(Table13[[#This Row],[Date]])+IF(MONTH(Table13[[#This Row],[Date]])&gt;=4,1,0)</f>
        <v>2026</v>
      </c>
      <c r="C26" s="167">
        <f>YEAR(Table13[[#This Row],[Date]])</f>
        <v>2025</v>
      </c>
      <c r="D26" s="168">
        <f>Table13[[#This Row],[Date]]-DAY(Table13[[#This Row],[Date]])+1</f>
        <v>45748</v>
      </c>
      <c r="E26" s="167">
        <f t="shared" si="4"/>
        <v>30</v>
      </c>
      <c r="F26" s="169"/>
      <c r="G26" s="170"/>
      <c r="H26" s="170"/>
      <c r="I26" s="170"/>
      <c r="J26" s="170"/>
      <c r="K26" s="171"/>
      <c r="L26" s="170"/>
      <c r="M26" s="170">
        <f>IFERROR(_xlfn.XLOOKUP($A26,Input_Raw!$A:$A,Input_Raw!BG:BG),"")</f>
        <v>5.2119762384735528</v>
      </c>
      <c r="N26" s="170">
        <f>IFERROR(_xlfn.XLOOKUP($A26,Input_Raw!$A:$A,Input_Raw!BH:BH),"")</f>
        <v>0</v>
      </c>
      <c r="O26" s="173">
        <f t="shared" si="5"/>
        <v>0.92930489317932308</v>
      </c>
      <c r="P26" s="173">
        <f>IFERROR(1-SUMIF(WTG_BD!$F:$F,$A26,WTG_BD!$AA:$AA)/($AA26+SUMIF(WTG_BD!$F:$F,$A26,WTG_BD!$AA:$AA)),"")</f>
        <v>0.96332472776719391</v>
      </c>
      <c r="Q26" s="173">
        <f>IFERROR(1-SUMIF(IGA_BD!$F:$F,$A26,IGA_BD!$X:$X)/($AA26+SUMIF(IGA_BD!$F:$F,$A26,IGA_BD!$X:$X)),"")</f>
        <v>0.96468497734224845</v>
      </c>
      <c r="R26" s="173">
        <f>IFERROR(1-SUMIF(Grid_BD!$F:$F,$A26,Grid_BD!$Y:$Y)/($AA26+SUMIF(Grid_BD!$F:$F,$A26,Grid_BD!$Y:$Y)),"")</f>
        <v>1</v>
      </c>
      <c r="S26" s="167"/>
      <c r="T26" s="172"/>
      <c r="U26" s="173"/>
      <c r="V26" s="167"/>
      <c r="W26" s="174">
        <f t="shared" si="6"/>
        <v>0.19711538461538458</v>
      </c>
      <c r="X26" s="167">
        <f>IFERROR(_xlfn.XLOOKUP($A26,Input_Raw!$A:$A,Input_Raw!$BF:$BF),"")</f>
        <v>342173</v>
      </c>
      <c r="Y26" s="167">
        <f>IFERROR(_xlfn.XLOOKUP($A26,Input_Raw!$A:$A,Input_Raw!BJ:BJ),"")</f>
        <v>332100</v>
      </c>
      <c r="Z26" s="167">
        <f>IFERROR(_xlfn.XLOOKUP($A26,Input_Raw!$A:$A,Input_Raw!BK:BK),"")</f>
        <v>0</v>
      </c>
      <c r="AA26" s="167">
        <f>IFERROR(_xlfn.XLOOKUP($A26,Input_Raw!$A:$A,Input_Raw!BL:BL),"")</f>
        <v>332100</v>
      </c>
      <c r="AB26" s="167">
        <f>IFERROR(_xlfn.XLOOKUP($A26,Input_Raw!$A:$A,Input_Raw!$BO:$BO),"")</f>
        <v>70.2</v>
      </c>
      <c r="AC26" s="176">
        <f>IFERROR(_xlfn.XLOOKUP($D26,'Modelling New'!$D:$D,'Modelling New'!$J:$J),"")</f>
        <v>6.65</v>
      </c>
      <c r="AD26" s="166">
        <f>IFERROR(_xlfn.XLOOKUP($D26,'Modelling New'!$D:$D,'Modelling New'!$T:$T)*1000,"")</f>
        <v>697760.5424630543</v>
      </c>
      <c r="AE26" s="174"/>
      <c r="AF26" s="174">
        <f>IFERROR(_xlfn.XLOOKUP($D26,'Modelling New'!$D:$D,'Modelling New'!$W:$W),"")</f>
        <v>0.41415036945812811</v>
      </c>
      <c r="AG26" s="174">
        <f>IFERROR(_xlfn.XLOOKUP($D26,'Modelling New'!$D:$D,'Modelling New'!$AE:$AE),"")</f>
        <v>0.96029999999999993</v>
      </c>
      <c r="AH26" s="174">
        <f>IFERROR(_xlfn.XLOOKUP($D26,'Modelling New'!$D:$D,'Modelling New'!$AF:$AF),"")</f>
        <v>0.995</v>
      </c>
      <c r="AI26" s="177">
        <f>IFERROR(_xlfn.XLOOKUP($A26,Input_Raw!$A:$A,Input_Raw!$BQ:$BQ),"")</f>
        <v>353.11</v>
      </c>
      <c r="AJ26" s="167"/>
      <c r="AK26" s="167"/>
      <c r="AL26" s="167"/>
      <c r="AM26" s="167"/>
      <c r="AN26" s="175">
        <f>IFERROR(_xlfn.XLOOKUP($A26,Input_Raw!$A:$A,Input_Raw!$BN:$BN),"")</f>
        <v>2.9438325057792404E-2</v>
      </c>
      <c r="AO26" s="174">
        <f>IFERROR((_xlfn.XLOOKUP($A26,'WTG Reactive Power'!$A:$A,'WTG Reactive Power'!$AE:$AE))/Table13[[#This Row],[Gen_Exp (kWh)]],"")</f>
        <v>1.3145397211352158E-3</v>
      </c>
      <c r="AP26" s="174">
        <f>IFERROR(_xlfn.XLOOKUP($D26,'Modelling New'!$D:$D,'Modelling New'!$AK:$AK),"")</f>
        <v>0.05</v>
      </c>
      <c r="AQ26" s="174">
        <f>IFERROR(_xlfn.XLOOKUP($D26,'Modelling New'!$D:$D,'Modelling New'!$AL:$AL),"")</f>
        <v>0.05</v>
      </c>
      <c r="AR26" s="276">
        <f>IFERROR(_xlfn.XLOOKUP($D26,'Modelling New'!$D:$D,'Modelling New'!$N:$N),"")</f>
        <v>70.2</v>
      </c>
      <c r="AS26" s="276"/>
    </row>
    <row r="27" spans="1:45">
      <c r="A27" s="165">
        <f t="shared" si="7"/>
        <v>45770</v>
      </c>
      <c r="B27" s="166">
        <f>YEAR(Table13[[#This Row],[Date]])+IF(MONTH(Table13[[#This Row],[Date]])&gt;=4,1,0)</f>
        <v>2026</v>
      </c>
      <c r="C27" s="167">
        <f>YEAR(Table13[[#This Row],[Date]])</f>
        <v>2025</v>
      </c>
      <c r="D27" s="168">
        <f>Table13[[#This Row],[Date]]-DAY(Table13[[#This Row],[Date]])+1</f>
        <v>45748</v>
      </c>
      <c r="E27" s="167">
        <f t="shared" si="4"/>
        <v>30</v>
      </c>
      <c r="F27" s="169"/>
      <c r="G27" s="176"/>
      <c r="H27" s="176"/>
      <c r="I27" s="176"/>
      <c r="J27" s="176"/>
      <c r="K27" s="171"/>
      <c r="L27" s="170"/>
      <c r="M27" s="170">
        <f>IFERROR(_xlfn.XLOOKUP($A27,Input_Raw!$A:$A,Input_Raw!BG:BG),"")</f>
        <v>5.6524656965473854</v>
      </c>
      <c r="N27" s="170">
        <f>IFERROR(_xlfn.XLOOKUP($A27,Input_Raw!$A:$A,Input_Raw!BH:BH),"")</f>
        <v>0</v>
      </c>
      <c r="O27" s="173">
        <f t="shared" si="5"/>
        <v>0.96835840657720074</v>
      </c>
      <c r="P27" s="173">
        <f>IFERROR(1-SUMIF(WTG_BD!$F:$F,$A27,WTG_BD!$AA:$AA)/($AA27+SUMIF(WTG_BD!$F:$F,$A27,WTG_BD!$AA:$AA)),"")</f>
        <v>0.96835840657720074</v>
      </c>
      <c r="Q27" s="173">
        <f>IFERROR(1-SUMIF(IGA_BD!$F:$F,$A27,IGA_BD!$X:$X)/($AA27+SUMIF(IGA_BD!$F:$F,$A27,IGA_BD!$X:$X)),"")</f>
        <v>1</v>
      </c>
      <c r="R27" s="173">
        <f>IFERROR(1-SUMIF(Grid_BD!$F:$F,$A27,Grid_BD!$Y:$Y)/($AA27+SUMIF(Grid_BD!$F:$F,$A27,Grid_BD!$Y:$Y)),"")</f>
        <v>1</v>
      </c>
      <c r="S27" s="167"/>
      <c r="T27" s="172"/>
      <c r="U27" s="173"/>
      <c r="V27" s="167"/>
      <c r="W27" s="174">
        <f t="shared" si="6"/>
        <v>0.27564102564102561</v>
      </c>
      <c r="X27" s="167">
        <f>IFERROR(_xlfn.XLOOKUP($A27,Input_Raw!$A:$A,Input_Raw!$BF:$BF),"")</f>
        <v>480100</v>
      </c>
      <c r="Y27" s="167">
        <f>IFERROR(_xlfn.XLOOKUP($A27,Input_Raw!$A:$A,Input_Raw!BJ:BJ),"")</f>
        <v>464400</v>
      </c>
      <c r="Z27" s="167">
        <f>IFERROR(_xlfn.XLOOKUP($A27,Input_Raw!$A:$A,Input_Raw!BK:BK),"")</f>
        <v>0</v>
      </c>
      <c r="AA27" s="167">
        <f>IFERROR(_xlfn.XLOOKUP($A27,Input_Raw!$A:$A,Input_Raw!BL:BL),"")</f>
        <v>464400</v>
      </c>
      <c r="AB27" s="167">
        <f>IFERROR(_xlfn.XLOOKUP($A27,Input_Raw!$A:$A,Input_Raw!$BO:$BO),"")</f>
        <v>70.2</v>
      </c>
      <c r="AC27" s="176">
        <f>IFERROR(_xlfn.XLOOKUP($D27,'Modelling New'!$D:$D,'Modelling New'!$J:$J),"")</f>
        <v>6.65</v>
      </c>
      <c r="AD27" s="166">
        <f>IFERROR(_xlfn.XLOOKUP($D27,'Modelling New'!$D:$D,'Modelling New'!$T:$T)*1000,"")</f>
        <v>697760.5424630543</v>
      </c>
      <c r="AE27" s="174"/>
      <c r="AF27" s="174">
        <f>IFERROR(_xlfn.XLOOKUP($D27,'Modelling New'!$D:$D,'Modelling New'!$W:$W),"")</f>
        <v>0.41415036945812811</v>
      </c>
      <c r="AG27" s="174">
        <f>IFERROR(_xlfn.XLOOKUP($D27,'Modelling New'!$D:$D,'Modelling New'!$AE:$AE),"")</f>
        <v>0.96029999999999993</v>
      </c>
      <c r="AH27" s="174">
        <f>IFERROR(_xlfn.XLOOKUP($D27,'Modelling New'!$D:$D,'Modelling New'!$AF:$AF),"")</f>
        <v>0.995</v>
      </c>
      <c r="AI27" s="177">
        <f>IFERROR(_xlfn.XLOOKUP($A27,Input_Raw!$A:$A,Input_Raw!$BQ:$BQ),"")</f>
        <v>502.87</v>
      </c>
      <c r="AJ27" s="167"/>
      <c r="AK27" s="167"/>
      <c r="AL27" s="167"/>
      <c r="AM27" s="167"/>
      <c r="AN27" s="175">
        <f>IFERROR(_xlfn.XLOOKUP($A27,Input_Raw!$A:$A,Input_Raw!$BN:$BN),"")</f>
        <v>3.270152051655905E-2</v>
      </c>
      <c r="AO27" s="174">
        <f>IFERROR((_xlfn.XLOOKUP($A27,'WTG Reactive Power'!$A:$A,'WTG Reactive Power'!$AE:$AE))/Table13[[#This Row],[Gen_Exp (kWh)]],"")</f>
        <v>1.8743178504478238E-3</v>
      </c>
      <c r="AP27" s="174">
        <f>IFERROR(_xlfn.XLOOKUP($D27,'Modelling New'!$D:$D,'Modelling New'!$AK:$AK),"")</f>
        <v>0.05</v>
      </c>
      <c r="AQ27" s="174">
        <f>IFERROR(_xlfn.XLOOKUP($D27,'Modelling New'!$D:$D,'Modelling New'!$AL:$AL),"")</f>
        <v>0.05</v>
      </c>
      <c r="AR27" s="276">
        <f>IFERROR(_xlfn.XLOOKUP($D27,'Modelling New'!$D:$D,'Modelling New'!$N:$N),"")</f>
        <v>70.2</v>
      </c>
      <c r="AS27" s="276"/>
    </row>
    <row r="28" spans="1:45">
      <c r="A28" s="165">
        <f t="shared" si="7"/>
        <v>45771</v>
      </c>
      <c r="B28" s="166">
        <f>YEAR(Table13[[#This Row],[Date]])+IF(MONTH(Table13[[#This Row],[Date]])&gt;=4,1,0)</f>
        <v>2026</v>
      </c>
      <c r="C28" s="167">
        <f>YEAR(Table13[[#This Row],[Date]])</f>
        <v>2025</v>
      </c>
      <c r="D28" s="168">
        <f>Table13[[#This Row],[Date]]-DAY(Table13[[#This Row],[Date]])+1</f>
        <v>45748</v>
      </c>
      <c r="E28" s="167">
        <f t="shared" si="4"/>
        <v>30</v>
      </c>
      <c r="F28" s="169"/>
      <c r="G28" s="170"/>
      <c r="H28" s="170"/>
      <c r="I28" s="170"/>
      <c r="J28" s="170"/>
      <c r="K28" s="171"/>
      <c r="L28" s="170"/>
      <c r="M28" s="170">
        <f>IFERROR(_xlfn.XLOOKUP($A28,Input_Raw!$A:$A,Input_Raw!BG:BG),"")</f>
        <v>5.8494524607737333</v>
      </c>
      <c r="N28" s="170">
        <f>IFERROR(_xlfn.XLOOKUP($A28,Input_Raw!$A:$A,Input_Raw!BH:BH),"")</f>
        <v>0</v>
      </c>
      <c r="O28" s="173">
        <f t="shared" si="5"/>
        <v>0.97626825695534014</v>
      </c>
      <c r="P28" s="173">
        <f>IFERROR(1-SUMIF(WTG_BD!$F:$F,$A28,WTG_BD!$AA:$AA)/($AA28+SUMIF(WTG_BD!$F:$F,$A28,WTG_BD!$AA:$AA)),"")</f>
        <v>0.97626825695534014</v>
      </c>
      <c r="Q28" s="173">
        <f>IFERROR(1-SUMIF(IGA_BD!$F:$F,$A28,IGA_BD!$X:$X)/($AA28+SUMIF(IGA_BD!$F:$F,$A28,IGA_BD!$X:$X)),"")</f>
        <v>1</v>
      </c>
      <c r="R28" s="173">
        <f>IFERROR(1-SUMIF(Grid_BD!$F:$F,$A28,Grid_BD!$Y:$Y)/($AA28+SUMIF(Grid_BD!$F:$F,$A28,Grid_BD!$Y:$Y)),"")</f>
        <v>1</v>
      </c>
      <c r="S28" s="167"/>
      <c r="T28" s="172"/>
      <c r="U28" s="173"/>
      <c r="V28" s="167"/>
      <c r="W28" s="174">
        <f t="shared" si="6"/>
        <v>0.29006410256410253</v>
      </c>
      <c r="X28" s="167">
        <f>IFERROR(_xlfn.XLOOKUP($A28,Input_Raw!$A:$A,Input_Raw!$BF:$BF),"")</f>
        <v>502706</v>
      </c>
      <c r="Y28" s="167">
        <f>IFERROR(_xlfn.XLOOKUP($A28,Input_Raw!$A:$A,Input_Raw!BJ:BJ),"")</f>
        <v>488700</v>
      </c>
      <c r="Z28" s="167">
        <f>IFERROR(_xlfn.XLOOKUP($A28,Input_Raw!$A:$A,Input_Raw!BK:BK),"")</f>
        <v>0</v>
      </c>
      <c r="AA28" s="167">
        <f>IFERROR(_xlfn.XLOOKUP($A28,Input_Raw!$A:$A,Input_Raw!BL:BL),"")</f>
        <v>488700</v>
      </c>
      <c r="AB28" s="167">
        <f>IFERROR(_xlfn.XLOOKUP($A28,Input_Raw!$A:$A,Input_Raw!$BO:$BO),"")</f>
        <v>70.2</v>
      </c>
      <c r="AC28" s="176">
        <f>IFERROR(_xlfn.XLOOKUP($D28,'Modelling New'!$D:$D,'Modelling New'!$J:$J),"")</f>
        <v>6.65</v>
      </c>
      <c r="AD28" s="166">
        <f>IFERROR(_xlfn.XLOOKUP($D28,'Modelling New'!$D:$D,'Modelling New'!$T:$T)*1000,"")</f>
        <v>697760.5424630543</v>
      </c>
      <c r="AE28" s="174"/>
      <c r="AF28" s="174">
        <f>IFERROR(_xlfn.XLOOKUP($D28,'Modelling New'!$D:$D,'Modelling New'!$W:$W),"")</f>
        <v>0.41415036945812811</v>
      </c>
      <c r="AG28" s="174">
        <f>IFERROR(_xlfn.XLOOKUP($D28,'Modelling New'!$D:$D,'Modelling New'!$AE:$AE),"")</f>
        <v>0.96029999999999993</v>
      </c>
      <c r="AH28" s="174">
        <f>IFERROR(_xlfn.XLOOKUP($D28,'Modelling New'!$D:$D,'Modelling New'!$AF:$AF),"")</f>
        <v>0.995</v>
      </c>
      <c r="AI28" s="177">
        <f>IFERROR(_xlfn.XLOOKUP($A28,Input_Raw!$A:$A,Input_Raw!$BQ:$BQ),"")</f>
        <v>510</v>
      </c>
      <c r="AJ28" s="167"/>
      <c r="AK28" s="167"/>
      <c r="AL28" s="167"/>
      <c r="AM28" s="167"/>
      <c r="AN28" s="175">
        <f>IFERROR(_xlfn.XLOOKUP($A28,Input_Raw!$A:$A,Input_Raw!$BN:$BN),"")</f>
        <v>2.786121510385792E-2</v>
      </c>
      <c r="AO28" s="174">
        <f>IFERROR((_xlfn.XLOOKUP($A28,'WTG Reactive Power'!$A:$A,'WTG Reactive Power'!$AE:$AE))/Table13[[#This Row],[Gen_Exp (kWh)]],"")</f>
        <v>1.7900323449491357E-3</v>
      </c>
      <c r="AP28" s="174">
        <f>IFERROR(_xlfn.XLOOKUP($D28,'Modelling New'!$D:$D,'Modelling New'!$AK:$AK),"")</f>
        <v>0.05</v>
      </c>
      <c r="AQ28" s="174">
        <f>IFERROR(_xlfn.XLOOKUP($D28,'Modelling New'!$D:$D,'Modelling New'!$AL:$AL),"")</f>
        <v>0.05</v>
      </c>
      <c r="AR28" s="276">
        <f>IFERROR(_xlfn.XLOOKUP($D28,'Modelling New'!$D:$D,'Modelling New'!$N:$N),"")</f>
        <v>70.2</v>
      </c>
      <c r="AS28" s="276"/>
    </row>
    <row r="29" spans="1:45">
      <c r="A29" s="165">
        <f t="shared" si="7"/>
        <v>45772</v>
      </c>
      <c r="B29" s="166">
        <f>YEAR(Table13[[#This Row],[Date]])+IF(MONTH(Table13[[#This Row],[Date]])&gt;=4,1,0)</f>
        <v>2026</v>
      </c>
      <c r="C29" s="167">
        <f>YEAR(Table13[[#This Row],[Date]])</f>
        <v>2025</v>
      </c>
      <c r="D29" s="168">
        <f>Table13[[#This Row],[Date]]-DAY(Table13[[#This Row],[Date]])+1</f>
        <v>45748</v>
      </c>
      <c r="E29" s="167">
        <f t="shared" si="4"/>
        <v>30</v>
      </c>
      <c r="F29" s="169"/>
      <c r="G29" s="176"/>
      <c r="H29" s="176"/>
      <c r="I29" s="176"/>
      <c r="J29" s="176"/>
      <c r="K29" s="171"/>
      <c r="L29" s="170"/>
      <c r="M29" s="170">
        <f>IFERROR(_xlfn.XLOOKUP($A29,Input_Raw!$A:$A,Input_Raw!BG:BG),"")</f>
        <v>6.1728103735871196</v>
      </c>
      <c r="N29" s="170">
        <f>IFERROR(_xlfn.XLOOKUP($A29,Input_Raw!$A:$A,Input_Raw!BH:BH),"")</f>
        <v>0</v>
      </c>
      <c r="O29" s="173">
        <f t="shared" si="5"/>
        <v>0.95962664670496189</v>
      </c>
      <c r="P29" s="173">
        <f>IFERROR(1-SUMIF(WTG_BD!$F:$F,$A29,WTG_BD!$AA:$AA)/($AA29+SUMIF(WTG_BD!$F:$F,$A29,WTG_BD!$AA:$AA)),"")</f>
        <v>0.95962664670496189</v>
      </c>
      <c r="Q29" s="173">
        <f>IFERROR(1-SUMIF(IGA_BD!$F:$F,$A29,IGA_BD!$X:$X)/($AA29+SUMIF(IGA_BD!$F:$F,$A29,IGA_BD!$X:$X)),"")</f>
        <v>1</v>
      </c>
      <c r="R29" s="173">
        <f>IFERROR(1-SUMIF(Grid_BD!$F:$F,$A29,Grid_BD!$Y:$Y)/($AA29+SUMIF(Grid_BD!$F:$F,$A29,Grid_BD!$Y:$Y)),"")</f>
        <v>1</v>
      </c>
      <c r="S29" s="167"/>
      <c r="T29" s="172"/>
      <c r="U29" s="173"/>
      <c r="V29" s="167"/>
      <c r="W29" s="174">
        <f t="shared" si="6"/>
        <v>0.34027777777777773</v>
      </c>
      <c r="X29" s="167">
        <f>IFERROR(_xlfn.XLOOKUP($A29,Input_Raw!$A:$A,Input_Raw!$BF:$BF),"")</f>
        <v>592507</v>
      </c>
      <c r="Y29" s="167">
        <f>IFERROR(_xlfn.XLOOKUP($A29,Input_Raw!$A:$A,Input_Raw!BJ:BJ),"")</f>
        <v>573300</v>
      </c>
      <c r="Z29" s="167">
        <f>IFERROR(_xlfn.XLOOKUP($A29,Input_Raw!$A:$A,Input_Raw!BK:BK),"")</f>
        <v>0</v>
      </c>
      <c r="AA29" s="167">
        <f>IFERROR(_xlfn.XLOOKUP($A29,Input_Raw!$A:$A,Input_Raw!BL:BL),"")</f>
        <v>573300</v>
      </c>
      <c r="AB29" s="167">
        <f>IFERROR(_xlfn.XLOOKUP($A29,Input_Raw!$A:$A,Input_Raw!$BO:$BO),"")</f>
        <v>70.2</v>
      </c>
      <c r="AC29" s="176">
        <f>IFERROR(_xlfn.XLOOKUP($D29,'Modelling New'!$D:$D,'Modelling New'!$J:$J),"")</f>
        <v>6.65</v>
      </c>
      <c r="AD29" s="166">
        <f>IFERROR(_xlfn.XLOOKUP($D29,'Modelling New'!$D:$D,'Modelling New'!$T:$T)*1000,"")</f>
        <v>697760.5424630543</v>
      </c>
      <c r="AE29" s="174"/>
      <c r="AF29" s="174">
        <f>IFERROR(_xlfn.XLOOKUP($D29,'Modelling New'!$D:$D,'Modelling New'!$W:$W),"")</f>
        <v>0.41415036945812811</v>
      </c>
      <c r="AG29" s="174">
        <f>IFERROR(_xlfn.XLOOKUP($D29,'Modelling New'!$D:$D,'Modelling New'!$AE:$AE),"")</f>
        <v>0.96029999999999993</v>
      </c>
      <c r="AH29" s="174">
        <f>IFERROR(_xlfn.XLOOKUP($D29,'Modelling New'!$D:$D,'Modelling New'!$AF:$AF),"")</f>
        <v>0.995</v>
      </c>
      <c r="AI29" s="177">
        <f>IFERROR(_xlfn.XLOOKUP($A29,Input_Raw!$A:$A,Input_Raw!$BQ:$BQ),"")</f>
        <v>628.86</v>
      </c>
      <c r="AJ29" s="167"/>
      <c r="AK29" s="167"/>
      <c r="AL29" s="167"/>
      <c r="AM29" s="167"/>
      <c r="AN29" s="175">
        <f>IFERROR(_xlfn.XLOOKUP($A29,Input_Raw!$A:$A,Input_Raw!$BN:$BN),"")</f>
        <v>3.2416494657447087E-2</v>
      </c>
      <c r="AO29" s="174">
        <f>IFERROR((_xlfn.XLOOKUP($A29,'WTG Reactive Power'!$A:$A,'WTG Reactive Power'!$AE:$AE))/Table13[[#This Row],[Gen_Exp (kWh)]],"")</f>
        <v>2.2783190747113539E-3</v>
      </c>
      <c r="AP29" s="174">
        <f>IFERROR(_xlfn.XLOOKUP($D29,'Modelling New'!$D:$D,'Modelling New'!$AK:$AK),"")</f>
        <v>0.05</v>
      </c>
      <c r="AQ29" s="174">
        <f>IFERROR(_xlfn.XLOOKUP($D29,'Modelling New'!$D:$D,'Modelling New'!$AL:$AL),"")</f>
        <v>0.05</v>
      </c>
      <c r="AR29" s="276">
        <f>IFERROR(_xlfn.XLOOKUP($D29,'Modelling New'!$D:$D,'Modelling New'!$N:$N),"")</f>
        <v>70.2</v>
      </c>
      <c r="AS29" s="276"/>
    </row>
    <row r="30" spans="1:45">
      <c r="A30" s="165">
        <f t="shared" si="7"/>
        <v>45773</v>
      </c>
      <c r="B30" s="166">
        <f>YEAR(Table13[[#This Row],[Date]])+IF(MONTH(Table13[[#This Row],[Date]])&gt;=4,1,0)</f>
        <v>2026</v>
      </c>
      <c r="C30" s="167">
        <f>YEAR(Table13[[#This Row],[Date]])</f>
        <v>2025</v>
      </c>
      <c r="D30" s="168">
        <f>Table13[[#This Row],[Date]]-DAY(Table13[[#This Row],[Date]])+1</f>
        <v>45748</v>
      </c>
      <c r="E30" s="167">
        <f t="shared" si="4"/>
        <v>30</v>
      </c>
      <c r="F30" s="169"/>
      <c r="G30" s="170"/>
      <c r="H30" s="170"/>
      <c r="I30" s="170"/>
      <c r="J30" s="170"/>
      <c r="K30" s="171"/>
      <c r="L30" s="170"/>
      <c r="M30" s="170">
        <f>IFERROR(_xlfn.XLOOKUP($A30,Input_Raw!$A:$A,Input_Raw!BG:BG),"")</f>
        <v>6.2132799161964192</v>
      </c>
      <c r="N30" s="170">
        <f>IFERROR(_xlfn.XLOOKUP($A30,Input_Raw!$A:$A,Input_Raw!BH:BH),"")</f>
        <v>0</v>
      </c>
      <c r="O30" s="173">
        <f t="shared" si="5"/>
        <v>0.95370571718648556</v>
      </c>
      <c r="P30" s="173">
        <f>IFERROR(1-SUMIF(WTG_BD!$F:$F,$A30,WTG_BD!$AA:$AA)/($AA30+SUMIF(WTG_BD!$F:$F,$A30,WTG_BD!$AA:$AA)),"")</f>
        <v>0.95370571718648556</v>
      </c>
      <c r="Q30" s="173">
        <f>IFERROR(1-SUMIF(IGA_BD!$F:$F,$A30,IGA_BD!$X:$X)/($AA30+SUMIF(IGA_BD!$F:$F,$A30,IGA_BD!$X:$X)),"")</f>
        <v>1</v>
      </c>
      <c r="R30" s="173">
        <f>IFERROR(1-SUMIF(Grid_BD!$F:$F,$A30,Grid_BD!$Y:$Y)/($AA30+SUMIF(Grid_BD!$F:$F,$A30,Grid_BD!$Y:$Y)),"")</f>
        <v>1</v>
      </c>
      <c r="S30" s="167"/>
      <c r="T30" s="172"/>
      <c r="U30" s="173"/>
      <c r="V30" s="167"/>
      <c r="W30" s="174">
        <f t="shared" si="6"/>
        <v>0.35122863247863245</v>
      </c>
      <c r="X30" s="167">
        <f>IFERROR(_xlfn.XLOOKUP($A30,Input_Raw!$A:$A,Input_Raw!$BF:$BF),"")</f>
        <v>613361</v>
      </c>
      <c r="Y30" s="167">
        <f>IFERROR(_xlfn.XLOOKUP($A30,Input_Raw!$A:$A,Input_Raw!BJ:BJ),"")</f>
        <v>591750</v>
      </c>
      <c r="Z30" s="167">
        <f>IFERROR(_xlfn.XLOOKUP($A30,Input_Raw!$A:$A,Input_Raw!BK:BK),"")</f>
        <v>0</v>
      </c>
      <c r="AA30" s="167">
        <f>IFERROR(_xlfn.XLOOKUP($A30,Input_Raw!$A:$A,Input_Raw!BL:BL),"")</f>
        <v>591750</v>
      </c>
      <c r="AB30" s="167">
        <f>IFERROR(_xlfn.XLOOKUP($A30,Input_Raw!$A:$A,Input_Raw!$BO:$BO),"")</f>
        <v>70.2</v>
      </c>
      <c r="AC30" s="176">
        <f>IFERROR(_xlfn.XLOOKUP($D30,'Modelling New'!$D:$D,'Modelling New'!$J:$J),"")</f>
        <v>6.65</v>
      </c>
      <c r="AD30" s="166">
        <f>IFERROR(_xlfn.XLOOKUP($D30,'Modelling New'!$D:$D,'Modelling New'!$T:$T)*1000,"")</f>
        <v>697760.5424630543</v>
      </c>
      <c r="AE30" s="174"/>
      <c r="AF30" s="174">
        <f>IFERROR(_xlfn.XLOOKUP($D30,'Modelling New'!$D:$D,'Modelling New'!$W:$W),"")</f>
        <v>0.41415036945812811</v>
      </c>
      <c r="AG30" s="174">
        <f>IFERROR(_xlfn.XLOOKUP($D30,'Modelling New'!$D:$D,'Modelling New'!$AE:$AE),"")</f>
        <v>0.96029999999999993</v>
      </c>
      <c r="AH30" s="174">
        <f>IFERROR(_xlfn.XLOOKUP($D30,'Modelling New'!$D:$D,'Modelling New'!$AF:$AF),"")</f>
        <v>0.995</v>
      </c>
      <c r="AI30" s="177">
        <f>IFERROR(_xlfn.XLOOKUP($A30,Input_Raw!$A:$A,Input_Raw!$BQ:$BQ),"")</f>
        <v>645.69000000000005</v>
      </c>
      <c r="AJ30" s="167"/>
      <c r="AK30" s="167"/>
      <c r="AL30" s="167"/>
      <c r="AM30" s="167"/>
      <c r="AN30" s="175">
        <f>IFERROR(_xlfn.XLOOKUP($A30,Input_Raw!$A:$A,Input_Raw!$BN:$BN),"")</f>
        <v>3.5233736739049268E-2</v>
      </c>
      <c r="AO30" s="174">
        <f>IFERROR((_xlfn.XLOOKUP($A30,'WTG Reactive Power'!$A:$A,'WTG Reactive Power'!$AE:$AE))/Table13[[#This Row],[Gen_Exp (kWh)]],"")</f>
        <v>1.7607705739360664E-2</v>
      </c>
      <c r="AP30" s="174">
        <f>IFERROR(_xlfn.XLOOKUP($D30,'Modelling New'!$D:$D,'Modelling New'!$AK:$AK),"")</f>
        <v>0.05</v>
      </c>
      <c r="AQ30" s="174">
        <f>IFERROR(_xlfn.XLOOKUP($D30,'Modelling New'!$D:$D,'Modelling New'!$AL:$AL),"")</f>
        <v>0.05</v>
      </c>
      <c r="AR30" s="276">
        <f>IFERROR(_xlfn.XLOOKUP($D30,'Modelling New'!$D:$D,'Modelling New'!$N:$N),"")</f>
        <v>70.2</v>
      </c>
      <c r="AS30" s="276"/>
    </row>
    <row r="31" spans="1:45">
      <c r="A31" s="165">
        <f t="shared" si="7"/>
        <v>45774</v>
      </c>
      <c r="B31" s="166">
        <f>YEAR(Table13[[#This Row],[Date]])+IF(MONTH(Table13[[#This Row],[Date]])&gt;=4,1,0)</f>
        <v>2026</v>
      </c>
      <c r="C31" s="167">
        <f>YEAR(Table13[[#This Row],[Date]])</f>
        <v>2025</v>
      </c>
      <c r="D31" s="168">
        <f>Table13[[#This Row],[Date]]-DAY(Table13[[#This Row],[Date]])+1</f>
        <v>45748</v>
      </c>
      <c r="E31" s="167">
        <f t="shared" si="4"/>
        <v>30</v>
      </c>
      <c r="F31" s="169"/>
      <c r="G31" s="176"/>
      <c r="H31" s="176"/>
      <c r="I31" s="176"/>
      <c r="J31" s="176"/>
      <c r="K31" s="171"/>
      <c r="L31" s="170"/>
      <c r="M31" s="170">
        <f>IFERROR(_xlfn.XLOOKUP($A31,Input_Raw!$A:$A,Input_Raw!BG:BG),"")</f>
        <v>5.6679992988412149</v>
      </c>
      <c r="N31" s="170">
        <f>IFERROR(_xlfn.XLOOKUP($A31,Input_Raw!$A:$A,Input_Raw!BH:BH),"")</f>
        <v>0</v>
      </c>
      <c r="O31" s="173">
        <f t="shared" si="5"/>
        <v>0.95750140948884965</v>
      </c>
      <c r="P31" s="173">
        <f>IFERROR(1-SUMIF(WTG_BD!$F:$F,$A31,WTG_BD!$AA:$AA)/($AA31+SUMIF(WTG_BD!$F:$F,$A31,WTG_BD!$AA:$AA)),"")</f>
        <v>0.95750140948884965</v>
      </c>
      <c r="Q31" s="173">
        <f>IFERROR(1-SUMIF(IGA_BD!$F:$F,$A31,IGA_BD!$X:$X)/($AA31+SUMIF(IGA_BD!$F:$F,$A31,IGA_BD!$X:$X)),"")</f>
        <v>1</v>
      </c>
      <c r="R31" s="173">
        <f>IFERROR(1-SUMIF(Grid_BD!$F:$F,$A31,Grid_BD!$Y:$Y)/($AA31+SUMIF(Grid_BD!$F:$F,$A31,Grid_BD!$Y:$Y)),"")</f>
        <v>1</v>
      </c>
      <c r="S31" s="167"/>
      <c r="T31" s="172"/>
      <c r="U31" s="173"/>
      <c r="V31" s="167"/>
      <c r="W31" s="174">
        <f t="shared" si="6"/>
        <v>0.30074786324786318</v>
      </c>
      <c r="X31" s="167">
        <f>IFERROR(_xlfn.XLOOKUP($A31,Input_Raw!$A:$A,Input_Raw!$BF:$BF),"")</f>
        <v>525996</v>
      </c>
      <c r="Y31" s="167">
        <f>IFERROR(_xlfn.XLOOKUP($A31,Input_Raw!$A:$A,Input_Raw!BJ:BJ),"")</f>
        <v>507150</v>
      </c>
      <c r="Z31" s="167">
        <f>IFERROR(_xlfn.XLOOKUP($A31,Input_Raw!$A:$A,Input_Raw!BK:BK),"")</f>
        <v>450</v>
      </c>
      <c r="AA31" s="167">
        <f>IFERROR(_xlfn.XLOOKUP($A31,Input_Raw!$A:$A,Input_Raw!BL:BL),"")</f>
        <v>506700</v>
      </c>
      <c r="AB31" s="167">
        <f>IFERROR(_xlfn.XLOOKUP($A31,Input_Raw!$A:$A,Input_Raw!$BO:$BO),"")</f>
        <v>70.2</v>
      </c>
      <c r="AC31" s="176">
        <f>IFERROR(_xlfn.XLOOKUP($D31,'Modelling New'!$D:$D,'Modelling New'!$J:$J),"")</f>
        <v>6.65</v>
      </c>
      <c r="AD31" s="166">
        <f>IFERROR(_xlfn.XLOOKUP($D31,'Modelling New'!$D:$D,'Modelling New'!$T:$T)*1000,"")</f>
        <v>697760.5424630543</v>
      </c>
      <c r="AE31" s="174"/>
      <c r="AF31" s="174">
        <f>IFERROR(_xlfn.XLOOKUP($D31,'Modelling New'!$D:$D,'Modelling New'!$W:$W),"")</f>
        <v>0.41415036945812811</v>
      </c>
      <c r="AG31" s="174">
        <f>IFERROR(_xlfn.XLOOKUP($D31,'Modelling New'!$D:$D,'Modelling New'!$AE:$AE),"")</f>
        <v>0.96029999999999993</v>
      </c>
      <c r="AH31" s="174">
        <f>IFERROR(_xlfn.XLOOKUP($D31,'Modelling New'!$D:$D,'Modelling New'!$AF:$AF),"")</f>
        <v>0.995</v>
      </c>
      <c r="AI31" s="177">
        <f>IFERROR(_xlfn.XLOOKUP($A31,Input_Raw!$A:$A,Input_Raw!$BQ:$BQ),"")</f>
        <v>546.95000000000005</v>
      </c>
      <c r="AJ31" s="167"/>
      <c r="AK31" s="167"/>
      <c r="AL31" s="167"/>
      <c r="AM31" s="167"/>
      <c r="AN31" s="175">
        <f>IFERROR(_xlfn.XLOOKUP($A31,Input_Raw!$A:$A,Input_Raw!$BN:$BN),"")</f>
        <v>3.5829169803572654E-2</v>
      </c>
      <c r="AO31" s="174">
        <f>IFERROR((_xlfn.XLOOKUP($A31,'WTG Reactive Power'!$A:$A,'WTG Reactive Power'!$AE:$AE))/Table13[[#This Row],[Gen_Exp (kWh)]],"")</f>
        <v>2.5664073491053164E-3</v>
      </c>
      <c r="AP31" s="174">
        <f>IFERROR(_xlfn.XLOOKUP($D31,'Modelling New'!$D:$D,'Modelling New'!$AK:$AK),"")</f>
        <v>0.05</v>
      </c>
      <c r="AQ31" s="174">
        <f>IFERROR(_xlfn.XLOOKUP($D31,'Modelling New'!$D:$D,'Modelling New'!$AL:$AL),"")</f>
        <v>0.05</v>
      </c>
      <c r="AR31" s="276">
        <f>IFERROR(_xlfn.XLOOKUP($D31,'Modelling New'!$D:$D,'Modelling New'!$N:$N),"")</f>
        <v>70.2</v>
      </c>
      <c r="AS31" s="276"/>
    </row>
    <row r="32" spans="1:45">
      <c r="A32" s="165">
        <f t="shared" si="7"/>
        <v>45775</v>
      </c>
      <c r="B32" s="166">
        <f>YEAR(Table13[[#This Row],[Date]])+IF(MONTH(Table13[[#This Row],[Date]])&gt;=4,1,0)</f>
        <v>2026</v>
      </c>
      <c r="C32" s="167">
        <f>YEAR(Table13[[#This Row],[Date]])</f>
        <v>2025</v>
      </c>
      <c r="D32" s="168">
        <f>Table13[[#This Row],[Date]]-DAY(Table13[[#This Row],[Date]])+1</f>
        <v>45748</v>
      </c>
      <c r="E32" s="167">
        <f t="shared" si="4"/>
        <v>30</v>
      </c>
      <c r="F32" s="169"/>
      <c r="G32" s="170"/>
      <c r="H32" s="170"/>
      <c r="I32" s="170"/>
      <c r="J32" s="170"/>
      <c r="K32" s="171"/>
      <c r="L32" s="170"/>
      <c r="M32" s="170">
        <f>IFERROR(_xlfn.XLOOKUP($A32,Input_Raw!$A:$A,Input_Raw!BG:BG),"")</f>
        <v>6.610001795649624</v>
      </c>
      <c r="N32" s="170">
        <f>IFERROR(_xlfn.XLOOKUP($A32,Input_Raw!$A:$A,Input_Raw!BH:BH),"")</f>
        <v>0</v>
      </c>
      <c r="O32" s="173">
        <f t="shared" si="5"/>
        <v>0.95895085693524129</v>
      </c>
      <c r="P32" s="173">
        <f>IFERROR(1-SUMIF(WTG_BD!$F:$F,$A32,WTG_BD!$AA:$AA)/($AA32+SUMIF(WTG_BD!$F:$F,$A32,WTG_BD!$AA:$AA)),"")</f>
        <v>0.96390967884362777</v>
      </c>
      <c r="Q32" s="173">
        <f>IFERROR(1-SUMIF(IGA_BD!$F:$F,$A32,IGA_BD!$X:$X)/($AA32+SUMIF(IGA_BD!$F:$F,$A32,IGA_BD!$X:$X)),"")</f>
        <v>0.99485551186254773</v>
      </c>
      <c r="R32" s="173">
        <f>IFERROR(1-SUMIF(Grid_BD!$F:$F,$A32,Grid_BD!$Y:$Y)/($AA32+SUMIF(Grid_BD!$F:$F,$A32,Grid_BD!$Y:$Y)),"")</f>
        <v>1</v>
      </c>
      <c r="S32" s="167"/>
      <c r="T32" s="172"/>
      <c r="U32" s="173"/>
      <c r="V32" s="167"/>
      <c r="W32" s="174">
        <f t="shared" si="6"/>
        <v>0.37900641025641019</v>
      </c>
      <c r="X32" s="167">
        <f>IFERROR(_xlfn.XLOOKUP($A32,Input_Raw!$A:$A,Input_Raw!$BF:$BF),"")</f>
        <v>659514</v>
      </c>
      <c r="Y32" s="167">
        <f>IFERROR(_xlfn.XLOOKUP($A32,Input_Raw!$A:$A,Input_Raw!BJ:BJ),"")</f>
        <v>638550</v>
      </c>
      <c r="Z32" s="167">
        <f>IFERROR(_xlfn.XLOOKUP($A32,Input_Raw!$A:$A,Input_Raw!BK:BK),"")</f>
        <v>0</v>
      </c>
      <c r="AA32" s="167">
        <f>IFERROR(_xlfn.XLOOKUP($A32,Input_Raw!$A:$A,Input_Raw!BL:BL),"")</f>
        <v>638550</v>
      </c>
      <c r="AB32" s="167">
        <f>IFERROR(_xlfn.XLOOKUP($A32,Input_Raw!$A:$A,Input_Raw!$BO:$BO),"")</f>
        <v>70.2</v>
      </c>
      <c r="AC32" s="176">
        <f>IFERROR(_xlfn.XLOOKUP($D32,'Modelling New'!$D:$D,'Modelling New'!$J:$J),"")</f>
        <v>6.65</v>
      </c>
      <c r="AD32" s="166">
        <f>IFERROR(_xlfn.XLOOKUP($D32,'Modelling New'!$D:$D,'Modelling New'!$T:$T)*1000,"")</f>
        <v>697760.5424630543</v>
      </c>
      <c r="AE32" s="174"/>
      <c r="AF32" s="174">
        <f>IFERROR(_xlfn.XLOOKUP($D32,'Modelling New'!$D:$D,'Modelling New'!$W:$W),"")</f>
        <v>0.41415036945812811</v>
      </c>
      <c r="AG32" s="174">
        <f>IFERROR(_xlfn.XLOOKUP($D32,'Modelling New'!$D:$D,'Modelling New'!$AE:$AE),"")</f>
        <v>0.96029999999999993</v>
      </c>
      <c r="AH32" s="174">
        <f>IFERROR(_xlfn.XLOOKUP($D32,'Modelling New'!$D:$D,'Modelling New'!$AF:$AF),"")</f>
        <v>0.995</v>
      </c>
      <c r="AI32" s="177">
        <f>IFERROR(_xlfn.XLOOKUP($A32,Input_Raw!$A:$A,Input_Raw!$BQ:$BQ),"")</f>
        <v>695.35</v>
      </c>
      <c r="AJ32" s="167"/>
      <c r="AK32" s="167"/>
      <c r="AL32" s="167"/>
      <c r="AM32" s="167"/>
      <c r="AN32" s="175">
        <f>IFERROR(_xlfn.XLOOKUP($A32,Input_Raw!$A:$A,Input_Raw!$BN:$BN),"")</f>
        <v>3.1787043186346307E-2</v>
      </c>
      <c r="AO32" s="174">
        <f>IFERROR((_xlfn.XLOOKUP($A32,'WTG Reactive Power'!$A:$A,'WTG Reactive Power'!$AE:$AE))/Table13[[#This Row],[Gen_Exp (kWh)]],"")</f>
        <v>2.7292521462774109E-3</v>
      </c>
      <c r="AP32" s="174">
        <f>IFERROR(_xlfn.XLOOKUP($D32,'Modelling New'!$D:$D,'Modelling New'!$AK:$AK),"")</f>
        <v>0.05</v>
      </c>
      <c r="AQ32" s="174">
        <f>IFERROR(_xlfn.XLOOKUP($D32,'Modelling New'!$D:$D,'Modelling New'!$AL:$AL),"")</f>
        <v>0.05</v>
      </c>
      <c r="AR32" s="276">
        <f>IFERROR(_xlfn.XLOOKUP($D32,'Modelling New'!$D:$D,'Modelling New'!$N:$N),"")</f>
        <v>70.2</v>
      </c>
      <c r="AS32" s="276"/>
    </row>
    <row r="33" spans="1:45">
      <c r="A33" s="165">
        <f t="shared" si="7"/>
        <v>45776</v>
      </c>
      <c r="B33" s="166">
        <f>YEAR(Table13[[#This Row],[Date]])+IF(MONTH(Table13[[#This Row],[Date]])&gt;=4,1,0)</f>
        <v>2026</v>
      </c>
      <c r="C33" s="167">
        <f>YEAR(Table13[[#This Row],[Date]])</f>
        <v>2025</v>
      </c>
      <c r="D33" s="168">
        <f>Table13[[#This Row],[Date]]-DAY(Table13[[#This Row],[Date]])+1</f>
        <v>45748</v>
      </c>
      <c r="E33" s="167">
        <f t="shared" si="4"/>
        <v>30</v>
      </c>
      <c r="F33" s="169"/>
      <c r="G33" s="176"/>
      <c r="H33" s="176"/>
      <c r="I33" s="176"/>
      <c r="J33" s="176"/>
      <c r="K33" s="171"/>
      <c r="L33" s="170"/>
      <c r="M33" s="170">
        <f>IFERROR(_xlfn.XLOOKUP($A33,Input_Raw!$A:$A,Input_Raw!BG:BG),"")</f>
        <v>8.3966689759497797</v>
      </c>
      <c r="N33" s="170">
        <f>IFERROR(_xlfn.XLOOKUP($A33,Input_Raw!$A:$A,Input_Raw!BH:BH),"")</f>
        <v>0</v>
      </c>
      <c r="O33" s="173">
        <f t="shared" si="5"/>
        <v>0.95431274584987613</v>
      </c>
      <c r="P33" s="173">
        <f>IFERROR(1-SUMIF(WTG_BD!$F:$F,$A33,WTG_BD!$AA:$AA)/($AA33+SUMIF(WTG_BD!$F:$F,$A33,WTG_BD!$AA:$AA)),"")</f>
        <v>0.95431274584987613</v>
      </c>
      <c r="Q33" s="173">
        <f>IFERROR(1-SUMIF(IGA_BD!$F:$F,$A33,IGA_BD!$X:$X)/($AA33+SUMIF(IGA_BD!$F:$F,$A33,IGA_BD!$X:$X)),"")</f>
        <v>1</v>
      </c>
      <c r="R33" s="173">
        <f>IFERROR(1-SUMIF(Grid_BD!$F:$F,$A33,Grid_BD!$Y:$Y)/($AA33+SUMIF(Grid_BD!$F:$F,$A33,Grid_BD!$Y:$Y)),"")</f>
        <v>1</v>
      </c>
      <c r="S33" s="167"/>
      <c r="T33" s="172"/>
      <c r="U33" s="173"/>
      <c r="V33" s="167"/>
      <c r="W33" s="174">
        <f t="shared" si="6"/>
        <v>0.58680555555555547</v>
      </c>
      <c r="X33" s="167">
        <f>IFERROR(_xlfn.XLOOKUP($A33,Input_Raw!$A:$A,Input_Raw!$BF:$BF),"")</f>
        <v>1021944</v>
      </c>
      <c r="Y33" s="167">
        <f>IFERROR(_xlfn.XLOOKUP($A33,Input_Raw!$A:$A,Input_Raw!BJ:BJ),"")</f>
        <v>988650</v>
      </c>
      <c r="Z33" s="167">
        <f>IFERROR(_xlfn.XLOOKUP($A33,Input_Raw!$A:$A,Input_Raw!BK:BK),"")</f>
        <v>0</v>
      </c>
      <c r="AA33" s="167">
        <f>IFERROR(_xlfn.XLOOKUP($A33,Input_Raw!$A:$A,Input_Raw!BL:BL),"")</f>
        <v>988650</v>
      </c>
      <c r="AB33" s="167">
        <f>IFERROR(_xlfn.XLOOKUP($A33,Input_Raw!$A:$A,Input_Raw!$BO:$BO),"")</f>
        <v>70.2</v>
      </c>
      <c r="AC33" s="176">
        <f>IFERROR(_xlfn.XLOOKUP($D33,'Modelling New'!$D:$D,'Modelling New'!$J:$J),"")</f>
        <v>6.65</v>
      </c>
      <c r="AD33" s="166">
        <f>IFERROR(_xlfn.XLOOKUP($D33,'Modelling New'!$D:$D,'Modelling New'!$T:$T)*1000,"")</f>
        <v>697760.5424630543</v>
      </c>
      <c r="AE33" s="174"/>
      <c r="AF33" s="174">
        <f>IFERROR(_xlfn.XLOOKUP($D33,'Modelling New'!$D:$D,'Modelling New'!$W:$W),"")</f>
        <v>0.41415036945812811</v>
      </c>
      <c r="AG33" s="174">
        <f>IFERROR(_xlfn.XLOOKUP($D33,'Modelling New'!$D:$D,'Modelling New'!$AE:$AE),"")</f>
        <v>0.96029999999999993</v>
      </c>
      <c r="AH33" s="174">
        <f>IFERROR(_xlfn.XLOOKUP($D33,'Modelling New'!$D:$D,'Modelling New'!$AF:$AF),"")</f>
        <v>0.995</v>
      </c>
      <c r="AI33" s="177">
        <f>IFERROR(_xlfn.XLOOKUP($A33,Input_Raw!$A:$A,Input_Raw!$BQ:$BQ),"")</f>
        <v>1133.8399999999999</v>
      </c>
      <c r="AJ33" s="167"/>
      <c r="AK33" s="167"/>
      <c r="AL33" s="167"/>
      <c r="AM33" s="167"/>
      <c r="AN33" s="175">
        <f>IFERROR(_xlfn.XLOOKUP($A33,Input_Raw!$A:$A,Input_Raw!$BN:$BN),"")</f>
        <v>3.2579084568234662E-2</v>
      </c>
      <c r="AO33" s="174">
        <f>IFERROR((_xlfn.XLOOKUP($A33,'WTG Reactive Power'!$A:$A,'WTG Reactive Power'!$AE:$AE))/Table13[[#This Row],[Gen_Exp (kWh)]],"")</f>
        <v>2.6418668733316111E-3</v>
      </c>
      <c r="AP33" s="174">
        <f>IFERROR(_xlfn.XLOOKUP($D33,'Modelling New'!$D:$D,'Modelling New'!$AK:$AK),"")</f>
        <v>0.05</v>
      </c>
      <c r="AQ33" s="174">
        <f>IFERROR(_xlfn.XLOOKUP($D33,'Modelling New'!$D:$D,'Modelling New'!$AL:$AL),"")</f>
        <v>0.05</v>
      </c>
      <c r="AR33" s="276">
        <f>IFERROR(_xlfn.XLOOKUP($D33,'Modelling New'!$D:$D,'Modelling New'!$N:$N),"")</f>
        <v>70.2</v>
      </c>
      <c r="AS33" s="276"/>
    </row>
    <row r="34" spans="1:45">
      <c r="A34" s="165">
        <f t="shared" si="7"/>
        <v>45777</v>
      </c>
      <c r="B34" s="166">
        <f>YEAR(Table13[[#This Row],[Date]])+IF(MONTH(Table13[[#This Row],[Date]])&gt;=4,1,0)</f>
        <v>2026</v>
      </c>
      <c r="C34" s="167">
        <f>YEAR(Table13[[#This Row],[Date]])</f>
        <v>2025</v>
      </c>
      <c r="D34" s="168">
        <f>Table13[[#This Row],[Date]]-DAY(Table13[[#This Row],[Date]])+1</f>
        <v>45748</v>
      </c>
      <c r="E34" s="167">
        <f t="shared" si="4"/>
        <v>30</v>
      </c>
      <c r="F34" s="169"/>
      <c r="G34" s="170"/>
      <c r="H34" s="170"/>
      <c r="I34" s="170"/>
      <c r="J34" s="170"/>
      <c r="K34" s="171"/>
      <c r="L34" s="170"/>
      <c r="M34" s="170">
        <f>IFERROR(_xlfn.XLOOKUP($A34,Input_Raw!$A:$A,Input_Raw!BG:BG),"")</f>
        <v>8.1799799650984433</v>
      </c>
      <c r="N34" s="170">
        <f>IFERROR(_xlfn.XLOOKUP($A34,Input_Raw!$A:$A,Input_Raw!BH:BH),"")</f>
        <v>0</v>
      </c>
      <c r="O34" s="173">
        <f t="shared" si="5"/>
        <v>0.96881643144566598</v>
      </c>
      <c r="P34" s="173">
        <f>IFERROR(1-SUMIF(WTG_BD!$F:$F,$A34,WTG_BD!$AA:$AA)/($AA34+SUMIF(WTG_BD!$F:$F,$A34,WTG_BD!$AA:$AA)),"")</f>
        <v>0.96881643144566598</v>
      </c>
      <c r="Q34" s="173">
        <f>IFERROR(1-SUMIF(IGA_BD!$F:$F,$A34,IGA_BD!$X:$X)/($AA34+SUMIF(IGA_BD!$F:$F,$A34,IGA_BD!$X:$X)),"")</f>
        <v>1</v>
      </c>
      <c r="R34" s="173">
        <f>IFERROR(1-SUMIF(Grid_BD!$F:$F,$A34,Grid_BD!$Y:$Y)/($AA34+SUMIF(Grid_BD!$F:$F,$A34,Grid_BD!$Y:$Y)),"")</f>
        <v>1</v>
      </c>
      <c r="S34" s="167"/>
      <c r="T34" s="172"/>
      <c r="U34" s="173"/>
      <c r="V34" s="167"/>
      <c r="W34" s="174">
        <f t="shared" si="6"/>
        <v>0.579059829059829</v>
      </c>
      <c r="X34" s="167">
        <f>IFERROR(_xlfn.XLOOKUP($A34,Input_Raw!$A:$A,Input_Raw!$BF:$BF),"")</f>
        <v>1009423</v>
      </c>
      <c r="Y34" s="167">
        <f>IFERROR(_xlfn.XLOOKUP($A34,Input_Raw!$A:$A,Input_Raw!BJ:BJ),"")</f>
        <v>975600</v>
      </c>
      <c r="Z34" s="167">
        <f>IFERROR(_xlfn.XLOOKUP($A34,Input_Raw!$A:$A,Input_Raw!BK:BK),"")</f>
        <v>0</v>
      </c>
      <c r="AA34" s="167">
        <f>IFERROR(_xlfn.XLOOKUP($A34,Input_Raw!$A:$A,Input_Raw!BL:BL),"")</f>
        <v>975600</v>
      </c>
      <c r="AB34" s="167">
        <f>IFERROR(_xlfn.XLOOKUP($A34,Input_Raw!$A:$A,Input_Raw!$BO:$BO),"")</f>
        <v>70.2</v>
      </c>
      <c r="AC34" s="176">
        <f>IFERROR(_xlfn.XLOOKUP($D34,'Modelling New'!$D:$D,'Modelling New'!$J:$J),"")</f>
        <v>6.65</v>
      </c>
      <c r="AD34" s="166">
        <f>IFERROR(_xlfn.XLOOKUP($D34,'Modelling New'!$D:$D,'Modelling New'!$T:$T)*1000,"")</f>
        <v>697760.5424630543</v>
      </c>
      <c r="AE34" s="174"/>
      <c r="AF34" s="174">
        <f>IFERROR(_xlfn.XLOOKUP($D34,'Modelling New'!$D:$D,'Modelling New'!$W:$W),"")</f>
        <v>0.41415036945812811</v>
      </c>
      <c r="AG34" s="174">
        <f>IFERROR(_xlfn.XLOOKUP($D34,'Modelling New'!$D:$D,'Modelling New'!$AE:$AE),"")</f>
        <v>0.96029999999999993</v>
      </c>
      <c r="AH34" s="174">
        <f>IFERROR(_xlfn.XLOOKUP($D34,'Modelling New'!$D:$D,'Modelling New'!$AF:$AF),"")</f>
        <v>0.995</v>
      </c>
      <c r="AI34" s="177">
        <f>IFERROR(_xlfn.XLOOKUP($A34,Input_Raw!$A:$A,Input_Raw!$BQ:$BQ),"")</f>
        <v>1088.32</v>
      </c>
      <c r="AJ34" s="167"/>
      <c r="AK34" s="167"/>
      <c r="AL34" s="167"/>
      <c r="AM34" s="167"/>
      <c r="AN34" s="175">
        <f>IFERROR(_xlfn.XLOOKUP($A34,Input_Raw!$A:$A,Input_Raw!$BN:$BN),"")</f>
        <v>3.3507261078853962E-2</v>
      </c>
      <c r="AO34" s="174">
        <f>IFERROR((_xlfn.XLOOKUP($A34,'WTG Reactive Power'!$A:$A,'WTG Reactive Power'!$AE:$AE))/Table13[[#This Row],[Gen_Exp (kWh)]],"")</f>
        <v>2.674636896524054E-3</v>
      </c>
      <c r="AP34" s="174">
        <f>IFERROR(_xlfn.XLOOKUP($D34,'Modelling New'!$D:$D,'Modelling New'!$AK:$AK),"")</f>
        <v>0.05</v>
      </c>
      <c r="AQ34" s="174">
        <f>IFERROR(_xlfn.XLOOKUP($D34,'Modelling New'!$D:$D,'Modelling New'!$AL:$AL),"")</f>
        <v>0.05</v>
      </c>
      <c r="AR34" s="276">
        <f>IFERROR(_xlfn.XLOOKUP($D34,'Modelling New'!$D:$D,'Modelling New'!$N:$N),"")</f>
        <v>70.2</v>
      </c>
      <c r="AS34" s="276"/>
    </row>
    <row r="35" spans="1:45">
      <c r="A35" s="165">
        <f t="shared" si="7"/>
        <v>45778</v>
      </c>
      <c r="B35" s="166">
        <f>YEAR(Table13[[#This Row],[Date]])+IF(MONTH(Table13[[#This Row],[Date]])&gt;=4,1,0)</f>
        <v>2026</v>
      </c>
      <c r="C35" s="167">
        <f>YEAR(Table13[[#This Row],[Date]])</f>
        <v>2025</v>
      </c>
      <c r="D35" s="168">
        <f>Table13[[#This Row],[Date]]-DAY(Table13[[#This Row],[Date]])+1</f>
        <v>45778</v>
      </c>
      <c r="E35" s="167">
        <f t="shared" si="4"/>
        <v>31</v>
      </c>
      <c r="F35" s="169"/>
      <c r="G35" s="176"/>
      <c r="H35" s="176"/>
      <c r="I35" s="176"/>
      <c r="J35" s="176"/>
      <c r="K35" s="171"/>
      <c r="L35" s="170"/>
      <c r="M35" s="170">
        <f>IFERROR(_xlfn.XLOOKUP($A35,Input_Raw!$A:$A,Input_Raw!BG:BG),"")</f>
        <v>8.4492067365437453</v>
      </c>
      <c r="N35" s="170">
        <f>IFERROR(_xlfn.XLOOKUP($A35,Input_Raw!$A:$A,Input_Raw!BH:BH),"")</f>
        <v>0</v>
      </c>
      <c r="O35" s="173">
        <f t="shared" si="5"/>
        <v>0.98607250943152791</v>
      </c>
      <c r="P35" s="173">
        <f>IFERROR(1-SUMIF(WTG_BD!$F:$F,$A35,WTG_BD!$AA:$AA)/($AA35+SUMIF(WTG_BD!$F:$F,$A35,WTG_BD!$AA:$AA)),"")</f>
        <v>0.98607250943152791</v>
      </c>
      <c r="Q35" s="173">
        <f>IFERROR(1-SUMIF(IGA_BD!$F:$F,$A35,IGA_BD!$X:$X)/($AA35+SUMIF(IGA_BD!$F:$F,$A35,IGA_BD!$X:$X)),"")</f>
        <v>1</v>
      </c>
      <c r="R35" s="173">
        <f>IFERROR(1-SUMIF(Grid_BD!$F:$F,$A35,Grid_BD!$Y:$Y)/($AA35+SUMIF(Grid_BD!$F:$F,$A35,Grid_BD!$Y:$Y)),"")</f>
        <v>1</v>
      </c>
      <c r="S35" s="167"/>
      <c r="T35" s="172"/>
      <c r="U35" s="173"/>
      <c r="V35" s="167"/>
      <c r="W35" s="174">
        <f t="shared" si="6"/>
        <v>0.64262820512820507</v>
      </c>
      <c r="X35" s="167">
        <f>IFERROR(_xlfn.XLOOKUP($A35,Input_Raw!$A:$A,Input_Raw!$BF:$BF),"")</f>
        <v>1122695</v>
      </c>
      <c r="Y35" s="167">
        <f>IFERROR(_xlfn.XLOOKUP($A35,Input_Raw!$A:$A,Input_Raw!BJ:BJ),"")</f>
        <v>1082700</v>
      </c>
      <c r="Z35" s="167">
        <f>IFERROR(_xlfn.XLOOKUP($A35,Input_Raw!$A:$A,Input_Raw!BK:BK),"")</f>
        <v>0</v>
      </c>
      <c r="AA35" s="167">
        <f>IFERROR(_xlfn.XLOOKUP($A35,Input_Raw!$A:$A,Input_Raw!BL:BL),"")</f>
        <v>1082700</v>
      </c>
      <c r="AB35" s="167">
        <f>IFERROR(_xlfn.XLOOKUP($A35,Input_Raw!$A:$A,Input_Raw!$BO:$BO),"")</f>
        <v>70.2</v>
      </c>
      <c r="AC35" s="176">
        <f>IFERROR(_xlfn.XLOOKUP($D35,'Modelling New'!$D:$D,'Modelling New'!$J:$J),"")</f>
        <v>7.19</v>
      </c>
      <c r="AD35" s="166">
        <f>IFERROR(_xlfn.XLOOKUP($D35,'Modelling New'!$D:$D,'Modelling New'!$T:$T)*1000,"")</f>
        <v>908711.4041379313</v>
      </c>
      <c r="AE35" s="174"/>
      <c r="AF35" s="174">
        <f>IFERROR(_xlfn.XLOOKUP($D35,'Modelling New'!$D:$D,'Modelling New'!$W:$W),"")</f>
        <v>0.53935862068965523</v>
      </c>
      <c r="AG35" s="174">
        <f>IFERROR(_xlfn.XLOOKUP($D35,'Modelling New'!$D:$D,'Modelling New'!$AE:$AE),"")</f>
        <v>0.96029999999999993</v>
      </c>
      <c r="AH35" s="174">
        <f>IFERROR(_xlfn.XLOOKUP($D35,'Modelling New'!$D:$D,'Modelling New'!$AF:$AF),"")</f>
        <v>0.995</v>
      </c>
      <c r="AI35" s="177">
        <f>IFERROR(_xlfn.XLOOKUP($A35,Input_Raw!$A:$A,Input_Raw!$BQ:$BQ),"")</f>
        <v>1190.71</v>
      </c>
      <c r="AJ35" s="167"/>
      <c r="AK35" s="167"/>
      <c r="AL35" s="167"/>
      <c r="AM35" s="167"/>
      <c r="AN35" s="175">
        <f>IFERROR(_xlfn.XLOOKUP($A35,Input_Raw!$A:$A,Input_Raw!$BN:$BN),"")</f>
        <v>3.5624100935694909E-2</v>
      </c>
      <c r="AO35" s="174">
        <f>IFERROR((_xlfn.XLOOKUP($A35,'WTG Reactive Power'!$A:$A,'WTG Reactive Power'!$AE:$AE))/Table13[[#This Row],[Gen_Exp (kWh)]],"")</f>
        <v>2.4047849148700227E-3</v>
      </c>
      <c r="AP35" s="174">
        <f>IFERROR(_xlfn.XLOOKUP($D35,'Modelling New'!$D:$D,'Modelling New'!$AK:$AK),"")</f>
        <v>0.05</v>
      </c>
      <c r="AQ35" s="174">
        <f>IFERROR(_xlfn.XLOOKUP($D35,'Modelling New'!$D:$D,'Modelling New'!$AL:$AL),"")</f>
        <v>0.05</v>
      </c>
      <c r="AR35" s="276">
        <f>IFERROR(_xlfn.XLOOKUP($D35,'Modelling New'!$D:$D,'Modelling New'!$N:$N),"")</f>
        <v>70.2</v>
      </c>
      <c r="AS35" s="276"/>
    </row>
    <row r="36" spans="1:45">
      <c r="A36" s="165">
        <f t="shared" si="7"/>
        <v>45779</v>
      </c>
      <c r="B36" s="166">
        <f>YEAR(Table13[[#This Row],[Date]])+IF(MONTH(Table13[[#This Row],[Date]])&gt;=4,1,0)</f>
        <v>2026</v>
      </c>
      <c r="C36" s="167">
        <f>YEAR(Table13[[#This Row],[Date]])</f>
        <v>2025</v>
      </c>
      <c r="D36" s="168">
        <f>Table13[[#This Row],[Date]]-DAY(Table13[[#This Row],[Date]])+1</f>
        <v>45778</v>
      </c>
      <c r="E36" s="167">
        <f t="shared" si="4"/>
        <v>31</v>
      </c>
      <c r="F36" s="169"/>
      <c r="G36" s="170"/>
      <c r="H36" s="170"/>
      <c r="I36" s="170"/>
      <c r="J36" s="170"/>
      <c r="K36" s="171"/>
      <c r="L36" s="170"/>
      <c r="M36" s="170">
        <f>IFERROR(_xlfn.XLOOKUP($A36,Input_Raw!$A:$A,Input_Raw!BG:BG),"")</f>
        <v>6.8016639977980118</v>
      </c>
      <c r="N36" s="170">
        <f>IFERROR(_xlfn.XLOOKUP($A36,Input_Raw!$A:$A,Input_Raw!BH:BH),"")</f>
        <v>0</v>
      </c>
      <c r="O36" s="173">
        <f t="shared" si="5"/>
        <v>0.98160365542674055</v>
      </c>
      <c r="P36" s="173">
        <f>IFERROR(1-SUMIF(WTG_BD!$F:$F,$A36,WTG_BD!$AA:$AA)/($AA36+SUMIF(WTG_BD!$F:$F,$A36,WTG_BD!$AA:$AA)),"")</f>
        <v>0.98160365542674055</v>
      </c>
      <c r="Q36" s="173">
        <f>IFERROR(1-SUMIF(IGA_BD!$F:$F,$A36,IGA_BD!$X:$X)/($AA36+SUMIF(IGA_BD!$F:$F,$A36,IGA_BD!$X:$X)),"")</f>
        <v>1</v>
      </c>
      <c r="R36" s="173">
        <f>IFERROR(1-SUMIF(Grid_BD!$F:$F,$A36,Grid_BD!$Y:$Y)/($AA36+SUMIF(Grid_BD!$F:$F,$A36,Grid_BD!$Y:$Y)),"")</f>
        <v>1</v>
      </c>
      <c r="S36" s="167"/>
      <c r="T36" s="172"/>
      <c r="U36" s="173"/>
      <c r="V36" s="167"/>
      <c r="W36" s="174">
        <f t="shared" si="6"/>
        <v>0.40464743589743585</v>
      </c>
      <c r="X36" s="167">
        <f>IFERROR(_xlfn.XLOOKUP($A36,Input_Raw!$A:$A,Input_Raw!$BF:$BF),"")</f>
        <v>732600</v>
      </c>
      <c r="Y36" s="167">
        <f>IFERROR(_xlfn.XLOOKUP($A36,Input_Raw!$A:$A,Input_Raw!BJ:BJ),"")</f>
        <v>681750</v>
      </c>
      <c r="Z36" s="167">
        <f>IFERROR(_xlfn.XLOOKUP($A36,Input_Raw!$A:$A,Input_Raw!BK:BK),"")</f>
        <v>0</v>
      </c>
      <c r="AA36" s="167">
        <f>IFERROR(_xlfn.XLOOKUP($A36,Input_Raw!$A:$A,Input_Raw!BL:BL),"")</f>
        <v>681750</v>
      </c>
      <c r="AB36" s="167">
        <f>IFERROR(_xlfn.XLOOKUP($A36,Input_Raw!$A:$A,Input_Raw!$BO:$BO),"")</f>
        <v>70.2</v>
      </c>
      <c r="AC36" s="176">
        <f>IFERROR(_xlfn.XLOOKUP($D36,'Modelling New'!$D:$D,'Modelling New'!$J:$J),"")</f>
        <v>7.19</v>
      </c>
      <c r="AD36" s="166">
        <f>IFERROR(_xlfn.XLOOKUP($D36,'Modelling New'!$D:$D,'Modelling New'!$T:$T)*1000,"")</f>
        <v>908711.4041379313</v>
      </c>
      <c r="AE36" s="174"/>
      <c r="AF36" s="174">
        <f>IFERROR(_xlfn.XLOOKUP($D36,'Modelling New'!$D:$D,'Modelling New'!$W:$W),"")</f>
        <v>0.53935862068965523</v>
      </c>
      <c r="AG36" s="174">
        <f>IFERROR(_xlfn.XLOOKUP($D36,'Modelling New'!$D:$D,'Modelling New'!$AE:$AE),"")</f>
        <v>0.96029999999999993</v>
      </c>
      <c r="AH36" s="174">
        <f>IFERROR(_xlfn.XLOOKUP($D36,'Modelling New'!$D:$D,'Modelling New'!$AF:$AF),"")</f>
        <v>0.995</v>
      </c>
      <c r="AI36" s="177">
        <f>IFERROR(_xlfn.XLOOKUP($A36,Input_Raw!$A:$A,Input_Raw!$BQ:$BQ),"")</f>
        <v>781.68</v>
      </c>
      <c r="AJ36" s="167"/>
      <c r="AK36" s="167"/>
      <c r="AL36" s="167"/>
      <c r="AM36" s="167"/>
      <c r="AN36" s="175">
        <f>IFERROR(_xlfn.XLOOKUP($A36,Input_Raw!$A:$A,Input_Raw!$BN:$BN),"")</f>
        <v>6.9410319410319415E-2</v>
      </c>
      <c r="AO36" s="174">
        <f>IFERROR((_xlfn.XLOOKUP($A36,'WTG Reactive Power'!$A:$A,'WTG Reactive Power'!$AE:$AE))/Table13[[#This Row],[Gen_Exp (kWh)]],"")</f>
        <v>3.0709527709527713E-3</v>
      </c>
      <c r="AP36" s="174">
        <f>IFERROR(_xlfn.XLOOKUP($D36,'Modelling New'!$D:$D,'Modelling New'!$AK:$AK),"")</f>
        <v>0.05</v>
      </c>
      <c r="AQ36" s="174">
        <f>IFERROR(_xlfn.XLOOKUP($D36,'Modelling New'!$D:$D,'Modelling New'!$AL:$AL),"")</f>
        <v>0.05</v>
      </c>
      <c r="AR36" s="276">
        <f>IFERROR(_xlfn.XLOOKUP($D36,'Modelling New'!$D:$D,'Modelling New'!$N:$N),"")</f>
        <v>70.2</v>
      </c>
      <c r="AS36" s="276"/>
    </row>
    <row r="37" spans="1:45">
      <c r="A37" s="165">
        <f t="shared" si="7"/>
        <v>45780</v>
      </c>
      <c r="B37" s="166">
        <f>YEAR(Table13[[#This Row],[Date]])+IF(MONTH(Table13[[#This Row],[Date]])&gt;=4,1,0)</f>
        <v>2026</v>
      </c>
      <c r="C37" s="167">
        <f>YEAR(Table13[[#This Row],[Date]])</f>
        <v>2025</v>
      </c>
      <c r="D37" s="168">
        <f>Table13[[#This Row],[Date]]-DAY(Table13[[#This Row],[Date]])+1</f>
        <v>45778</v>
      </c>
      <c r="E37" s="167">
        <f t="shared" si="4"/>
        <v>31</v>
      </c>
      <c r="F37" s="169"/>
      <c r="G37" s="176"/>
      <c r="H37" s="176"/>
      <c r="I37" s="176"/>
      <c r="J37" s="176"/>
      <c r="K37" s="171"/>
      <c r="L37" s="170"/>
      <c r="M37" s="170">
        <f>IFERROR(_xlfn.XLOOKUP($A37,Input_Raw!$A:$A,Input_Raw!BG:BG),"")</f>
        <v>8.656769918903624</v>
      </c>
      <c r="N37" s="170">
        <f>IFERROR(_xlfn.XLOOKUP($A37,Input_Raw!$A:$A,Input_Raw!BH:BH),"")</f>
        <v>0</v>
      </c>
      <c r="O37" s="173">
        <f t="shared" si="5"/>
        <v>0.95584783816208319</v>
      </c>
      <c r="P37" s="173">
        <f>IFERROR(1-SUMIF(WTG_BD!$F:$F,$A37,WTG_BD!$AA:$AA)/($AA37+SUMIF(WTG_BD!$F:$F,$A37,WTG_BD!$AA:$AA)),"")</f>
        <v>0.95584783816208319</v>
      </c>
      <c r="Q37" s="173">
        <f>IFERROR(1-SUMIF(IGA_BD!$F:$F,$A37,IGA_BD!$X:$X)/($AA37+SUMIF(IGA_BD!$F:$F,$A37,IGA_BD!$X:$X)),"")</f>
        <v>1</v>
      </c>
      <c r="R37" s="173">
        <f>IFERROR(1-SUMIF(Grid_BD!$F:$F,$A37,Grid_BD!$Y:$Y)/($AA37+SUMIF(Grid_BD!$F:$F,$A37,Grid_BD!$Y:$Y)),"")</f>
        <v>1</v>
      </c>
      <c r="S37" s="167"/>
      <c r="T37" s="172"/>
      <c r="U37" s="173"/>
      <c r="V37" s="167"/>
      <c r="W37" s="174">
        <f t="shared" si="6"/>
        <v>0.63755341880341876</v>
      </c>
      <c r="X37" s="167">
        <f>IFERROR(_xlfn.XLOOKUP($A37,Input_Raw!$A:$A,Input_Raw!$BF:$BF),"")</f>
        <v>1085131</v>
      </c>
      <c r="Y37" s="167">
        <f>IFERROR(_xlfn.XLOOKUP($A37,Input_Raw!$A:$A,Input_Raw!BJ:BJ),"")</f>
        <v>1074150</v>
      </c>
      <c r="Z37" s="167">
        <f>IFERROR(_xlfn.XLOOKUP($A37,Input_Raw!$A:$A,Input_Raw!BK:BK),"")</f>
        <v>0</v>
      </c>
      <c r="AA37" s="167">
        <f>IFERROR(_xlfn.XLOOKUP($A37,Input_Raw!$A:$A,Input_Raw!BL:BL),"")</f>
        <v>1074150</v>
      </c>
      <c r="AB37" s="167">
        <f>IFERROR(_xlfn.XLOOKUP($A37,Input_Raw!$A:$A,Input_Raw!$BO:$BO),"")</f>
        <v>70.2</v>
      </c>
      <c r="AC37" s="176">
        <f>IFERROR(_xlfn.XLOOKUP($D37,'Modelling New'!$D:$D,'Modelling New'!$J:$J),"")</f>
        <v>7.19</v>
      </c>
      <c r="AD37" s="166">
        <f>IFERROR(_xlfn.XLOOKUP($D37,'Modelling New'!$D:$D,'Modelling New'!$T:$T)*1000,"")</f>
        <v>908711.4041379313</v>
      </c>
      <c r="AE37" s="174"/>
      <c r="AF37" s="174">
        <f>IFERROR(_xlfn.XLOOKUP($D37,'Modelling New'!$D:$D,'Modelling New'!$W:$W),"")</f>
        <v>0.53935862068965523</v>
      </c>
      <c r="AG37" s="174">
        <f>IFERROR(_xlfn.XLOOKUP($D37,'Modelling New'!$D:$D,'Modelling New'!$AE:$AE),"")</f>
        <v>0.96029999999999993</v>
      </c>
      <c r="AH37" s="174">
        <f>IFERROR(_xlfn.XLOOKUP($D37,'Modelling New'!$D:$D,'Modelling New'!$AF:$AF),"")</f>
        <v>0.995</v>
      </c>
      <c r="AI37" s="177">
        <f>IFERROR(_xlfn.XLOOKUP($A37,Input_Raw!$A:$A,Input_Raw!$BQ:$BQ),"")</f>
        <v>1224.47</v>
      </c>
      <c r="AJ37" s="167"/>
      <c r="AK37" s="167"/>
      <c r="AL37" s="167"/>
      <c r="AM37" s="167"/>
      <c r="AN37" s="175">
        <f>IFERROR(_xlfn.XLOOKUP($A37,Input_Raw!$A:$A,Input_Raw!$BN:$BN),"")</f>
        <v>1.0119515523932133E-2</v>
      </c>
      <c r="AO37" s="174">
        <f>IFERROR((_xlfn.XLOOKUP($A37,'WTG Reactive Power'!$A:$A,'WTG Reactive Power'!$AE:$AE))/Table13[[#This Row],[Gen_Exp (kWh)]],"")</f>
        <v>2.6540519070969305E-2</v>
      </c>
      <c r="AP37" s="174">
        <f>IFERROR(_xlfn.XLOOKUP($D37,'Modelling New'!$D:$D,'Modelling New'!$AK:$AK),"")</f>
        <v>0.05</v>
      </c>
      <c r="AQ37" s="174">
        <f>IFERROR(_xlfn.XLOOKUP($D37,'Modelling New'!$D:$D,'Modelling New'!$AL:$AL),"")</f>
        <v>0.05</v>
      </c>
      <c r="AR37" s="276">
        <f>IFERROR(_xlfn.XLOOKUP($D37,'Modelling New'!$D:$D,'Modelling New'!$N:$N),"")</f>
        <v>70.2</v>
      </c>
      <c r="AS37" s="276"/>
    </row>
    <row r="38" spans="1:45">
      <c r="A38" s="165">
        <f t="shared" si="7"/>
        <v>45781</v>
      </c>
      <c r="B38" s="166">
        <f>YEAR(Table13[[#This Row],[Date]])+IF(MONTH(Table13[[#This Row],[Date]])&gt;=4,1,0)</f>
        <v>2026</v>
      </c>
      <c r="C38" s="167">
        <f>YEAR(Table13[[#This Row],[Date]])</f>
        <v>2025</v>
      </c>
      <c r="D38" s="168">
        <f>Table13[[#This Row],[Date]]-DAY(Table13[[#This Row],[Date]])+1</f>
        <v>45778</v>
      </c>
      <c r="E38" s="167">
        <f t="shared" si="4"/>
        <v>31</v>
      </c>
      <c r="F38" s="169"/>
      <c r="G38" s="170"/>
      <c r="H38" s="170"/>
      <c r="I38" s="170"/>
      <c r="J38" s="170"/>
      <c r="K38" s="171"/>
      <c r="L38" s="170"/>
      <c r="M38" s="170">
        <f>IFERROR(_xlfn.XLOOKUP($A38,Input_Raw!$A:$A,Input_Raw!BG:BG),"")</f>
        <v>6.7651995991986684</v>
      </c>
      <c r="N38" s="170">
        <f>IFERROR(_xlfn.XLOOKUP($A38,Input_Raw!$A:$A,Input_Raw!BH:BH),"")</f>
        <v>0</v>
      </c>
      <c r="O38" s="173">
        <f t="shared" si="5"/>
        <v>0.96806163003973555</v>
      </c>
      <c r="P38" s="173">
        <f>IFERROR(1-SUMIF(WTG_BD!$F:$F,$A38,WTG_BD!$AA:$AA)/($AA38+SUMIF(WTG_BD!$F:$F,$A38,WTG_BD!$AA:$AA)),"")</f>
        <v>0.96806163003973555</v>
      </c>
      <c r="Q38" s="173">
        <f>IFERROR(1-SUMIF(IGA_BD!$F:$F,$A38,IGA_BD!$X:$X)/($AA38+SUMIF(IGA_BD!$F:$F,$A38,IGA_BD!$X:$X)),"")</f>
        <v>1</v>
      </c>
      <c r="R38" s="173">
        <f>IFERROR(1-SUMIF(Grid_BD!$F:$F,$A38,Grid_BD!$Y:$Y)/($AA38+SUMIF(Grid_BD!$F:$F,$A38,Grid_BD!$Y:$Y)),"")</f>
        <v>1</v>
      </c>
      <c r="S38" s="167"/>
      <c r="T38" s="172"/>
      <c r="U38" s="173"/>
      <c r="V38" s="167"/>
      <c r="W38" s="174">
        <f t="shared" si="6"/>
        <v>0.40678418803418798</v>
      </c>
      <c r="X38" s="167">
        <f>IFERROR(_xlfn.XLOOKUP($A38,Input_Raw!$A:$A,Input_Raw!$BF:$BF),"")</f>
        <v>711947</v>
      </c>
      <c r="Y38" s="167">
        <f>IFERROR(_xlfn.XLOOKUP($A38,Input_Raw!$A:$A,Input_Raw!BJ:BJ),"")</f>
        <v>685800</v>
      </c>
      <c r="Z38" s="167">
        <f>IFERROR(_xlfn.XLOOKUP($A38,Input_Raw!$A:$A,Input_Raw!BK:BK),"")</f>
        <v>450</v>
      </c>
      <c r="AA38" s="167">
        <f>IFERROR(_xlfn.XLOOKUP($A38,Input_Raw!$A:$A,Input_Raw!BL:BL),"")</f>
        <v>685350</v>
      </c>
      <c r="AB38" s="167">
        <f>IFERROR(_xlfn.XLOOKUP($A38,Input_Raw!$A:$A,Input_Raw!$BO:$BO),"")</f>
        <v>70.2</v>
      </c>
      <c r="AC38" s="176">
        <f>IFERROR(_xlfn.XLOOKUP($D38,'Modelling New'!$D:$D,'Modelling New'!$J:$J),"")</f>
        <v>7.19</v>
      </c>
      <c r="AD38" s="166">
        <f>IFERROR(_xlfn.XLOOKUP($D38,'Modelling New'!$D:$D,'Modelling New'!$T:$T)*1000,"")</f>
        <v>908711.4041379313</v>
      </c>
      <c r="AE38" s="174"/>
      <c r="AF38" s="174">
        <f>IFERROR(_xlfn.XLOOKUP($D38,'Modelling New'!$D:$D,'Modelling New'!$W:$W),"")</f>
        <v>0.53935862068965523</v>
      </c>
      <c r="AG38" s="174">
        <f>IFERROR(_xlfn.XLOOKUP($D38,'Modelling New'!$D:$D,'Modelling New'!$AE:$AE),"")</f>
        <v>0.96029999999999993</v>
      </c>
      <c r="AH38" s="174">
        <f>IFERROR(_xlfn.XLOOKUP($D38,'Modelling New'!$D:$D,'Modelling New'!$AF:$AF),"")</f>
        <v>0.995</v>
      </c>
      <c r="AI38" s="177">
        <f>IFERROR(_xlfn.XLOOKUP($A38,Input_Raw!$A:$A,Input_Raw!$BQ:$BQ),"")</f>
        <v>773.86</v>
      </c>
      <c r="AJ38" s="167"/>
      <c r="AK38" s="167"/>
      <c r="AL38" s="167"/>
      <c r="AM38" s="167"/>
      <c r="AN38" s="175">
        <f>IFERROR(_xlfn.XLOOKUP($A38,Input_Raw!$A:$A,Input_Raw!$BN:$BN),"")</f>
        <v>3.6726048427762177E-2</v>
      </c>
      <c r="AO38" s="174">
        <f>IFERROR((_xlfn.XLOOKUP($A38,'WTG Reactive Power'!$A:$A,'WTG Reactive Power'!$AE:$AE))/Table13[[#This Row],[Gen_Exp (kWh)]],"")</f>
        <v>2.9075057553441482E-2</v>
      </c>
      <c r="AP38" s="174">
        <f>IFERROR(_xlfn.XLOOKUP($D38,'Modelling New'!$D:$D,'Modelling New'!$AK:$AK),"")</f>
        <v>0.05</v>
      </c>
      <c r="AQ38" s="174">
        <f>IFERROR(_xlfn.XLOOKUP($D38,'Modelling New'!$D:$D,'Modelling New'!$AL:$AL),"")</f>
        <v>0.05</v>
      </c>
      <c r="AR38" s="276">
        <f>IFERROR(_xlfn.XLOOKUP($D38,'Modelling New'!$D:$D,'Modelling New'!$N:$N),"")</f>
        <v>70.2</v>
      </c>
      <c r="AS38" s="276"/>
    </row>
    <row r="39" spans="1:45">
      <c r="A39" s="165">
        <f t="shared" si="7"/>
        <v>45782</v>
      </c>
      <c r="B39" s="166">
        <f>YEAR(Table13[[#This Row],[Date]])+IF(MONTH(Table13[[#This Row],[Date]])&gt;=4,1,0)</f>
        <v>2026</v>
      </c>
      <c r="C39" s="167">
        <f>YEAR(Table13[[#This Row],[Date]])</f>
        <v>2025</v>
      </c>
      <c r="D39" s="168">
        <f>Table13[[#This Row],[Date]]-DAY(Table13[[#This Row],[Date]])+1</f>
        <v>45778</v>
      </c>
      <c r="E39" s="167">
        <f t="shared" si="4"/>
        <v>31</v>
      </c>
      <c r="F39" s="169"/>
      <c r="G39" s="176"/>
      <c r="H39" s="176"/>
      <c r="I39" s="176"/>
      <c r="J39" s="176"/>
      <c r="K39" s="171"/>
      <c r="L39" s="170"/>
      <c r="M39" s="170">
        <f>IFERROR(_xlfn.XLOOKUP($A39,Input_Raw!$A:$A,Input_Raw!BG:BG),"")</f>
        <v>7.2849465804731652</v>
      </c>
      <c r="N39" s="170">
        <f>IFERROR(_xlfn.XLOOKUP($A39,Input_Raw!$A:$A,Input_Raw!BH:BH),"")</f>
        <v>0</v>
      </c>
      <c r="O39" s="173">
        <f t="shared" si="5"/>
        <v>0.98302808596824287</v>
      </c>
      <c r="P39" s="173">
        <f>IFERROR(1-SUMIF(WTG_BD!$F:$F,$A39,WTG_BD!$AA:$AA)/($AA39+SUMIF(WTG_BD!$F:$F,$A39,WTG_BD!$AA:$AA)),"")</f>
        <v>0.98302808596824287</v>
      </c>
      <c r="Q39" s="173">
        <f>IFERROR(1-SUMIF(IGA_BD!$F:$F,$A39,IGA_BD!$X:$X)/($AA39+SUMIF(IGA_BD!$F:$F,$A39,IGA_BD!$X:$X)),"")</f>
        <v>1</v>
      </c>
      <c r="R39" s="173">
        <f>IFERROR(1-SUMIF(Grid_BD!$F:$F,$A39,Grid_BD!$Y:$Y)/($AA39+SUMIF(Grid_BD!$F:$F,$A39,Grid_BD!$Y:$Y)),"")</f>
        <v>1</v>
      </c>
      <c r="S39" s="167"/>
      <c r="T39" s="172"/>
      <c r="U39" s="173"/>
      <c r="V39" s="167"/>
      <c r="W39" s="174">
        <f t="shared" si="6"/>
        <v>0.44017094017094011</v>
      </c>
      <c r="X39" s="167">
        <f>IFERROR(_xlfn.XLOOKUP($A39,Input_Raw!$A:$A,Input_Raw!$BF:$BF),"")</f>
        <v>767792</v>
      </c>
      <c r="Y39" s="167">
        <f>IFERROR(_xlfn.XLOOKUP($A39,Input_Raw!$A:$A,Input_Raw!BJ:BJ),"")</f>
        <v>741600</v>
      </c>
      <c r="Z39" s="167">
        <f>IFERROR(_xlfn.XLOOKUP($A39,Input_Raw!$A:$A,Input_Raw!BK:BK),"")</f>
        <v>0</v>
      </c>
      <c r="AA39" s="167">
        <f>IFERROR(_xlfn.XLOOKUP($A39,Input_Raw!$A:$A,Input_Raw!BL:BL),"")</f>
        <v>741600</v>
      </c>
      <c r="AB39" s="167">
        <f>IFERROR(_xlfn.XLOOKUP($A39,Input_Raw!$A:$A,Input_Raw!$BO:$BO),"")</f>
        <v>70.2</v>
      </c>
      <c r="AC39" s="176">
        <f>IFERROR(_xlfn.XLOOKUP($D39,'Modelling New'!$D:$D,'Modelling New'!$J:$J),"")</f>
        <v>7.19</v>
      </c>
      <c r="AD39" s="166">
        <f>IFERROR(_xlfn.XLOOKUP($D39,'Modelling New'!$D:$D,'Modelling New'!$T:$T)*1000,"")</f>
        <v>908711.4041379313</v>
      </c>
      <c r="AE39" s="174"/>
      <c r="AF39" s="174">
        <f>IFERROR(_xlfn.XLOOKUP($D39,'Modelling New'!$D:$D,'Modelling New'!$W:$W),"")</f>
        <v>0.53935862068965523</v>
      </c>
      <c r="AG39" s="174">
        <f>IFERROR(_xlfn.XLOOKUP($D39,'Modelling New'!$D:$D,'Modelling New'!$AE:$AE),"")</f>
        <v>0.96029999999999993</v>
      </c>
      <c r="AH39" s="174">
        <f>IFERROR(_xlfn.XLOOKUP($D39,'Modelling New'!$D:$D,'Modelling New'!$AF:$AF),"")</f>
        <v>0.995</v>
      </c>
      <c r="AI39" s="177">
        <f>IFERROR(_xlfn.XLOOKUP($A39,Input_Raw!$A:$A,Input_Raw!$BQ:$BQ),"")</f>
        <v>837.33</v>
      </c>
      <c r="AJ39" s="167"/>
      <c r="AK39" s="167"/>
      <c r="AL39" s="167"/>
      <c r="AM39" s="167"/>
      <c r="AN39" s="175">
        <f>IFERROR(_xlfn.XLOOKUP($A39,Input_Raw!$A:$A,Input_Raw!$BN:$BN),"")</f>
        <v>3.4113405714047557E-2</v>
      </c>
      <c r="AO39" s="174">
        <f>IFERROR((_xlfn.XLOOKUP($A39,'WTG Reactive Power'!$A:$A,'WTG Reactive Power'!$AE:$AE))/Table13[[#This Row],[Gen_Exp (kWh)]],"")</f>
        <v>2.9304655427511619E-2</v>
      </c>
      <c r="AP39" s="174">
        <f>IFERROR(_xlfn.XLOOKUP($D39,'Modelling New'!$D:$D,'Modelling New'!$AK:$AK),"")</f>
        <v>0.05</v>
      </c>
      <c r="AQ39" s="174">
        <f>IFERROR(_xlfn.XLOOKUP($D39,'Modelling New'!$D:$D,'Modelling New'!$AL:$AL),"")</f>
        <v>0.05</v>
      </c>
      <c r="AR39" s="276">
        <f>IFERROR(_xlfn.XLOOKUP($D39,'Modelling New'!$D:$D,'Modelling New'!$N:$N),"")</f>
        <v>70.2</v>
      </c>
      <c r="AS39" s="276"/>
    </row>
    <row r="40" spans="1:45">
      <c r="A40" s="165">
        <f t="shared" si="7"/>
        <v>45783</v>
      </c>
      <c r="B40" s="166">
        <f>YEAR(Table13[[#This Row],[Date]])+IF(MONTH(Table13[[#This Row],[Date]])&gt;=4,1,0)</f>
        <v>2026</v>
      </c>
      <c r="C40" s="167">
        <f>YEAR(Table13[[#This Row],[Date]])</f>
        <v>2025</v>
      </c>
      <c r="D40" s="168">
        <f>Table13[[#This Row],[Date]]-DAY(Table13[[#This Row],[Date]])+1</f>
        <v>45778</v>
      </c>
      <c r="E40" s="167">
        <f t="shared" si="4"/>
        <v>31</v>
      </c>
      <c r="F40" s="169"/>
      <c r="G40" s="170"/>
      <c r="H40" s="170"/>
      <c r="I40" s="170"/>
      <c r="J40" s="170"/>
      <c r="K40" s="171"/>
      <c r="L40" s="170"/>
      <c r="M40" s="170">
        <f>IFERROR(_xlfn.XLOOKUP($A40,Input_Raw!$A:$A,Input_Raw!BG:BG),"")</f>
        <v>6.8863246513857428</v>
      </c>
      <c r="N40" s="170">
        <f>IFERROR(_xlfn.XLOOKUP($A40,Input_Raw!$A:$A,Input_Raw!BH:BH),"")</f>
        <v>0</v>
      </c>
      <c r="O40" s="173">
        <f t="shared" si="5"/>
        <v>0.64525909754317412</v>
      </c>
      <c r="P40" s="173">
        <f>IFERROR(1-SUMIF(WTG_BD!$F:$F,$A40,WTG_BD!$AA:$AA)/($AA40+SUMIF(WTG_BD!$F:$F,$A40,WTG_BD!$AA:$AA)),"")</f>
        <v>0.89999581790383898</v>
      </c>
      <c r="Q40" s="173">
        <f>IFERROR(1-SUMIF(IGA_BD!$F:$F,$A40,IGA_BD!$X:$X)/($AA40+SUMIF(IGA_BD!$F:$F,$A40,IGA_BD!$X:$X)),"")</f>
        <v>0.71695788436665553</v>
      </c>
      <c r="R40" s="173">
        <f>IFERROR(1-SUMIF(Grid_BD!$F:$F,$A40,Grid_BD!$Y:$Y)/($AA40+SUMIF(Grid_BD!$F:$F,$A40,Grid_BD!$Y:$Y)),"")</f>
        <v>1</v>
      </c>
      <c r="S40" s="167"/>
      <c r="T40" s="172"/>
      <c r="U40" s="173"/>
      <c r="V40" s="167"/>
      <c r="W40" s="174">
        <f t="shared" si="6"/>
        <v>0.24492521367521364</v>
      </c>
      <c r="X40" s="167">
        <f>IFERROR(_xlfn.XLOOKUP($A40,Input_Raw!$A:$A,Input_Raw!$BF:$BF),"")</f>
        <v>425147</v>
      </c>
      <c r="Y40" s="167">
        <f>IFERROR(_xlfn.XLOOKUP($A40,Input_Raw!$A:$A,Input_Raw!BJ:BJ),"")</f>
        <v>412650</v>
      </c>
      <c r="Z40" s="167">
        <f>IFERROR(_xlfn.XLOOKUP($A40,Input_Raw!$A:$A,Input_Raw!BK:BK),"")</f>
        <v>0</v>
      </c>
      <c r="AA40" s="167">
        <f>IFERROR(_xlfn.XLOOKUP($A40,Input_Raw!$A:$A,Input_Raw!BL:BL),"")</f>
        <v>412650</v>
      </c>
      <c r="AB40" s="167">
        <f>IFERROR(_xlfn.XLOOKUP($A40,Input_Raw!$A:$A,Input_Raw!$BO:$BO),"")</f>
        <v>70.2</v>
      </c>
      <c r="AC40" s="176">
        <f>IFERROR(_xlfn.XLOOKUP($D40,'Modelling New'!$D:$D,'Modelling New'!$J:$J),"")</f>
        <v>7.19</v>
      </c>
      <c r="AD40" s="166">
        <f>IFERROR(_xlfn.XLOOKUP($D40,'Modelling New'!$D:$D,'Modelling New'!$T:$T)*1000,"")</f>
        <v>908711.4041379313</v>
      </c>
      <c r="AE40" s="174"/>
      <c r="AF40" s="174">
        <f>IFERROR(_xlfn.XLOOKUP($D40,'Modelling New'!$D:$D,'Modelling New'!$W:$W),"")</f>
        <v>0.53935862068965523</v>
      </c>
      <c r="AG40" s="174">
        <f>IFERROR(_xlfn.XLOOKUP($D40,'Modelling New'!$D:$D,'Modelling New'!$AE:$AE),"")</f>
        <v>0.96029999999999993</v>
      </c>
      <c r="AH40" s="174">
        <f>IFERROR(_xlfn.XLOOKUP($D40,'Modelling New'!$D:$D,'Modelling New'!$AF:$AF),"")</f>
        <v>0.995</v>
      </c>
      <c r="AI40" s="177">
        <f>IFERROR(_xlfn.XLOOKUP($A40,Input_Raw!$A:$A,Input_Raw!$BQ:$BQ),"")</f>
        <v>541.99</v>
      </c>
      <c r="AJ40" s="167"/>
      <c r="AK40" s="167"/>
      <c r="AL40" s="167"/>
      <c r="AM40" s="167"/>
      <c r="AN40" s="175">
        <f>IFERROR(_xlfn.XLOOKUP($A40,Input_Raw!$A:$A,Input_Raw!$BN:$BN),"")</f>
        <v>2.9394538830098765E-2</v>
      </c>
      <c r="AO40" s="174">
        <f>IFERROR((_xlfn.XLOOKUP($A40,'WTG Reactive Power'!$A:$A,'WTG Reactive Power'!$AE:$AE))/Table13[[#This Row],[Gen_Exp (kWh)]],"")</f>
        <v>5.2917696702552298E-3</v>
      </c>
      <c r="AP40" s="174">
        <f>IFERROR(_xlfn.XLOOKUP($D40,'Modelling New'!$D:$D,'Modelling New'!$AK:$AK),"")</f>
        <v>0.05</v>
      </c>
      <c r="AQ40" s="174">
        <f>IFERROR(_xlfn.XLOOKUP($D40,'Modelling New'!$D:$D,'Modelling New'!$AL:$AL),"")</f>
        <v>0.05</v>
      </c>
      <c r="AR40" s="276">
        <f>IFERROR(_xlfn.XLOOKUP($D40,'Modelling New'!$D:$D,'Modelling New'!$N:$N),"")</f>
        <v>70.2</v>
      </c>
      <c r="AS40" s="276"/>
    </row>
    <row r="41" spans="1:45">
      <c r="A41" s="165">
        <f t="shared" si="7"/>
        <v>45784</v>
      </c>
      <c r="B41" s="166">
        <f>YEAR(Table13[[#This Row],[Date]])+IF(MONTH(Table13[[#This Row],[Date]])&gt;=4,1,0)</f>
        <v>2026</v>
      </c>
      <c r="C41" s="167">
        <f>YEAR(Table13[[#This Row],[Date]])</f>
        <v>2025</v>
      </c>
      <c r="D41" s="168">
        <f>Table13[[#This Row],[Date]]-DAY(Table13[[#This Row],[Date]])+1</f>
        <v>45778</v>
      </c>
      <c r="E41" s="167">
        <f t="shared" si="4"/>
        <v>31</v>
      </c>
      <c r="F41" s="169"/>
      <c r="G41" s="176"/>
      <c r="H41" s="176"/>
      <c r="I41" s="176"/>
      <c r="J41" s="176"/>
      <c r="K41" s="171"/>
      <c r="L41" s="170"/>
      <c r="M41" s="170">
        <f>IFERROR(_xlfn.XLOOKUP($A41,Input_Raw!$A:$A,Input_Raw!BG:BG),"")</f>
        <v>5.8334462271515468</v>
      </c>
      <c r="N41" s="170">
        <f>IFERROR(_xlfn.XLOOKUP($A41,Input_Raw!$A:$A,Input_Raw!BH:BH),"")</f>
        <v>0</v>
      </c>
      <c r="O41" s="173">
        <f t="shared" si="5"/>
        <v>0.81494218235608573</v>
      </c>
      <c r="P41" s="173">
        <f>IFERROR(1-SUMIF(WTG_BD!$F:$F,$A41,WTG_BD!$AA:$AA)/($AA41+SUMIF(WTG_BD!$F:$F,$A41,WTG_BD!$AA:$AA)),"")</f>
        <v>0.87464463196849862</v>
      </c>
      <c r="Q41" s="173">
        <f>IFERROR(1-SUMIF(IGA_BD!$F:$F,$A41,IGA_BD!$X:$X)/($AA41+SUMIF(IGA_BD!$F:$F,$A41,IGA_BD!$X:$X)),"")</f>
        <v>0.93174090661478715</v>
      </c>
      <c r="R41" s="173">
        <f>IFERROR(1-SUMIF(Grid_BD!$F:$F,$A41,Grid_BD!$Y:$Y)/($AA41+SUMIF(Grid_BD!$F:$F,$A41,Grid_BD!$Y:$Y)),"")</f>
        <v>1</v>
      </c>
      <c r="S41" s="167"/>
      <c r="T41" s="172"/>
      <c r="U41" s="173"/>
      <c r="V41" s="167"/>
      <c r="W41" s="174">
        <f t="shared" si="6"/>
        <v>0.22382478632478631</v>
      </c>
      <c r="X41" s="167">
        <f>IFERROR(_xlfn.XLOOKUP($A41,Input_Raw!$A:$A,Input_Raw!$BF:$BF),"")</f>
        <v>391213</v>
      </c>
      <c r="Y41" s="167">
        <f>IFERROR(_xlfn.XLOOKUP($A41,Input_Raw!$A:$A,Input_Raw!BJ:BJ),"")</f>
        <v>377100</v>
      </c>
      <c r="Z41" s="167">
        <f>IFERROR(_xlfn.XLOOKUP($A41,Input_Raw!$A:$A,Input_Raw!BK:BK),"")</f>
        <v>0</v>
      </c>
      <c r="AA41" s="167">
        <f>IFERROR(_xlfn.XLOOKUP($A41,Input_Raw!$A:$A,Input_Raw!BL:BL),"")</f>
        <v>377100</v>
      </c>
      <c r="AB41" s="167">
        <f>IFERROR(_xlfn.XLOOKUP($A41,Input_Raw!$A:$A,Input_Raw!$BO:$BO),"")</f>
        <v>70.2</v>
      </c>
      <c r="AC41" s="176">
        <f>IFERROR(_xlfn.XLOOKUP($D41,'Modelling New'!$D:$D,'Modelling New'!$J:$J),"")</f>
        <v>7.19</v>
      </c>
      <c r="AD41" s="166">
        <f>IFERROR(_xlfn.XLOOKUP($D41,'Modelling New'!$D:$D,'Modelling New'!$T:$T)*1000,"")</f>
        <v>908711.4041379313</v>
      </c>
      <c r="AE41" s="174"/>
      <c r="AF41" s="174">
        <f>IFERROR(_xlfn.XLOOKUP($D41,'Modelling New'!$D:$D,'Modelling New'!$W:$W),"")</f>
        <v>0.53935862068965523</v>
      </c>
      <c r="AG41" s="174">
        <f>IFERROR(_xlfn.XLOOKUP($D41,'Modelling New'!$D:$D,'Modelling New'!$AE:$AE),"")</f>
        <v>0.96029999999999993</v>
      </c>
      <c r="AH41" s="174">
        <f>IFERROR(_xlfn.XLOOKUP($D41,'Modelling New'!$D:$D,'Modelling New'!$AF:$AF),"")</f>
        <v>0.995</v>
      </c>
      <c r="AI41" s="177">
        <f>IFERROR(_xlfn.XLOOKUP($A41,Input_Raw!$A:$A,Input_Raw!$BQ:$BQ),"")</f>
        <v>371.67</v>
      </c>
      <c r="AJ41" s="167"/>
      <c r="AK41" s="167"/>
      <c r="AL41" s="167"/>
      <c r="AM41" s="167"/>
      <c r="AN41" s="175">
        <f>IFERROR(_xlfn.XLOOKUP($A41,Input_Raw!$A:$A,Input_Raw!$BN:$BN),"")</f>
        <v>3.6074977058533332E-2</v>
      </c>
      <c r="AO41" s="174">
        <f>IFERROR((_xlfn.XLOOKUP($A41,'WTG Reactive Power'!$A:$A,'WTG Reactive Power'!$AE:$AE))/Table13[[#This Row],[Gen_Exp (kWh)]],"")</f>
        <v>5.4062518372344444E-2</v>
      </c>
      <c r="AP41" s="174">
        <f>IFERROR(_xlfn.XLOOKUP($D41,'Modelling New'!$D:$D,'Modelling New'!$AK:$AK),"")</f>
        <v>0.05</v>
      </c>
      <c r="AQ41" s="174">
        <f>IFERROR(_xlfn.XLOOKUP($D41,'Modelling New'!$D:$D,'Modelling New'!$AL:$AL),"")</f>
        <v>0.05</v>
      </c>
      <c r="AR41" s="276">
        <f>IFERROR(_xlfn.XLOOKUP($D41,'Modelling New'!$D:$D,'Modelling New'!$N:$N),"")</f>
        <v>70.2</v>
      </c>
      <c r="AS41" s="276"/>
    </row>
    <row r="42" spans="1:45">
      <c r="A42" s="165">
        <f t="shared" si="7"/>
        <v>45785</v>
      </c>
      <c r="B42" s="166">
        <f>YEAR(Table13[[#This Row],[Date]])+IF(MONTH(Table13[[#This Row],[Date]])&gt;=4,1,0)</f>
        <v>2026</v>
      </c>
      <c r="C42" s="167">
        <f>YEAR(Table13[[#This Row],[Date]])</f>
        <v>2025</v>
      </c>
      <c r="D42" s="168">
        <f>Table13[[#This Row],[Date]]-DAY(Table13[[#This Row],[Date]])+1</f>
        <v>45778</v>
      </c>
      <c r="E42" s="167">
        <f t="shared" si="4"/>
        <v>31</v>
      </c>
      <c r="F42" s="169"/>
      <c r="G42" s="170"/>
      <c r="H42" s="170"/>
      <c r="I42" s="170"/>
      <c r="J42" s="170"/>
      <c r="K42" s="171"/>
      <c r="L42" s="170"/>
      <c r="M42" s="170">
        <f>IFERROR(_xlfn.XLOOKUP($A42,Input_Raw!$A:$A,Input_Raw!BG:BG),"")</f>
        <v>4.1440249624271237</v>
      </c>
      <c r="N42" s="170">
        <f>IFERROR(_xlfn.XLOOKUP($A42,Input_Raw!$A:$A,Input_Raw!BH:BH),"")</f>
        <v>0</v>
      </c>
      <c r="O42" s="173">
        <f t="shared" si="5"/>
        <v>0.96717003076525665</v>
      </c>
      <c r="P42" s="173">
        <f>IFERROR(1-SUMIF(WTG_BD!$F:$F,$A42,WTG_BD!$AA:$AA)/($AA42+SUMIF(WTG_BD!$F:$F,$A42,WTG_BD!$AA:$AA)),"")</f>
        <v>0.98117392775689927</v>
      </c>
      <c r="Q42" s="173">
        <f>IFERROR(1-SUMIF(IGA_BD!$F:$F,$A42,IGA_BD!$X:$X)/($AA42+SUMIF(IGA_BD!$F:$F,$A42,IGA_BD!$X:$X)),"")</f>
        <v>0.98572740612496967</v>
      </c>
      <c r="R42" s="173">
        <f>IFERROR(1-SUMIF(Grid_BD!$F:$F,$A42,Grid_BD!$Y:$Y)/($AA42+SUMIF(Grid_BD!$F:$F,$A42,Grid_BD!$Y:$Y)),"")</f>
        <v>1</v>
      </c>
      <c r="S42" s="167"/>
      <c r="T42" s="172"/>
      <c r="U42" s="173"/>
      <c r="V42" s="167"/>
      <c r="W42" s="174">
        <f t="shared" si="6"/>
        <v>0.11084401709401707</v>
      </c>
      <c r="X42" s="167">
        <f>IFERROR(_xlfn.XLOOKUP($A42,Input_Raw!$A:$A,Input_Raw!$BF:$BF),"")</f>
        <v>194603</v>
      </c>
      <c r="Y42" s="167">
        <f>IFERROR(_xlfn.XLOOKUP($A42,Input_Raw!$A:$A,Input_Raw!BJ:BJ),"")</f>
        <v>187200</v>
      </c>
      <c r="Z42" s="167">
        <f>IFERROR(_xlfn.XLOOKUP($A42,Input_Raw!$A:$A,Input_Raw!BK:BK),"")</f>
        <v>450</v>
      </c>
      <c r="AA42" s="167">
        <f>IFERROR(_xlfn.XLOOKUP($A42,Input_Raw!$A:$A,Input_Raw!BL:BL),"")</f>
        <v>186750</v>
      </c>
      <c r="AB42" s="167">
        <f>IFERROR(_xlfn.XLOOKUP($A42,Input_Raw!$A:$A,Input_Raw!$BO:$BO),"")</f>
        <v>70.2</v>
      </c>
      <c r="AC42" s="176">
        <f>IFERROR(_xlfn.XLOOKUP($D42,'Modelling New'!$D:$D,'Modelling New'!$J:$J),"")</f>
        <v>7.19</v>
      </c>
      <c r="AD42" s="166">
        <f>IFERROR(_xlfn.XLOOKUP($D42,'Modelling New'!$D:$D,'Modelling New'!$T:$T)*1000,"")</f>
        <v>908711.4041379313</v>
      </c>
      <c r="AE42" s="174"/>
      <c r="AF42" s="174">
        <f>IFERROR(_xlfn.XLOOKUP($D42,'Modelling New'!$D:$D,'Modelling New'!$W:$W),"")</f>
        <v>0.53935862068965523</v>
      </c>
      <c r="AG42" s="174">
        <f>IFERROR(_xlfn.XLOOKUP($D42,'Modelling New'!$D:$D,'Modelling New'!$AE:$AE),"")</f>
        <v>0.96029999999999993</v>
      </c>
      <c r="AH42" s="174">
        <f>IFERROR(_xlfn.XLOOKUP($D42,'Modelling New'!$D:$D,'Modelling New'!$AF:$AF),"")</f>
        <v>0.995</v>
      </c>
      <c r="AI42" s="177">
        <f>IFERROR(_xlfn.XLOOKUP($A42,Input_Raw!$A:$A,Input_Raw!$BQ:$BQ),"")</f>
        <v>194.40299999999999</v>
      </c>
      <c r="AJ42" s="167"/>
      <c r="AK42" s="167"/>
      <c r="AL42" s="167"/>
      <c r="AM42" s="167"/>
      <c r="AN42" s="175">
        <f>IFERROR(_xlfn.XLOOKUP($A42,Input_Raw!$A:$A,Input_Raw!$BN:$BN),"")</f>
        <v>3.8041551260771932E-2</v>
      </c>
      <c r="AO42" s="174">
        <f>IFERROR((_xlfn.XLOOKUP($A42,'WTG Reactive Power'!$A:$A,'WTG Reactive Power'!$AE:$AE))/Table13[[#This Row],[Gen_Exp (kWh)]],"")</f>
        <v>2.3113723837762017E-3</v>
      </c>
      <c r="AP42" s="174">
        <f>IFERROR(_xlfn.XLOOKUP($D42,'Modelling New'!$D:$D,'Modelling New'!$AK:$AK),"")</f>
        <v>0.05</v>
      </c>
      <c r="AQ42" s="174">
        <f>IFERROR(_xlfn.XLOOKUP($D42,'Modelling New'!$D:$D,'Modelling New'!$AL:$AL),"")</f>
        <v>0.05</v>
      </c>
      <c r="AR42" s="276">
        <f>IFERROR(_xlfn.XLOOKUP($D42,'Modelling New'!$D:$D,'Modelling New'!$N:$N),"")</f>
        <v>70.2</v>
      </c>
      <c r="AS42" s="276"/>
    </row>
    <row r="43" spans="1:45">
      <c r="A43" s="165">
        <f t="shared" si="7"/>
        <v>45786</v>
      </c>
      <c r="B43" s="166">
        <f>YEAR(Table13[[#This Row],[Date]])+IF(MONTH(Table13[[#This Row],[Date]])&gt;=4,1,0)</f>
        <v>2026</v>
      </c>
      <c r="C43" s="167">
        <f>YEAR(Table13[[#This Row],[Date]])</f>
        <v>2025</v>
      </c>
      <c r="D43" s="168">
        <f>Table13[[#This Row],[Date]]-DAY(Table13[[#This Row],[Date]])+1</f>
        <v>45778</v>
      </c>
      <c r="E43" s="167">
        <f t="shared" si="4"/>
        <v>31</v>
      </c>
      <c r="F43" s="169"/>
      <c r="G43" s="176"/>
      <c r="H43" s="176"/>
      <c r="I43" s="176"/>
      <c r="J43" s="176"/>
      <c r="K43" s="171"/>
      <c r="L43" s="170"/>
      <c r="M43" s="170">
        <f>IFERROR(_xlfn.XLOOKUP($A43,Input_Raw!$A:$A,Input_Raw!BG:BG),"")</f>
        <v>4.2123076923076939</v>
      </c>
      <c r="N43" s="170">
        <f>IFERROR(_xlfn.XLOOKUP($A43,Input_Raw!$A:$A,Input_Raw!BH:BH),"")</f>
        <v>0</v>
      </c>
      <c r="O43" s="173">
        <f t="shared" si="5"/>
        <v>0.95958561016616717</v>
      </c>
      <c r="P43" s="173">
        <f>IFERROR(1-SUMIF(WTG_BD!$F:$F,$A43,WTG_BD!$AA:$AA)/($AA43+SUMIF(WTG_BD!$F:$F,$A43,WTG_BD!$AA:$AA)),"")</f>
        <v>0.99714864176786566</v>
      </c>
      <c r="Q43" s="173">
        <f>IFERROR(1-SUMIF(IGA_BD!$F:$F,$A43,IGA_BD!$X:$X)/($AA43+SUMIF(IGA_BD!$F:$F,$A43,IGA_BD!$X:$X)),"")</f>
        <v>0.96232955646903129</v>
      </c>
      <c r="R43" s="173">
        <f>IFERROR(1-SUMIF(Grid_BD!$F:$F,$A43,Grid_BD!$Y:$Y)/($AA43+SUMIF(Grid_BD!$F:$F,$A43,Grid_BD!$Y:$Y)),"")</f>
        <v>1</v>
      </c>
      <c r="S43" s="167"/>
      <c r="T43" s="172"/>
      <c r="U43" s="173"/>
      <c r="V43" s="167"/>
      <c r="W43" s="174">
        <f t="shared" si="6"/>
        <v>0.12473290598290597</v>
      </c>
      <c r="X43" s="167">
        <f>IFERROR(_xlfn.XLOOKUP($A43,Input_Raw!$A:$A,Input_Raw!$BF:$BF),"")</f>
        <v>218799</v>
      </c>
      <c r="Y43" s="167">
        <f>IFERROR(_xlfn.XLOOKUP($A43,Input_Raw!$A:$A,Input_Raw!BJ:BJ),"")</f>
        <v>210150</v>
      </c>
      <c r="Z43" s="167">
        <f>IFERROR(_xlfn.XLOOKUP($A43,Input_Raw!$A:$A,Input_Raw!BK:BK),"")</f>
        <v>0</v>
      </c>
      <c r="AA43" s="167">
        <f>IFERROR(_xlfn.XLOOKUP($A43,Input_Raw!$A:$A,Input_Raw!BL:BL),"")</f>
        <v>210150</v>
      </c>
      <c r="AB43" s="167">
        <f>IFERROR(_xlfn.XLOOKUP($A43,Input_Raw!$A:$A,Input_Raw!$BO:$BO),"")</f>
        <v>70.2</v>
      </c>
      <c r="AC43" s="176">
        <f>IFERROR(_xlfn.XLOOKUP($D43,'Modelling New'!$D:$D,'Modelling New'!$J:$J),"")</f>
        <v>7.19</v>
      </c>
      <c r="AD43" s="166">
        <f>IFERROR(_xlfn.XLOOKUP($D43,'Modelling New'!$D:$D,'Modelling New'!$T:$T)*1000,"")</f>
        <v>908711.4041379313</v>
      </c>
      <c r="AE43" s="174"/>
      <c r="AF43" s="174">
        <f>IFERROR(_xlfn.XLOOKUP($D43,'Modelling New'!$D:$D,'Modelling New'!$W:$W),"")</f>
        <v>0.53935862068965523</v>
      </c>
      <c r="AG43" s="174">
        <f>IFERROR(_xlfn.XLOOKUP($D43,'Modelling New'!$D:$D,'Modelling New'!$AE:$AE),"")</f>
        <v>0.96029999999999993</v>
      </c>
      <c r="AH43" s="174">
        <f>IFERROR(_xlfn.XLOOKUP($D43,'Modelling New'!$D:$D,'Modelling New'!$AF:$AF),"")</f>
        <v>0.995</v>
      </c>
      <c r="AI43" s="177">
        <f>IFERROR(_xlfn.XLOOKUP($A43,Input_Raw!$A:$A,Input_Raw!$BQ:$BQ),"")</f>
        <v>215.78</v>
      </c>
      <c r="AJ43" s="167"/>
      <c r="AK43" s="167"/>
      <c r="AL43" s="167"/>
      <c r="AM43" s="167"/>
      <c r="AN43" s="175">
        <f>IFERROR(_xlfn.XLOOKUP($A43,Input_Raw!$A:$A,Input_Raw!$BN:$BN),"")</f>
        <v>3.9529431121714448E-2</v>
      </c>
      <c r="AO43" s="174">
        <f>IFERROR((_xlfn.XLOOKUP($A43,'WTG Reactive Power'!$A:$A,'WTG Reactive Power'!$AE:$AE))/Table13[[#This Row],[Gen_Exp (kWh)]],"")</f>
        <v>2.0557680793787912E-3</v>
      </c>
      <c r="AP43" s="174">
        <f>IFERROR(_xlfn.XLOOKUP($D43,'Modelling New'!$D:$D,'Modelling New'!$AK:$AK),"")</f>
        <v>0.05</v>
      </c>
      <c r="AQ43" s="174">
        <f>IFERROR(_xlfn.XLOOKUP($D43,'Modelling New'!$D:$D,'Modelling New'!$AL:$AL),"")</f>
        <v>0.05</v>
      </c>
      <c r="AR43" s="276">
        <f>IFERROR(_xlfn.XLOOKUP($D43,'Modelling New'!$D:$D,'Modelling New'!$N:$N),"")</f>
        <v>70.2</v>
      </c>
      <c r="AS43" s="276"/>
    </row>
    <row r="44" spans="1:45">
      <c r="A44" s="165">
        <f t="shared" si="7"/>
        <v>45787</v>
      </c>
      <c r="B44" s="166">
        <f>YEAR(Table13[[#This Row],[Date]])+IF(MONTH(Table13[[#This Row],[Date]])&gt;=4,1,0)</f>
        <v>2026</v>
      </c>
      <c r="C44" s="167">
        <f>YEAR(Table13[[#This Row],[Date]])</f>
        <v>2025</v>
      </c>
      <c r="D44" s="168">
        <f>Table13[[#This Row],[Date]]-DAY(Table13[[#This Row],[Date]])+1</f>
        <v>45778</v>
      </c>
      <c r="E44" s="167">
        <f t="shared" si="4"/>
        <v>31</v>
      </c>
      <c r="F44" s="169"/>
      <c r="G44" s="170"/>
      <c r="H44" s="170"/>
      <c r="I44" s="170"/>
      <c r="J44" s="170"/>
      <c r="K44" s="171"/>
      <c r="L44" s="170"/>
      <c r="M44" s="170">
        <f>IFERROR(_xlfn.XLOOKUP($A44,Input_Raw!$A:$A,Input_Raw!BG:BG),"")</f>
        <v>4.9289662776948795</v>
      </c>
      <c r="N44" s="170">
        <f>IFERROR(_xlfn.XLOOKUP($A44,Input_Raw!$A:$A,Input_Raw!BH:BH),"")</f>
        <v>0</v>
      </c>
      <c r="O44" s="173">
        <f t="shared" si="5"/>
        <v>0.92997769955818066</v>
      </c>
      <c r="P44" s="173">
        <f>IFERROR(1-SUMIF(WTG_BD!$F:$F,$A44,WTG_BD!$AA:$AA)/($AA44+SUMIF(WTG_BD!$F:$F,$A44,WTG_BD!$AA:$AA)),"")</f>
        <v>0.98536383891240076</v>
      </c>
      <c r="Q44" s="173">
        <f>IFERROR(1-SUMIF(IGA_BD!$F:$F,$A44,IGA_BD!$X:$X)/($AA44+SUMIF(IGA_BD!$F:$F,$A44,IGA_BD!$X:$X)),"")</f>
        <v>0.94379117929134404</v>
      </c>
      <c r="R44" s="173">
        <f>IFERROR(1-SUMIF(Grid_BD!$F:$F,$A44,Grid_BD!$Y:$Y)/($AA44+SUMIF(Grid_BD!$F:$F,$A44,Grid_BD!$Y:$Y)),"")</f>
        <v>1</v>
      </c>
      <c r="S44" s="167"/>
      <c r="T44" s="172"/>
      <c r="U44" s="173"/>
      <c r="V44" s="167"/>
      <c r="W44" s="174">
        <f t="shared" si="6"/>
        <v>0.20219017094017092</v>
      </c>
      <c r="X44" s="167">
        <f>IFERROR(_xlfn.XLOOKUP($A44,Input_Raw!$A:$A,Input_Raw!$BF:$BF),"")</f>
        <v>352993</v>
      </c>
      <c r="Y44" s="167">
        <f>IFERROR(_xlfn.XLOOKUP($A44,Input_Raw!$A:$A,Input_Raw!BJ:BJ),"")</f>
        <v>341550</v>
      </c>
      <c r="Z44" s="167">
        <f>IFERROR(_xlfn.XLOOKUP($A44,Input_Raw!$A:$A,Input_Raw!BK:BK),"")</f>
        <v>900</v>
      </c>
      <c r="AA44" s="167">
        <f>IFERROR(_xlfn.XLOOKUP($A44,Input_Raw!$A:$A,Input_Raw!BL:BL),"")</f>
        <v>340650</v>
      </c>
      <c r="AB44" s="167">
        <f>IFERROR(_xlfn.XLOOKUP($A44,Input_Raw!$A:$A,Input_Raw!$BO:$BO),"")</f>
        <v>70.2</v>
      </c>
      <c r="AC44" s="176">
        <f>IFERROR(_xlfn.XLOOKUP($D44,'Modelling New'!$D:$D,'Modelling New'!$J:$J),"")</f>
        <v>7.19</v>
      </c>
      <c r="AD44" s="166">
        <f>IFERROR(_xlfn.XLOOKUP($D44,'Modelling New'!$D:$D,'Modelling New'!$T:$T)*1000,"")</f>
        <v>908711.4041379313</v>
      </c>
      <c r="AE44" s="174"/>
      <c r="AF44" s="174">
        <f>IFERROR(_xlfn.XLOOKUP($D44,'Modelling New'!$D:$D,'Modelling New'!$W:$W),"")</f>
        <v>0.53935862068965523</v>
      </c>
      <c r="AG44" s="174">
        <f>IFERROR(_xlfn.XLOOKUP($D44,'Modelling New'!$D:$D,'Modelling New'!$AE:$AE),"")</f>
        <v>0.96029999999999993</v>
      </c>
      <c r="AH44" s="174">
        <f>IFERROR(_xlfn.XLOOKUP($D44,'Modelling New'!$D:$D,'Modelling New'!$AF:$AF),"")</f>
        <v>0.995</v>
      </c>
      <c r="AI44" s="177">
        <f>IFERROR(_xlfn.XLOOKUP($A44,Input_Raw!$A:$A,Input_Raw!$BQ:$BQ),"")</f>
        <v>361.29</v>
      </c>
      <c r="AJ44" s="167"/>
      <c r="AK44" s="167"/>
      <c r="AL44" s="167"/>
      <c r="AM44" s="167"/>
      <c r="AN44" s="175">
        <f>IFERROR(_xlfn.XLOOKUP($A44,Input_Raw!$A:$A,Input_Raw!$BN:$BN),"")</f>
        <v>3.2417073426385223E-2</v>
      </c>
      <c r="AO44" s="174">
        <f>IFERROR((_xlfn.XLOOKUP($A44,'WTG Reactive Power'!$A:$A,'WTG Reactive Power'!$AE:$AE))/Table13[[#This Row],[Gen_Exp (kWh)]],"")</f>
        <v>2.5492290215386715E-3</v>
      </c>
      <c r="AP44" s="174">
        <f>IFERROR(_xlfn.XLOOKUP($D44,'Modelling New'!$D:$D,'Modelling New'!$AK:$AK),"")</f>
        <v>0.05</v>
      </c>
      <c r="AQ44" s="174">
        <f>IFERROR(_xlfn.XLOOKUP($D44,'Modelling New'!$D:$D,'Modelling New'!$AL:$AL),"")</f>
        <v>0.05</v>
      </c>
      <c r="AR44" s="276">
        <f>IFERROR(_xlfn.XLOOKUP($D44,'Modelling New'!$D:$D,'Modelling New'!$N:$N),"")</f>
        <v>70.2</v>
      </c>
      <c r="AS44" s="276"/>
    </row>
    <row r="45" spans="1:45">
      <c r="A45" s="165">
        <f t="shared" si="7"/>
        <v>45788</v>
      </c>
      <c r="B45" s="166">
        <f>YEAR(Table13[[#This Row],[Date]])+IF(MONTH(Table13[[#This Row],[Date]])&gt;=4,1,0)</f>
        <v>2026</v>
      </c>
      <c r="C45" s="167">
        <f>YEAR(Table13[[#This Row],[Date]])</f>
        <v>2025</v>
      </c>
      <c r="D45" s="168">
        <f>Table13[[#This Row],[Date]]-DAY(Table13[[#This Row],[Date]])+1</f>
        <v>45778</v>
      </c>
      <c r="E45" s="167">
        <f t="shared" si="4"/>
        <v>31</v>
      </c>
      <c r="F45" s="169"/>
      <c r="G45" s="176"/>
      <c r="H45" s="176"/>
      <c r="I45" s="176"/>
      <c r="J45" s="176"/>
      <c r="K45" s="171"/>
      <c r="L45" s="170"/>
      <c r="M45" s="170">
        <f>IFERROR(_xlfn.XLOOKUP($A45,Input_Raw!$A:$A,Input_Raw!BG:BG),"")</f>
        <v>4.7261538461538457</v>
      </c>
      <c r="N45" s="170">
        <f>IFERROR(_xlfn.XLOOKUP($A45,Input_Raw!$A:$A,Input_Raw!BH:BH),"")</f>
        <v>0</v>
      </c>
      <c r="O45" s="173">
        <f t="shared" si="5"/>
        <v>0.95264088273342973</v>
      </c>
      <c r="P45" s="173">
        <f>IFERROR(1-SUMIF(WTG_BD!$F:$F,$A45,WTG_BD!$AA:$AA)/($AA45+SUMIF(WTG_BD!$F:$F,$A45,WTG_BD!$AA:$AA)),"")</f>
        <v>0.9788940053376336</v>
      </c>
      <c r="Q45" s="173">
        <f>IFERROR(1-SUMIF(IGA_BD!$F:$F,$A45,IGA_BD!$X:$X)/($AA45+SUMIF(IGA_BD!$F:$F,$A45,IGA_BD!$X:$X)),"")</f>
        <v>0.97318083218300144</v>
      </c>
      <c r="R45" s="173">
        <f>IFERROR(1-SUMIF(Grid_BD!$F:$F,$A45,Grid_BD!$Y:$Y)/($AA45+SUMIF(Grid_BD!$F:$F,$A45,Grid_BD!$Y:$Y)),"")</f>
        <v>1</v>
      </c>
      <c r="S45" s="167"/>
      <c r="T45" s="172"/>
      <c r="U45" s="173"/>
      <c r="V45" s="167"/>
      <c r="W45" s="174">
        <f t="shared" si="6"/>
        <v>0.17574786324786323</v>
      </c>
      <c r="X45" s="167">
        <f>IFERROR(_xlfn.XLOOKUP($A45,Input_Raw!$A:$A,Input_Raw!$BF:$BF),"")</f>
        <v>305561</v>
      </c>
      <c r="Y45" s="167">
        <f>IFERROR(_xlfn.XLOOKUP($A45,Input_Raw!$A:$A,Input_Raw!BJ:BJ),"")</f>
        <v>296550</v>
      </c>
      <c r="Z45" s="167">
        <f>IFERROR(_xlfn.XLOOKUP($A45,Input_Raw!$A:$A,Input_Raw!BK:BK),"")</f>
        <v>450</v>
      </c>
      <c r="AA45" s="167">
        <f>IFERROR(_xlfn.XLOOKUP($A45,Input_Raw!$A:$A,Input_Raw!BL:BL),"")</f>
        <v>296100</v>
      </c>
      <c r="AB45" s="167">
        <f>IFERROR(_xlfn.XLOOKUP($A45,Input_Raw!$A:$A,Input_Raw!$BO:$BO),"")</f>
        <v>70.2</v>
      </c>
      <c r="AC45" s="176">
        <f>IFERROR(_xlfn.XLOOKUP($D45,'Modelling New'!$D:$D,'Modelling New'!$J:$J),"")</f>
        <v>7.19</v>
      </c>
      <c r="AD45" s="166">
        <f>IFERROR(_xlfn.XLOOKUP($D45,'Modelling New'!$D:$D,'Modelling New'!$T:$T)*1000,"")</f>
        <v>908711.4041379313</v>
      </c>
      <c r="AE45" s="174"/>
      <c r="AF45" s="174">
        <f>IFERROR(_xlfn.XLOOKUP($D45,'Modelling New'!$D:$D,'Modelling New'!$W:$W),"")</f>
        <v>0.53935862068965523</v>
      </c>
      <c r="AG45" s="174">
        <f>IFERROR(_xlfn.XLOOKUP($D45,'Modelling New'!$D:$D,'Modelling New'!$AE:$AE),"")</f>
        <v>0.96029999999999993</v>
      </c>
      <c r="AH45" s="174">
        <f>IFERROR(_xlfn.XLOOKUP($D45,'Modelling New'!$D:$D,'Modelling New'!$AF:$AF),"")</f>
        <v>0.995</v>
      </c>
      <c r="AI45" s="177">
        <f>IFERROR(_xlfn.XLOOKUP($A45,Input_Raw!$A:$A,Input_Raw!$BQ:$BQ),"")</f>
        <v>313.27999999999997</v>
      </c>
      <c r="AJ45" s="167"/>
      <c r="AK45" s="167"/>
      <c r="AL45" s="167"/>
      <c r="AM45" s="167"/>
      <c r="AN45" s="175">
        <f>IFERROR(_xlfn.XLOOKUP($A45,Input_Raw!$A:$A,Input_Raw!$BN:$BN),"")</f>
        <v>2.9490019996007345E-2</v>
      </c>
      <c r="AO45" s="174">
        <f>IFERROR((_xlfn.XLOOKUP($A45,'WTG Reactive Power'!$A:$A,'WTG Reactive Power'!$AE:$AE))/Table13[[#This Row],[Gen_Exp (kWh)]],"")</f>
        <v>1.4720464980805803E-3</v>
      </c>
      <c r="AP45" s="174">
        <f>IFERROR(_xlfn.XLOOKUP($D45,'Modelling New'!$D:$D,'Modelling New'!$AK:$AK),"")</f>
        <v>0.05</v>
      </c>
      <c r="AQ45" s="174">
        <f>IFERROR(_xlfn.XLOOKUP($D45,'Modelling New'!$D:$D,'Modelling New'!$AL:$AL),"")</f>
        <v>0.05</v>
      </c>
      <c r="AR45" s="276">
        <f>IFERROR(_xlfn.XLOOKUP($D45,'Modelling New'!$D:$D,'Modelling New'!$N:$N),"")</f>
        <v>70.2</v>
      </c>
      <c r="AS45" s="276"/>
    </row>
    <row r="46" spans="1:45">
      <c r="A46" s="165">
        <f t="shared" si="7"/>
        <v>45789</v>
      </c>
      <c r="B46" s="166">
        <f>YEAR(Table13[[#This Row],[Date]])+IF(MONTH(Table13[[#This Row],[Date]])&gt;=4,1,0)</f>
        <v>2026</v>
      </c>
      <c r="C46" s="167">
        <f>YEAR(Table13[[#This Row],[Date]])</f>
        <v>2025</v>
      </c>
      <c r="D46" s="168">
        <f>Table13[[#This Row],[Date]]-DAY(Table13[[#This Row],[Date]])+1</f>
        <v>45778</v>
      </c>
      <c r="E46" s="167">
        <f t="shared" si="4"/>
        <v>31</v>
      </c>
      <c r="F46" s="169"/>
      <c r="G46" s="170"/>
      <c r="H46" s="170"/>
      <c r="I46" s="170"/>
      <c r="J46" s="170"/>
      <c r="K46" s="171"/>
      <c r="L46" s="170"/>
      <c r="M46" s="170">
        <f>IFERROR(_xlfn.XLOOKUP($A46,Input_Raw!$A:$A,Input_Raw!BG:BG),"")</f>
        <v>4.9300000000000006</v>
      </c>
      <c r="N46" s="170">
        <f>IFERROR(_xlfn.XLOOKUP($A46,Input_Raw!$A:$A,Input_Raw!BH:BH),"")</f>
        <v>0</v>
      </c>
      <c r="O46" s="173">
        <f t="shared" si="5"/>
        <v>0.97078726672190208</v>
      </c>
      <c r="P46" s="173">
        <f>IFERROR(1-SUMIF(WTG_BD!$F:$F,$A46,WTG_BD!$AA:$AA)/($AA46+SUMIF(WTG_BD!$F:$F,$A46,WTG_BD!$AA:$AA)),"")</f>
        <v>0.99444148195287763</v>
      </c>
      <c r="Q46" s="173">
        <f>IFERROR(1-SUMIF(IGA_BD!$F:$F,$A46,IGA_BD!$X:$X)/($AA46+SUMIF(IGA_BD!$F:$F,$A46,IGA_BD!$X:$X)),"")</f>
        <v>0.97621356745444332</v>
      </c>
      <c r="R46" s="173">
        <f>IFERROR(1-SUMIF(Grid_BD!$F:$F,$A46,Grid_BD!$Y:$Y)/($AA46+SUMIF(Grid_BD!$F:$F,$A46,Grid_BD!$Y:$Y)),"")</f>
        <v>1</v>
      </c>
      <c r="S46" s="167"/>
      <c r="T46" s="172"/>
      <c r="U46" s="173"/>
      <c r="V46" s="167"/>
      <c r="W46" s="174">
        <f t="shared" si="6"/>
        <v>0.18162393162393159</v>
      </c>
      <c r="X46" s="167">
        <f>IFERROR(_xlfn.XLOOKUP($A46,Input_Raw!$A:$A,Input_Raw!$BF:$BF),"")</f>
        <v>314946</v>
      </c>
      <c r="Y46" s="167">
        <f>IFERROR(_xlfn.XLOOKUP($A46,Input_Raw!$A:$A,Input_Raw!BJ:BJ),"")</f>
        <v>306000</v>
      </c>
      <c r="Z46" s="167">
        <f>IFERROR(_xlfn.XLOOKUP($A46,Input_Raw!$A:$A,Input_Raw!BK:BK),"")</f>
        <v>0</v>
      </c>
      <c r="AA46" s="167">
        <f>IFERROR(_xlfn.XLOOKUP($A46,Input_Raw!$A:$A,Input_Raw!BL:BL),"")</f>
        <v>306000</v>
      </c>
      <c r="AB46" s="167">
        <f>IFERROR(_xlfn.XLOOKUP($A46,Input_Raw!$A:$A,Input_Raw!$BO:$BO),"")</f>
        <v>70.2</v>
      </c>
      <c r="AC46" s="176">
        <f>IFERROR(_xlfn.XLOOKUP($D46,'Modelling New'!$D:$D,'Modelling New'!$J:$J),"")</f>
        <v>7.19</v>
      </c>
      <c r="AD46" s="166">
        <f>IFERROR(_xlfn.XLOOKUP($D46,'Modelling New'!$D:$D,'Modelling New'!$T:$T)*1000,"")</f>
        <v>908711.4041379313</v>
      </c>
      <c r="AE46" s="174"/>
      <c r="AF46" s="174">
        <f>IFERROR(_xlfn.XLOOKUP($D46,'Modelling New'!$D:$D,'Modelling New'!$W:$W),"")</f>
        <v>0.53935862068965523</v>
      </c>
      <c r="AG46" s="174">
        <f>IFERROR(_xlfn.XLOOKUP($D46,'Modelling New'!$D:$D,'Modelling New'!$AE:$AE),"")</f>
        <v>0.96029999999999993</v>
      </c>
      <c r="AH46" s="174">
        <f>IFERROR(_xlfn.XLOOKUP($D46,'Modelling New'!$D:$D,'Modelling New'!$AF:$AF),"")</f>
        <v>0.995</v>
      </c>
      <c r="AI46" s="177">
        <f>IFERROR(_xlfn.XLOOKUP($A46,Input_Raw!$A:$A,Input_Raw!$BQ:$BQ),"")</f>
        <v>314.91000000000003</v>
      </c>
      <c r="AJ46" s="167"/>
      <c r="AK46" s="167"/>
      <c r="AL46" s="167"/>
      <c r="AM46" s="167"/>
      <c r="AN46" s="175">
        <f>IFERROR(_xlfn.XLOOKUP($A46,Input_Raw!$A:$A,Input_Raw!$BN:$BN),"")</f>
        <v>2.8404869406183916E-2</v>
      </c>
      <c r="AO46" s="174">
        <f>IFERROR((_xlfn.XLOOKUP($A46,'WTG Reactive Power'!$A:$A,'WTG Reactive Power'!$AE:$AE))/Table13[[#This Row],[Gen_Exp (kWh)]],"")</f>
        <v>2.8571882163926521E-3</v>
      </c>
      <c r="AP46" s="174">
        <f>IFERROR(_xlfn.XLOOKUP($D46,'Modelling New'!$D:$D,'Modelling New'!$AK:$AK),"")</f>
        <v>0.05</v>
      </c>
      <c r="AQ46" s="174">
        <f>IFERROR(_xlfn.XLOOKUP($D46,'Modelling New'!$D:$D,'Modelling New'!$AL:$AL),"")</f>
        <v>0.05</v>
      </c>
      <c r="AR46" s="276">
        <f>IFERROR(_xlfn.XLOOKUP($D46,'Modelling New'!$D:$D,'Modelling New'!$N:$N),"")</f>
        <v>70.2</v>
      </c>
      <c r="AS46" s="276"/>
    </row>
    <row r="47" spans="1:45">
      <c r="A47" s="165">
        <f t="shared" si="7"/>
        <v>45790</v>
      </c>
      <c r="B47" s="166">
        <f>YEAR(Table13[[#This Row],[Date]])+IF(MONTH(Table13[[#This Row],[Date]])&gt;=4,1,0)</f>
        <v>2026</v>
      </c>
      <c r="C47" s="167">
        <f>YEAR(Table13[[#This Row],[Date]])</f>
        <v>2025</v>
      </c>
      <c r="D47" s="168">
        <f>Table13[[#This Row],[Date]]-DAY(Table13[[#This Row],[Date]])+1</f>
        <v>45778</v>
      </c>
      <c r="E47" s="167">
        <f t="shared" si="4"/>
        <v>31</v>
      </c>
      <c r="F47" s="169"/>
      <c r="G47" s="176"/>
      <c r="H47" s="176"/>
      <c r="I47" s="176"/>
      <c r="J47" s="176"/>
      <c r="K47" s="171"/>
      <c r="L47" s="170"/>
      <c r="M47" s="170">
        <f>IFERROR(_xlfn.XLOOKUP($A47,Input_Raw!$A:$A,Input_Raw!BG:BG),"")</f>
        <v>5.2229000333455513</v>
      </c>
      <c r="N47" s="170">
        <f>IFERROR(_xlfn.XLOOKUP($A47,Input_Raw!$A:$A,Input_Raw!BH:BH),"")</f>
        <v>0</v>
      </c>
      <c r="O47" s="173">
        <f t="shared" si="5"/>
        <v>0.98289613996494951</v>
      </c>
      <c r="P47" s="173">
        <f>IFERROR(1-SUMIF(WTG_BD!$F:$F,$A47,WTG_BD!$AA:$AA)/($AA47+SUMIF(WTG_BD!$F:$F,$A47,WTG_BD!$AA:$AA)),"")</f>
        <v>0.98464104216609361</v>
      </c>
      <c r="Q47" s="173">
        <f>IFERROR(1-SUMIF(IGA_BD!$F:$F,$A47,IGA_BD!$X:$X)/($AA47+SUMIF(IGA_BD!$F:$F,$A47,IGA_BD!$X:$X)),"")</f>
        <v>0.99822787988066641</v>
      </c>
      <c r="R47" s="173">
        <f>IFERROR(1-SUMIF(Grid_BD!$F:$F,$A47,Grid_BD!$Y:$Y)/($AA47+SUMIF(Grid_BD!$F:$F,$A47,Grid_BD!$Y:$Y)),"")</f>
        <v>1</v>
      </c>
      <c r="S47" s="167"/>
      <c r="T47" s="172"/>
      <c r="U47" s="173"/>
      <c r="V47" s="167"/>
      <c r="W47" s="174">
        <f t="shared" si="6"/>
        <v>0.23798076923076919</v>
      </c>
      <c r="X47" s="167">
        <f>IFERROR(_xlfn.XLOOKUP($A47,Input_Raw!$A:$A,Input_Raw!$BF:$BF),"")</f>
        <v>415674</v>
      </c>
      <c r="Y47" s="167">
        <f>IFERROR(_xlfn.XLOOKUP($A47,Input_Raw!$A:$A,Input_Raw!BJ:BJ),"")</f>
        <v>400950</v>
      </c>
      <c r="Z47" s="167">
        <f>IFERROR(_xlfn.XLOOKUP($A47,Input_Raw!$A:$A,Input_Raw!BK:BK),"")</f>
        <v>0</v>
      </c>
      <c r="AA47" s="167">
        <f>IFERROR(_xlfn.XLOOKUP($A47,Input_Raw!$A:$A,Input_Raw!BL:BL),"")</f>
        <v>400950</v>
      </c>
      <c r="AB47" s="167">
        <f>IFERROR(_xlfn.XLOOKUP($A47,Input_Raw!$A:$A,Input_Raw!$BO:$BO),"")</f>
        <v>70.2</v>
      </c>
      <c r="AC47" s="176">
        <f>IFERROR(_xlfn.XLOOKUP($D47,'Modelling New'!$D:$D,'Modelling New'!$J:$J),"")</f>
        <v>7.19</v>
      </c>
      <c r="AD47" s="166">
        <f>IFERROR(_xlfn.XLOOKUP($D47,'Modelling New'!$D:$D,'Modelling New'!$T:$T)*1000,"")</f>
        <v>908711.4041379313</v>
      </c>
      <c r="AE47" s="174"/>
      <c r="AF47" s="174">
        <f>IFERROR(_xlfn.XLOOKUP($D47,'Modelling New'!$D:$D,'Modelling New'!$W:$W),"")</f>
        <v>0.53935862068965523</v>
      </c>
      <c r="AG47" s="174">
        <f>IFERROR(_xlfn.XLOOKUP($D47,'Modelling New'!$D:$D,'Modelling New'!$AE:$AE),"")</f>
        <v>0.96029999999999993</v>
      </c>
      <c r="AH47" s="174">
        <f>IFERROR(_xlfn.XLOOKUP($D47,'Modelling New'!$D:$D,'Modelling New'!$AF:$AF),"")</f>
        <v>0.995</v>
      </c>
      <c r="AI47" s="177">
        <f>IFERROR(_xlfn.XLOOKUP($A47,Input_Raw!$A:$A,Input_Raw!$BQ:$BQ),"")</f>
        <v>410.17</v>
      </c>
      <c r="AJ47" s="167"/>
      <c r="AK47" s="167"/>
      <c r="AL47" s="167"/>
      <c r="AM47" s="167"/>
      <c r="AN47" s="175">
        <f>IFERROR(_xlfn.XLOOKUP($A47,Input_Raw!$A:$A,Input_Raw!$BN:$BN),"")</f>
        <v>3.5421989347421294E-2</v>
      </c>
      <c r="AO47" s="174">
        <f>IFERROR((_xlfn.XLOOKUP($A47,'WTG Reactive Power'!$A:$A,'WTG Reactive Power'!$AE:$AE))/Table13[[#This Row],[Gen_Exp (kWh)]],"")</f>
        <v>3.2475449510914805E-3</v>
      </c>
      <c r="AP47" s="174">
        <f>IFERROR(_xlfn.XLOOKUP($D47,'Modelling New'!$D:$D,'Modelling New'!$AK:$AK),"")</f>
        <v>0.05</v>
      </c>
      <c r="AQ47" s="174">
        <f>IFERROR(_xlfn.XLOOKUP($D47,'Modelling New'!$D:$D,'Modelling New'!$AL:$AL),"")</f>
        <v>0.05</v>
      </c>
      <c r="AR47" s="276">
        <f>IFERROR(_xlfn.XLOOKUP($D47,'Modelling New'!$D:$D,'Modelling New'!$N:$N),"")</f>
        <v>70.2</v>
      </c>
      <c r="AS47" s="276"/>
    </row>
    <row r="48" spans="1:45">
      <c r="A48" s="165">
        <f t="shared" si="7"/>
        <v>45791</v>
      </c>
      <c r="B48" s="166">
        <f>YEAR(Table13[[#This Row],[Date]])+IF(MONTH(Table13[[#This Row],[Date]])&gt;=4,1,0)</f>
        <v>2026</v>
      </c>
      <c r="C48" s="167">
        <f>YEAR(Table13[[#This Row],[Date]])</f>
        <v>2025</v>
      </c>
      <c r="D48" s="168">
        <f>Table13[[#This Row],[Date]]-DAY(Table13[[#This Row],[Date]])+1</f>
        <v>45778</v>
      </c>
      <c r="E48" s="167">
        <f t="shared" si="4"/>
        <v>31</v>
      </c>
      <c r="F48" s="169"/>
      <c r="G48" s="170"/>
      <c r="H48" s="170"/>
      <c r="I48" s="170"/>
      <c r="J48" s="170"/>
      <c r="K48" s="171"/>
      <c r="L48" s="170"/>
      <c r="M48" s="170">
        <f>IFERROR(_xlfn.XLOOKUP($A48,Input_Raw!$A:$A,Input_Raw!BG:BG),"")</f>
        <v>5.1362116483646725</v>
      </c>
      <c r="N48" s="170">
        <f>IFERROR(_xlfn.XLOOKUP($A48,Input_Raw!$A:$A,Input_Raw!BH:BH),"")</f>
        <v>0</v>
      </c>
      <c r="O48" s="173">
        <f t="shared" si="5"/>
        <v>0.98826091654161841</v>
      </c>
      <c r="P48" s="173">
        <f>IFERROR(1-SUMIF(WTG_BD!$F:$F,$A48,WTG_BD!$AA:$AA)/($AA48+SUMIF(WTG_BD!$F:$F,$A48,WTG_BD!$AA:$AA)),"")</f>
        <v>0.99009966831435392</v>
      </c>
      <c r="Q48" s="173">
        <f>IFERROR(1-SUMIF(IGA_BD!$F:$F,$A48,IGA_BD!$X:$X)/($AA48+SUMIF(IGA_BD!$F:$F,$A48,IGA_BD!$X:$X)),"")</f>
        <v>0.99814286194452928</v>
      </c>
      <c r="R48" s="173">
        <f>IFERROR(1-SUMIF(Grid_BD!$F:$F,$A48,Grid_BD!$Y:$Y)/($AA48+SUMIF(Grid_BD!$F:$F,$A48,Grid_BD!$Y:$Y)),"")</f>
        <v>1</v>
      </c>
      <c r="S48" s="167"/>
      <c r="T48" s="172"/>
      <c r="U48" s="173"/>
      <c r="V48" s="167"/>
      <c r="W48" s="174">
        <f t="shared" si="6"/>
        <v>0.23504273504273501</v>
      </c>
      <c r="X48" s="167">
        <f>IFERROR(_xlfn.XLOOKUP($A48,Input_Raw!$A:$A,Input_Raw!$BF:$BF),"")</f>
        <v>410395</v>
      </c>
      <c r="Y48" s="167">
        <f>IFERROR(_xlfn.XLOOKUP($A48,Input_Raw!$A:$A,Input_Raw!BJ:BJ),"")</f>
        <v>396450</v>
      </c>
      <c r="Z48" s="167">
        <f>IFERROR(_xlfn.XLOOKUP($A48,Input_Raw!$A:$A,Input_Raw!BK:BK),"")</f>
        <v>450</v>
      </c>
      <c r="AA48" s="167">
        <f>IFERROR(_xlfn.XLOOKUP($A48,Input_Raw!$A:$A,Input_Raw!BL:BL),"")</f>
        <v>396000</v>
      </c>
      <c r="AB48" s="167">
        <f>IFERROR(_xlfn.XLOOKUP($A48,Input_Raw!$A:$A,Input_Raw!$BO:$BO),"")</f>
        <v>70.2</v>
      </c>
      <c r="AC48" s="176">
        <f>IFERROR(_xlfn.XLOOKUP($D48,'Modelling New'!$D:$D,'Modelling New'!$J:$J),"")</f>
        <v>7.19</v>
      </c>
      <c r="AD48" s="166">
        <f>IFERROR(_xlfn.XLOOKUP($D48,'Modelling New'!$D:$D,'Modelling New'!$T:$T)*1000,"")</f>
        <v>908711.4041379313</v>
      </c>
      <c r="AE48" s="174"/>
      <c r="AF48" s="174">
        <f>IFERROR(_xlfn.XLOOKUP($D48,'Modelling New'!$D:$D,'Modelling New'!$W:$W),"")</f>
        <v>0.53935862068965523</v>
      </c>
      <c r="AG48" s="174">
        <f>IFERROR(_xlfn.XLOOKUP($D48,'Modelling New'!$D:$D,'Modelling New'!$AE:$AE),"")</f>
        <v>0.96029999999999993</v>
      </c>
      <c r="AH48" s="174">
        <f>IFERROR(_xlfn.XLOOKUP($D48,'Modelling New'!$D:$D,'Modelling New'!$AF:$AF),"")</f>
        <v>0.995</v>
      </c>
      <c r="AI48" s="177">
        <f>IFERROR(_xlfn.XLOOKUP($A48,Input_Raw!$A:$A,Input_Raw!$BQ:$BQ),"")</f>
        <v>415.16</v>
      </c>
      <c r="AJ48" s="167"/>
      <c r="AK48" s="167"/>
      <c r="AL48" s="167"/>
      <c r="AM48" s="167"/>
      <c r="AN48" s="175">
        <f>IFERROR(_xlfn.XLOOKUP($A48,Input_Raw!$A:$A,Input_Raw!$BN:$BN),"")</f>
        <v>3.3979458814069372E-2</v>
      </c>
      <c r="AO48" s="174">
        <f>IFERROR((_xlfn.XLOOKUP($A48,'WTG Reactive Power'!$A:$A,'WTG Reactive Power'!$AE:$AE))/Table13[[#This Row],[Gen_Exp (kWh)]],"")</f>
        <v>3.2893188269837595E-3</v>
      </c>
      <c r="AP48" s="174">
        <f>IFERROR(_xlfn.XLOOKUP($D48,'Modelling New'!$D:$D,'Modelling New'!$AK:$AK),"")</f>
        <v>0.05</v>
      </c>
      <c r="AQ48" s="174">
        <f>IFERROR(_xlfn.XLOOKUP($D48,'Modelling New'!$D:$D,'Modelling New'!$AL:$AL),"")</f>
        <v>0.05</v>
      </c>
      <c r="AR48" s="276">
        <f>IFERROR(_xlfn.XLOOKUP($D48,'Modelling New'!$D:$D,'Modelling New'!$N:$N),"")</f>
        <v>70.2</v>
      </c>
      <c r="AS48" s="276"/>
    </row>
    <row r="49" spans="1:45">
      <c r="A49" s="165">
        <f t="shared" si="7"/>
        <v>45792</v>
      </c>
      <c r="B49" s="166">
        <f>YEAR(Table13[[#This Row],[Date]])+IF(MONTH(Table13[[#This Row],[Date]])&gt;=4,1,0)</f>
        <v>2026</v>
      </c>
      <c r="C49" s="167">
        <f>YEAR(Table13[[#This Row],[Date]])</f>
        <v>2025</v>
      </c>
      <c r="D49" s="168">
        <f>Table13[[#This Row],[Date]]-DAY(Table13[[#This Row],[Date]])+1</f>
        <v>45778</v>
      </c>
      <c r="E49" s="167">
        <f t="shared" si="4"/>
        <v>31</v>
      </c>
      <c r="F49" s="169"/>
      <c r="G49" s="176"/>
      <c r="H49" s="176"/>
      <c r="I49" s="176"/>
      <c r="J49" s="176"/>
      <c r="K49" s="171"/>
      <c r="L49" s="170"/>
      <c r="M49" s="170">
        <f>IFERROR(_xlfn.XLOOKUP($A49,Input_Raw!$A:$A,Input_Raw!BG:BG),"")</f>
        <v>4.5068744442425146</v>
      </c>
      <c r="N49" s="170">
        <f>IFERROR(_xlfn.XLOOKUP($A49,Input_Raw!$A:$A,Input_Raw!BH:BH),"")</f>
        <v>0</v>
      </c>
      <c r="O49" s="173">
        <f t="shared" si="5"/>
        <v>0.94271828125014401</v>
      </c>
      <c r="P49" s="173">
        <f>IFERROR(1-SUMIF(WTG_BD!$F:$F,$A49,WTG_BD!$AA:$AA)/($AA49+SUMIF(WTG_BD!$F:$F,$A49,WTG_BD!$AA:$AA)),"")</f>
        <v>0.95975602925319947</v>
      </c>
      <c r="Q49" s="173">
        <f>IFERROR(1-SUMIF(IGA_BD!$F:$F,$A49,IGA_BD!$X:$X)/($AA49+SUMIF(IGA_BD!$F:$F,$A49,IGA_BD!$X:$X)),"")</f>
        <v>0.98224783436232976</v>
      </c>
      <c r="R49" s="173">
        <f>IFERROR(1-SUMIF(Grid_BD!$F:$F,$A49,Grid_BD!$Y:$Y)/($AA49+SUMIF(Grid_BD!$F:$F,$A49,Grid_BD!$Y:$Y)),"")</f>
        <v>1</v>
      </c>
      <c r="S49" s="167"/>
      <c r="T49" s="172"/>
      <c r="U49" s="173"/>
      <c r="V49" s="167"/>
      <c r="W49" s="174">
        <f t="shared" si="6"/>
        <v>0.14743589743589741</v>
      </c>
      <c r="X49" s="167">
        <f>IFERROR(_xlfn.XLOOKUP($A49,Input_Raw!$A:$A,Input_Raw!$BF:$BF),"")</f>
        <v>258268</v>
      </c>
      <c r="Y49" s="167">
        <f>IFERROR(_xlfn.XLOOKUP($A49,Input_Raw!$A:$A,Input_Raw!BJ:BJ),"")</f>
        <v>248850</v>
      </c>
      <c r="Z49" s="167">
        <f>IFERROR(_xlfn.XLOOKUP($A49,Input_Raw!$A:$A,Input_Raw!BK:BK),"")</f>
        <v>450</v>
      </c>
      <c r="AA49" s="167">
        <f>IFERROR(_xlfn.XLOOKUP($A49,Input_Raw!$A:$A,Input_Raw!BL:BL),"")</f>
        <v>248400</v>
      </c>
      <c r="AB49" s="167">
        <f>IFERROR(_xlfn.XLOOKUP($A49,Input_Raw!$A:$A,Input_Raw!$BO:$BO),"")</f>
        <v>70.2</v>
      </c>
      <c r="AC49" s="176">
        <f>IFERROR(_xlfn.XLOOKUP($D49,'Modelling New'!$D:$D,'Modelling New'!$J:$J),"")</f>
        <v>7.19</v>
      </c>
      <c r="AD49" s="166">
        <f>IFERROR(_xlfn.XLOOKUP($D49,'Modelling New'!$D:$D,'Modelling New'!$T:$T)*1000,"")</f>
        <v>908711.4041379313</v>
      </c>
      <c r="AE49" s="174"/>
      <c r="AF49" s="174">
        <f>IFERROR(_xlfn.XLOOKUP($D49,'Modelling New'!$D:$D,'Modelling New'!$W:$W),"")</f>
        <v>0.53935862068965523</v>
      </c>
      <c r="AG49" s="174">
        <f>IFERROR(_xlfn.XLOOKUP($D49,'Modelling New'!$D:$D,'Modelling New'!$AE:$AE),"")</f>
        <v>0.96029999999999993</v>
      </c>
      <c r="AH49" s="174">
        <f>IFERROR(_xlfn.XLOOKUP($D49,'Modelling New'!$D:$D,'Modelling New'!$AF:$AF),"")</f>
        <v>0.995</v>
      </c>
      <c r="AI49" s="177">
        <f>IFERROR(_xlfn.XLOOKUP($A49,Input_Raw!$A:$A,Input_Raw!$BQ:$BQ),"")</f>
        <v>270.48</v>
      </c>
      <c r="AJ49" s="167"/>
      <c r="AK49" s="167"/>
      <c r="AL49" s="167"/>
      <c r="AM49" s="167"/>
      <c r="AN49" s="175">
        <f>IFERROR(_xlfn.XLOOKUP($A49,Input_Raw!$A:$A,Input_Raw!$BN:$BN),"")</f>
        <v>3.6465996561711088E-2</v>
      </c>
      <c r="AO49" s="174">
        <f>IFERROR((_xlfn.XLOOKUP($A49,'WTG Reactive Power'!$A:$A,'WTG Reactive Power'!$AE:$AE))/Table13[[#This Row],[Gen_Exp (kWh)]],"")</f>
        <v>1.2196245760218074E-2</v>
      </c>
      <c r="AP49" s="174">
        <f>IFERROR(_xlfn.XLOOKUP($D49,'Modelling New'!$D:$D,'Modelling New'!$AK:$AK),"")</f>
        <v>0.05</v>
      </c>
      <c r="AQ49" s="174">
        <f>IFERROR(_xlfn.XLOOKUP($D49,'Modelling New'!$D:$D,'Modelling New'!$AL:$AL),"")</f>
        <v>0.05</v>
      </c>
      <c r="AR49" s="276">
        <f>IFERROR(_xlfn.XLOOKUP($D49,'Modelling New'!$D:$D,'Modelling New'!$N:$N),"")</f>
        <v>70.2</v>
      </c>
      <c r="AS49" s="276"/>
    </row>
    <row r="50" spans="1:45">
      <c r="A50" s="165">
        <f t="shared" si="7"/>
        <v>45793</v>
      </c>
      <c r="B50" s="166">
        <f>YEAR(Table13[[#This Row],[Date]])+IF(MONTH(Table13[[#This Row],[Date]])&gt;=4,1,0)</f>
        <v>2026</v>
      </c>
      <c r="C50" s="167">
        <f>YEAR(Table13[[#This Row],[Date]])</f>
        <v>2025</v>
      </c>
      <c r="D50" s="168">
        <f>Table13[[#This Row],[Date]]-DAY(Table13[[#This Row],[Date]])+1</f>
        <v>45778</v>
      </c>
      <c r="E50" s="167">
        <f t="shared" si="4"/>
        <v>31</v>
      </c>
      <c r="F50" s="169"/>
      <c r="G50" s="170"/>
      <c r="H50" s="170"/>
      <c r="I50" s="170"/>
      <c r="J50" s="170"/>
      <c r="K50" s="171"/>
      <c r="L50" s="170"/>
      <c r="M50" s="170">
        <f>IFERROR(_xlfn.XLOOKUP($A50,Input_Raw!$A:$A,Input_Raw!BG:BG),"")</f>
        <v>5.4679982613248184</v>
      </c>
      <c r="N50" s="170">
        <f>IFERROR(_xlfn.XLOOKUP($A50,Input_Raw!$A:$A,Input_Raw!BH:BH),"")</f>
        <v>0</v>
      </c>
      <c r="O50" s="173">
        <f t="shared" si="5"/>
        <v>0.90999558580042827</v>
      </c>
      <c r="P50" s="173">
        <f>IFERROR(1-SUMIF(WTG_BD!$F:$F,$A50,WTG_BD!$AA:$AA)/($AA50+SUMIF(WTG_BD!$F:$F,$A50,WTG_BD!$AA:$AA)),"")</f>
        <v>0.94609034438706119</v>
      </c>
      <c r="Q50" s="173">
        <f>IFERROR(1-SUMIF(IGA_BD!$F:$F,$A50,IGA_BD!$X:$X)/($AA50+SUMIF(IGA_BD!$F:$F,$A50,IGA_BD!$X:$X)),"")</f>
        <v>0.96184850759679041</v>
      </c>
      <c r="R50" s="173">
        <f>IFERROR(1-SUMIF(Grid_BD!$F:$F,$A50,Grid_BD!$Y:$Y)/($AA50+SUMIF(Grid_BD!$F:$F,$A50,Grid_BD!$Y:$Y)),"")</f>
        <v>1</v>
      </c>
      <c r="S50" s="167"/>
      <c r="T50" s="172"/>
      <c r="U50" s="173"/>
      <c r="V50" s="167"/>
      <c r="W50" s="174">
        <f t="shared" si="6"/>
        <v>0.22596153846153844</v>
      </c>
      <c r="X50" s="167">
        <f>IFERROR(_xlfn.XLOOKUP($A50,Input_Raw!$A:$A,Input_Raw!$BF:$BF),"")</f>
        <v>394190</v>
      </c>
      <c r="Y50" s="167">
        <f>IFERROR(_xlfn.XLOOKUP($A50,Input_Raw!$A:$A,Input_Raw!BJ:BJ),"")</f>
        <v>380700</v>
      </c>
      <c r="Z50" s="167">
        <f>IFERROR(_xlfn.XLOOKUP($A50,Input_Raw!$A:$A,Input_Raw!BK:BK),"")</f>
        <v>0</v>
      </c>
      <c r="AA50" s="167">
        <f>IFERROR(_xlfn.XLOOKUP($A50,Input_Raw!$A:$A,Input_Raw!BL:BL),"")</f>
        <v>380700</v>
      </c>
      <c r="AB50" s="167">
        <f>IFERROR(_xlfn.XLOOKUP($A50,Input_Raw!$A:$A,Input_Raw!$BO:$BO),"")</f>
        <v>70.2</v>
      </c>
      <c r="AC50" s="176">
        <f>IFERROR(_xlfn.XLOOKUP($D50,'Modelling New'!$D:$D,'Modelling New'!$J:$J),"")</f>
        <v>7.19</v>
      </c>
      <c r="AD50" s="166">
        <f>IFERROR(_xlfn.XLOOKUP($D50,'Modelling New'!$D:$D,'Modelling New'!$T:$T)*1000,"")</f>
        <v>908711.4041379313</v>
      </c>
      <c r="AE50" s="174"/>
      <c r="AF50" s="174">
        <f>IFERROR(_xlfn.XLOOKUP($D50,'Modelling New'!$D:$D,'Modelling New'!$W:$W),"")</f>
        <v>0.53935862068965523</v>
      </c>
      <c r="AG50" s="174">
        <f>IFERROR(_xlfn.XLOOKUP($D50,'Modelling New'!$D:$D,'Modelling New'!$AE:$AE),"")</f>
        <v>0.96029999999999993</v>
      </c>
      <c r="AH50" s="174">
        <f>IFERROR(_xlfn.XLOOKUP($D50,'Modelling New'!$D:$D,'Modelling New'!$AF:$AF),"")</f>
        <v>0.995</v>
      </c>
      <c r="AI50" s="177">
        <f>IFERROR(_xlfn.XLOOKUP($A50,Input_Raw!$A:$A,Input_Raw!$BQ:$BQ),"")</f>
        <v>429.76</v>
      </c>
      <c r="AJ50" s="167"/>
      <c r="AK50" s="167"/>
      <c r="AL50" s="167"/>
      <c r="AM50" s="167"/>
      <c r="AN50" s="175">
        <f>IFERROR(_xlfn.XLOOKUP($A50,Input_Raw!$A:$A,Input_Raw!$BN:$BN),"")</f>
        <v>3.4222075648798804E-2</v>
      </c>
      <c r="AO50" s="174">
        <f>IFERROR((_xlfn.XLOOKUP($A50,'WTG Reactive Power'!$A:$A,'WTG Reactive Power'!$AE:$AE))/Table13[[#This Row],[Gen_Exp (kWh)]],"")</f>
        <v>7.8769070752682691E-2</v>
      </c>
      <c r="AP50" s="174">
        <f>IFERROR(_xlfn.XLOOKUP($D50,'Modelling New'!$D:$D,'Modelling New'!$AK:$AK),"")</f>
        <v>0.05</v>
      </c>
      <c r="AQ50" s="174">
        <f>IFERROR(_xlfn.XLOOKUP($D50,'Modelling New'!$D:$D,'Modelling New'!$AL:$AL),"")</f>
        <v>0.05</v>
      </c>
      <c r="AR50" s="276">
        <f>IFERROR(_xlfn.XLOOKUP($D50,'Modelling New'!$D:$D,'Modelling New'!$N:$N),"")</f>
        <v>70.2</v>
      </c>
      <c r="AS50" s="276"/>
    </row>
    <row r="51" spans="1:45">
      <c r="A51" s="165">
        <f t="shared" si="7"/>
        <v>45794</v>
      </c>
      <c r="B51" s="166">
        <f>YEAR(Table13[[#This Row],[Date]])+IF(MONTH(Table13[[#This Row],[Date]])&gt;=4,1,0)</f>
        <v>2026</v>
      </c>
      <c r="C51" s="167">
        <f>YEAR(Table13[[#This Row],[Date]])</f>
        <v>2025</v>
      </c>
      <c r="D51" s="168">
        <f>Table13[[#This Row],[Date]]-DAY(Table13[[#This Row],[Date]])+1</f>
        <v>45778</v>
      </c>
      <c r="E51" s="167">
        <f t="shared" si="4"/>
        <v>31</v>
      </c>
      <c r="F51" s="169"/>
      <c r="G51" s="176"/>
      <c r="H51" s="176"/>
      <c r="I51" s="176"/>
      <c r="J51" s="176"/>
      <c r="K51" s="171"/>
      <c r="L51" s="170"/>
      <c r="M51" s="170">
        <f>IFERROR(_xlfn.XLOOKUP($A51,Input_Raw!$A:$A,Input_Raw!BG:BG),"")</f>
        <v>5.164970831219434</v>
      </c>
      <c r="N51" s="170">
        <f>IFERROR(_xlfn.XLOOKUP($A51,Input_Raw!$A:$A,Input_Raw!BH:BH),"")</f>
        <v>0</v>
      </c>
      <c r="O51" s="173">
        <f t="shared" si="5"/>
        <v>0.92764847056891164</v>
      </c>
      <c r="P51" s="173">
        <f>IFERROR(1-SUMIF(WTG_BD!$F:$F,$A51,WTG_BD!$AA:$AA)/($AA51+SUMIF(WTG_BD!$F:$F,$A51,WTG_BD!$AA:$AA)),"")</f>
        <v>0.93133659037357119</v>
      </c>
      <c r="Q51" s="173">
        <f>IFERROR(1-SUMIF(IGA_BD!$F:$F,$A51,IGA_BD!$X:$X)/($AA51+SUMIF(IGA_BD!$F:$F,$A51,IGA_BD!$X:$X)),"")</f>
        <v>0.99603997110949949</v>
      </c>
      <c r="R51" s="173">
        <f>IFERROR(1-SUMIF(Grid_BD!$F:$F,$A51,Grid_BD!$Y:$Y)/($AA51+SUMIF(Grid_BD!$F:$F,$A51,Grid_BD!$Y:$Y)),"")</f>
        <v>1</v>
      </c>
      <c r="S51" s="167"/>
      <c r="T51" s="172"/>
      <c r="U51" s="173"/>
      <c r="V51" s="167"/>
      <c r="W51" s="174">
        <f t="shared" si="6"/>
        <v>0.1973824786324786</v>
      </c>
      <c r="X51" s="167">
        <f>IFERROR(_xlfn.XLOOKUP($A51,Input_Raw!$A:$A,Input_Raw!$BF:$BF),"")</f>
        <v>342930</v>
      </c>
      <c r="Y51" s="167">
        <f>IFERROR(_xlfn.XLOOKUP($A51,Input_Raw!$A:$A,Input_Raw!BJ:BJ),"")</f>
        <v>332550</v>
      </c>
      <c r="Z51" s="167">
        <f>IFERROR(_xlfn.XLOOKUP($A51,Input_Raw!$A:$A,Input_Raw!BK:BK),"")</f>
        <v>0</v>
      </c>
      <c r="AA51" s="167">
        <f>IFERROR(_xlfn.XLOOKUP($A51,Input_Raw!$A:$A,Input_Raw!BL:BL),"")</f>
        <v>332550</v>
      </c>
      <c r="AB51" s="167">
        <f>IFERROR(_xlfn.XLOOKUP($A51,Input_Raw!$A:$A,Input_Raw!$BO:$BO),"")</f>
        <v>70.2</v>
      </c>
      <c r="AC51" s="176">
        <f>IFERROR(_xlfn.XLOOKUP($D51,'Modelling New'!$D:$D,'Modelling New'!$J:$J),"")</f>
        <v>7.19</v>
      </c>
      <c r="AD51" s="166">
        <f>IFERROR(_xlfn.XLOOKUP($D51,'Modelling New'!$D:$D,'Modelling New'!$T:$T)*1000,"")</f>
        <v>908711.4041379313</v>
      </c>
      <c r="AE51" s="174"/>
      <c r="AF51" s="174">
        <f>IFERROR(_xlfn.XLOOKUP($D51,'Modelling New'!$D:$D,'Modelling New'!$W:$W),"")</f>
        <v>0.53935862068965523</v>
      </c>
      <c r="AG51" s="174">
        <f>IFERROR(_xlfn.XLOOKUP($D51,'Modelling New'!$D:$D,'Modelling New'!$AE:$AE),"")</f>
        <v>0.96029999999999993</v>
      </c>
      <c r="AH51" s="174">
        <f>IFERROR(_xlfn.XLOOKUP($D51,'Modelling New'!$D:$D,'Modelling New'!$AF:$AF),"")</f>
        <v>0.995</v>
      </c>
      <c r="AI51" s="177">
        <f>IFERROR(_xlfn.XLOOKUP($A51,Input_Raw!$A:$A,Input_Raw!$BQ:$BQ),"")</f>
        <v>357.08</v>
      </c>
      <c r="AJ51" s="167"/>
      <c r="AK51" s="167"/>
      <c r="AL51" s="167"/>
      <c r="AM51" s="167"/>
      <c r="AN51" s="175">
        <f>IFERROR(_xlfn.XLOOKUP($A51,Input_Raw!$A:$A,Input_Raw!$BN:$BN),"")</f>
        <v>3.026856792931502E-2</v>
      </c>
      <c r="AO51" s="174">
        <f>IFERROR((_xlfn.XLOOKUP($A51,'WTG Reactive Power'!$A:$A,'WTG Reactive Power'!$AE:$AE))/Table13[[#This Row],[Gen_Exp (kWh)]],"")</f>
        <v>6.0361881433528712E-2</v>
      </c>
      <c r="AP51" s="174">
        <f>IFERROR(_xlfn.XLOOKUP($D51,'Modelling New'!$D:$D,'Modelling New'!$AK:$AK),"")</f>
        <v>0.05</v>
      </c>
      <c r="AQ51" s="174">
        <f>IFERROR(_xlfn.XLOOKUP($D51,'Modelling New'!$D:$D,'Modelling New'!$AL:$AL),"")</f>
        <v>0.05</v>
      </c>
      <c r="AR51" s="276">
        <f>IFERROR(_xlfn.XLOOKUP($D51,'Modelling New'!$D:$D,'Modelling New'!$N:$N),"")</f>
        <v>70.2</v>
      </c>
      <c r="AS51" s="276"/>
    </row>
    <row r="52" spans="1:45">
      <c r="A52" s="165">
        <f t="shared" si="7"/>
        <v>45795</v>
      </c>
      <c r="B52" s="166">
        <f>YEAR(Table13[[#This Row],[Date]])+IF(MONTH(Table13[[#This Row],[Date]])&gt;=4,1,0)</f>
        <v>2026</v>
      </c>
      <c r="C52" s="167">
        <f>YEAR(Table13[[#This Row],[Date]])</f>
        <v>2025</v>
      </c>
      <c r="D52" s="168">
        <f>Table13[[#This Row],[Date]]-DAY(Table13[[#This Row],[Date]])+1</f>
        <v>45778</v>
      </c>
      <c r="E52" s="167">
        <f t="shared" si="4"/>
        <v>31</v>
      </c>
      <c r="F52" s="169"/>
      <c r="G52" s="170"/>
      <c r="H52" s="170"/>
      <c r="I52" s="170"/>
      <c r="J52" s="170"/>
      <c r="K52" s="171"/>
      <c r="L52" s="170"/>
      <c r="M52" s="170">
        <f>IFERROR(_xlfn.XLOOKUP($A52,Input_Raw!$A:$A,Input_Raw!BG:BG),"")</f>
        <v>5.0871620374231474</v>
      </c>
      <c r="N52" s="170">
        <f>IFERROR(_xlfn.XLOOKUP($A52,Input_Raw!$A:$A,Input_Raw!BH:BH),"")</f>
        <v>0</v>
      </c>
      <c r="O52" s="173">
        <f t="shared" si="5"/>
        <v>0.96421372281024675</v>
      </c>
      <c r="P52" s="173">
        <f>IFERROR(1-SUMIF(WTG_BD!$F:$F,$A52,WTG_BD!$AA:$AA)/($AA52+SUMIF(WTG_BD!$F:$F,$A52,WTG_BD!$AA:$AA)),"")</f>
        <v>0.98504059083671813</v>
      </c>
      <c r="Q52" s="173">
        <f>IFERROR(1-SUMIF(IGA_BD!$F:$F,$A52,IGA_BD!$X:$X)/($AA52+SUMIF(IGA_BD!$F:$F,$A52,IGA_BD!$X:$X)),"")</f>
        <v>0.97885684283448615</v>
      </c>
      <c r="R52" s="173">
        <f>IFERROR(1-SUMIF(Grid_BD!$F:$F,$A52,Grid_BD!$Y:$Y)/($AA52+SUMIF(Grid_BD!$F:$F,$A52,Grid_BD!$Y:$Y)),"")</f>
        <v>1</v>
      </c>
      <c r="S52" s="167"/>
      <c r="T52" s="172"/>
      <c r="U52" s="173"/>
      <c r="V52" s="167"/>
      <c r="W52" s="174">
        <f t="shared" si="6"/>
        <v>0.19284188034188032</v>
      </c>
      <c r="X52" s="167">
        <f>IFERROR(_xlfn.XLOOKUP($A52,Input_Raw!$A:$A,Input_Raw!$BF:$BF),"")</f>
        <v>334985</v>
      </c>
      <c r="Y52" s="167">
        <f>IFERROR(_xlfn.XLOOKUP($A52,Input_Raw!$A:$A,Input_Raw!BJ:BJ),"")</f>
        <v>324900</v>
      </c>
      <c r="Z52" s="167">
        <f>IFERROR(_xlfn.XLOOKUP($A52,Input_Raw!$A:$A,Input_Raw!BK:BK),"")</f>
        <v>0</v>
      </c>
      <c r="AA52" s="167">
        <f>IFERROR(_xlfn.XLOOKUP($A52,Input_Raw!$A:$A,Input_Raw!BL:BL),"")</f>
        <v>324900</v>
      </c>
      <c r="AB52" s="167">
        <f>IFERROR(_xlfn.XLOOKUP($A52,Input_Raw!$A:$A,Input_Raw!$BO:$BO),"")</f>
        <v>70.2</v>
      </c>
      <c r="AC52" s="176">
        <f>IFERROR(_xlfn.XLOOKUP($D52,'Modelling New'!$D:$D,'Modelling New'!$J:$J),"")</f>
        <v>7.19</v>
      </c>
      <c r="AD52" s="166">
        <f>IFERROR(_xlfn.XLOOKUP($D52,'Modelling New'!$D:$D,'Modelling New'!$T:$T)*1000,"")</f>
        <v>908711.4041379313</v>
      </c>
      <c r="AE52" s="174"/>
      <c r="AF52" s="174">
        <f>IFERROR(_xlfn.XLOOKUP($D52,'Modelling New'!$D:$D,'Modelling New'!$W:$W),"")</f>
        <v>0.53935862068965523</v>
      </c>
      <c r="AG52" s="174">
        <f>IFERROR(_xlfn.XLOOKUP($D52,'Modelling New'!$D:$D,'Modelling New'!$AE:$AE),"")</f>
        <v>0.96029999999999993</v>
      </c>
      <c r="AH52" s="174">
        <f>IFERROR(_xlfn.XLOOKUP($D52,'Modelling New'!$D:$D,'Modelling New'!$AF:$AF),"")</f>
        <v>0.995</v>
      </c>
      <c r="AI52" s="177">
        <f>IFERROR(_xlfn.XLOOKUP($A52,Input_Raw!$A:$A,Input_Raw!$BQ:$BQ),"")</f>
        <v>337.37</v>
      </c>
      <c r="AJ52" s="167"/>
      <c r="AK52" s="167"/>
      <c r="AL52" s="167"/>
      <c r="AM52" s="167"/>
      <c r="AN52" s="175">
        <f>IFERROR(_xlfn.XLOOKUP($A52,Input_Raw!$A:$A,Input_Raw!$BN:$BN),"")</f>
        <v>3.0105825633983611E-2</v>
      </c>
      <c r="AO52" s="174">
        <f>IFERROR((_xlfn.XLOOKUP($A52,'WTG Reactive Power'!$A:$A,'WTG Reactive Power'!$AE:$AE))/Table13[[#This Row],[Gen_Exp (kWh)]],"")</f>
        <v>4.0297923787632282E-3</v>
      </c>
      <c r="AP52" s="174">
        <f>IFERROR(_xlfn.XLOOKUP($D52,'Modelling New'!$D:$D,'Modelling New'!$AK:$AK),"")</f>
        <v>0.05</v>
      </c>
      <c r="AQ52" s="174">
        <f>IFERROR(_xlfn.XLOOKUP($D52,'Modelling New'!$D:$D,'Modelling New'!$AL:$AL),"")</f>
        <v>0.05</v>
      </c>
      <c r="AR52" s="276">
        <f>IFERROR(_xlfn.XLOOKUP($D52,'Modelling New'!$D:$D,'Modelling New'!$N:$N),"")</f>
        <v>70.2</v>
      </c>
      <c r="AS52" s="276"/>
    </row>
    <row r="53" spans="1:45">
      <c r="A53" s="165">
        <f t="shared" si="7"/>
        <v>45796</v>
      </c>
      <c r="B53" s="166">
        <f>YEAR(Table13[[#This Row],[Date]])+IF(MONTH(Table13[[#This Row],[Date]])&gt;=4,1,0)</f>
        <v>2026</v>
      </c>
      <c r="C53" s="167">
        <f>YEAR(Table13[[#This Row],[Date]])</f>
        <v>2025</v>
      </c>
      <c r="D53" s="168">
        <f>Table13[[#This Row],[Date]]-DAY(Table13[[#This Row],[Date]])+1</f>
        <v>45778</v>
      </c>
      <c r="E53" s="167">
        <f t="shared" si="4"/>
        <v>31</v>
      </c>
      <c r="F53" s="169"/>
      <c r="G53" s="176"/>
      <c r="H53" s="176"/>
      <c r="I53" s="176"/>
      <c r="J53" s="176"/>
      <c r="K53" s="171"/>
      <c r="L53" s="170"/>
      <c r="M53" s="170">
        <f>IFERROR(_xlfn.XLOOKUP($A53,Input_Raw!$A:$A,Input_Raw!BG:BG),"")</f>
        <v>5.1563194470766645</v>
      </c>
      <c r="N53" s="170">
        <f>IFERROR(_xlfn.XLOOKUP($A53,Input_Raw!$A:$A,Input_Raw!BH:BH),"")</f>
        <v>0</v>
      </c>
      <c r="O53" s="173">
        <f t="shared" si="5"/>
        <v>0.98661653702096019</v>
      </c>
      <c r="P53" s="173">
        <f>IFERROR(1-SUMIF(WTG_BD!$F:$F,$A53,WTG_BD!$AA:$AA)/($AA53+SUMIF(WTG_BD!$F:$F,$A53,WTG_BD!$AA:$AA)),"")</f>
        <v>0.98661653702096019</v>
      </c>
      <c r="Q53" s="173">
        <f>IFERROR(1-SUMIF(IGA_BD!$F:$F,$A53,IGA_BD!$X:$X)/($AA53+SUMIF(IGA_BD!$F:$F,$A53,IGA_BD!$X:$X)),"")</f>
        <v>1</v>
      </c>
      <c r="R53" s="173">
        <f>IFERROR(1-SUMIF(Grid_BD!$F:$F,$A53,Grid_BD!$Y:$Y)/($AA53+SUMIF(Grid_BD!$F:$F,$A53,Grid_BD!$Y:$Y)),"")</f>
        <v>1</v>
      </c>
      <c r="S53" s="167"/>
      <c r="T53" s="172"/>
      <c r="U53" s="173"/>
      <c r="V53" s="167"/>
      <c r="W53" s="174">
        <f t="shared" si="6"/>
        <v>0.22409188034188032</v>
      </c>
      <c r="X53" s="167">
        <f>IFERROR(_xlfn.XLOOKUP($A53,Input_Raw!$A:$A,Input_Raw!$BF:$BF),"")</f>
        <v>390622</v>
      </c>
      <c r="Y53" s="167">
        <f>IFERROR(_xlfn.XLOOKUP($A53,Input_Raw!$A:$A,Input_Raw!BJ:BJ),"")</f>
        <v>377550</v>
      </c>
      <c r="Z53" s="167">
        <f>IFERROR(_xlfn.XLOOKUP($A53,Input_Raw!$A:$A,Input_Raw!BK:BK),"")</f>
        <v>0</v>
      </c>
      <c r="AA53" s="167">
        <f>IFERROR(_xlfn.XLOOKUP($A53,Input_Raw!$A:$A,Input_Raw!BL:BL),"")</f>
        <v>377550</v>
      </c>
      <c r="AB53" s="167">
        <f>IFERROR(_xlfn.XLOOKUP($A53,Input_Raw!$A:$A,Input_Raw!$BO:$BO),"")</f>
        <v>70.2</v>
      </c>
      <c r="AC53" s="176">
        <f>IFERROR(_xlfn.XLOOKUP($D53,'Modelling New'!$D:$D,'Modelling New'!$J:$J),"")</f>
        <v>7.19</v>
      </c>
      <c r="AD53" s="166">
        <f>IFERROR(_xlfn.XLOOKUP($D53,'Modelling New'!$D:$D,'Modelling New'!$T:$T)*1000,"")</f>
        <v>908711.4041379313</v>
      </c>
      <c r="AE53" s="174"/>
      <c r="AF53" s="174">
        <f>IFERROR(_xlfn.XLOOKUP($D53,'Modelling New'!$D:$D,'Modelling New'!$W:$W),"")</f>
        <v>0.53935862068965523</v>
      </c>
      <c r="AG53" s="174">
        <f>IFERROR(_xlfn.XLOOKUP($D53,'Modelling New'!$D:$D,'Modelling New'!$AE:$AE),"")</f>
        <v>0.96029999999999993</v>
      </c>
      <c r="AH53" s="174">
        <f>IFERROR(_xlfn.XLOOKUP($D53,'Modelling New'!$D:$D,'Modelling New'!$AF:$AF),"")</f>
        <v>0.995</v>
      </c>
      <c r="AI53" s="177">
        <f>IFERROR(_xlfn.XLOOKUP($A53,Input_Raw!$A:$A,Input_Raw!$BQ:$BQ),"")</f>
        <v>390.56</v>
      </c>
      <c r="AJ53" s="167"/>
      <c r="AK53" s="167"/>
      <c r="AL53" s="167"/>
      <c r="AM53" s="167"/>
      <c r="AN53" s="175">
        <f>IFERROR(_xlfn.XLOOKUP($A53,Input_Raw!$A:$A,Input_Raw!$BN:$BN),"")</f>
        <v>3.346457700795142E-2</v>
      </c>
      <c r="AO53" s="174">
        <f>IFERROR((_xlfn.XLOOKUP($A53,'WTG Reactive Power'!$A:$A,'WTG Reactive Power'!$AE:$AE))/Table13[[#This Row],[Gen_Exp (kWh)]],"")</f>
        <v>2.3036592921033641E-3</v>
      </c>
      <c r="AP53" s="174">
        <f>IFERROR(_xlfn.XLOOKUP($D53,'Modelling New'!$D:$D,'Modelling New'!$AK:$AK),"")</f>
        <v>0.05</v>
      </c>
      <c r="AQ53" s="174">
        <f>IFERROR(_xlfn.XLOOKUP($D53,'Modelling New'!$D:$D,'Modelling New'!$AL:$AL),"")</f>
        <v>0.05</v>
      </c>
      <c r="AR53" s="276">
        <f>IFERROR(_xlfn.XLOOKUP($D53,'Modelling New'!$D:$D,'Modelling New'!$N:$N),"")</f>
        <v>70.2</v>
      </c>
      <c r="AS53" s="276"/>
    </row>
    <row r="54" spans="1:45">
      <c r="A54" s="165">
        <f t="shared" si="7"/>
        <v>45797</v>
      </c>
      <c r="B54" s="166">
        <f>YEAR(Table13[[#This Row],[Date]])+IF(MONTH(Table13[[#This Row],[Date]])&gt;=4,1,0)</f>
        <v>2026</v>
      </c>
      <c r="C54" s="167">
        <f>YEAR(Table13[[#This Row],[Date]])</f>
        <v>2025</v>
      </c>
      <c r="D54" s="168">
        <f>Table13[[#This Row],[Date]]-DAY(Table13[[#This Row],[Date]])+1</f>
        <v>45778</v>
      </c>
      <c r="E54" s="167">
        <f t="shared" si="4"/>
        <v>31</v>
      </c>
      <c r="F54" s="169"/>
      <c r="G54" s="170"/>
      <c r="H54" s="170"/>
      <c r="I54" s="170"/>
      <c r="J54" s="170"/>
      <c r="K54" s="171"/>
      <c r="L54" s="170"/>
      <c r="M54" s="170">
        <f>IFERROR(_xlfn.XLOOKUP($A54,Input_Raw!$A:$A,Input_Raw!BG:BG),"")</f>
        <v>5.2799223096243102</v>
      </c>
      <c r="N54" s="170">
        <f>IFERROR(_xlfn.XLOOKUP($A54,Input_Raw!$A:$A,Input_Raw!BH:BH),"")</f>
        <v>0</v>
      </c>
      <c r="O54" s="173">
        <f t="shared" si="5"/>
        <v>0.97920404903053382</v>
      </c>
      <c r="P54" s="173">
        <f>IFERROR(1-SUMIF(WTG_BD!$F:$F,$A54,WTG_BD!$AA:$AA)/($AA54+SUMIF(WTG_BD!$F:$F,$A54,WTG_BD!$AA:$AA)),"")</f>
        <v>0.98972421738323324</v>
      </c>
      <c r="Q54" s="173">
        <f>IFERROR(1-SUMIF(IGA_BD!$F:$F,$A54,IGA_BD!$X:$X)/($AA54+SUMIF(IGA_BD!$F:$F,$A54,IGA_BD!$X:$X)),"")</f>
        <v>0.98937060630837748</v>
      </c>
      <c r="R54" s="173">
        <f>IFERROR(1-SUMIF(Grid_BD!$F:$F,$A54,Grid_BD!$Y:$Y)/($AA54+SUMIF(Grid_BD!$F:$F,$A54,Grid_BD!$Y:$Y)),"")</f>
        <v>1</v>
      </c>
      <c r="S54" s="167"/>
      <c r="T54" s="172"/>
      <c r="U54" s="173"/>
      <c r="V54" s="167"/>
      <c r="W54" s="174">
        <f t="shared" si="6"/>
        <v>0.20993589743589741</v>
      </c>
      <c r="X54" s="167">
        <f>IFERROR(_xlfn.XLOOKUP($A54,Input_Raw!$A:$A,Input_Raw!$BF:$BF),"")</f>
        <v>366523</v>
      </c>
      <c r="Y54" s="167">
        <f>IFERROR(_xlfn.XLOOKUP($A54,Input_Raw!$A:$A,Input_Raw!BJ:BJ),"")</f>
        <v>354150</v>
      </c>
      <c r="Z54" s="167">
        <f>IFERROR(_xlfn.XLOOKUP($A54,Input_Raw!$A:$A,Input_Raw!BK:BK),"")</f>
        <v>450</v>
      </c>
      <c r="AA54" s="167">
        <f>IFERROR(_xlfn.XLOOKUP($A54,Input_Raw!$A:$A,Input_Raw!BL:BL),"")</f>
        <v>353700</v>
      </c>
      <c r="AB54" s="167">
        <f>IFERROR(_xlfn.XLOOKUP($A54,Input_Raw!$A:$A,Input_Raw!$BO:$BO),"")</f>
        <v>70.2</v>
      </c>
      <c r="AC54" s="176">
        <f>IFERROR(_xlfn.XLOOKUP($D54,'Modelling New'!$D:$D,'Modelling New'!$J:$J),"")</f>
        <v>7.19</v>
      </c>
      <c r="AD54" s="166">
        <f>IFERROR(_xlfn.XLOOKUP($D54,'Modelling New'!$D:$D,'Modelling New'!$T:$T)*1000,"")</f>
        <v>908711.4041379313</v>
      </c>
      <c r="AE54" s="174"/>
      <c r="AF54" s="174">
        <f>IFERROR(_xlfn.XLOOKUP($D54,'Modelling New'!$D:$D,'Modelling New'!$W:$W),"")</f>
        <v>0.53935862068965523</v>
      </c>
      <c r="AG54" s="174">
        <f>IFERROR(_xlfn.XLOOKUP($D54,'Modelling New'!$D:$D,'Modelling New'!$AE:$AE),"")</f>
        <v>0.96029999999999993</v>
      </c>
      <c r="AH54" s="174">
        <f>IFERROR(_xlfn.XLOOKUP($D54,'Modelling New'!$D:$D,'Modelling New'!$AF:$AF),"")</f>
        <v>0.995</v>
      </c>
      <c r="AI54" s="177">
        <f>IFERROR(_xlfn.XLOOKUP($A54,Input_Raw!$A:$A,Input_Raw!$BQ:$BQ),"")</f>
        <v>390.19</v>
      </c>
      <c r="AJ54" s="167"/>
      <c r="AK54" s="167"/>
      <c r="AL54" s="167"/>
      <c r="AM54" s="167"/>
      <c r="AN54" s="175">
        <f>IFERROR(_xlfn.XLOOKUP($A54,Input_Raw!$A:$A,Input_Raw!$BN:$BN),"")</f>
        <v>3.3757772363535166E-2</v>
      </c>
      <c r="AO54" s="174">
        <f>IFERROR((_xlfn.XLOOKUP($A54,'WTG Reactive Power'!$A:$A,'WTG Reactive Power'!$AE:$AE))/Table13[[#This Row],[Gen_Exp (kWh)]],"")</f>
        <v>2.4551255992120557E-3</v>
      </c>
      <c r="AP54" s="174">
        <f>IFERROR(_xlfn.XLOOKUP($D54,'Modelling New'!$D:$D,'Modelling New'!$AK:$AK),"")</f>
        <v>0.05</v>
      </c>
      <c r="AQ54" s="174">
        <f>IFERROR(_xlfn.XLOOKUP($D54,'Modelling New'!$D:$D,'Modelling New'!$AL:$AL),"")</f>
        <v>0.05</v>
      </c>
      <c r="AR54" s="276">
        <f>IFERROR(_xlfn.XLOOKUP($D54,'Modelling New'!$D:$D,'Modelling New'!$N:$N),"")</f>
        <v>70.2</v>
      </c>
      <c r="AS54" s="276"/>
    </row>
    <row r="55" spans="1:45">
      <c r="A55" s="165">
        <f t="shared" si="7"/>
        <v>45798</v>
      </c>
      <c r="B55" s="166">
        <f>YEAR(Table13[[#This Row],[Date]])+IF(MONTH(Table13[[#This Row],[Date]])&gt;=4,1,0)</f>
        <v>2026</v>
      </c>
      <c r="C55" s="167">
        <f>YEAR(Table13[[#This Row],[Date]])</f>
        <v>2025</v>
      </c>
      <c r="D55" s="168">
        <f>Table13[[#This Row],[Date]]-DAY(Table13[[#This Row],[Date]])+1</f>
        <v>45778</v>
      </c>
      <c r="E55" s="167">
        <f t="shared" si="4"/>
        <v>31</v>
      </c>
      <c r="F55" s="169"/>
      <c r="G55" s="176"/>
      <c r="H55" s="176"/>
      <c r="I55" s="176"/>
      <c r="J55" s="176"/>
      <c r="K55" s="171"/>
      <c r="L55" s="170"/>
      <c r="M55" s="170">
        <f>IFERROR(_xlfn.XLOOKUP($A55,Input_Raw!$A:$A,Input_Raw!BG:BG),"")</f>
        <v>4.5324132546722824</v>
      </c>
      <c r="N55" s="170">
        <f>IFERROR(_xlfn.XLOOKUP($A55,Input_Raw!$A:$A,Input_Raw!BH:BH),"")</f>
        <v>0</v>
      </c>
      <c r="O55" s="173">
        <f t="shared" si="5"/>
        <v>0.75061044665631904</v>
      </c>
      <c r="P55" s="173">
        <f>IFERROR(1-SUMIF(WTG_BD!$F:$F,$A55,WTG_BD!$AA:$AA)/($AA55+SUMIF(WTG_BD!$F:$F,$A55,WTG_BD!$AA:$AA)),"")</f>
        <v>0.9612111724006549</v>
      </c>
      <c r="Q55" s="173">
        <f>IFERROR(1-SUMIF(IGA_BD!$F:$F,$A55,IGA_BD!$X:$X)/($AA55+SUMIF(IGA_BD!$F:$F,$A55,IGA_BD!$X:$X)),"")</f>
        <v>0.78090066804118186</v>
      </c>
      <c r="R55" s="173">
        <f>IFERROR(1-SUMIF(Grid_BD!$F:$F,$A55,Grid_BD!$Y:$Y)/($AA55+SUMIF(Grid_BD!$F:$F,$A55,Grid_BD!$Y:$Y)),"")</f>
        <v>1</v>
      </c>
      <c r="S55" s="167"/>
      <c r="T55" s="172"/>
      <c r="U55" s="173"/>
      <c r="V55" s="167"/>
      <c r="W55" s="174">
        <f t="shared" si="6"/>
        <v>0.11084401709401707</v>
      </c>
      <c r="X55" s="167">
        <f>IFERROR(_xlfn.XLOOKUP($A55,Input_Raw!$A:$A,Input_Raw!$BF:$BF),"")</f>
        <v>193560</v>
      </c>
      <c r="Y55" s="167">
        <f>IFERROR(_xlfn.XLOOKUP($A55,Input_Raw!$A:$A,Input_Raw!BJ:BJ),"")</f>
        <v>186750</v>
      </c>
      <c r="Z55" s="167">
        <f>IFERROR(_xlfn.XLOOKUP($A55,Input_Raw!$A:$A,Input_Raw!BK:BK),"")</f>
        <v>0</v>
      </c>
      <c r="AA55" s="167">
        <f>IFERROR(_xlfn.XLOOKUP($A55,Input_Raw!$A:$A,Input_Raw!BL:BL),"")</f>
        <v>186750</v>
      </c>
      <c r="AB55" s="167">
        <f>IFERROR(_xlfn.XLOOKUP($A55,Input_Raw!$A:$A,Input_Raw!$BO:$BO),"")</f>
        <v>70.2</v>
      </c>
      <c r="AC55" s="176">
        <f>IFERROR(_xlfn.XLOOKUP($D55,'Modelling New'!$D:$D,'Modelling New'!$J:$J),"")</f>
        <v>7.19</v>
      </c>
      <c r="AD55" s="166">
        <f>IFERROR(_xlfn.XLOOKUP($D55,'Modelling New'!$D:$D,'Modelling New'!$T:$T)*1000,"")</f>
        <v>908711.4041379313</v>
      </c>
      <c r="AE55" s="174"/>
      <c r="AF55" s="174">
        <f>IFERROR(_xlfn.XLOOKUP($D55,'Modelling New'!$D:$D,'Modelling New'!$W:$W),"")</f>
        <v>0.53935862068965523</v>
      </c>
      <c r="AG55" s="174">
        <f>IFERROR(_xlfn.XLOOKUP($D55,'Modelling New'!$D:$D,'Modelling New'!$AE:$AE),"")</f>
        <v>0.96029999999999993</v>
      </c>
      <c r="AH55" s="174">
        <f>IFERROR(_xlfn.XLOOKUP($D55,'Modelling New'!$D:$D,'Modelling New'!$AF:$AF),"")</f>
        <v>0.995</v>
      </c>
      <c r="AI55" s="177">
        <f>IFERROR(_xlfn.XLOOKUP($A55,Input_Raw!$A:$A,Input_Raw!$BQ:$BQ),"")</f>
        <v>202.65</v>
      </c>
      <c r="AJ55" s="167"/>
      <c r="AK55" s="167"/>
      <c r="AL55" s="167"/>
      <c r="AM55" s="167"/>
      <c r="AN55" s="175">
        <f>IFERROR(_xlfn.XLOOKUP($A55,Input_Raw!$A:$A,Input_Raw!$BN:$BN),"")</f>
        <v>3.51828890266584E-2</v>
      </c>
      <c r="AO55" s="174">
        <f>IFERROR((_xlfn.XLOOKUP($A55,'WTG Reactive Power'!$A:$A,'WTG Reactive Power'!$AE:$AE))/Table13[[#This Row],[Gen_Exp (kWh)]],"")</f>
        <v>2.3238272370324459E-3</v>
      </c>
      <c r="AP55" s="174">
        <f>IFERROR(_xlfn.XLOOKUP($D55,'Modelling New'!$D:$D,'Modelling New'!$AK:$AK),"")</f>
        <v>0.05</v>
      </c>
      <c r="AQ55" s="174">
        <f>IFERROR(_xlfn.XLOOKUP($D55,'Modelling New'!$D:$D,'Modelling New'!$AL:$AL),"")</f>
        <v>0.05</v>
      </c>
      <c r="AR55" s="276">
        <f>IFERROR(_xlfn.XLOOKUP($D55,'Modelling New'!$D:$D,'Modelling New'!$N:$N),"")</f>
        <v>70.2</v>
      </c>
      <c r="AS55" s="276"/>
    </row>
    <row r="56" spans="1:45">
      <c r="A56" s="165">
        <f t="shared" si="7"/>
        <v>45799</v>
      </c>
      <c r="B56" s="166">
        <f>YEAR(Table13[[#This Row],[Date]])+IF(MONTH(Table13[[#This Row],[Date]])&gt;=4,1,0)</f>
        <v>2026</v>
      </c>
      <c r="C56" s="167">
        <f>YEAR(Table13[[#This Row],[Date]])</f>
        <v>2025</v>
      </c>
      <c r="D56" s="168">
        <f>Table13[[#This Row],[Date]]-DAY(Table13[[#This Row],[Date]])+1</f>
        <v>45778</v>
      </c>
      <c r="E56" s="167">
        <f t="shared" si="4"/>
        <v>31</v>
      </c>
      <c r="F56" s="169"/>
      <c r="G56" s="170"/>
      <c r="H56" s="170"/>
      <c r="I56" s="170"/>
      <c r="J56" s="170"/>
      <c r="K56" s="171"/>
      <c r="L56" s="170"/>
      <c r="M56" s="170">
        <f>IFERROR(_xlfn.XLOOKUP($A56,Input_Raw!$A:$A,Input_Raw!BG:BG),"")</f>
        <v>3.7634574295913192</v>
      </c>
      <c r="N56" s="170">
        <f>IFERROR(_xlfn.XLOOKUP($A56,Input_Raw!$A:$A,Input_Raw!BH:BH),"")</f>
        <v>0</v>
      </c>
      <c r="O56" s="173">
        <f t="shared" si="5"/>
        <v>0.85067376526430749</v>
      </c>
      <c r="P56" s="173">
        <f>IFERROR(1-SUMIF(WTG_BD!$F:$F,$A56,WTG_BD!$AA:$AA)/($AA56+SUMIF(WTG_BD!$F:$F,$A56,WTG_BD!$AA:$AA)),"")</f>
        <v>0.99006238092196408</v>
      </c>
      <c r="Q56" s="173">
        <f>IFERROR(1-SUMIF(IGA_BD!$F:$F,$A56,IGA_BD!$X:$X)/($AA56+SUMIF(IGA_BD!$F:$F,$A56,IGA_BD!$X:$X)),"")</f>
        <v>0.85921228970657848</v>
      </c>
      <c r="R56" s="173">
        <f>IFERROR(1-SUMIF(Grid_BD!$F:$F,$A56,Grid_BD!$Y:$Y)/($AA56+SUMIF(Grid_BD!$F:$F,$A56,Grid_BD!$Y:$Y)),"")</f>
        <v>1</v>
      </c>
      <c r="S56" s="167"/>
      <c r="T56" s="172"/>
      <c r="U56" s="173"/>
      <c r="V56" s="167"/>
      <c r="W56" s="174">
        <f t="shared" si="6"/>
        <v>7.8792735042735026E-2</v>
      </c>
      <c r="X56" s="167">
        <f>IFERROR(_xlfn.XLOOKUP($A56,Input_Raw!$A:$A,Input_Raw!$BF:$BF),"")</f>
        <v>139747</v>
      </c>
      <c r="Y56" s="167">
        <f>IFERROR(_xlfn.XLOOKUP($A56,Input_Raw!$A:$A,Input_Raw!BJ:BJ),"")</f>
        <v>134100</v>
      </c>
      <c r="Z56" s="167">
        <f>IFERROR(_xlfn.XLOOKUP($A56,Input_Raw!$A:$A,Input_Raw!BK:BK),"")</f>
        <v>1350</v>
      </c>
      <c r="AA56" s="167">
        <f>IFERROR(_xlfn.XLOOKUP($A56,Input_Raw!$A:$A,Input_Raw!BL:BL),"")</f>
        <v>132750</v>
      </c>
      <c r="AB56" s="167">
        <f>IFERROR(_xlfn.XLOOKUP($A56,Input_Raw!$A:$A,Input_Raw!$BO:$BO),"")</f>
        <v>70.2</v>
      </c>
      <c r="AC56" s="176">
        <f>IFERROR(_xlfn.XLOOKUP($D56,'Modelling New'!$D:$D,'Modelling New'!$J:$J),"")</f>
        <v>7.19</v>
      </c>
      <c r="AD56" s="166">
        <f>IFERROR(_xlfn.XLOOKUP($D56,'Modelling New'!$D:$D,'Modelling New'!$T:$T)*1000,"")</f>
        <v>908711.4041379313</v>
      </c>
      <c r="AE56" s="174"/>
      <c r="AF56" s="174">
        <f>IFERROR(_xlfn.XLOOKUP($D56,'Modelling New'!$D:$D,'Modelling New'!$W:$W),"")</f>
        <v>0.53935862068965523</v>
      </c>
      <c r="AG56" s="174">
        <f>IFERROR(_xlfn.XLOOKUP($D56,'Modelling New'!$D:$D,'Modelling New'!$AE:$AE),"")</f>
        <v>0.96029999999999993</v>
      </c>
      <c r="AH56" s="174">
        <f>IFERROR(_xlfn.XLOOKUP($D56,'Modelling New'!$D:$D,'Modelling New'!$AF:$AF),"")</f>
        <v>0.995</v>
      </c>
      <c r="AI56" s="177">
        <f>IFERROR(_xlfn.XLOOKUP($A56,Input_Raw!$A:$A,Input_Raw!$BQ:$BQ),"")</f>
        <v>158.54</v>
      </c>
      <c r="AJ56" s="167"/>
      <c r="AK56" s="167"/>
      <c r="AL56" s="167"/>
      <c r="AM56" s="167"/>
      <c r="AN56" s="175">
        <f>IFERROR(_xlfn.XLOOKUP($A56,Input_Raw!$A:$A,Input_Raw!$BN:$BN),"")</f>
        <v>4.0408738649130214E-2</v>
      </c>
      <c r="AO56" s="174">
        <f>IFERROR((_xlfn.XLOOKUP($A56,'WTG Reactive Power'!$A:$A,'WTG Reactive Power'!$AE:$AE))/Table13[[#This Row],[Gen_Exp (kWh)]],"")</f>
        <v>6.4392079973094249E-3</v>
      </c>
      <c r="AP56" s="174">
        <f>IFERROR(_xlfn.XLOOKUP($D56,'Modelling New'!$D:$D,'Modelling New'!$AK:$AK),"")</f>
        <v>0.05</v>
      </c>
      <c r="AQ56" s="174">
        <f>IFERROR(_xlfn.XLOOKUP($D56,'Modelling New'!$D:$D,'Modelling New'!$AL:$AL),"")</f>
        <v>0.05</v>
      </c>
      <c r="AR56" s="276">
        <f>IFERROR(_xlfn.XLOOKUP($D56,'Modelling New'!$D:$D,'Modelling New'!$N:$N),"")</f>
        <v>70.2</v>
      </c>
      <c r="AS56" s="276"/>
    </row>
    <row r="57" spans="1:45">
      <c r="A57" s="165">
        <f t="shared" si="7"/>
        <v>45800</v>
      </c>
      <c r="B57" s="166">
        <f>YEAR(Table13[[#This Row],[Date]])+IF(MONTH(Table13[[#This Row],[Date]])&gt;=4,1,0)</f>
        <v>2026</v>
      </c>
      <c r="C57" s="167">
        <f>YEAR(Table13[[#This Row],[Date]])</f>
        <v>2025</v>
      </c>
      <c r="D57" s="168">
        <f>Table13[[#This Row],[Date]]-DAY(Table13[[#This Row],[Date]])+1</f>
        <v>45778</v>
      </c>
      <c r="E57" s="167">
        <f t="shared" si="4"/>
        <v>31</v>
      </c>
      <c r="F57" s="169"/>
      <c r="G57" s="176"/>
      <c r="H57" s="176"/>
      <c r="I57" s="176"/>
      <c r="J57" s="176"/>
      <c r="K57" s="171"/>
      <c r="L57" s="170"/>
      <c r="M57" s="170">
        <f>IFERROR(_xlfn.XLOOKUP($A57,Input_Raw!$A:$A,Input_Raw!BG:BG),"")</f>
        <v>4.8978954647090855</v>
      </c>
      <c r="N57" s="170">
        <f>IFERROR(_xlfn.XLOOKUP($A57,Input_Raw!$A:$A,Input_Raw!BH:BH),"")</f>
        <v>0</v>
      </c>
      <c r="O57" s="173">
        <f t="shared" si="5"/>
        <v>0.99215278310887234</v>
      </c>
      <c r="P57" s="173">
        <f>IFERROR(1-SUMIF(WTG_BD!$F:$F,$A57,WTG_BD!$AA:$AA)/($AA57+SUMIF(WTG_BD!$F:$F,$A57,WTG_BD!$AA:$AA)),"")</f>
        <v>0.99703795023742137</v>
      </c>
      <c r="Q57" s="173">
        <f>IFERROR(1-SUMIF(IGA_BD!$F:$F,$A57,IGA_BD!$X:$X)/($AA57+SUMIF(IGA_BD!$F:$F,$A57,IGA_BD!$X:$X)),"")</f>
        <v>0.99510031977480318</v>
      </c>
      <c r="R57" s="173">
        <f>IFERROR(1-SUMIF(Grid_BD!$F:$F,$A57,Grid_BD!$Y:$Y)/($AA57+SUMIF(Grid_BD!$F:$F,$A57,Grid_BD!$Y:$Y)),"")</f>
        <v>1</v>
      </c>
      <c r="S57" s="167"/>
      <c r="T57" s="172"/>
      <c r="U57" s="173"/>
      <c r="V57" s="167"/>
      <c r="W57" s="174">
        <f t="shared" si="6"/>
        <v>0.20058760683760682</v>
      </c>
      <c r="X57" s="167">
        <f>IFERROR(_xlfn.XLOOKUP($A57,Input_Raw!$A:$A,Input_Raw!$BF:$BF),"")</f>
        <v>350115</v>
      </c>
      <c r="Y57" s="167">
        <f>IFERROR(_xlfn.XLOOKUP($A57,Input_Raw!$A:$A,Input_Raw!BJ:BJ),"")</f>
        <v>337950</v>
      </c>
      <c r="Z57" s="167">
        <f>IFERROR(_xlfn.XLOOKUP($A57,Input_Raw!$A:$A,Input_Raw!BK:BK),"")</f>
        <v>0</v>
      </c>
      <c r="AA57" s="167">
        <f>IFERROR(_xlfn.XLOOKUP($A57,Input_Raw!$A:$A,Input_Raw!BL:BL),"")</f>
        <v>337950</v>
      </c>
      <c r="AB57" s="167">
        <f>IFERROR(_xlfn.XLOOKUP($A57,Input_Raw!$A:$A,Input_Raw!$BO:$BO),"")</f>
        <v>70.2</v>
      </c>
      <c r="AC57" s="176">
        <f>IFERROR(_xlfn.XLOOKUP($D57,'Modelling New'!$D:$D,'Modelling New'!$J:$J),"")</f>
        <v>7.19</v>
      </c>
      <c r="AD57" s="166">
        <f>IFERROR(_xlfn.XLOOKUP($D57,'Modelling New'!$D:$D,'Modelling New'!$T:$T)*1000,"")</f>
        <v>908711.4041379313</v>
      </c>
      <c r="AE57" s="174"/>
      <c r="AF57" s="174">
        <f>IFERROR(_xlfn.XLOOKUP($D57,'Modelling New'!$D:$D,'Modelling New'!$W:$W),"")</f>
        <v>0.53935862068965523</v>
      </c>
      <c r="AG57" s="174">
        <f>IFERROR(_xlfn.XLOOKUP($D57,'Modelling New'!$D:$D,'Modelling New'!$AE:$AE),"")</f>
        <v>0.96029999999999993</v>
      </c>
      <c r="AH57" s="174">
        <f>IFERROR(_xlfn.XLOOKUP($D57,'Modelling New'!$D:$D,'Modelling New'!$AF:$AF),"")</f>
        <v>0.995</v>
      </c>
      <c r="AI57" s="177">
        <f>IFERROR(_xlfn.XLOOKUP($A57,Input_Raw!$A:$A,Input_Raw!$BQ:$BQ),"")</f>
        <v>371.21</v>
      </c>
      <c r="AJ57" s="167"/>
      <c r="AK57" s="167"/>
      <c r="AL57" s="167"/>
      <c r="AM57" s="167"/>
      <c r="AN57" s="175">
        <f>IFERROR(_xlfn.XLOOKUP($A57,Input_Raw!$A:$A,Input_Raw!$BN:$BN),"")</f>
        <v>3.4745726404181485E-2</v>
      </c>
      <c r="AO57" s="174">
        <f>IFERROR((_xlfn.XLOOKUP($A57,'WTG Reactive Power'!$A:$A,'WTG Reactive Power'!$AE:$AE))/Table13[[#This Row],[Gen_Exp (kWh)]],"")</f>
        <v>2.5701840823729354E-3</v>
      </c>
      <c r="AP57" s="174">
        <f>IFERROR(_xlfn.XLOOKUP($D57,'Modelling New'!$D:$D,'Modelling New'!$AK:$AK),"")</f>
        <v>0.05</v>
      </c>
      <c r="AQ57" s="174">
        <f>IFERROR(_xlfn.XLOOKUP($D57,'Modelling New'!$D:$D,'Modelling New'!$AL:$AL),"")</f>
        <v>0.05</v>
      </c>
      <c r="AR57" s="276">
        <f>IFERROR(_xlfn.XLOOKUP($D57,'Modelling New'!$D:$D,'Modelling New'!$N:$N),"")</f>
        <v>70.2</v>
      </c>
      <c r="AS57" s="276"/>
    </row>
    <row r="58" spans="1:45">
      <c r="A58" s="165">
        <f t="shared" si="7"/>
        <v>45801</v>
      </c>
      <c r="B58" s="166">
        <f>YEAR(Table13[[#This Row],[Date]])+IF(MONTH(Table13[[#This Row],[Date]])&gt;=4,1,0)</f>
        <v>2026</v>
      </c>
      <c r="C58" s="167">
        <f>YEAR(Table13[[#This Row],[Date]])</f>
        <v>2025</v>
      </c>
      <c r="D58" s="168">
        <f>Table13[[#This Row],[Date]]-DAY(Table13[[#This Row],[Date]])+1</f>
        <v>45778</v>
      </c>
      <c r="E58" s="167">
        <f t="shared" si="4"/>
        <v>31</v>
      </c>
      <c r="F58" s="169"/>
      <c r="G58" s="170"/>
      <c r="H58" s="170"/>
      <c r="I58" s="170"/>
      <c r="J58" s="170"/>
      <c r="K58" s="171"/>
      <c r="L58" s="170"/>
      <c r="M58" s="170">
        <f>IFERROR(_xlfn.XLOOKUP($A58,Input_Raw!$A:$A,Input_Raw!BG:BG),"")</f>
        <v>7.5679809963237359</v>
      </c>
      <c r="N58" s="170">
        <f>IFERROR(_xlfn.XLOOKUP($A58,Input_Raw!$A:$A,Input_Raw!BH:BH),"")</f>
        <v>0</v>
      </c>
      <c r="O58" s="173">
        <f t="shared" si="5"/>
        <v>0.85415678760706337</v>
      </c>
      <c r="P58" s="173">
        <f>IFERROR(1-SUMIF(WTG_BD!$F:$F,$A58,WTG_BD!$AA:$AA)/($AA58+SUMIF(WTG_BD!$F:$F,$A58,WTG_BD!$AA:$AA)),"")</f>
        <v>0.98235807997329183</v>
      </c>
      <c r="Q58" s="173">
        <f>IFERROR(1-SUMIF(IGA_BD!$F:$F,$A58,IGA_BD!$X:$X)/($AA58+SUMIF(IGA_BD!$F:$F,$A58,IGA_BD!$X:$X)),"")</f>
        <v>0.86949637308453354</v>
      </c>
      <c r="R58" s="173">
        <f>IFERROR(1-SUMIF(Grid_BD!$F:$F,$A58,Grid_BD!$Y:$Y)/($AA58+SUMIF(Grid_BD!$F:$F,$A58,Grid_BD!$Y:$Y)),"")</f>
        <v>1</v>
      </c>
      <c r="S58" s="167"/>
      <c r="T58" s="172"/>
      <c r="U58" s="173"/>
      <c r="V58" s="167"/>
      <c r="W58" s="174">
        <f t="shared" si="6"/>
        <v>0.46607905982905978</v>
      </c>
      <c r="X58" s="167">
        <f>IFERROR(_xlfn.XLOOKUP($A58,Input_Raw!$A:$A,Input_Raw!$BF:$BF),"")</f>
        <v>814043</v>
      </c>
      <c r="Y58" s="167">
        <f>IFERROR(_xlfn.XLOOKUP($A58,Input_Raw!$A:$A,Input_Raw!BJ:BJ),"")</f>
        <v>785250</v>
      </c>
      <c r="Z58" s="167">
        <f>IFERROR(_xlfn.XLOOKUP($A58,Input_Raw!$A:$A,Input_Raw!BK:BK),"")</f>
        <v>0</v>
      </c>
      <c r="AA58" s="167">
        <f>IFERROR(_xlfn.XLOOKUP($A58,Input_Raw!$A:$A,Input_Raw!BL:BL),"")</f>
        <v>785250</v>
      </c>
      <c r="AB58" s="167">
        <f>IFERROR(_xlfn.XLOOKUP($A58,Input_Raw!$A:$A,Input_Raw!$BO:$BO),"")</f>
        <v>70.2</v>
      </c>
      <c r="AC58" s="176">
        <f>IFERROR(_xlfn.XLOOKUP($D58,'Modelling New'!$D:$D,'Modelling New'!$J:$J),"")</f>
        <v>7.19</v>
      </c>
      <c r="AD58" s="166">
        <f>IFERROR(_xlfn.XLOOKUP($D58,'Modelling New'!$D:$D,'Modelling New'!$T:$T)*1000,"")</f>
        <v>908711.4041379313</v>
      </c>
      <c r="AE58" s="174"/>
      <c r="AF58" s="174">
        <f>IFERROR(_xlfn.XLOOKUP($D58,'Modelling New'!$D:$D,'Modelling New'!$W:$W),"")</f>
        <v>0.53935862068965523</v>
      </c>
      <c r="AG58" s="174">
        <f>IFERROR(_xlfn.XLOOKUP($D58,'Modelling New'!$D:$D,'Modelling New'!$AE:$AE),"")</f>
        <v>0.96029999999999993</v>
      </c>
      <c r="AH58" s="174">
        <f>IFERROR(_xlfn.XLOOKUP($D58,'Modelling New'!$D:$D,'Modelling New'!$AF:$AF),"")</f>
        <v>0.995</v>
      </c>
      <c r="AI58" s="177">
        <f>IFERROR(_xlfn.XLOOKUP($A58,Input_Raw!$A:$A,Input_Raw!$BQ:$BQ),"")</f>
        <v>847.72</v>
      </c>
      <c r="AJ58" s="167"/>
      <c r="AK58" s="167"/>
      <c r="AL58" s="167"/>
      <c r="AM58" s="167"/>
      <c r="AN58" s="175">
        <f>IFERROR(_xlfn.XLOOKUP($A58,Input_Raw!$A:$A,Input_Raw!$BN:$BN),"")</f>
        <v>3.5370367413023636E-2</v>
      </c>
      <c r="AO58" s="174">
        <f>IFERROR((_xlfn.XLOOKUP($A58,'WTG Reactive Power'!$A:$A,'WTG Reactive Power'!$AE:$AE))/Table13[[#This Row],[Gen_Exp (kWh)]],"")</f>
        <v>2.2111608354841209E-3</v>
      </c>
      <c r="AP58" s="174">
        <f>IFERROR(_xlfn.XLOOKUP($D58,'Modelling New'!$D:$D,'Modelling New'!$AK:$AK),"")</f>
        <v>0.05</v>
      </c>
      <c r="AQ58" s="174">
        <f>IFERROR(_xlfn.XLOOKUP($D58,'Modelling New'!$D:$D,'Modelling New'!$AL:$AL),"")</f>
        <v>0.05</v>
      </c>
      <c r="AR58" s="276">
        <f>IFERROR(_xlfn.XLOOKUP($D58,'Modelling New'!$D:$D,'Modelling New'!$N:$N),"")</f>
        <v>70.2</v>
      </c>
      <c r="AS58" s="276"/>
    </row>
    <row r="59" spans="1:45">
      <c r="A59" s="165">
        <f t="shared" si="7"/>
        <v>45802</v>
      </c>
      <c r="B59" s="166">
        <f>YEAR(Table13[[#This Row],[Date]])+IF(MONTH(Table13[[#This Row],[Date]])&gt;=4,1,0)</f>
        <v>2026</v>
      </c>
      <c r="C59" s="167">
        <f>YEAR(Table13[[#This Row],[Date]])</f>
        <v>2025</v>
      </c>
      <c r="D59" s="168">
        <f>Table13[[#This Row],[Date]]-DAY(Table13[[#This Row],[Date]])+1</f>
        <v>45778</v>
      </c>
      <c r="E59" s="167">
        <f t="shared" si="4"/>
        <v>31</v>
      </c>
      <c r="F59" s="169"/>
      <c r="G59" s="176"/>
      <c r="H59" s="176"/>
      <c r="I59" s="176"/>
      <c r="J59" s="176"/>
      <c r="K59" s="171"/>
      <c r="L59" s="170"/>
      <c r="M59" s="170">
        <f>IFERROR(_xlfn.XLOOKUP($A59,Input_Raw!$A:$A,Input_Raw!BG:BG),"")</f>
        <v>7.6819230769230789</v>
      </c>
      <c r="N59" s="170">
        <f>IFERROR(_xlfn.XLOOKUP($A59,Input_Raw!$A:$A,Input_Raw!BH:BH),"")</f>
        <v>0</v>
      </c>
      <c r="O59" s="173">
        <f t="shared" si="5"/>
        <v>0.88823128249509964</v>
      </c>
      <c r="P59" s="173">
        <f>IFERROR(1-SUMIF(WTG_BD!$F:$F,$A59,WTG_BD!$AA:$AA)/($AA59+SUMIF(WTG_BD!$F:$F,$A59,WTG_BD!$AA:$AA)),"")</f>
        <v>0.96075409546568347</v>
      </c>
      <c r="Q59" s="173">
        <f>IFERROR(1-SUMIF(IGA_BD!$F:$F,$A59,IGA_BD!$X:$X)/($AA59+SUMIF(IGA_BD!$F:$F,$A59,IGA_BD!$X:$X)),"")</f>
        <v>0.92451469807637765</v>
      </c>
      <c r="R59" s="173">
        <f>IFERROR(1-SUMIF(Grid_BD!$F:$F,$A59,Grid_BD!$Y:$Y)/($AA59+SUMIF(Grid_BD!$F:$F,$A59,Grid_BD!$Y:$Y)),"")</f>
        <v>1</v>
      </c>
      <c r="S59" s="167"/>
      <c r="T59" s="172"/>
      <c r="U59" s="173"/>
      <c r="V59" s="167"/>
      <c r="W59" s="174">
        <f t="shared" si="6"/>
        <v>0.48210470085470081</v>
      </c>
      <c r="X59" s="167">
        <f>IFERROR(_xlfn.XLOOKUP($A59,Input_Raw!$A:$A,Input_Raw!$BF:$BF),"")</f>
        <v>841018</v>
      </c>
      <c r="Y59" s="167">
        <f>IFERROR(_xlfn.XLOOKUP($A59,Input_Raw!$A:$A,Input_Raw!BJ:BJ),"")</f>
        <v>812250</v>
      </c>
      <c r="Z59" s="167">
        <f>IFERROR(_xlfn.XLOOKUP($A59,Input_Raw!$A:$A,Input_Raw!BK:BK),"")</f>
        <v>0</v>
      </c>
      <c r="AA59" s="167">
        <f>IFERROR(_xlfn.XLOOKUP($A59,Input_Raw!$A:$A,Input_Raw!BL:BL),"")</f>
        <v>812250</v>
      </c>
      <c r="AB59" s="167">
        <f>IFERROR(_xlfn.XLOOKUP($A59,Input_Raw!$A:$A,Input_Raw!$BO:$BO),"")</f>
        <v>70.2</v>
      </c>
      <c r="AC59" s="176">
        <f>IFERROR(_xlfn.XLOOKUP($D59,'Modelling New'!$D:$D,'Modelling New'!$J:$J),"")</f>
        <v>7.19</v>
      </c>
      <c r="AD59" s="166">
        <f>IFERROR(_xlfn.XLOOKUP($D59,'Modelling New'!$D:$D,'Modelling New'!$T:$T)*1000,"")</f>
        <v>908711.4041379313</v>
      </c>
      <c r="AE59" s="174"/>
      <c r="AF59" s="174">
        <f>IFERROR(_xlfn.XLOOKUP($D59,'Modelling New'!$D:$D,'Modelling New'!$W:$W),"")</f>
        <v>0.53935862068965523</v>
      </c>
      <c r="AG59" s="174">
        <f>IFERROR(_xlfn.XLOOKUP($D59,'Modelling New'!$D:$D,'Modelling New'!$AE:$AE),"")</f>
        <v>0.96029999999999993</v>
      </c>
      <c r="AH59" s="174">
        <f>IFERROR(_xlfn.XLOOKUP($D59,'Modelling New'!$D:$D,'Modelling New'!$AF:$AF),"")</f>
        <v>0.995</v>
      </c>
      <c r="AI59" s="177">
        <f>IFERROR(_xlfn.XLOOKUP($A59,Input_Raw!$A:$A,Input_Raw!$BQ:$BQ),"")</f>
        <v>893.8</v>
      </c>
      <c r="AJ59" s="167"/>
      <c r="AK59" s="167"/>
      <c r="AL59" s="167"/>
      <c r="AM59" s="167"/>
      <c r="AN59" s="175">
        <f>IFERROR(_xlfn.XLOOKUP($A59,Input_Raw!$A:$A,Input_Raw!$BN:$BN),"")</f>
        <v>3.4206164434054921E-2</v>
      </c>
      <c r="AO59" s="174">
        <f>IFERROR((_xlfn.XLOOKUP($A59,'WTG Reactive Power'!$A:$A,'WTG Reactive Power'!$AE:$AE))/Table13[[#This Row],[Gen_Exp (kWh)]],"")</f>
        <v>1.8192190892466025E-2</v>
      </c>
      <c r="AP59" s="174">
        <f>IFERROR(_xlfn.XLOOKUP($D59,'Modelling New'!$D:$D,'Modelling New'!$AK:$AK),"")</f>
        <v>0.05</v>
      </c>
      <c r="AQ59" s="174">
        <f>IFERROR(_xlfn.XLOOKUP($D59,'Modelling New'!$D:$D,'Modelling New'!$AL:$AL),"")</f>
        <v>0.05</v>
      </c>
      <c r="AR59" s="276">
        <f>IFERROR(_xlfn.XLOOKUP($D59,'Modelling New'!$D:$D,'Modelling New'!$N:$N),"")</f>
        <v>70.2</v>
      </c>
      <c r="AS59" s="276"/>
    </row>
    <row r="60" spans="1:45">
      <c r="A60" s="165">
        <f t="shared" si="7"/>
        <v>45803</v>
      </c>
      <c r="B60" s="166">
        <f>YEAR(Table13[[#This Row],[Date]])+IF(MONTH(Table13[[#This Row],[Date]])&gt;=4,1,0)</f>
        <v>2026</v>
      </c>
      <c r="C60" s="167">
        <f>YEAR(Table13[[#This Row],[Date]])</f>
        <v>2025</v>
      </c>
      <c r="D60" s="168">
        <f>Table13[[#This Row],[Date]]-DAY(Table13[[#This Row],[Date]])+1</f>
        <v>45778</v>
      </c>
      <c r="E60" s="167">
        <f t="shared" si="4"/>
        <v>31</v>
      </c>
      <c r="F60" s="169"/>
      <c r="G60" s="170"/>
      <c r="H60" s="170"/>
      <c r="I60" s="170"/>
      <c r="J60" s="170"/>
      <c r="K60" s="171"/>
      <c r="L60" s="170"/>
      <c r="M60" s="170">
        <f>IFERROR(_xlfn.XLOOKUP($A60,Input_Raw!$A:$A,Input_Raw!BG:BG),"")</f>
        <v>7.1199999999999992</v>
      </c>
      <c r="N60" s="170">
        <f>IFERROR(_xlfn.XLOOKUP($A60,Input_Raw!$A:$A,Input_Raw!BH:BH),"")</f>
        <v>0</v>
      </c>
      <c r="O60" s="173">
        <f t="shared" si="5"/>
        <v>0.95534256616693869</v>
      </c>
      <c r="P60" s="173">
        <f>IFERROR(1-SUMIF(WTG_BD!$F:$F,$A60,WTG_BD!$AA:$AA)/($AA60+SUMIF(WTG_BD!$F:$F,$A60,WTG_BD!$AA:$AA)),"")</f>
        <v>0.97747590931530814</v>
      </c>
      <c r="Q60" s="173">
        <f>IFERROR(1-SUMIF(IGA_BD!$F:$F,$A60,IGA_BD!$X:$X)/($AA60+SUMIF(IGA_BD!$F:$F,$A60,IGA_BD!$X:$X)),"")</f>
        <v>0.97735663565982589</v>
      </c>
      <c r="R60" s="173">
        <f>IFERROR(1-SUMIF(Grid_BD!$F:$F,$A60,Grid_BD!$Y:$Y)/($AA60+SUMIF(Grid_BD!$F:$F,$A60,Grid_BD!$Y:$Y)),"")</f>
        <v>1</v>
      </c>
      <c r="S60" s="167"/>
      <c r="T60" s="172"/>
      <c r="U60" s="173"/>
      <c r="V60" s="167"/>
      <c r="W60" s="174">
        <f t="shared" si="6"/>
        <v>0.43429487179487175</v>
      </c>
      <c r="X60" s="167">
        <f>IFERROR(_xlfn.XLOOKUP($A60,Input_Raw!$A:$A,Input_Raw!$BF:$BF),"")</f>
        <v>755322</v>
      </c>
      <c r="Y60" s="167">
        <f>IFERROR(_xlfn.XLOOKUP($A60,Input_Raw!$A:$A,Input_Raw!BJ:BJ),"")</f>
        <v>731700</v>
      </c>
      <c r="Z60" s="167">
        <f>IFERROR(_xlfn.XLOOKUP($A60,Input_Raw!$A:$A,Input_Raw!BK:BK),"")</f>
        <v>0</v>
      </c>
      <c r="AA60" s="167">
        <f>IFERROR(_xlfn.XLOOKUP($A60,Input_Raw!$A:$A,Input_Raw!BL:BL),"")</f>
        <v>731700</v>
      </c>
      <c r="AB60" s="167">
        <f>IFERROR(_xlfn.XLOOKUP($A60,Input_Raw!$A:$A,Input_Raw!$BO:$BO),"")</f>
        <v>70.2</v>
      </c>
      <c r="AC60" s="176">
        <f>IFERROR(_xlfn.XLOOKUP($D60,'Modelling New'!$D:$D,'Modelling New'!$J:$J),"")</f>
        <v>7.19</v>
      </c>
      <c r="AD60" s="166">
        <f>IFERROR(_xlfn.XLOOKUP($D60,'Modelling New'!$D:$D,'Modelling New'!$T:$T)*1000,"")</f>
        <v>908711.4041379313</v>
      </c>
      <c r="AE60" s="174"/>
      <c r="AF60" s="174">
        <f>IFERROR(_xlfn.XLOOKUP($D60,'Modelling New'!$D:$D,'Modelling New'!$W:$W),"")</f>
        <v>0.53935862068965523</v>
      </c>
      <c r="AG60" s="174">
        <f>IFERROR(_xlfn.XLOOKUP($D60,'Modelling New'!$D:$D,'Modelling New'!$AE:$AE),"")</f>
        <v>0.96029999999999993</v>
      </c>
      <c r="AH60" s="174">
        <f>IFERROR(_xlfn.XLOOKUP($D60,'Modelling New'!$D:$D,'Modelling New'!$AF:$AF),"")</f>
        <v>0.995</v>
      </c>
      <c r="AI60" s="177">
        <f>IFERROR(_xlfn.XLOOKUP($A60,Input_Raw!$A:$A,Input_Raw!$BQ:$BQ),"")</f>
        <v>797.2</v>
      </c>
      <c r="AJ60" s="167"/>
      <c r="AK60" s="167"/>
      <c r="AL60" s="167"/>
      <c r="AM60" s="167"/>
      <c r="AN60" s="175">
        <f>IFERROR(_xlfn.XLOOKUP($A60,Input_Raw!$A:$A,Input_Raw!$BN:$BN),"")</f>
        <v>3.1274079134461862E-2</v>
      </c>
      <c r="AO60" s="174">
        <f>IFERROR((_xlfn.XLOOKUP($A60,'WTG Reactive Power'!$A:$A,'WTG Reactive Power'!$AE:$AE))/Table13[[#This Row],[Gen_Exp (kWh)]],"")</f>
        <v>4.7661262349037899E-3</v>
      </c>
      <c r="AP60" s="174">
        <f>IFERROR(_xlfn.XLOOKUP($D60,'Modelling New'!$D:$D,'Modelling New'!$AK:$AK),"")</f>
        <v>0.05</v>
      </c>
      <c r="AQ60" s="174">
        <f>IFERROR(_xlfn.XLOOKUP($D60,'Modelling New'!$D:$D,'Modelling New'!$AL:$AL),"")</f>
        <v>0.05</v>
      </c>
      <c r="AR60" s="276">
        <f>IFERROR(_xlfn.XLOOKUP($D60,'Modelling New'!$D:$D,'Modelling New'!$N:$N),"")</f>
        <v>70.2</v>
      </c>
      <c r="AS60" s="276"/>
    </row>
    <row r="61" spans="1:45">
      <c r="A61" s="165">
        <f t="shared" si="7"/>
        <v>45804</v>
      </c>
      <c r="B61" s="166">
        <f>YEAR(Table13[[#This Row],[Date]])+IF(MONTH(Table13[[#This Row],[Date]])&gt;=4,1,0)</f>
        <v>2026</v>
      </c>
      <c r="C61" s="167">
        <f>YEAR(Table13[[#This Row],[Date]])</f>
        <v>2025</v>
      </c>
      <c r="D61" s="168">
        <f>Table13[[#This Row],[Date]]-DAY(Table13[[#This Row],[Date]])+1</f>
        <v>45778</v>
      </c>
      <c r="E61" s="167">
        <f t="shared" si="4"/>
        <v>31</v>
      </c>
      <c r="F61" s="169"/>
      <c r="G61" s="176"/>
      <c r="H61" s="176"/>
      <c r="I61" s="176"/>
      <c r="J61" s="176"/>
      <c r="K61" s="171"/>
      <c r="L61" s="170"/>
      <c r="M61" s="170">
        <f>IFERROR(_xlfn.XLOOKUP($A61,Input_Raw!$A:$A,Input_Raw!BG:BG),"")</f>
        <v>9.4784615384615396</v>
      </c>
      <c r="N61" s="170">
        <f>IFERROR(_xlfn.XLOOKUP($A61,Input_Raw!$A:$A,Input_Raw!BH:BH),"")</f>
        <v>0</v>
      </c>
      <c r="O61" s="173">
        <f t="shared" si="5"/>
        <v>0.88076847919797985</v>
      </c>
      <c r="P61" s="173">
        <f>IFERROR(1-SUMIF(WTG_BD!$F:$F,$A61,WTG_BD!$AA:$AA)/($AA61+SUMIF(WTG_BD!$F:$F,$A61,WTG_BD!$AA:$AA)),"")</f>
        <v>0.95173555222435513</v>
      </c>
      <c r="Q61" s="173">
        <f>IFERROR(1-SUMIF(IGA_BD!$F:$F,$A61,IGA_BD!$X:$X)/($AA61+SUMIF(IGA_BD!$F:$F,$A61,IGA_BD!$X:$X)),"")</f>
        <v>0.9254340421974212</v>
      </c>
      <c r="R61" s="173">
        <f>IFERROR(1-SUMIF(Grid_BD!$F:$F,$A61,Grid_BD!$Y:$Y)/($AA61+SUMIF(Grid_BD!$F:$F,$A61,Grid_BD!$Y:$Y)),"")</f>
        <v>1</v>
      </c>
      <c r="S61" s="167"/>
      <c r="T61" s="172"/>
      <c r="U61" s="173"/>
      <c r="V61" s="167"/>
      <c r="W61" s="174">
        <f t="shared" si="6"/>
        <v>0.68803418803418792</v>
      </c>
      <c r="X61" s="167">
        <f>IFERROR(_xlfn.XLOOKUP($A61,Input_Raw!$A:$A,Input_Raw!$BF:$BF),"")</f>
        <v>1203107</v>
      </c>
      <c r="Y61" s="167">
        <f>IFERROR(_xlfn.XLOOKUP($A61,Input_Raw!$A:$A,Input_Raw!BJ:BJ),"")</f>
        <v>1159200</v>
      </c>
      <c r="Z61" s="167">
        <f>IFERROR(_xlfn.XLOOKUP($A61,Input_Raw!$A:$A,Input_Raw!BK:BK),"")</f>
        <v>0</v>
      </c>
      <c r="AA61" s="167">
        <f>IFERROR(_xlfn.XLOOKUP($A61,Input_Raw!$A:$A,Input_Raw!BL:BL),"")</f>
        <v>1159200</v>
      </c>
      <c r="AB61" s="167">
        <f>IFERROR(_xlfn.XLOOKUP($A61,Input_Raw!$A:$A,Input_Raw!$BO:$BO),"")</f>
        <v>70.2</v>
      </c>
      <c r="AC61" s="176">
        <f>IFERROR(_xlfn.XLOOKUP($D61,'Modelling New'!$D:$D,'Modelling New'!$J:$J),"")</f>
        <v>7.19</v>
      </c>
      <c r="AD61" s="166">
        <f>IFERROR(_xlfn.XLOOKUP($D61,'Modelling New'!$D:$D,'Modelling New'!$T:$T)*1000,"")</f>
        <v>908711.4041379313</v>
      </c>
      <c r="AE61" s="174"/>
      <c r="AF61" s="174">
        <f>IFERROR(_xlfn.XLOOKUP($D61,'Modelling New'!$D:$D,'Modelling New'!$W:$W),"")</f>
        <v>0.53935862068965523</v>
      </c>
      <c r="AG61" s="174">
        <f>IFERROR(_xlfn.XLOOKUP($D61,'Modelling New'!$D:$D,'Modelling New'!$AE:$AE),"")</f>
        <v>0.96029999999999993</v>
      </c>
      <c r="AH61" s="174">
        <f>IFERROR(_xlfn.XLOOKUP($D61,'Modelling New'!$D:$D,'Modelling New'!$AF:$AF),"")</f>
        <v>0.995</v>
      </c>
      <c r="AI61" s="177">
        <f>IFERROR(_xlfn.XLOOKUP($A61,Input_Raw!$A:$A,Input_Raw!$BQ:$BQ),"")</f>
        <v>1294.8800000000001</v>
      </c>
      <c r="AJ61" s="167"/>
      <c r="AK61" s="167"/>
      <c r="AL61" s="167"/>
      <c r="AM61" s="167"/>
      <c r="AN61" s="175">
        <f>IFERROR(_xlfn.XLOOKUP($A61,Input_Raw!$A:$A,Input_Raw!$BN:$BN),"")</f>
        <v>3.6494675868397407E-2</v>
      </c>
      <c r="AO61" s="174">
        <f>IFERROR((_xlfn.XLOOKUP($A61,'WTG Reactive Power'!$A:$A,'WTG Reactive Power'!$AE:$AE))/Table13[[#This Row],[Gen_Exp (kWh)]],"")</f>
        <v>8.9766579364927608E-3</v>
      </c>
      <c r="AP61" s="174">
        <f>IFERROR(_xlfn.XLOOKUP($D61,'Modelling New'!$D:$D,'Modelling New'!$AK:$AK),"")</f>
        <v>0.05</v>
      </c>
      <c r="AQ61" s="174">
        <f>IFERROR(_xlfn.XLOOKUP($D61,'Modelling New'!$D:$D,'Modelling New'!$AL:$AL),"")</f>
        <v>0.05</v>
      </c>
      <c r="AR61" s="276">
        <f>IFERROR(_xlfn.XLOOKUP($D61,'Modelling New'!$D:$D,'Modelling New'!$N:$N),"")</f>
        <v>70.2</v>
      </c>
      <c r="AS61" s="276"/>
    </row>
    <row r="62" spans="1:45">
      <c r="A62" s="165">
        <f t="shared" si="7"/>
        <v>45805</v>
      </c>
      <c r="B62" s="166">
        <f>YEAR(Table13[[#This Row],[Date]])+IF(MONTH(Table13[[#This Row],[Date]])&gt;=4,1,0)</f>
        <v>2026</v>
      </c>
      <c r="C62" s="167">
        <f>YEAR(Table13[[#This Row],[Date]])</f>
        <v>2025</v>
      </c>
      <c r="D62" s="168">
        <f>Table13[[#This Row],[Date]]-DAY(Table13[[#This Row],[Date]])+1</f>
        <v>45778</v>
      </c>
      <c r="E62" s="167">
        <f t="shared" si="4"/>
        <v>31</v>
      </c>
      <c r="F62" s="169"/>
      <c r="G62" s="170"/>
      <c r="H62" s="170"/>
      <c r="I62" s="170"/>
      <c r="J62" s="170"/>
      <c r="K62" s="171"/>
      <c r="L62" s="170"/>
      <c r="M62" s="170">
        <f>IFERROR(_xlfn.XLOOKUP($A62,Input_Raw!$A:$A,Input_Raw!BG:BG),"")</f>
        <v>8.4200000000000017</v>
      </c>
      <c r="N62" s="170">
        <f>IFERROR(_xlfn.XLOOKUP($A62,Input_Raw!$A:$A,Input_Raw!BH:BH),"")</f>
        <v>0</v>
      </c>
      <c r="O62" s="173">
        <f t="shared" si="5"/>
        <v>0.82606588818631221</v>
      </c>
      <c r="P62" s="173">
        <f>IFERROR(1-SUMIF(WTG_BD!$F:$F,$A62,WTG_BD!$AA:$AA)/($AA62+SUMIF(WTG_BD!$F:$F,$A62,WTG_BD!$AA:$AA)),"")</f>
        <v>0.9914548796162479</v>
      </c>
      <c r="Q62" s="173">
        <f>IFERROR(1-SUMIF(IGA_BD!$F:$F,$A62,IGA_BD!$X:$X)/($AA62+SUMIF(IGA_BD!$F:$F,$A62,IGA_BD!$X:$X)),"")</f>
        <v>0.83318555909074643</v>
      </c>
      <c r="R62" s="173">
        <f>IFERROR(1-SUMIF(Grid_BD!$F:$F,$A62,Grid_BD!$Y:$Y)/($AA62+SUMIF(Grid_BD!$F:$F,$A62,Grid_BD!$Y:$Y)),"")</f>
        <v>1</v>
      </c>
      <c r="S62" s="167"/>
      <c r="T62" s="172"/>
      <c r="U62" s="173"/>
      <c r="V62" s="167"/>
      <c r="W62" s="174">
        <f t="shared" si="6"/>
        <v>0.55795940170940161</v>
      </c>
      <c r="X62" s="167">
        <f>IFERROR(_xlfn.XLOOKUP($A62,Input_Raw!$A:$A,Input_Raw!$BF:$BF),"")</f>
        <v>971819</v>
      </c>
      <c r="Y62" s="167">
        <f>IFERROR(_xlfn.XLOOKUP($A62,Input_Raw!$A:$A,Input_Raw!BJ:BJ),"")</f>
        <v>940050</v>
      </c>
      <c r="Z62" s="167">
        <f>IFERROR(_xlfn.XLOOKUP($A62,Input_Raw!$A:$A,Input_Raw!BK:BK),"")</f>
        <v>0</v>
      </c>
      <c r="AA62" s="167">
        <f>IFERROR(_xlfn.XLOOKUP($A62,Input_Raw!$A:$A,Input_Raw!BL:BL),"")</f>
        <v>940050</v>
      </c>
      <c r="AB62" s="167">
        <f>IFERROR(_xlfn.XLOOKUP($A62,Input_Raw!$A:$A,Input_Raw!$BO:$BO),"")</f>
        <v>70.2</v>
      </c>
      <c r="AC62" s="176">
        <f>IFERROR(_xlfn.XLOOKUP($D62,'Modelling New'!$D:$D,'Modelling New'!$J:$J),"")</f>
        <v>7.19</v>
      </c>
      <c r="AD62" s="166">
        <f>IFERROR(_xlfn.XLOOKUP($D62,'Modelling New'!$D:$D,'Modelling New'!$T:$T)*1000,"")</f>
        <v>908711.4041379313</v>
      </c>
      <c r="AE62" s="174"/>
      <c r="AF62" s="174">
        <f>IFERROR(_xlfn.XLOOKUP($D62,'Modelling New'!$D:$D,'Modelling New'!$W:$W),"")</f>
        <v>0.53935862068965523</v>
      </c>
      <c r="AG62" s="174">
        <f>IFERROR(_xlfn.XLOOKUP($D62,'Modelling New'!$D:$D,'Modelling New'!$AE:$AE),"")</f>
        <v>0.96029999999999993</v>
      </c>
      <c r="AH62" s="174">
        <f>IFERROR(_xlfn.XLOOKUP($D62,'Modelling New'!$D:$D,'Modelling New'!$AF:$AF),"")</f>
        <v>0.995</v>
      </c>
      <c r="AI62" s="177">
        <f>IFERROR(_xlfn.XLOOKUP($A62,Input_Raw!$A:$A,Input_Raw!$BQ:$BQ),"")</f>
        <v>1024.6199999999999</v>
      </c>
      <c r="AJ62" s="167"/>
      <c r="AK62" s="167"/>
      <c r="AL62" s="167"/>
      <c r="AM62" s="167"/>
      <c r="AN62" s="175">
        <f>IFERROR(_xlfn.XLOOKUP($A62,Input_Raw!$A:$A,Input_Raw!$BN:$BN),"")</f>
        <v>3.2690243759383175E-2</v>
      </c>
      <c r="AO62" s="174">
        <f>IFERROR((_xlfn.XLOOKUP($A62,'WTG Reactive Power'!$A:$A,'WTG Reactive Power'!$AE:$AE))/Table13[[#This Row],[Gen_Exp (kWh)]],"")</f>
        <v>3.7043523536790294E-3</v>
      </c>
      <c r="AP62" s="174">
        <f>IFERROR(_xlfn.XLOOKUP($D62,'Modelling New'!$D:$D,'Modelling New'!$AK:$AK),"")</f>
        <v>0.05</v>
      </c>
      <c r="AQ62" s="174">
        <f>IFERROR(_xlfn.XLOOKUP($D62,'Modelling New'!$D:$D,'Modelling New'!$AL:$AL),"")</f>
        <v>0.05</v>
      </c>
      <c r="AR62" s="276">
        <f>IFERROR(_xlfn.XLOOKUP($D62,'Modelling New'!$D:$D,'Modelling New'!$N:$N),"")</f>
        <v>70.2</v>
      </c>
      <c r="AS62" s="276"/>
    </row>
    <row r="63" spans="1:45">
      <c r="A63" s="165">
        <f t="shared" si="7"/>
        <v>45806</v>
      </c>
      <c r="B63" s="166">
        <f>YEAR(Table13[[#This Row],[Date]])+IF(MONTH(Table13[[#This Row],[Date]])&gt;=4,1,0)</f>
        <v>2026</v>
      </c>
      <c r="C63" s="167">
        <f>YEAR(Table13[[#This Row],[Date]])</f>
        <v>2025</v>
      </c>
      <c r="D63" s="168">
        <f>Table13[[#This Row],[Date]]-DAY(Table13[[#This Row],[Date]])+1</f>
        <v>45778</v>
      </c>
      <c r="E63" s="167">
        <f t="shared" si="4"/>
        <v>31</v>
      </c>
      <c r="F63" s="169"/>
      <c r="G63" s="176"/>
      <c r="H63" s="176"/>
      <c r="I63" s="176"/>
      <c r="J63" s="176"/>
      <c r="K63" s="171"/>
      <c r="L63" s="170"/>
      <c r="M63" s="170">
        <f>IFERROR(_xlfn.XLOOKUP($A63,Input_Raw!$A:$A,Input_Raw!BG:BG),"")</f>
        <v>7.4665384615384625</v>
      </c>
      <c r="N63" s="170">
        <f>IFERROR(_xlfn.XLOOKUP($A63,Input_Raw!$A:$A,Input_Raw!BH:BH),"")</f>
        <v>0</v>
      </c>
      <c r="O63" s="173">
        <f t="shared" si="5"/>
        <v>0.98631774414767226</v>
      </c>
      <c r="P63" s="173">
        <f>IFERROR(1-SUMIF(WTG_BD!$F:$F,$A63,WTG_BD!$AA:$AA)/($AA63+SUMIF(WTG_BD!$F:$F,$A63,WTG_BD!$AA:$AA)),"")</f>
        <v>0.98631774414767226</v>
      </c>
      <c r="Q63" s="173">
        <f>IFERROR(1-SUMIF(IGA_BD!$F:$F,$A63,IGA_BD!$X:$X)/($AA63+SUMIF(IGA_BD!$F:$F,$A63,IGA_BD!$X:$X)),"")</f>
        <v>1</v>
      </c>
      <c r="R63" s="173">
        <f>IFERROR(1-SUMIF(Grid_BD!$F:$F,$A63,Grid_BD!$Y:$Y)/($AA63+SUMIF(Grid_BD!$F:$F,$A63,Grid_BD!$Y:$Y)),"")</f>
        <v>1</v>
      </c>
      <c r="S63" s="167"/>
      <c r="T63" s="172"/>
      <c r="U63" s="173"/>
      <c r="V63" s="167"/>
      <c r="W63" s="174">
        <f t="shared" si="6"/>
        <v>0.53498931623931612</v>
      </c>
      <c r="X63" s="167">
        <f>IFERROR(_xlfn.XLOOKUP($A63,Input_Raw!$A:$A,Input_Raw!$BF:$BF),"")</f>
        <v>932530</v>
      </c>
      <c r="Y63" s="167">
        <f>IFERROR(_xlfn.XLOOKUP($A63,Input_Raw!$A:$A,Input_Raw!BJ:BJ),"")</f>
        <v>901800</v>
      </c>
      <c r="Z63" s="167">
        <f>IFERROR(_xlfn.XLOOKUP($A63,Input_Raw!$A:$A,Input_Raw!BK:BK),"")</f>
        <v>450</v>
      </c>
      <c r="AA63" s="167">
        <f>IFERROR(_xlfn.XLOOKUP($A63,Input_Raw!$A:$A,Input_Raw!BL:BL),"")</f>
        <v>901350</v>
      </c>
      <c r="AB63" s="167">
        <f>IFERROR(_xlfn.XLOOKUP($A63,Input_Raw!$A:$A,Input_Raw!$BO:$BO),"")</f>
        <v>70.2</v>
      </c>
      <c r="AC63" s="176">
        <f>IFERROR(_xlfn.XLOOKUP($D63,'Modelling New'!$D:$D,'Modelling New'!$J:$J),"")</f>
        <v>7.19</v>
      </c>
      <c r="AD63" s="166">
        <f>IFERROR(_xlfn.XLOOKUP($D63,'Modelling New'!$D:$D,'Modelling New'!$T:$T)*1000,"")</f>
        <v>908711.4041379313</v>
      </c>
      <c r="AE63" s="174"/>
      <c r="AF63" s="174">
        <f>IFERROR(_xlfn.XLOOKUP($D63,'Modelling New'!$D:$D,'Modelling New'!$W:$W),"")</f>
        <v>0.53935862068965523</v>
      </c>
      <c r="AG63" s="174">
        <f>IFERROR(_xlfn.XLOOKUP($D63,'Modelling New'!$D:$D,'Modelling New'!$AE:$AE),"")</f>
        <v>0.96029999999999993</v>
      </c>
      <c r="AH63" s="174">
        <f>IFERROR(_xlfn.XLOOKUP($D63,'Modelling New'!$D:$D,'Modelling New'!$AF:$AF),"")</f>
        <v>0.995</v>
      </c>
      <c r="AI63" s="177">
        <f>IFERROR(_xlfn.XLOOKUP($A63,Input_Raw!$A:$A,Input_Raw!$BQ:$BQ),"")</f>
        <v>986.68</v>
      </c>
      <c r="AJ63" s="167"/>
      <c r="AK63" s="167"/>
      <c r="AL63" s="167"/>
      <c r="AM63" s="167"/>
      <c r="AN63" s="175">
        <f>IFERROR(_xlfn.XLOOKUP($A63,Input_Raw!$A:$A,Input_Raw!$BN:$BN),"")</f>
        <v>3.2953363430667112E-2</v>
      </c>
      <c r="AO63" s="174">
        <f>IFERROR((_xlfn.XLOOKUP($A63,'WTG Reactive Power'!$A:$A,'WTG Reactive Power'!$AE:$AE))/Table13[[#This Row],[Gen_Exp (kWh)]],"")</f>
        <v>7.7208454419696966E-3</v>
      </c>
      <c r="AP63" s="174">
        <f>IFERROR(_xlfn.XLOOKUP($D63,'Modelling New'!$D:$D,'Modelling New'!$AK:$AK),"")</f>
        <v>0.05</v>
      </c>
      <c r="AQ63" s="174">
        <f>IFERROR(_xlfn.XLOOKUP($D63,'Modelling New'!$D:$D,'Modelling New'!$AL:$AL),"")</f>
        <v>0.05</v>
      </c>
      <c r="AR63" s="276">
        <f>IFERROR(_xlfn.XLOOKUP($D63,'Modelling New'!$D:$D,'Modelling New'!$N:$N),"")</f>
        <v>70.2</v>
      </c>
      <c r="AS63" s="276"/>
    </row>
    <row r="64" spans="1:45">
      <c r="A64" s="165">
        <f t="shared" si="7"/>
        <v>45807</v>
      </c>
      <c r="B64" s="166">
        <f>YEAR(Table13[[#This Row],[Date]])+IF(MONTH(Table13[[#This Row],[Date]])&gt;=4,1,0)</f>
        <v>2026</v>
      </c>
      <c r="C64" s="167">
        <f>YEAR(Table13[[#This Row],[Date]])</f>
        <v>2025</v>
      </c>
      <c r="D64" s="168">
        <f>Table13[[#This Row],[Date]]-DAY(Table13[[#This Row],[Date]])+1</f>
        <v>45778</v>
      </c>
      <c r="E64" s="167">
        <f t="shared" si="4"/>
        <v>31</v>
      </c>
      <c r="F64" s="169"/>
      <c r="G64" s="170"/>
      <c r="H64" s="170"/>
      <c r="I64" s="170"/>
      <c r="J64" s="170"/>
      <c r="K64" s="171"/>
      <c r="L64" s="170"/>
      <c r="M64" s="170">
        <f>IFERROR(_xlfn.XLOOKUP($A64,Input_Raw!$A:$A,Input_Raw!BG:BG),"")</f>
        <v>9.8923076923076891</v>
      </c>
      <c r="N64" s="170">
        <f>IFERROR(_xlfn.XLOOKUP($A64,Input_Raw!$A:$A,Input_Raw!BH:BH),"")</f>
        <v>0</v>
      </c>
      <c r="O64" s="173">
        <f t="shared" si="5"/>
        <v>0.98481491114417496</v>
      </c>
      <c r="P64" s="173">
        <f>IFERROR(1-SUMIF(WTG_BD!$F:$F,$A64,WTG_BD!$AA:$AA)/($AA64+SUMIF(WTG_BD!$F:$F,$A64,WTG_BD!$AA:$AA)),"")</f>
        <v>0.98481491114417496</v>
      </c>
      <c r="Q64" s="173">
        <f>IFERROR(1-SUMIF(IGA_BD!$F:$F,$A64,IGA_BD!$X:$X)/($AA64+SUMIF(IGA_BD!$F:$F,$A64,IGA_BD!$X:$X)),"")</f>
        <v>1</v>
      </c>
      <c r="R64" s="173">
        <f>IFERROR(1-SUMIF(Grid_BD!$F:$F,$A64,Grid_BD!$Y:$Y)/($AA64+SUMIF(Grid_BD!$F:$F,$A64,Grid_BD!$Y:$Y)),"")</f>
        <v>1</v>
      </c>
      <c r="S64" s="167"/>
      <c r="T64" s="172"/>
      <c r="U64" s="173"/>
      <c r="V64" s="167"/>
      <c r="W64" s="174">
        <f t="shared" si="6"/>
        <v>0.81356837606837595</v>
      </c>
      <c r="X64" s="167">
        <f>IFERROR(_xlfn.XLOOKUP($A64,Input_Raw!$A:$A,Input_Raw!$BF:$BF),"")</f>
        <v>1422464</v>
      </c>
      <c r="Y64" s="167">
        <f>IFERROR(_xlfn.XLOOKUP($A64,Input_Raw!$A:$A,Input_Raw!BJ:BJ),"")</f>
        <v>1370700</v>
      </c>
      <c r="Z64" s="167">
        <f>IFERROR(_xlfn.XLOOKUP($A64,Input_Raw!$A:$A,Input_Raw!BK:BK),"")</f>
        <v>0</v>
      </c>
      <c r="AA64" s="167">
        <f>IFERROR(_xlfn.XLOOKUP($A64,Input_Raw!$A:$A,Input_Raw!BL:BL),"")</f>
        <v>1370700</v>
      </c>
      <c r="AB64" s="167">
        <f>IFERROR(_xlfn.XLOOKUP($A64,Input_Raw!$A:$A,Input_Raw!$BO:$BO),"")</f>
        <v>70.2</v>
      </c>
      <c r="AC64" s="176">
        <f>IFERROR(_xlfn.XLOOKUP($D64,'Modelling New'!$D:$D,'Modelling New'!$J:$J),"")</f>
        <v>7.19</v>
      </c>
      <c r="AD64" s="166">
        <f>IFERROR(_xlfn.XLOOKUP($D64,'Modelling New'!$D:$D,'Modelling New'!$T:$T)*1000,"")</f>
        <v>908711.4041379313</v>
      </c>
      <c r="AE64" s="174"/>
      <c r="AF64" s="174">
        <f>IFERROR(_xlfn.XLOOKUP($D64,'Modelling New'!$D:$D,'Modelling New'!$W:$W),"")</f>
        <v>0.53935862068965523</v>
      </c>
      <c r="AG64" s="174">
        <f>IFERROR(_xlfn.XLOOKUP($D64,'Modelling New'!$D:$D,'Modelling New'!$AE:$AE),"")</f>
        <v>0.96029999999999993</v>
      </c>
      <c r="AH64" s="174">
        <f>IFERROR(_xlfn.XLOOKUP($D64,'Modelling New'!$D:$D,'Modelling New'!$AF:$AF),"")</f>
        <v>0.995</v>
      </c>
      <c r="AI64" s="177">
        <f>IFERROR(_xlfn.XLOOKUP($A64,Input_Raw!$A:$A,Input_Raw!$BQ:$BQ),"")</f>
        <v>1505.57</v>
      </c>
      <c r="AJ64" s="167"/>
      <c r="AK64" s="167"/>
      <c r="AL64" s="167"/>
      <c r="AM64" s="167"/>
      <c r="AN64" s="175">
        <f>IFERROR(_xlfn.XLOOKUP($A64,Input_Raw!$A:$A,Input_Raw!$BN:$BN),"")</f>
        <v>3.6390376136056869E-2</v>
      </c>
      <c r="AO64" s="174">
        <f>IFERROR((_xlfn.XLOOKUP($A64,'WTG Reactive Power'!$A:$A,'WTG Reactive Power'!$AE:$AE))/Table13[[#This Row],[Gen_Exp (kWh)]],"")</f>
        <v>2.3726308715018445E-2</v>
      </c>
      <c r="AP64" s="174">
        <f>IFERROR(_xlfn.XLOOKUP($D64,'Modelling New'!$D:$D,'Modelling New'!$AK:$AK),"")</f>
        <v>0.05</v>
      </c>
      <c r="AQ64" s="174">
        <f>IFERROR(_xlfn.XLOOKUP($D64,'Modelling New'!$D:$D,'Modelling New'!$AL:$AL),"")</f>
        <v>0.05</v>
      </c>
      <c r="AR64" s="276">
        <f>IFERROR(_xlfn.XLOOKUP($D64,'Modelling New'!$D:$D,'Modelling New'!$N:$N),"")</f>
        <v>70.2</v>
      </c>
      <c r="AS64" s="276"/>
    </row>
    <row r="65" spans="1:45">
      <c r="A65" s="165">
        <f t="shared" si="7"/>
        <v>45808</v>
      </c>
      <c r="B65" s="166">
        <f>YEAR(Table13[[#This Row],[Date]])+IF(MONTH(Table13[[#This Row],[Date]])&gt;=4,1,0)</f>
        <v>2026</v>
      </c>
      <c r="C65" s="167">
        <f>YEAR(Table13[[#This Row],[Date]])</f>
        <v>2025</v>
      </c>
      <c r="D65" s="168">
        <f>Table13[[#This Row],[Date]]-DAY(Table13[[#This Row],[Date]])+1</f>
        <v>45778</v>
      </c>
      <c r="E65" s="167">
        <f t="shared" si="4"/>
        <v>31</v>
      </c>
      <c r="F65" s="169"/>
      <c r="G65" s="176"/>
      <c r="H65" s="176"/>
      <c r="I65" s="176"/>
      <c r="J65" s="176"/>
      <c r="K65" s="171"/>
      <c r="L65" s="170"/>
      <c r="M65" s="170">
        <f>IFERROR(_xlfn.XLOOKUP($A65,Input_Raw!$A:$A,Input_Raw!BG:BG),"")</f>
        <v>9.6238461538461557</v>
      </c>
      <c r="N65" s="170">
        <f>IFERROR(_xlfn.XLOOKUP($A65,Input_Raw!$A:$A,Input_Raw!BH:BH),"")</f>
        <v>0</v>
      </c>
      <c r="O65" s="173">
        <f t="shared" si="5"/>
        <v>0.97167133316612453</v>
      </c>
      <c r="P65" s="173">
        <f>IFERROR(1-SUMIF(WTG_BD!$F:$F,$A65,WTG_BD!$AA:$AA)/($AA65+SUMIF(WTG_BD!$F:$F,$A65,WTG_BD!$AA:$AA)),"")</f>
        <v>0.99229723583521312</v>
      </c>
      <c r="Q65" s="173">
        <f>IFERROR(1-SUMIF(IGA_BD!$F:$F,$A65,IGA_BD!$X:$X)/($AA65+SUMIF(IGA_BD!$F:$F,$A65,IGA_BD!$X:$X)),"")</f>
        <v>0.97921398757930844</v>
      </c>
      <c r="R65" s="173">
        <f>IFERROR(1-SUMIF(Grid_BD!$F:$F,$A65,Grid_BD!$Y:$Y)/($AA65+SUMIF(Grid_BD!$F:$F,$A65,Grid_BD!$Y:$Y)),"")</f>
        <v>1</v>
      </c>
      <c r="S65" s="167"/>
      <c r="T65" s="172"/>
      <c r="U65" s="173"/>
      <c r="V65" s="167"/>
      <c r="W65" s="174">
        <f t="shared" si="6"/>
        <v>0.76736111111111105</v>
      </c>
      <c r="X65" s="167">
        <f>IFERROR(_xlfn.XLOOKUP($A65,Input_Raw!$A:$A,Input_Raw!$BF:$BF),"")</f>
        <v>1341161</v>
      </c>
      <c r="Y65" s="167">
        <f>IFERROR(_xlfn.XLOOKUP($A65,Input_Raw!$A:$A,Input_Raw!BJ:BJ),"")</f>
        <v>1292850</v>
      </c>
      <c r="Z65" s="167">
        <f>IFERROR(_xlfn.XLOOKUP($A65,Input_Raw!$A:$A,Input_Raw!BK:BK),"")</f>
        <v>0</v>
      </c>
      <c r="AA65" s="167">
        <f>IFERROR(_xlfn.XLOOKUP($A65,Input_Raw!$A:$A,Input_Raw!BL:BL),"")</f>
        <v>1292850</v>
      </c>
      <c r="AB65" s="167">
        <f>IFERROR(_xlfn.XLOOKUP($A65,Input_Raw!$A:$A,Input_Raw!$BO:$BO),"")</f>
        <v>70.2</v>
      </c>
      <c r="AC65" s="176">
        <f>IFERROR(_xlfn.XLOOKUP($D65,'Modelling New'!$D:$D,'Modelling New'!$J:$J),"")</f>
        <v>7.19</v>
      </c>
      <c r="AD65" s="166">
        <f>IFERROR(_xlfn.XLOOKUP($D65,'Modelling New'!$D:$D,'Modelling New'!$T:$T)*1000,"")</f>
        <v>908711.4041379313</v>
      </c>
      <c r="AE65" s="174"/>
      <c r="AF65" s="174">
        <f>IFERROR(_xlfn.XLOOKUP($D65,'Modelling New'!$D:$D,'Modelling New'!$W:$W),"")</f>
        <v>0.53935862068965523</v>
      </c>
      <c r="AG65" s="174">
        <f>IFERROR(_xlfn.XLOOKUP($D65,'Modelling New'!$D:$D,'Modelling New'!$AE:$AE),"")</f>
        <v>0.96029999999999993</v>
      </c>
      <c r="AH65" s="174">
        <f>IFERROR(_xlfn.XLOOKUP($D65,'Modelling New'!$D:$D,'Modelling New'!$AF:$AF),"")</f>
        <v>0.995</v>
      </c>
      <c r="AI65" s="177">
        <f>IFERROR(_xlfn.XLOOKUP($A65,Input_Raw!$A:$A,Input_Raw!$BQ:$BQ),"")</f>
        <v>1438.1</v>
      </c>
      <c r="AJ65" s="167"/>
      <c r="AK65" s="167"/>
      <c r="AL65" s="167"/>
      <c r="AM65" s="167"/>
      <c r="AN65" s="175">
        <f>IFERROR(_xlfn.XLOOKUP($A65,Input_Raw!$A:$A,Input_Raw!$BN:$BN),"")</f>
        <v>3.602177516345912E-2</v>
      </c>
      <c r="AO65" s="174">
        <f>IFERROR((_xlfn.XLOOKUP($A65,'WTG Reactive Power'!$A:$A,'WTG Reactive Power'!$AE:$AE))/Table13[[#This Row],[Gen_Exp (kWh)]],"")</f>
        <v>2.5164629749895799E-2</v>
      </c>
      <c r="AP65" s="174">
        <f>IFERROR(_xlfn.XLOOKUP($D65,'Modelling New'!$D:$D,'Modelling New'!$AK:$AK),"")</f>
        <v>0.05</v>
      </c>
      <c r="AQ65" s="174">
        <f>IFERROR(_xlfn.XLOOKUP($D65,'Modelling New'!$D:$D,'Modelling New'!$AL:$AL),"")</f>
        <v>0.05</v>
      </c>
      <c r="AR65" s="276">
        <f>IFERROR(_xlfn.XLOOKUP($D65,'Modelling New'!$D:$D,'Modelling New'!$N:$N),"")</f>
        <v>70.2</v>
      </c>
      <c r="AS65" s="276"/>
    </row>
    <row r="66" spans="1:45">
      <c r="A66" s="165">
        <f t="shared" si="7"/>
        <v>45809</v>
      </c>
      <c r="B66" s="166">
        <f>YEAR(Table13[[#This Row],[Date]])+IF(MONTH(Table13[[#This Row],[Date]])&gt;=4,1,0)</f>
        <v>2026</v>
      </c>
      <c r="C66" s="167">
        <f>YEAR(Table13[[#This Row],[Date]])</f>
        <v>2025</v>
      </c>
      <c r="D66" s="168">
        <f>Table13[[#This Row],[Date]]-DAY(Table13[[#This Row],[Date]])+1</f>
        <v>45809</v>
      </c>
      <c r="E66" s="167">
        <f t="shared" si="4"/>
        <v>30</v>
      </c>
      <c r="F66" s="169"/>
      <c r="G66" s="170"/>
      <c r="H66" s="170"/>
      <c r="I66" s="170"/>
      <c r="J66" s="170"/>
      <c r="K66" s="171"/>
      <c r="L66" s="170"/>
      <c r="M66" s="170">
        <f>IFERROR(_xlfn.XLOOKUP($A66,Input_Raw!$A:$A,Input_Raw!BG:BG),"")</f>
        <v>9.6657692307692322</v>
      </c>
      <c r="N66" s="170">
        <f>IFERROR(_xlfn.XLOOKUP($A66,Input_Raw!$A:$A,Input_Raw!BH:BH),"")</f>
        <v>0</v>
      </c>
      <c r="O66" s="173">
        <f t="shared" si="5"/>
        <v>0.99293084129382181</v>
      </c>
      <c r="P66" s="173">
        <f>IFERROR(1-SUMIF(WTG_BD!$F:$F,$A66,WTG_BD!$AA:$AA)/($AA66+SUMIF(WTG_BD!$F:$F,$A66,WTG_BD!$AA:$AA)),"")</f>
        <v>0.99293084129382181</v>
      </c>
      <c r="Q66" s="173">
        <f>IFERROR(1-SUMIF(IGA_BD!$F:$F,$A66,IGA_BD!$X:$X)/($AA66+SUMIF(IGA_BD!$F:$F,$A66,IGA_BD!$X:$X)),"")</f>
        <v>1</v>
      </c>
      <c r="R66" s="173">
        <f>IFERROR(1-SUMIF(Grid_BD!$F:$F,$A66,Grid_BD!$Y:$Y)/($AA66+SUMIF(Grid_BD!$F:$F,$A66,Grid_BD!$Y:$Y)),"")</f>
        <v>1</v>
      </c>
      <c r="S66" s="167"/>
      <c r="T66" s="172"/>
      <c r="U66" s="173"/>
      <c r="V66" s="167"/>
      <c r="W66" s="174">
        <f t="shared" si="6"/>
        <v>0.78098290598290587</v>
      </c>
      <c r="X66" s="167">
        <f>IFERROR(_xlfn.XLOOKUP($A66,Input_Raw!$A:$A,Input_Raw!$BF:$BF),"")</f>
        <v>1362401</v>
      </c>
      <c r="Y66" s="167">
        <f>IFERROR(_xlfn.XLOOKUP($A66,Input_Raw!$A:$A,Input_Raw!BJ:BJ),"")</f>
        <v>1315800</v>
      </c>
      <c r="Z66" s="167">
        <f>IFERROR(_xlfn.XLOOKUP($A66,Input_Raw!$A:$A,Input_Raw!BK:BK),"")</f>
        <v>0</v>
      </c>
      <c r="AA66" s="167">
        <f>IFERROR(_xlfn.XLOOKUP($A66,Input_Raw!$A:$A,Input_Raw!BL:BL),"")</f>
        <v>1315800</v>
      </c>
      <c r="AB66" s="167">
        <f>IFERROR(_xlfn.XLOOKUP($A66,Input_Raw!$A:$A,Input_Raw!$BO:$BO),"")</f>
        <v>70.2</v>
      </c>
      <c r="AC66" s="176">
        <f>IFERROR(_xlfn.XLOOKUP($D66,'Modelling New'!$D:$D,'Modelling New'!$J:$J),"")</f>
        <v>7.15</v>
      </c>
      <c r="AD66" s="166">
        <f>IFERROR(_xlfn.XLOOKUP($D66,'Modelling New'!$D:$D,'Modelling New'!$T:$T)*1000,"")</f>
        <v>801613.2743645322</v>
      </c>
      <c r="AE66" s="174"/>
      <c r="AF66" s="174">
        <f>IFERROR(_xlfn.XLOOKUP($D66,'Modelling New'!$D:$D,'Modelling New'!$W:$W),"")</f>
        <v>0.47579135467980305</v>
      </c>
      <c r="AG66" s="174">
        <f>IFERROR(_xlfn.XLOOKUP($D66,'Modelling New'!$D:$D,'Modelling New'!$AE:$AE),"")</f>
        <v>0.96029999999999993</v>
      </c>
      <c r="AH66" s="174">
        <f>IFERROR(_xlfn.XLOOKUP($D66,'Modelling New'!$D:$D,'Modelling New'!$AF:$AF),"")</f>
        <v>0.995</v>
      </c>
      <c r="AI66" s="177">
        <f>IFERROR(_xlfn.XLOOKUP($A66,Input_Raw!$A:$A,Input_Raw!$BQ:$BQ),"")</f>
        <v>1430.08</v>
      </c>
      <c r="AJ66" s="167"/>
      <c r="AK66" s="167"/>
      <c r="AL66" s="167"/>
      <c r="AM66" s="167"/>
      <c r="AN66" s="175">
        <f>IFERROR(_xlfn.XLOOKUP($A66,Input_Raw!$A:$A,Input_Raw!$BN:$BN),"")</f>
        <v>3.4205054165403578E-2</v>
      </c>
      <c r="AO66" s="174">
        <f>IFERROR((_xlfn.XLOOKUP($A66,'WTG Reactive Power'!$A:$A,'WTG Reactive Power'!$AE:$AE))/Table13[[#This Row],[Gen_Exp (kWh)]],"")</f>
        <v>1.9817924384964474E-2</v>
      </c>
      <c r="AP66" s="174">
        <f>IFERROR(_xlfn.XLOOKUP($D66,'Modelling New'!$D:$D,'Modelling New'!$AK:$AK),"")</f>
        <v>0.05</v>
      </c>
      <c r="AQ66" s="174">
        <f>IFERROR(_xlfn.XLOOKUP($D66,'Modelling New'!$D:$D,'Modelling New'!$AL:$AL),"")</f>
        <v>0.05</v>
      </c>
      <c r="AR66" s="276">
        <f>IFERROR(_xlfn.XLOOKUP($D66,'Modelling New'!$D:$D,'Modelling New'!$N:$N),"")</f>
        <v>70.2</v>
      </c>
      <c r="AS66" s="276"/>
    </row>
    <row r="67" spans="1:45">
      <c r="A67" s="165">
        <f t="shared" si="7"/>
        <v>45810</v>
      </c>
      <c r="B67" s="166">
        <f>YEAR(Table13[[#This Row],[Date]])+IF(MONTH(Table13[[#This Row],[Date]])&gt;=4,1,0)</f>
        <v>2026</v>
      </c>
      <c r="C67" s="167">
        <f>YEAR(Table13[[#This Row],[Date]])</f>
        <v>2025</v>
      </c>
      <c r="D67" s="168">
        <f>Table13[[#This Row],[Date]]-DAY(Table13[[#This Row],[Date]])+1</f>
        <v>45809</v>
      </c>
      <c r="E67" s="167">
        <f t="shared" si="4"/>
        <v>30</v>
      </c>
      <c r="F67" s="169"/>
      <c r="G67" s="176"/>
      <c r="H67" s="176"/>
      <c r="I67" s="176"/>
      <c r="J67" s="176"/>
      <c r="K67" s="171"/>
      <c r="L67" s="170"/>
      <c r="M67" s="170">
        <f>IFERROR(_xlfn.XLOOKUP($A67,Input_Raw!$A:$A,Input_Raw!BG:BG),"")</f>
        <v>8.838846153846152</v>
      </c>
      <c r="N67" s="170">
        <f>IFERROR(_xlfn.XLOOKUP($A67,Input_Raw!$A:$A,Input_Raw!BH:BH),"")</f>
        <v>0</v>
      </c>
      <c r="O67" s="173">
        <f t="shared" si="5"/>
        <v>0.99385101539320742</v>
      </c>
      <c r="P67" s="173">
        <f>IFERROR(1-SUMIF(WTG_BD!$F:$F,$A67,WTG_BD!$AA:$AA)/($AA67+SUMIF(WTG_BD!$F:$F,$A67,WTG_BD!$AA:$AA)),"")</f>
        <v>0.99385101539320742</v>
      </c>
      <c r="Q67" s="173">
        <f>IFERROR(1-SUMIF(IGA_BD!$F:$F,$A67,IGA_BD!$X:$X)/($AA67+SUMIF(IGA_BD!$F:$F,$A67,IGA_BD!$X:$X)),"")</f>
        <v>1</v>
      </c>
      <c r="R67" s="173">
        <f>IFERROR(1-SUMIF(Grid_BD!$F:$F,$A67,Grid_BD!$Y:$Y)/($AA67+SUMIF(Grid_BD!$F:$F,$A67,Grid_BD!$Y:$Y)),"")</f>
        <v>1</v>
      </c>
      <c r="S67" s="167"/>
      <c r="T67" s="172"/>
      <c r="U67" s="173"/>
      <c r="V67" s="167"/>
      <c r="W67" s="174">
        <f t="shared" si="6"/>
        <v>0.66212606837606824</v>
      </c>
      <c r="X67" s="167">
        <f>IFERROR(_xlfn.XLOOKUP($A67,Input_Raw!$A:$A,Input_Raw!$BF:$BF),"")</f>
        <v>1153366</v>
      </c>
      <c r="Y67" s="167">
        <f>IFERROR(_xlfn.XLOOKUP($A67,Input_Raw!$A:$A,Input_Raw!BJ:BJ),"")</f>
        <v>1115550</v>
      </c>
      <c r="Z67" s="167">
        <f>IFERROR(_xlfn.XLOOKUP($A67,Input_Raw!$A:$A,Input_Raw!BK:BK),"")</f>
        <v>0</v>
      </c>
      <c r="AA67" s="167">
        <f>IFERROR(_xlfn.XLOOKUP($A67,Input_Raw!$A:$A,Input_Raw!BL:BL),"")</f>
        <v>1115550</v>
      </c>
      <c r="AB67" s="167">
        <f>IFERROR(_xlfn.XLOOKUP($A67,Input_Raw!$A:$A,Input_Raw!$BO:$BO),"")</f>
        <v>70.2</v>
      </c>
      <c r="AC67" s="176">
        <f>IFERROR(_xlfn.XLOOKUP($D67,'Modelling New'!$D:$D,'Modelling New'!$J:$J),"")</f>
        <v>7.15</v>
      </c>
      <c r="AD67" s="166">
        <f>IFERROR(_xlfn.XLOOKUP($D67,'Modelling New'!$D:$D,'Modelling New'!$T:$T)*1000,"")</f>
        <v>801613.2743645322</v>
      </c>
      <c r="AE67" s="174"/>
      <c r="AF67" s="174">
        <f>IFERROR(_xlfn.XLOOKUP($D67,'Modelling New'!$D:$D,'Modelling New'!$W:$W),"")</f>
        <v>0.47579135467980305</v>
      </c>
      <c r="AG67" s="174">
        <f>IFERROR(_xlfn.XLOOKUP($D67,'Modelling New'!$D:$D,'Modelling New'!$AE:$AE),"")</f>
        <v>0.96029999999999993</v>
      </c>
      <c r="AH67" s="174">
        <f>IFERROR(_xlfn.XLOOKUP($D67,'Modelling New'!$D:$D,'Modelling New'!$AF:$AF),"")</f>
        <v>0.995</v>
      </c>
      <c r="AI67" s="177">
        <f>IFERROR(_xlfn.XLOOKUP($A67,Input_Raw!$A:$A,Input_Raw!$BQ:$BQ),"")</f>
        <v>1231.2</v>
      </c>
      <c r="AJ67" s="167"/>
      <c r="AK67" s="167"/>
      <c r="AL67" s="167"/>
      <c r="AM67" s="167"/>
      <c r="AN67" s="175">
        <f>IFERROR(_xlfn.XLOOKUP($A67,Input_Raw!$A:$A,Input_Raw!$BN:$BN),"")</f>
        <v>3.2787510642762141E-2</v>
      </c>
      <c r="AO67" s="174">
        <f>IFERROR((_xlfn.XLOOKUP($A67,'WTG Reactive Power'!$A:$A,'WTG Reactive Power'!$AE:$AE))/Table13[[#This Row],[Gen_Exp (kWh)]],"")</f>
        <v>2.3409706892694934E-2</v>
      </c>
      <c r="AP67" s="174">
        <f>IFERROR(_xlfn.XLOOKUP($D67,'Modelling New'!$D:$D,'Modelling New'!$AK:$AK),"")</f>
        <v>0.05</v>
      </c>
      <c r="AQ67" s="174">
        <f>IFERROR(_xlfn.XLOOKUP($D67,'Modelling New'!$D:$D,'Modelling New'!$AL:$AL),"")</f>
        <v>0.05</v>
      </c>
      <c r="AR67" s="276">
        <f>IFERROR(_xlfn.XLOOKUP($D67,'Modelling New'!$D:$D,'Modelling New'!$N:$N),"")</f>
        <v>70.2</v>
      </c>
      <c r="AS67" s="276"/>
    </row>
    <row r="68" spans="1:45">
      <c r="A68" s="165">
        <f t="shared" si="7"/>
        <v>45811</v>
      </c>
      <c r="B68" s="166">
        <f>YEAR(Table13[[#This Row],[Date]])+IF(MONTH(Table13[[#This Row],[Date]])&gt;=4,1,0)</f>
        <v>2026</v>
      </c>
      <c r="C68" s="167">
        <f>YEAR(Table13[[#This Row],[Date]])</f>
        <v>2025</v>
      </c>
      <c r="D68" s="168">
        <f>Table13[[#This Row],[Date]]-DAY(Table13[[#This Row],[Date]])+1</f>
        <v>45809</v>
      </c>
      <c r="E68" s="167">
        <f t="shared" si="4"/>
        <v>30</v>
      </c>
      <c r="F68" s="169"/>
      <c r="G68" s="170"/>
      <c r="H68" s="170"/>
      <c r="I68" s="170"/>
      <c r="J68" s="170"/>
      <c r="K68" s="171"/>
      <c r="L68" s="170"/>
      <c r="M68" s="170">
        <f>IFERROR(_xlfn.XLOOKUP($A68,Input_Raw!$A:$A,Input_Raw!BG:BG),"")</f>
        <v>8.4554725520298923</v>
      </c>
      <c r="N68" s="170">
        <f>IFERROR(_xlfn.XLOOKUP($A68,Input_Raw!$A:$A,Input_Raw!BH:BH),"")</f>
        <v>0</v>
      </c>
      <c r="O68" s="173">
        <f t="shared" si="5"/>
        <v>0.99220575430626723</v>
      </c>
      <c r="P68" s="173">
        <f>IFERROR(1-SUMIF(WTG_BD!$F:$F,$A68,WTG_BD!$AA:$AA)/($AA68+SUMIF(WTG_BD!$F:$F,$A68,WTG_BD!$AA:$AA)),"")</f>
        <v>0.99271166346270168</v>
      </c>
      <c r="Q68" s="173">
        <f>IFERROR(1-SUMIF(IGA_BD!$F:$F,$A68,IGA_BD!$X:$X)/($AA68+SUMIF(IGA_BD!$F:$F,$A68,IGA_BD!$X:$X)),"")</f>
        <v>0.9994903765362545</v>
      </c>
      <c r="R68" s="173">
        <f>IFERROR(1-SUMIF(Grid_BD!$F:$F,$A68,Grid_BD!$Y:$Y)/($AA68+SUMIF(Grid_BD!$F:$F,$A68,Grid_BD!$Y:$Y)),"")</f>
        <v>1</v>
      </c>
      <c r="S68" s="167"/>
      <c r="T68" s="172"/>
      <c r="U68" s="173"/>
      <c r="V68" s="167"/>
      <c r="W68" s="174">
        <f t="shared" si="6"/>
        <v>0.63327991452991439</v>
      </c>
      <c r="X68" s="167">
        <f>IFERROR(_xlfn.XLOOKUP($A68,Input_Raw!$A:$A,Input_Raw!$BF:$BF),"")</f>
        <v>1102681</v>
      </c>
      <c r="Y68" s="167">
        <f>IFERROR(_xlfn.XLOOKUP($A68,Input_Raw!$A:$A,Input_Raw!BJ:BJ),"")</f>
        <v>1066950</v>
      </c>
      <c r="Z68" s="167">
        <f>IFERROR(_xlfn.XLOOKUP($A68,Input_Raw!$A:$A,Input_Raw!BK:BK),"")</f>
        <v>0</v>
      </c>
      <c r="AA68" s="167">
        <f>IFERROR(_xlfn.XLOOKUP($A68,Input_Raw!$A:$A,Input_Raw!BL:BL),"")</f>
        <v>1066950</v>
      </c>
      <c r="AB68" s="167">
        <f>IFERROR(_xlfn.XLOOKUP($A68,Input_Raw!$A:$A,Input_Raw!$BO:$BO),"")</f>
        <v>70.2</v>
      </c>
      <c r="AC68" s="176">
        <f>IFERROR(_xlfn.XLOOKUP($D68,'Modelling New'!$D:$D,'Modelling New'!$J:$J),"")</f>
        <v>7.15</v>
      </c>
      <c r="AD68" s="166">
        <f>IFERROR(_xlfn.XLOOKUP($D68,'Modelling New'!$D:$D,'Modelling New'!$T:$T)*1000,"")</f>
        <v>801613.2743645322</v>
      </c>
      <c r="AE68" s="174"/>
      <c r="AF68" s="174">
        <f>IFERROR(_xlfn.XLOOKUP($D68,'Modelling New'!$D:$D,'Modelling New'!$W:$W),"")</f>
        <v>0.47579135467980305</v>
      </c>
      <c r="AG68" s="174">
        <f>IFERROR(_xlfn.XLOOKUP($D68,'Modelling New'!$D:$D,'Modelling New'!$AE:$AE),"")</f>
        <v>0.96029999999999993</v>
      </c>
      <c r="AH68" s="174">
        <f>IFERROR(_xlfn.XLOOKUP($D68,'Modelling New'!$D:$D,'Modelling New'!$AF:$AF),"")</f>
        <v>0.995</v>
      </c>
      <c r="AI68" s="177">
        <f>IFERROR(_xlfn.XLOOKUP($A68,Input_Raw!$A:$A,Input_Raw!$BQ:$BQ),"")</f>
        <v>1108.56</v>
      </c>
      <c r="AJ68" s="167"/>
      <c r="AK68" s="167"/>
      <c r="AL68" s="167"/>
      <c r="AM68" s="167"/>
      <c r="AN68" s="175">
        <f>IFERROR(_xlfn.XLOOKUP($A68,Input_Raw!$A:$A,Input_Raw!$BN:$BN),"")</f>
        <v>3.2403750495383521E-2</v>
      </c>
      <c r="AO68" s="174">
        <f>IFERROR((_xlfn.XLOOKUP($A68,'WTG Reactive Power'!$A:$A,'WTG Reactive Power'!$AE:$AE))/Table13[[#This Row],[Gen_Exp (kWh)]],"")</f>
        <v>3.6726487533565938E-3</v>
      </c>
      <c r="AP68" s="174">
        <f>IFERROR(_xlfn.XLOOKUP($D68,'Modelling New'!$D:$D,'Modelling New'!$AK:$AK),"")</f>
        <v>0.05</v>
      </c>
      <c r="AQ68" s="174">
        <f>IFERROR(_xlfn.XLOOKUP($D68,'Modelling New'!$D:$D,'Modelling New'!$AL:$AL),"")</f>
        <v>0.05</v>
      </c>
      <c r="AR68" s="276">
        <f>IFERROR(_xlfn.XLOOKUP($D68,'Modelling New'!$D:$D,'Modelling New'!$N:$N),"")</f>
        <v>70.2</v>
      </c>
      <c r="AS68" s="276"/>
    </row>
    <row r="69" spans="1:45">
      <c r="A69" s="165">
        <f t="shared" si="7"/>
        <v>45812</v>
      </c>
      <c r="B69" s="166">
        <f>YEAR(Table13[[#This Row],[Date]])+IF(MONTH(Table13[[#This Row],[Date]])&gt;=4,1,0)</f>
        <v>2026</v>
      </c>
      <c r="C69" s="167">
        <f>YEAR(Table13[[#This Row],[Date]])</f>
        <v>2025</v>
      </c>
      <c r="D69" s="168">
        <f>Table13[[#This Row],[Date]]-DAY(Table13[[#This Row],[Date]])+1</f>
        <v>45809</v>
      </c>
      <c r="E69" s="167">
        <f t="shared" si="4"/>
        <v>30</v>
      </c>
      <c r="F69" s="169"/>
      <c r="G69" s="176"/>
      <c r="H69" s="176"/>
      <c r="I69" s="176"/>
      <c r="J69" s="176"/>
      <c r="K69" s="171"/>
      <c r="L69" s="170"/>
      <c r="M69" s="170">
        <f>IFERROR(_xlfn.XLOOKUP($A69,Input_Raw!$A:$A,Input_Raw!BG:BG),"")</f>
        <v>6.5476816228439612</v>
      </c>
      <c r="N69" s="170">
        <f>IFERROR(_xlfn.XLOOKUP($A69,Input_Raw!$A:$A,Input_Raw!BH:BH),"")</f>
        <v>0</v>
      </c>
      <c r="O69" s="173">
        <f t="shared" si="5"/>
        <v>0.99816576328501561</v>
      </c>
      <c r="P69" s="173">
        <f>IFERROR(1-SUMIF(WTG_BD!$F:$F,$A69,WTG_BD!$AA:$AA)/($AA69+SUMIF(WTG_BD!$F:$F,$A69,WTG_BD!$AA:$AA)),"")</f>
        <v>0.99816576328501561</v>
      </c>
      <c r="Q69" s="173">
        <f>IFERROR(1-SUMIF(IGA_BD!$F:$F,$A69,IGA_BD!$X:$X)/($AA69+SUMIF(IGA_BD!$F:$F,$A69,IGA_BD!$X:$X)),"")</f>
        <v>1</v>
      </c>
      <c r="R69" s="173">
        <f>IFERROR(1-SUMIF(Grid_BD!$F:$F,$A69,Grid_BD!$Y:$Y)/($AA69+SUMIF(Grid_BD!$F:$F,$A69,Grid_BD!$Y:$Y)),"")</f>
        <v>1</v>
      </c>
      <c r="S69" s="167"/>
      <c r="T69" s="172"/>
      <c r="U69" s="173"/>
      <c r="V69" s="167"/>
      <c r="W69" s="174">
        <f t="shared" si="6"/>
        <v>0.39289529914529908</v>
      </c>
      <c r="X69" s="167">
        <f>IFERROR(_xlfn.XLOOKUP($A69,Input_Raw!$A:$A,Input_Raw!$BF:$BF),"")</f>
        <v>681987</v>
      </c>
      <c r="Y69" s="167">
        <f>IFERROR(_xlfn.XLOOKUP($A69,Input_Raw!$A:$A,Input_Raw!BJ:BJ),"")</f>
        <v>661950</v>
      </c>
      <c r="Z69" s="167">
        <f>IFERROR(_xlfn.XLOOKUP($A69,Input_Raw!$A:$A,Input_Raw!BK:BK),"")</f>
        <v>0</v>
      </c>
      <c r="AA69" s="167">
        <f>IFERROR(_xlfn.XLOOKUP($A69,Input_Raw!$A:$A,Input_Raw!BL:BL),"")</f>
        <v>661950</v>
      </c>
      <c r="AB69" s="167">
        <f>IFERROR(_xlfn.XLOOKUP($A69,Input_Raw!$A:$A,Input_Raw!$BO:$BO),"")</f>
        <v>70.2</v>
      </c>
      <c r="AC69" s="176">
        <f>IFERROR(_xlfn.XLOOKUP($D69,'Modelling New'!$D:$D,'Modelling New'!$J:$J),"")</f>
        <v>7.15</v>
      </c>
      <c r="AD69" s="166">
        <f>IFERROR(_xlfn.XLOOKUP($D69,'Modelling New'!$D:$D,'Modelling New'!$T:$T)*1000,"")</f>
        <v>801613.2743645322</v>
      </c>
      <c r="AE69" s="174"/>
      <c r="AF69" s="174">
        <f>IFERROR(_xlfn.XLOOKUP($D69,'Modelling New'!$D:$D,'Modelling New'!$W:$W),"")</f>
        <v>0.47579135467980305</v>
      </c>
      <c r="AG69" s="174">
        <f>IFERROR(_xlfn.XLOOKUP($D69,'Modelling New'!$D:$D,'Modelling New'!$AE:$AE),"")</f>
        <v>0.96029999999999993</v>
      </c>
      <c r="AH69" s="174">
        <f>IFERROR(_xlfn.XLOOKUP($D69,'Modelling New'!$D:$D,'Modelling New'!$AF:$AF),"")</f>
        <v>0.995</v>
      </c>
      <c r="AI69" s="177">
        <f>IFERROR(_xlfn.XLOOKUP($A69,Input_Raw!$A:$A,Input_Raw!$BQ:$BQ),"")</f>
        <v>27.04</v>
      </c>
      <c r="AJ69" s="167"/>
      <c r="AK69" s="167"/>
      <c r="AL69" s="167"/>
      <c r="AM69" s="167"/>
      <c r="AN69" s="175">
        <f>IFERROR(_xlfn.XLOOKUP($A69,Input_Raw!$A:$A,Input_Raw!$BN:$BN),"")</f>
        <v>2.9380325431423181E-2</v>
      </c>
      <c r="AO69" s="174">
        <f>IFERROR((_xlfn.XLOOKUP($A69,'WTG Reactive Power'!$A:$A,'WTG Reactive Power'!$AE:$AE))/Table13[[#This Row],[Gen_Exp (kWh)]],"")</f>
        <v>3.2988605354647526E-3</v>
      </c>
      <c r="AP69" s="174">
        <f>IFERROR(_xlfn.XLOOKUP($D69,'Modelling New'!$D:$D,'Modelling New'!$AK:$AK),"")</f>
        <v>0.05</v>
      </c>
      <c r="AQ69" s="174">
        <f>IFERROR(_xlfn.XLOOKUP($D69,'Modelling New'!$D:$D,'Modelling New'!$AL:$AL),"")</f>
        <v>0.05</v>
      </c>
      <c r="AR69" s="276">
        <f>IFERROR(_xlfn.XLOOKUP($D69,'Modelling New'!$D:$D,'Modelling New'!$N:$N),"")</f>
        <v>70.2</v>
      </c>
      <c r="AS69" s="276"/>
    </row>
    <row r="70" spans="1:45">
      <c r="A70" s="165">
        <f t="shared" si="7"/>
        <v>45813</v>
      </c>
      <c r="B70" s="166">
        <f>YEAR(Table13[[#This Row],[Date]])+IF(MONTH(Table13[[#This Row],[Date]])&gt;=4,1,0)</f>
        <v>2026</v>
      </c>
      <c r="C70" s="167">
        <f>YEAR(Table13[[#This Row],[Date]])</f>
        <v>2025</v>
      </c>
      <c r="D70" s="168">
        <f>Table13[[#This Row],[Date]]-DAY(Table13[[#This Row],[Date]])+1</f>
        <v>45809</v>
      </c>
      <c r="E70" s="167">
        <f t="shared" si="4"/>
        <v>30</v>
      </c>
      <c r="F70" s="169"/>
      <c r="G70" s="170"/>
      <c r="H70" s="170"/>
      <c r="I70" s="170"/>
      <c r="J70" s="170"/>
      <c r="K70" s="171"/>
      <c r="L70" s="170"/>
      <c r="M70" s="170">
        <f>IFERROR(_xlfn.XLOOKUP($A70,Input_Raw!$A:$A,Input_Raw!BG:BG),"")</f>
        <v>5.1218669886390362</v>
      </c>
      <c r="N70" s="170">
        <f>IFERROR(_xlfn.XLOOKUP($A70,Input_Raw!$A:$A,Input_Raw!BH:BH),"")</f>
        <v>0</v>
      </c>
      <c r="O70" s="173">
        <f t="shared" si="5"/>
        <v>0.9920348945024462</v>
      </c>
      <c r="P70" s="173">
        <f>IFERROR(1-SUMIF(WTG_BD!$F:$F,$A70,WTG_BD!$AA:$AA)/($AA70+SUMIF(WTG_BD!$F:$F,$A70,WTG_BD!$AA:$AA)),"")</f>
        <v>0.9920348945024462</v>
      </c>
      <c r="Q70" s="173">
        <f>IFERROR(1-SUMIF(IGA_BD!$F:$F,$A70,IGA_BD!$X:$X)/($AA70+SUMIF(IGA_BD!$F:$F,$A70,IGA_BD!$X:$X)),"")</f>
        <v>1</v>
      </c>
      <c r="R70" s="173">
        <f>IFERROR(1-SUMIF(Grid_BD!$F:$F,$A70,Grid_BD!$Y:$Y)/($AA70+SUMIF(Grid_BD!$F:$F,$A70,Grid_BD!$Y:$Y)),"")</f>
        <v>1</v>
      </c>
      <c r="S70" s="167"/>
      <c r="T70" s="172"/>
      <c r="U70" s="173"/>
      <c r="V70" s="167"/>
      <c r="W70" s="174">
        <f t="shared" si="6"/>
        <v>0.21768162393162391</v>
      </c>
      <c r="X70" s="167">
        <f>IFERROR(_xlfn.XLOOKUP($A70,Input_Raw!$A:$A,Input_Raw!$BF:$BF),"")</f>
        <v>379657</v>
      </c>
      <c r="Y70" s="167">
        <f>IFERROR(_xlfn.XLOOKUP($A70,Input_Raw!$A:$A,Input_Raw!BJ:BJ),"")</f>
        <v>367200</v>
      </c>
      <c r="Z70" s="167">
        <f>IFERROR(_xlfn.XLOOKUP($A70,Input_Raw!$A:$A,Input_Raw!BK:BK),"")</f>
        <v>450</v>
      </c>
      <c r="AA70" s="167">
        <f>IFERROR(_xlfn.XLOOKUP($A70,Input_Raw!$A:$A,Input_Raw!BL:BL),"")</f>
        <v>366750</v>
      </c>
      <c r="AB70" s="167">
        <f>IFERROR(_xlfn.XLOOKUP($A70,Input_Raw!$A:$A,Input_Raw!$BO:$BO),"")</f>
        <v>70.2</v>
      </c>
      <c r="AC70" s="176">
        <f>IFERROR(_xlfn.XLOOKUP($D70,'Modelling New'!$D:$D,'Modelling New'!$J:$J),"")</f>
        <v>7.15</v>
      </c>
      <c r="AD70" s="166">
        <f>IFERROR(_xlfn.XLOOKUP($D70,'Modelling New'!$D:$D,'Modelling New'!$T:$T)*1000,"")</f>
        <v>801613.2743645322</v>
      </c>
      <c r="AE70" s="174"/>
      <c r="AF70" s="174">
        <f>IFERROR(_xlfn.XLOOKUP($D70,'Modelling New'!$D:$D,'Modelling New'!$W:$W),"")</f>
        <v>0.47579135467980305</v>
      </c>
      <c r="AG70" s="174">
        <f>IFERROR(_xlfn.XLOOKUP($D70,'Modelling New'!$D:$D,'Modelling New'!$AE:$AE),"")</f>
        <v>0.96029999999999993</v>
      </c>
      <c r="AH70" s="174">
        <f>IFERROR(_xlfn.XLOOKUP($D70,'Modelling New'!$D:$D,'Modelling New'!$AF:$AF),"")</f>
        <v>0.995</v>
      </c>
      <c r="AI70" s="177">
        <f>IFERROR(_xlfn.XLOOKUP($A70,Input_Raw!$A:$A,Input_Raw!$BQ:$BQ),"")</f>
        <v>385.8</v>
      </c>
      <c r="AJ70" s="167"/>
      <c r="AK70" s="167"/>
      <c r="AL70" s="167"/>
      <c r="AM70" s="167"/>
      <c r="AN70" s="175">
        <f>IFERROR(_xlfn.XLOOKUP($A70,Input_Raw!$A:$A,Input_Raw!$BN:$BN),"")</f>
        <v>3.2811195368450993E-2</v>
      </c>
      <c r="AO70" s="174">
        <f>IFERROR((_xlfn.XLOOKUP($A70,'WTG Reactive Power'!$A:$A,'WTG Reactive Power'!$AE:$AE))/Table13[[#This Row],[Gen_Exp (kWh)]],"")</f>
        <v>2.6075536602775673E-2</v>
      </c>
      <c r="AP70" s="174">
        <f>IFERROR(_xlfn.XLOOKUP($D70,'Modelling New'!$D:$D,'Modelling New'!$AK:$AK),"")</f>
        <v>0.05</v>
      </c>
      <c r="AQ70" s="174">
        <f>IFERROR(_xlfn.XLOOKUP($D70,'Modelling New'!$D:$D,'Modelling New'!$AL:$AL),"")</f>
        <v>0.05</v>
      </c>
      <c r="AR70" s="276">
        <f>IFERROR(_xlfn.XLOOKUP($D70,'Modelling New'!$D:$D,'Modelling New'!$N:$N),"")</f>
        <v>70.2</v>
      </c>
      <c r="AS70" s="276"/>
    </row>
    <row r="71" spans="1:45">
      <c r="A71" s="165">
        <f t="shared" si="7"/>
        <v>45814</v>
      </c>
      <c r="B71" s="166">
        <f>YEAR(Table13[[#This Row],[Date]])+IF(MONTH(Table13[[#This Row],[Date]])&gt;=4,1,0)</f>
        <v>2026</v>
      </c>
      <c r="C71" s="167">
        <f>YEAR(Table13[[#This Row],[Date]])</f>
        <v>2025</v>
      </c>
      <c r="D71" s="168">
        <f>Table13[[#This Row],[Date]]-DAY(Table13[[#This Row],[Date]])+1</f>
        <v>45809</v>
      </c>
      <c r="E71" s="167">
        <f t="shared" si="4"/>
        <v>30</v>
      </c>
      <c r="F71" s="169"/>
      <c r="G71" s="176"/>
      <c r="H71" s="176"/>
      <c r="I71" s="176"/>
      <c r="J71" s="176"/>
      <c r="K71" s="171"/>
      <c r="L71" s="170"/>
      <c r="M71" s="170">
        <f>IFERROR(_xlfn.XLOOKUP($A71,Input_Raw!$A:$A,Input_Raw!BG:BG),"")</f>
        <v>6.127184657855695</v>
      </c>
      <c r="N71" s="170">
        <f>IFERROR(_xlfn.XLOOKUP($A71,Input_Raw!$A:$A,Input_Raw!BH:BH),"")</f>
        <v>0</v>
      </c>
      <c r="O71" s="173">
        <f t="shared" si="5"/>
        <v>0.98051502644950794</v>
      </c>
      <c r="P71" s="173">
        <f>IFERROR(1-SUMIF(WTG_BD!$F:$F,$A71,WTG_BD!$AA:$AA)/($AA71+SUMIF(WTG_BD!$F:$F,$A71,WTG_BD!$AA:$AA)),"")</f>
        <v>0.98051502644950794</v>
      </c>
      <c r="Q71" s="173">
        <f>IFERROR(1-SUMIF(IGA_BD!$F:$F,$A71,IGA_BD!$X:$X)/($AA71+SUMIF(IGA_BD!$F:$F,$A71,IGA_BD!$X:$X)),"")</f>
        <v>1</v>
      </c>
      <c r="R71" s="173">
        <f>IFERROR(1-SUMIF(Grid_BD!$F:$F,$A71,Grid_BD!$Y:$Y)/($AA71+SUMIF(Grid_BD!$F:$F,$A71,Grid_BD!$Y:$Y)),"")</f>
        <v>1</v>
      </c>
      <c r="S71" s="167"/>
      <c r="T71" s="172"/>
      <c r="U71" s="173"/>
      <c r="V71" s="167"/>
      <c r="W71" s="174">
        <f t="shared" si="6"/>
        <v>0.33413461538461536</v>
      </c>
      <c r="X71" s="167">
        <f>IFERROR(_xlfn.XLOOKUP($A71,Input_Raw!$A:$A,Input_Raw!$BF:$BF),"")</f>
        <v>580148</v>
      </c>
      <c r="Y71" s="167">
        <f>IFERROR(_xlfn.XLOOKUP($A71,Input_Raw!$A:$A,Input_Raw!BJ:BJ),"")</f>
        <v>562950</v>
      </c>
      <c r="Z71" s="167">
        <f>IFERROR(_xlfn.XLOOKUP($A71,Input_Raw!$A:$A,Input_Raw!BK:BK),"")</f>
        <v>0</v>
      </c>
      <c r="AA71" s="167">
        <f>IFERROR(_xlfn.XLOOKUP($A71,Input_Raw!$A:$A,Input_Raw!BL:BL),"")</f>
        <v>562950</v>
      </c>
      <c r="AB71" s="167">
        <f>IFERROR(_xlfn.XLOOKUP($A71,Input_Raw!$A:$A,Input_Raw!$BO:$BO),"")</f>
        <v>70.2</v>
      </c>
      <c r="AC71" s="176">
        <f>IFERROR(_xlfn.XLOOKUP($D71,'Modelling New'!$D:$D,'Modelling New'!$J:$J),"")</f>
        <v>7.15</v>
      </c>
      <c r="AD71" s="166">
        <f>IFERROR(_xlfn.XLOOKUP($D71,'Modelling New'!$D:$D,'Modelling New'!$T:$T)*1000,"")</f>
        <v>801613.2743645322</v>
      </c>
      <c r="AE71" s="174"/>
      <c r="AF71" s="174">
        <f>IFERROR(_xlfn.XLOOKUP($D71,'Modelling New'!$D:$D,'Modelling New'!$W:$W),"")</f>
        <v>0.47579135467980305</v>
      </c>
      <c r="AG71" s="174">
        <f>IFERROR(_xlfn.XLOOKUP($D71,'Modelling New'!$D:$D,'Modelling New'!$AE:$AE),"")</f>
        <v>0.96029999999999993</v>
      </c>
      <c r="AH71" s="174">
        <f>IFERROR(_xlfn.XLOOKUP($D71,'Modelling New'!$D:$D,'Modelling New'!$AF:$AF),"")</f>
        <v>0.995</v>
      </c>
      <c r="AI71" s="177">
        <f>IFERROR(_xlfn.XLOOKUP($A71,Input_Raw!$A:$A,Input_Raw!$BQ:$BQ),"")</f>
        <v>593.58000000000004</v>
      </c>
      <c r="AJ71" s="167"/>
      <c r="AK71" s="167"/>
      <c r="AL71" s="167"/>
      <c r="AM71" s="167"/>
      <c r="AN71" s="175">
        <f>IFERROR(_xlfn.XLOOKUP($A71,Input_Raw!$A:$A,Input_Raw!$BN:$BN),"")</f>
        <v>2.9644159766128643E-2</v>
      </c>
      <c r="AO71" s="174">
        <f>IFERROR((_xlfn.XLOOKUP($A71,'WTG Reactive Power'!$A:$A,'WTG Reactive Power'!$AE:$AE))/Table13[[#This Row],[Gen_Exp (kWh)]],"")</f>
        <v>4.6537090535518529E-3</v>
      </c>
      <c r="AP71" s="174">
        <f>IFERROR(_xlfn.XLOOKUP($D71,'Modelling New'!$D:$D,'Modelling New'!$AK:$AK),"")</f>
        <v>0.05</v>
      </c>
      <c r="AQ71" s="174">
        <f>IFERROR(_xlfn.XLOOKUP($D71,'Modelling New'!$D:$D,'Modelling New'!$AL:$AL),"")</f>
        <v>0.05</v>
      </c>
      <c r="AR71" s="276">
        <f>IFERROR(_xlfn.XLOOKUP($D71,'Modelling New'!$D:$D,'Modelling New'!$N:$N),"")</f>
        <v>70.2</v>
      </c>
      <c r="AS71" s="276"/>
    </row>
    <row r="72" spans="1:45">
      <c r="A72" s="165">
        <f t="shared" si="7"/>
        <v>45815</v>
      </c>
      <c r="B72" s="166">
        <f>YEAR(Table13[[#This Row],[Date]])+IF(MONTH(Table13[[#This Row],[Date]])&gt;=4,1,0)</f>
        <v>2026</v>
      </c>
      <c r="C72" s="167">
        <f>YEAR(Table13[[#This Row],[Date]])</f>
        <v>2025</v>
      </c>
      <c r="D72" s="168">
        <f>Table13[[#This Row],[Date]]-DAY(Table13[[#This Row],[Date]])+1</f>
        <v>45809</v>
      </c>
      <c r="E72" s="167">
        <f t="shared" si="4"/>
        <v>30</v>
      </c>
      <c r="F72" s="169"/>
      <c r="G72" s="170"/>
      <c r="H72" s="170"/>
      <c r="I72" s="170"/>
      <c r="J72" s="170"/>
      <c r="K72" s="171"/>
      <c r="L72" s="170"/>
      <c r="M72" s="170">
        <f>IFERROR(_xlfn.XLOOKUP($A72,Input_Raw!$A:$A,Input_Raw!BG:BG),"")</f>
        <v>7.5198626282949839</v>
      </c>
      <c r="N72" s="170">
        <f>IFERROR(_xlfn.XLOOKUP($A72,Input_Raw!$A:$A,Input_Raw!BH:BH),"")</f>
        <v>0</v>
      </c>
      <c r="O72" s="173">
        <f t="shared" si="5"/>
        <v>0.98114198596420932</v>
      </c>
      <c r="P72" s="173">
        <f>IFERROR(1-SUMIF(WTG_BD!$F:$F,$A72,WTG_BD!$AA:$AA)/($AA72+SUMIF(WTG_BD!$F:$F,$A72,WTG_BD!$AA:$AA)),"")</f>
        <v>0.98114198596420932</v>
      </c>
      <c r="Q72" s="173">
        <f>IFERROR(1-SUMIF(IGA_BD!$F:$F,$A72,IGA_BD!$X:$X)/($AA72+SUMIF(IGA_BD!$F:$F,$A72,IGA_BD!$X:$X)),"")</f>
        <v>1</v>
      </c>
      <c r="R72" s="173">
        <f>IFERROR(1-SUMIF(Grid_BD!$F:$F,$A72,Grid_BD!$Y:$Y)/($AA72+SUMIF(Grid_BD!$F:$F,$A72,Grid_BD!$Y:$Y)),"")</f>
        <v>1</v>
      </c>
      <c r="S72" s="167"/>
      <c r="T72" s="172"/>
      <c r="U72" s="173"/>
      <c r="V72" s="167"/>
      <c r="W72" s="174">
        <f t="shared" si="6"/>
        <v>0.51068376068376065</v>
      </c>
      <c r="X72" s="167">
        <f>IFERROR(_xlfn.XLOOKUP($A72,Input_Raw!$A:$A,Input_Raw!$BF:$BF),"")</f>
        <v>886785</v>
      </c>
      <c r="Y72" s="167">
        <f>IFERROR(_xlfn.XLOOKUP($A72,Input_Raw!$A:$A,Input_Raw!BJ:BJ),"")</f>
        <v>860400</v>
      </c>
      <c r="Z72" s="167">
        <f>IFERROR(_xlfn.XLOOKUP($A72,Input_Raw!$A:$A,Input_Raw!BK:BK),"")</f>
        <v>0</v>
      </c>
      <c r="AA72" s="167">
        <f>IFERROR(_xlfn.XLOOKUP($A72,Input_Raw!$A:$A,Input_Raw!BL:BL),"")</f>
        <v>860400</v>
      </c>
      <c r="AB72" s="167">
        <f>IFERROR(_xlfn.XLOOKUP($A72,Input_Raw!$A:$A,Input_Raw!$BO:$BO),"")</f>
        <v>70.2</v>
      </c>
      <c r="AC72" s="176">
        <f>IFERROR(_xlfn.XLOOKUP($D72,'Modelling New'!$D:$D,'Modelling New'!$J:$J),"")</f>
        <v>7.15</v>
      </c>
      <c r="AD72" s="166">
        <f>IFERROR(_xlfn.XLOOKUP($D72,'Modelling New'!$D:$D,'Modelling New'!$T:$T)*1000,"")</f>
        <v>801613.2743645322</v>
      </c>
      <c r="AE72" s="174"/>
      <c r="AF72" s="174">
        <f>IFERROR(_xlfn.XLOOKUP($D72,'Modelling New'!$D:$D,'Modelling New'!$W:$W),"")</f>
        <v>0.47579135467980305</v>
      </c>
      <c r="AG72" s="174">
        <f>IFERROR(_xlfn.XLOOKUP($D72,'Modelling New'!$D:$D,'Modelling New'!$AE:$AE),"")</f>
        <v>0.96029999999999993</v>
      </c>
      <c r="AH72" s="174">
        <f>IFERROR(_xlfn.XLOOKUP($D72,'Modelling New'!$D:$D,'Modelling New'!$AF:$AF),"")</f>
        <v>0.995</v>
      </c>
      <c r="AI72" s="177">
        <f>IFERROR(_xlfn.XLOOKUP($A72,Input_Raw!$A:$A,Input_Raw!$BQ:$BQ),"")</f>
        <v>899.42</v>
      </c>
      <c r="AJ72" s="167"/>
      <c r="AK72" s="167"/>
      <c r="AL72" s="167"/>
      <c r="AM72" s="167"/>
      <c r="AN72" s="175">
        <f>IFERROR(_xlfn.XLOOKUP($A72,Input_Raw!$A:$A,Input_Raw!$BN:$BN),"")</f>
        <v>2.9753547928753871E-2</v>
      </c>
      <c r="AO72" s="174">
        <f>IFERROR((_xlfn.XLOOKUP($A72,'WTG Reactive Power'!$A:$A,'WTG Reactive Power'!$AE:$AE))/Table13[[#This Row],[Gen_Exp (kWh)]],"")</f>
        <v>3.0445260125058497E-3</v>
      </c>
      <c r="AP72" s="174">
        <f>IFERROR(_xlfn.XLOOKUP($D72,'Modelling New'!$D:$D,'Modelling New'!$AK:$AK),"")</f>
        <v>0.05</v>
      </c>
      <c r="AQ72" s="174">
        <f>IFERROR(_xlfn.XLOOKUP($D72,'Modelling New'!$D:$D,'Modelling New'!$AL:$AL),"")</f>
        <v>0.05</v>
      </c>
      <c r="AR72" s="276">
        <f>IFERROR(_xlfn.XLOOKUP($D72,'Modelling New'!$D:$D,'Modelling New'!$N:$N),"")</f>
        <v>70.2</v>
      </c>
      <c r="AS72" s="276"/>
    </row>
    <row r="73" spans="1:45">
      <c r="A73" s="165">
        <f t="shared" si="7"/>
        <v>45816</v>
      </c>
      <c r="B73" s="166">
        <f>YEAR(Table13[[#This Row],[Date]])+IF(MONTH(Table13[[#This Row],[Date]])&gt;=4,1,0)</f>
        <v>2026</v>
      </c>
      <c r="C73" s="167">
        <f>YEAR(Table13[[#This Row],[Date]])</f>
        <v>2025</v>
      </c>
      <c r="D73" s="168">
        <f>Table13[[#This Row],[Date]]-DAY(Table13[[#This Row],[Date]])+1</f>
        <v>45809</v>
      </c>
      <c r="E73" s="167">
        <f t="shared" si="4"/>
        <v>30</v>
      </c>
      <c r="F73" s="169"/>
      <c r="G73" s="176"/>
      <c r="H73" s="176"/>
      <c r="I73" s="176"/>
      <c r="J73" s="176"/>
      <c r="K73" s="171"/>
      <c r="L73" s="170"/>
      <c r="M73" s="170">
        <f>IFERROR(_xlfn.XLOOKUP($A73,Input_Raw!$A:$A,Input_Raw!BG:BG),"")</f>
        <v>7.3033566252473445</v>
      </c>
      <c r="N73" s="170">
        <f>IFERROR(_xlfn.XLOOKUP($A73,Input_Raw!$A:$A,Input_Raw!BH:BH),"")</f>
        <v>0</v>
      </c>
      <c r="O73" s="173">
        <f t="shared" si="5"/>
        <v>0.9625826509024854</v>
      </c>
      <c r="P73" s="173">
        <f>IFERROR(1-SUMIF(WTG_BD!$F:$F,$A73,WTG_BD!$AA:$AA)/($AA73+SUMIF(WTG_BD!$F:$F,$A73,WTG_BD!$AA:$AA)),"")</f>
        <v>0.9625826509024854</v>
      </c>
      <c r="Q73" s="173">
        <f>IFERROR(1-SUMIF(IGA_BD!$F:$F,$A73,IGA_BD!$X:$X)/($AA73+SUMIF(IGA_BD!$F:$F,$A73,IGA_BD!$X:$X)),"")</f>
        <v>1</v>
      </c>
      <c r="R73" s="173">
        <f>IFERROR(1-SUMIF(Grid_BD!$F:$F,$A73,Grid_BD!$Y:$Y)/($AA73+SUMIF(Grid_BD!$F:$F,$A73,Grid_BD!$Y:$Y)),"")</f>
        <v>1</v>
      </c>
      <c r="S73" s="167"/>
      <c r="T73" s="172"/>
      <c r="U73" s="173"/>
      <c r="V73" s="167"/>
      <c r="W73" s="174">
        <f t="shared" si="6"/>
        <v>0.4730235042735042</v>
      </c>
      <c r="X73" s="167">
        <f>IFERROR(_xlfn.XLOOKUP($A73,Input_Raw!$A:$A,Input_Raw!$BF:$BF),"")</f>
        <v>820968</v>
      </c>
      <c r="Y73" s="167">
        <f>IFERROR(_xlfn.XLOOKUP($A73,Input_Raw!$A:$A,Input_Raw!BJ:BJ),"")</f>
        <v>796950</v>
      </c>
      <c r="Z73" s="167">
        <f>IFERROR(_xlfn.XLOOKUP($A73,Input_Raw!$A:$A,Input_Raw!BK:BK),"")</f>
        <v>0</v>
      </c>
      <c r="AA73" s="167">
        <f>IFERROR(_xlfn.XLOOKUP($A73,Input_Raw!$A:$A,Input_Raw!BL:BL),"")</f>
        <v>796950</v>
      </c>
      <c r="AB73" s="167">
        <f>IFERROR(_xlfn.XLOOKUP($A73,Input_Raw!$A:$A,Input_Raw!$BO:$BO),"")</f>
        <v>70.2</v>
      </c>
      <c r="AC73" s="176">
        <f>IFERROR(_xlfn.XLOOKUP($D73,'Modelling New'!$D:$D,'Modelling New'!$J:$J),"")</f>
        <v>7.15</v>
      </c>
      <c r="AD73" s="166">
        <f>IFERROR(_xlfn.XLOOKUP($D73,'Modelling New'!$D:$D,'Modelling New'!$T:$T)*1000,"")</f>
        <v>801613.2743645322</v>
      </c>
      <c r="AE73" s="174"/>
      <c r="AF73" s="174">
        <f>IFERROR(_xlfn.XLOOKUP($D73,'Modelling New'!$D:$D,'Modelling New'!$W:$W),"")</f>
        <v>0.47579135467980305</v>
      </c>
      <c r="AG73" s="174">
        <f>IFERROR(_xlfn.XLOOKUP($D73,'Modelling New'!$D:$D,'Modelling New'!$AE:$AE),"")</f>
        <v>0.96029999999999993</v>
      </c>
      <c r="AH73" s="174">
        <f>IFERROR(_xlfn.XLOOKUP($D73,'Modelling New'!$D:$D,'Modelling New'!$AF:$AF),"")</f>
        <v>0.995</v>
      </c>
      <c r="AI73" s="177">
        <f>IFERROR(_xlfn.XLOOKUP($A73,Input_Raw!$A:$A,Input_Raw!$BQ:$BQ),"")</f>
        <v>846.28</v>
      </c>
      <c r="AJ73" s="167"/>
      <c r="AK73" s="167"/>
      <c r="AL73" s="167"/>
      <c r="AM73" s="167"/>
      <c r="AN73" s="175">
        <f>IFERROR(_xlfn.XLOOKUP($A73,Input_Raw!$A:$A,Input_Raw!$BN:$BN),"")</f>
        <v>2.9255707896044668E-2</v>
      </c>
      <c r="AO73" s="174">
        <f>IFERROR((_xlfn.XLOOKUP($A73,'WTG Reactive Power'!$A:$A,'WTG Reactive Power'!$AE:$AE))/Table13[[#This Row],[Gen_Exp (kWh)]],"")</f>
        <v>1.6991868136151476E-2</v>
      </c>
      <c r="AP73" s="174">
        <f>IFERROR(_xlfn.XLOOKUP($D73,'Modelling New'!$D:$D,'Modelling New'!$AK:$AK),"")</f>
        <v>0.05</v>
      </c>
      <c r="AQ73" s="174">
        <f>IFERROR(_xlfn.XLOOKUP($D73,'Modelling New'!$D:$D,'Modelling New'!$AL:$AL),"")</f>
        <v>0.05</v>
      </c>
      <c r="AR73" s="276">
        <f>IFERROR(_xlfn.XLOOKUP($D73,'Modelling New'!$D:$D,'Modelling New'!$N:$N),"")</f>
        <v>70.2</v>
      </c>
      <c r="AS73" s="276"/>
    </row>
    <row r="74" spans="1:45">
      <c r="A74" s="165">
        <f t="shared" si="7"/>
        <v>45817</v>
      </c>
      <c r="B74" s="166">
        <f>YEAR(Table13[[#This Row],[Date]])+IF(MONTH(Table13[[#This Row],[Date]])&gt;=4,1,0)</f>
        <v>2026</v>
      </c>
      <c r="C74" s="167">
        <f>YEAR(Table13[[#This Row],[Date]])</f>
        <v>2025</v>
      </c>
      <c r="D74" s="168">
        <f>Table13[[#This Row],[Date]]-DAY(Table13[[#This Row],[Date]])+1</f>
        <v>45809</v>
      </c>
      <c r="E74" s="167">
        <f t="shared" si="4"/>
        <v>30</v>
      </c>
      <c r="F74" s="169"/>
      <c r="G74" s="170"/>
      <c r="H74" s="170"/>
      <c r="I74" s="170"/>
      <c r="J74" s="170"/>
      <c r="K74" s="171"/>
      <c r="L74" s="170"/>
      <c r="M74" s="170">
        <f>IFERROR(_xlfn.XLOOKUP($A74,Input_Raw!$A:$A,Input_Raw!BG:BG),"")</f>
        <v>7.9526228602880016</v>
      </c>
      <c r="N74" s="170">
        <f>IFERROR(_xlfn.XLOOKUP($A74,Input_Raw!$A:$A,Input_Raw!BH:BH),"")</f>
        <v>0</v>
      </c>
      <c r="O74" s="173">
        <f t="shared" si="5"/>
        <v>0.99897719573640853</v>
      </c>
      <c r="P74" s="173">
        <f>IFERROR(1-SUMIF(WTG_BD!$F:$F,$A74,WTG_BD!$AA:$AA)/($AA74+SUMIF(WTG_BD!$F:$F,$A74,WTG_BD!$AA:$AA)),"")</f>
        <v>0.99897719573640853</v>
      </c>
      <c r="Q74" s="173">
        <f>IFERROR(1-SUMIF(IGA_BD!$F:$F,$A74,IGA_BD!$X:$X)/($AA74+SUMIF(IGA_BD!$F:$F,$A74,IGA_BD!$X:$X)),"")</f>
        <v>1</v>
      </c>
      <c r="R74" s="173">
        <f>IFERROR(1-SUMIF(Grid_BD!$F:$F,$A74,Grid_BD!$Y:$Y)/($AA74+SUMIF(Grid_BD!$F:$F,$A74,Grid_BD!$Y:$Y)),"")</f>
        <v>1</v>
      </c>
      <c r="S74" s="167"/>
      <c r="T74" s="172"/>
      <c r="U74" s="173"/>
      <c r="V74" s="167"/>
      <c r="W74" s="174">
        <f t="shared" si="6"/>
        <v>0.58547008547008539</v>
      </c>
      <c r="X74" s="167">
        <f>IFERROR(_xlfn.XLOOKUP($A74,Input_Raw!$A:$A,Input_Raw!$BF:$BF),"")</f>
        <v>1019022</v>
      </c>
      <c r="Y74" s="167">
        <f>IFERROR(_xlfn.XLOOKUP($A74,Input_Raw!$A:$A,Input_Raw!BJ:BJ),"")</f>
        <v>986400</v>
      </c>
      <c r="Z74" s="167">
        <f>IFERROR(_xlfn.XLOOKUP($A74,Input_Raw!$A:$A,Input_Raw!BK:BK),"")</f>
        <v>0</v>
      </c>
      <c r="AA74" s="167">
        <f>IFERROR(_xlfn.XLOOKUP($A74,Input_Raw!$A:$A,Input_Raw!BL:BL),"")</f>
        <v>986400</v>
      </c>
      <c r="AB74" s="167">
        <f>IFERROR(_xlfn.XLOOKUP($A74,Input_Raw!$A:$A,Input_Raw!$BO:$BO),"")</f>
        <v>70.2</v>
      </c>
      <c r="AC74" s="176">
        <f>IFERROR(_xlfn.XLOOKUP($D74,'Modelling New'!$D:$D,'Modelling New'!$J:$J),"")</f>
        <v>7.15</v>
      </c>
      <c r="AD74" s="166">
        <f>IFERROR(_xlfn.XLOOKUP($D74,'Modelling New'!$D:$D,'Modelling New'!$T:$T)*1000,"")</f>
        <v>801613.2743645322</v>
      </c>
      <c r="AE74" s="174"/>
      <c r="AF74" s="174">
        <f>IFERROR(_xlfn.XLOOKUP($D74,'Modelling New'!$D:$D,'Modelling New'!$W:$W),"")</f>
        <v>0.47579135467980305</v>
      </c>
      <c r="AG74" s="174">
        <f>IFERROR(_xlfn.XLOOKUP($D74,'Modelling New'!$D:$D,'Modelling New'!$AE:$AE),"")</f>
        <v>0.96029999999999993</v>
      </c>
      <c r="AH74" s="174">
        <f>IFERROR(_xlfn.XLOOKUP($D74,'Modelling New'!$D:$D,'Modelling New'!$AF:$AF),"")</f>
        <v>0.995</v>
      </c>
      <c r="AI74" s="177">
        <f>IFERROR(_xlfn.XLOOKUP($A74,Input_Raw!$A:$A,Input_Raw!$BQ:$BQ),"")</f>
        <v>1032.83</v>
      </c>
      <c r="AJ74" s="167"/>
      <c r="AK74" s="167"/>
      <c r="AL74" s="167"/>
      <c r="AM74" s="167"/>
      <c r="AN74" s="175">
        <f>IFERROR(_xlfn.XLOOKUP($A74,Input_Raw!$A:$A,Input_Raw!$BN:$BN),"")</f>
        <v>3.2013047804659765E-2</v>
      </c>
      <c r="AO74" s="174">
        <f>IFERROR((_xlfn.XLOOKUP($A74,'WTG Reactive Power'!$A:$A,'WTG Reactive Power'!$AE:$AE))/Table13[[#This Row],[Gen_Exp (kWh)]],"")</f>
        <v>9.7149619929697336E-3</v>
      </c>
      <c r="AP74" s="174">
        <f>IFERROR(_xlfn.XLOOKUP($D74,'Modelling New'!$D:$D,'Modelling New'!$AK:$AK),"")</f>
        <v>0.05</v>
      </c>
      <c r="AQ74" s="174">
        <f>IFERROR(_xlfn.XLOOKUP($D74,'Modelling New'!$D:$D,'Modelling New'!$AL:$AL),"")</f>
        <v>0.05</v>
      </c>
      <c r="AR74" s="276">
        <f>IFERROR(_xlfn.XLOOKUP($D74,'Modelling New'!$D:$D,'Modelling New'!$N:$N),"")</f>
        <v>70.2</v>
      </c>
      <c r="AS74" s="276"/>
    </row>
    <row r="75" spans="1:45">
      <c r="A75" s="165">
        <f t="shared" si="7"/>
        <v>45818</v>
      </c>
      <c r="B75" s="166">
        <f>YEAR(Table13[[#This Row],[Date]])+IF(MONTH(Table13[[#This Row],[Date]])&gt;=4,1,0)</f>
        <v>2026</v>
      </c>
      <c r="C75" s="167">
        <f>YEAR(Table13[[#This Row],[Date]])</f>
        <v>2025</v>
      </c>
      <c r="D75" s="168">
        <f>Table13[[#This Row],[Date]]-DAY(Table13[[#This Row],[Date]])+1</f>
        <v>45809</v>
      </c>
      <c r="E75" s="167">
        <f t="shared" si="4"/>
        <v>30</v>
      </c>
      <c r="F75" s="169"/>
      <c r="G75" s="176"/>
      <c r="H75" s="176"/>
      <c r="I75" s="176"/>
      <c r="J75" s="176"/>
      <c r="K75" s="171"/>
      <c r="L75" s="170"/>
      <c r="M75" s="170">
        <f>IFERROR(_xlfn.XLOOKUP($A75,Input_Raw!$A:$A,Input_Raw!BG:BG),"")</f>
        <v>8.1788643714640052</v>
      </c>
      <c r="N75" s="170">
        <f>IFERROR(_xlfn.XLOOKUP($A75,Input_Raw!$A:$A,Input_Raw!BH:BH),"")</f>
        <v>0</v>
      </c>
      <c r="O75" s="173">
        <f t="shared" si="5"/>
        <v>0.9747683626068635</v>
      </c>
      <c r="P75" s="173">
        <f>IFERROR(1-SUMIF(WTG_BD!$F:$F,$A75,WTG_BD!$AA:$AA)/($AA75+SUMIF(WTG_BD!$F:$F,$A75,WTG_BD!$AA:$AA)),"")</f>
        <v>0.9747683626068635</v>
      </c>
      <c r="Q75" s="173">
        <f>IFERROR(1-SUMIF(IGA_BD!$F:$F,$A75,IGA_BD!$X:$X)/($AA75+SUMIF(IGA_BD!$F:$F,$A75,IGA_BD!$X:$X)),"")</f>
        <v>1</v>
      </c>
      <c r="R75" s="173">
        <f>IFERROR(1-SUMIF(Grid_BD!$F:$F,$A75,Grid_BD!$Y:$Y)/($AA75+SUMIF(Grid_BD!$F:$F,$A75,Grid_BD!$Y:$Y)),"")</f>
        <v>1</v>
      </c>
      <c r="S75" s="167"/>
      <c r="T75" s="172"/>
      <c r="U75" s="173"/>
      <c r="V75" s="167"/>
      <c r="W75" s="174">
        <f t="shared" si="6"/>
        <v>0.61725427350427342</v>
      </c>
      <c r="X75" s="167">
        <f>IFERROR(_xlfn.XLOOKUP($A75,Input_Raw!$A:$A,Input_Raw!$BF:$BF),"")</f>
        <v>1075551</v>
      </c>
      <c r="Y75" s="167">
        <f>IFERROR(_xlfn.XLOOKUP($A75,Input_Raw!$A:$A,Input_Raw!BJ:BJ),"")</f>
        <v>1039950</v>
      </c>
      <c r="Z75" s="167">
        <f>IFERROR(_xlfn.XLOOKUP($A75,Input_Raw!$A:$A,Input_Raw!BK:BK),"")</f>
        <v>0</v>
      </c>
      <c r="AA75" s="167">
        <f>IFERROR(_xlfn.XLOOKUP($A75,Input_Raw!$A:$A,Input_Raw!BL:BL),"")</f>
        <v>1039950</v>
      </c>
      <c r="AB75" s="167">
        <f>IFERROR(_xlfn.XLOOKUP($A75,Input_Raw!$A:$A,Input_Raw!$BO:$BO),"")</f>
        <v>70.2</v>
      </c>
      <c r="AC75" s="176">
        <f>IFERROR(_xlfn.XLOOKUP($D75,'Modelling New'!$D:$D,'Modelling New'!$J:$J),"")</f>
        <v>7.15</v>
      </c>
      <c r="AD75" s="166">
        <f>IFERROR(_xlfn.XLOOKUP($D75,'Modelling New'!$D:$D,'Modelling New'!$T:$T)*1000,"")</f>
        <v>801613.2743645322</v>
      </c>
      <c r="AE75" s="174"/>
      <c r="AF75" s="174">
        <f>IFERROR(_xlfn.XLOOKUP($D75,'Modelling New'!$D:$D,'Modelling New'!$W:$W),"")</f>
        <v>0.47579135467980305</v>
      </c>
      <c r="AG75" s="174">
        <f>IFERROR(_xlfn.XLOOKUP($D75,'Modelling New'!$D:$D,'Modelling New'!$AE:$AE),"")</f>
        <v>0.96029999999999993</v>
      </c>
      <c r="AH75" s="174">
        <f>IFERROR(_xlfn.XLOOKUP($D75,'Modelling New'!$D:$D,'Modelling New'!$AF:$AF),"")</f>
        <v>0.995</v>
      </c>
      <c r="AI75" s="177">
        <f>IFERROR(_xlfn.XLOOKUP($A75,Input_Raw!$A:$A,Input_Raw!$BQ:$BQ),"")</f>
        <v>1108.3499999999999</v>
      </c>
      <c r="AJ75" s="167"/>
      <c r="AK75" s="167"/>
      <c r="AL75" s="167"/>
      <c r="AM75" s="167"/>
      <c r="AN75" s="175">
        <f>IFERROR(_xlfn.XLOOKUP($A75,Input_Raw!$A:$A,Input_Raw!$BN:$BN),"")</f>
        <v>3.3100243503097482E-2</v>
      </c>
      <c r="AO75" s="174">
        <f>IFERROR((_xlfn.XLOOKUP($A75,'WTG Reactive Power'!$A:$A,'WTG Reactive Power'!$AE:$AE))/Table13[[#This Row],[Gen_Exp (kWh)]],"")</f>
        <v>3.7652886752929447E-3</v>
      </c>
      <c r="AP75" s="174">
        <f>IFERROR(_xlfn.XLOOKUP($D75,'Modelling New'!$D:$D,'Modelling New'!$AK:$AK),"")</f>
        <v>0.05</v>
      </c>
      <c r="AQ75" s="174">
        <f>IFERROR(_xlfn.XLOOKUP($D75,'Modelling New'!$D:$D,'Modelling New'!$AL:$AL),"")</f>
        <v>0.05</v>
      </c>
      <c r="AR75" s="276">
        <f>IFERROR(_xlfn.XLOOKUP($D75,'Modelling New'!$D:$D,'Modelling New'!$N:$N),"")</f>
        <v>70.2</v>
      </c>
      <c r="AS75" s="276"/>
    </row>
    <row r="76" spans="1:45">
      <c r="A76" s="165">
        <f t="shared" si="7"/>
        <v>45819</v>
      </c>
      <c r="B76" s="166">
        <f>YEAR(Table13[[#This Row],[Date]])+IF(MONTH(Table13[[#This Row],[Date]])&gt;=4,1,0)</f>
        <v>2026</v>
      </c>
      <c r="C76" s="167">
        <f>YEAR(Table13[[#This Row],[Date]])</f>
        <v>2025</v>
      </c>
      <c r="D76" s="168">
        <f>Table13[[#This Row],[Date]]-DAY(Table13[[#This Row],[Date]])+1</f>
        <v>45809</v>
      </c>
      <c r="E76" s="167">
        <f t="shared" si="4"/>
        <v>30</v>
      </c>
      <c r="F76" s="169"/>
      <c r="G76" s="170"/>
      <c r="H76" s="170"/>
      <c r="I76" s="170"/>
      <c r="J76" s="170"/>
      <c r="K76" s="171"/>
      <c r="L76" s="170"/>
      <c r="M76" s="170">
        <f>IFERROR(_xlfn.XLOOKUP($A76,Input_Raw!$A:$A,Input_Raw!BG:BG),"")</f>
        <v>7.2928491135361435</v>
      </c>
      <c r="N76" s="170">
        <f>IFERROR(_xlfn.XLOOKUP($A76,Input_Raw!$A:$A,Input_Raw!BH:BH),"")</f>
        <v>0</v>
      </c>
      <c r="O76" s="173">
        <f t="shared" si="5"/>
        <v>0.97726494012987197</v>
      </c>
      <c r="P76" s="173">
        <f>IFERROR(1-SUMIF(WTG_BD!$F:$F,$A76,WTG_BD!$AA:$AA)/($AA76+SUMIF(WTG_BD!$F:$F,$A76,WTG_BD!$AA:$AA)),"")</f>
        <v>0.97726494012987197</v>
      </c>
      <c r="Q76" s="173">
        <f>IFERROR(1-SUMIF(IGA_BD!$F:$F,$A76,IGA_BD!$X:$X)/($AA76+SUMIF(IGA_BD!$F:$F,$A76,IGA_BD!$X:$X)),"")</f>
        <v>1</v>
      </c>
      <c r="R76" s="173">
        <f>IFERROR(1-SUMIF(Grid_BD!$F:$F,$A76,Grid_BD!$Y:$Y)/($AA76+SUMIF(Grid_BD!$F:$F,$A76,Grid_BD!$Y:$Y)),"")</f>
        <v>1</v>
      </c>
      <c r="S76" s="167"/>
      <c r="T76" s="172"/>
      <c r="U76" s="173"/>
      <c r="V76" s="167"/>
      <c r="W76" s="174">
        <f t="shared" si="6"/>
        <v>0.50293803418803407</v>
      </c>
      <c r="X76" s="167">
        <f>IFERROR(_xlfn.XLOOKUP($A76,Input_Raw!$A:$A,Input_Raw!$BF:$BF),"")</f>
        <v>875379</v>
      </c>
      <c r="Y76" s="167">
        <f>IFERROR(_xlfn.XLOOKUP($A76,Input_Raw!$A:$A,Input_Raw!BJ:BJ),"")</f>
        <v>847350</v>
      </c>
      <c r="Z76" s="167">
        <f>IFERROR(_xlfn.XLOOKUP($A76,Input_Raw!$A:$A,Input_Raw!BK:BK),"")</f>
        <v>0</v>
      </c>
      <c r="AA76" s="167">
        <f>IFERROR(_xlfn.XLOOKUP($A76,Input_Raw!$A:$A,Input_Raw!BL:BL),"")</f>
        <v>847350</v>
      </c>
      <c r="AB76" s="167">
        <f>IFERROR(_xlfn.XLOOKUP($A76,Input_Raw!$A:$A,Input_Raw!$BO:$BO),"")</f>
        <v>70.2</v>
      </c>
      <c r="AC76" s="176">
        <f>IFERROR(_xlfn.XLOOKUP($D76,'Modelling New'!$D:$D,'Modelling New'!$J:$J),"")</f>
        <v>7.15</v>
      </c>
      <c r="AD76" s="166">
        <f>IFERROR(_xlfn.XLOOKUP($D76,'Modelling New'!$D:$D,'Modelling New'!$T:$T)*1000,"")</f>
        <v>801613.2743645322</v>
      </c>
      <c r="AE76" s="174"/>
      <c r="AF76" s="174">
        <f>IFERROR(_xlfn.XLOOKUP($D76,'Modelling New'!$D:$D,'Modelling New'!$W:$W),"")</f>
        <v>0.47579135467980305</v>
      </c>
      <c r="AG76" s="174">
        <f>IFERROR(_xlfn.XLOOKUP($D76,'Modelling New'!$D:$D,'Modelling New'!$AE:$AE),"")</f>
        <v>0.96029999999999993</v>
      </c>
      <c r="AH76" s="174">
        <f>IFERROR(_xlfn.XLOOKUP($D76,'Modelling New'!$D:$D,'Modelling New'!$AF:$AF),"")</f>
        <v>0.995</v>
      </c>
      <c r="AI76" s="177">
        <f>IFERROR(_xlfn.XLOOKUP($A76,Input_Raw!$A:$A,Input_Raw!$BQ:$BQ),"")</f>
        <v>911.21</v>
      </c>
      <c r="AJ76" s="167"/>
      <c r="AK76" s="167"/>
      <c r="AL76" s="167"/>
      <c r="AM76" s="167"/>
      <c r="AN76" s="175">
        <f>IFERROR(_xlfn.XLOOKUP($A76,Input_Raw!$A:$A,Input_Raw!$BN:$BN),"")</f>
        <v>3.2019273937345993E-2</v>
      </c>
      <c r="AO76" s="174">
        <f>IFERROR((_xlfn.XLOOKUP($A76,'WTG Reactive Power'!$A:$A,'WTG Reactive Power'!$AE:$AE))/Table13[[#This Row],[Gen_Exp (kWh)]],"")</f>
        <v>1.233737615364316E-2</v>
      </c>
      <c r="AP76" s="174">
        <f>IFERROR(_xlfn.XLOOKUP($D76,'Modelling New'!$D:$D,'Modelling New'!$AK:$AK),"")</f>
        <v>0.05</v>
      </c>
      <c r="AQ76" s="174">
        <f>IFERROR(_xlfn.XLOOKUP($D76,'Modelling New'!$D:$D,'Modelling New'!$AL:$AL),"")</f>
        <v>0.05</v>
      </c>
      <c r="AR76" s="276">
        <f>IFERROR(_xlfn.XLOOKUP($D76,'Modelling New'!$D:$D,'Modelling New'!$N:$N),"")</f>
        <v>70.2</v>
      </c>
      <c r="AS76" s="276"/>
    </row>
    <row r="77" spans="1:45">
      <c r="A77" s="165">
        <f t="shared" si="7"/>
        <v>45820</v>
      </c>
      <c r="B77" s="166">
        <f>YEAR(Table13[[#This Row],[Date]])+IF(MONTH(Table13[[#This Row],[Date]])&gt;=4,1,0)</f>
        <v>2026</v>
      </c>
      <c r="C77" s="167">
        <f>YEAR(Table13[[#This Row],[Date]])</f>
        <v>2025</v>
      </c>
      <c r="D77" s="168">
        <f>Table13[[#This Row],[Date]]-DAY(Table13[[#This Row],[Date]])+1</f>
        <v>45809</v>
      </c>
      <c r="E77" s="167">
        <f t="shared" si="4"/>
        <v>30</v>
      </c>
      <c r="F77" s="169"/>
      <c r="G77" s="176"/>
      <c r="H77" s="176"/>
      <c r="I77" s="176"/>
      <c r="J77" s="176"/>
      <c r="K77" s="171"/>
      <c r="L77" s="170"/>
      <c r="M77" s="170">
        <f>IFERROR(_xlfn.XLOOKUP($A77,Input_Raw!$A:$A,Input_Raw!BG:BG),"")</f>
        <v>7.6640865436603827</v>
      </c>
      <c r="N77" s="170">
        <f>IFERROR(_xlfn.XLOOKUP($A77,Input_Raw!$A:$A,Input_Raw!BH:BH),"")</f>
        <v>0</v>
      </c>
      <c r="O77" s="173">
        <f t="shared" si="5"/>
        <v>0.99747816624688823</v>
      </c>
      <c r="P77" s="173">
        <f>IFERROR(1-SUMIF(WTG_BD!$F:$F,$A77,WTG_BD!$AA:$AA)/($AA77+SUMIF(WTG_BD!$F:$F,$A77,WTG_BD!$AA:$AA)),"")</f>
        <v>0.99747816624688823</v>
      </c>
      <c r="Q77" s="173">
        <f>IFERROR(1-SUMIF(IGA_BD!$F:$F,$A77,IGA_BD!$X:$X)/($AA77+SUMIF(IGA_BD!$F:$F,$A77,IGA_BD!$X:$X)),"")</f>
        <v>1</v>
      </c>
      <c r="R77" s="173">
        <f>IFERROR(1-SUMIF(Grid_BD!$F:$F,$A77,Grid_BD!$Y:$Y)/($AA77+SUMIF(Grid_BD!$F:$F,$A77,Grid_BD!$Y:$Y)),"")</f>
        <v>1</v>
      </c>
      <c r="S77" s="167"/>
      <c r="T77" s="172"/>
      <c r="U77" s="173"/>
      <c r="V77" s="167"/>
      <c r="W77" s="174">
        <f t="shared" si="6"/>
        <v>0.53659188034188032</v>
      </c>
      <c r="X77" s="167">
        <f>IFERROR(_xlfn.XLOOKUP($A77,Input_Raw!$A:$A,Input_Raw!$BF:$BF),"")</f>
        <v>934724</v>
      </c>
      <c r="Y77" s="167">
        <f>IFERROR(_xlfn.XLOOKUP($A77,Input_Raw!$A:$A,Input_Raw!BJ:BJ),"")</f>
        <v>904050</v>
      </c>
      <c r="Z77" s="167">
        <f>IFERROR(_xlfn.XLOOKUP($A77,Input_Raw!$A:$A,Input_Raw!BK:BK),"")</f>
        <v>0</v>
      </c>
      <c r="AA77" s="167">
        <f>IFERROR(_xlfn.XLOOKUP($A77,Input_Raw!$A:$A,Input_Raw!BL:BL),"")</f>
        <v>904050</v>
      </c>
      <c r="AB77" s="167">
        <f>IFERROR(_xlfn.XLOOKUP($A77,Input_Raw!$A:$A,Input_Raw!$BO:$BO),"")</f>
        <v>70.2</v>
      </c>
      <c r="AC77" s="176">
        <f>IFERROR(_xlfn.XLOOKUP($D77,'Modelling New'!$D:$D,'Modelling New'!$J:$J),"")</f>
        <v>7.15</v>
      </c>
      <c r="AD77" s="166">
        <f>IFERROR(_xlfn.XLOOKUP($D77,'Modelling New'!$D:$D,'Modelling New'!$T:$T)*1000,"")</f>
        <v>801613.2743645322</v>
      </c>
      <c r="AE77" s="174"/>
      <c r="AF77" s="174">
        <f>IFERROR(_xlfn.XLOOKUP($D77,'Modelling New'!$D:$D,'Modelling New'!$W:$W),"")</f>
        <v>0.47579135467980305</v>
      </c>
      <c r="AG77" s="174">
        <f>IFERROR(_xlfn.XLOOKUP($D77,'Modelling New'!$D:$D,'Modelling New'!$AE:$AE),"")</f>
        <v>0.96029999999999993</v>
      </c>
      <c r="AH77" s="174">
        <f>IFERROR(_xlfn.XLOOKUP($D77,'Modelling New'!$D:$D,'Modelling New'!$AF:$AF),"")</f>
        <v>0.995</v>
      </c>
      <c r="AI77" s="177">
        <f>IFERROR(_xlfn.XLOOKUP($A77,Input_Raw!$A:$A,Input_Raw!$BQ:$BQ),"")</f>
        <v>956.64</v>
      </c>
      <c r="AJ77" s="167"/>
      <c r="AK77" s="167"/>
      <c r="AL77" s="167"/>
      <c r="AM77" s="167"/>
      <c r="AN77" s="175">
        <f>IFERROR(_xlfn.XLOOKUP($A77,Input_Raw!$A:$A,Input_Raw!$BN:$BN),"")</f>
        <v>3.2816104005032501E-2</v>
      </c>
      <c r="AO77" s="174">
        <f>IFERROR((_xlfn.XLOOKUP($A77,'WTG Reactive Power'!$A:$A,'WTG Reactive Power'!$AE:$AE))/Table13[[#This Row],[Gen_Exp (kWh)]],"")</f>
        <v>2.8883820250683624E-3</v>
      </c>
      <c r="AP77" s="174">
        <f>IFERROR(_xlfn.XLOOKUP($D77,'Modelling New'!$D:$D,'Modelling New'!$AK:$AK),"")</f>
        <v>0.05</v>
      </c>
      <c r="AQ77" s="174">
        <f>IFERROR(_xlfn.XLOOKUP($D77,'Modelling New'!$D:$D,'Modelling New'!$AL:$AL),"")</f>
        <v>0.05</v>
      </c>
      <c r="AR77" s="276">
        <f>IFERROR(_xlfn.XLOOKUP($D77,'Modelling New'!$D:$D,'Modelling New'!$N:$N),"")</f>
        <v>70.2</v>
      </c>
      <c r="AS77" s="276"/>
    </row>
    <row r="78" spans="1:45">
      <c r="A78" s="165">
        <f t="shared" si="7"/>
        <v>45821</v>
      </c>
      <c r="B78" s="166">
        <f>YEAR(Table13[[#This Row],[Date]])+IF(MONTH(Table13[[#This Row],[Date]])&gt;=4,1,0)</f>
        <v>2026</v>
      </c>
      <c r="C78" s="167">
        <f>YEAR(Table13[[#This Row],[Date]])</f>
        <v>2025</v>
      </c>
      <c r="D78" s="168">
        <f>Table13[[#This Row],[Date]]-DAY(Table13[[#This Row],[Date]])+1</f>
        <v>45809</v>
      </c>
      <c r="E78" s="167">
        <f t="shared" si="4"/>
        <v>30</v>
      </c>
      <c r="F78" s="169"/>
      <c r="G78" s="170"/>
      <c r="H78" s="170"/>
      <c r="I78" s="170"/>
      <c r="J78" s="170"/>
      <c r="K78" s="171"/>
      <c r="L78" s="170"/>
      <c r="M78" s="170">
        <f>IFERROR(_xlfn.XLOOKUP($A78,Input_Raw!$A:$A,Input_Raw!BG:BG),"")</f>
        <v>7.5996287966400979</v>
      </c>
      <c r="N78" s="170">
        <f>IFERROR(_xlfn.XLOOKUP($A78,Input_Raw!$A:$A,Input_Raw!BH:BH),"")</f>
        <v>0</v>
      </c>
      <c r="O78" s="173">
        <f t="shared" si="5"/>
        <v>0.99270273123350272</v>
      </c>
      <c r="P78" s="173">
        <f>IFERROR(1-SUMIF(WTG_BD!$F:$F,$A78,WTG_BD!$AA:$AA)/($AA78+SUMIF(WTG_BD!$F:$F,$A78,WTG_BD!$AA:$AA)),"")</f>
        <v>0.99270273123350272</v>
      </c>
      <c r="Q78" s="173">
        <f>IFERROR(1-SUMIF(IGA_BD!$F:$F,$A78,IGA_BD!$X:$X)/($AA78+SUMIF(IGA_BD!$F:$F,$A78,IGA_BD!$X:$X)),"")</f>
        <v>1</v>
      </c>
      <c r="R78" s="173">
        <f>IFERROR(1-SUMIF(Grid_BD!$F:$F,$A78,Grid_BD!$Y:$Y)/($AA78+SUMIF(Grid_BD!$F:$F,$A78,Grid_BD!$Y:$Y)),"")</f>
        <v>1</v>
      </c>
      <c r="S78" s="167"/>
      <c r="T78" s="172"/>
      <c r="U78" s="173"/>
      <c r="V78" s="167"/>
      <c r="W78" s="174">
        <f t="shared" si="6"/>
        <v>0.54460470085470081</v>
      </c>
      <c r="X78" s="167">
        <f>IFERROR(_xlfn.XLOOKUP($A78,Input_Raw!$A:$A,Input_Raw!$BF:$BF),"")</f>
        <v>924705</v>
      </c>
      <c r="Y78" s="167">
        <f>IFERROR(_xlfn.XLOOKUP($A78,Input_Raw!$A:$A,Input_Raw!BJ:BJ),"")</f>
        <v>917550</v>
      </c>
      <c r="Z78" s="167">
        <f>IFERROR(_xlfn.XLOOKUP($A78,Input_Raw!$A:$A,Input_Raw!BK:BK),"")</f>
        <v>0</v>
      </c>
      <c r="AA78" s="167">
        <f>IFERROR(_xlfn.XLOOKUP($A78,Input_Raw!$A:$A,Input_Raw!BL:BL),"")</f>
        <v>917550</v>
      </c>
      <c r="AB78" s="167">
        <f>IFERROR(_xlfn.XLOOKUP($A78,Input_Raw!$A:$A,Input_Raw!$BO:$BO),"")</f>
        <v>70.2</v>
      </c>
      <c r="AC78" s="176">
        <f>IFERROR(_xlfn.XLOOKUP($D78,'Modelling New'!$D:$D,'Modelling New'!$J:$J),"")</f>
        <v>7.15</v>
      </c>
      <c r="AD78" s="166">
        <f>IFERROR(_xlfn.XLOOKUP($D78,'Modelling New'!$D:$D,'Modelling New'!$T:$T)*1000,"")</f>
        <v>801613.2743645322</v>
      </c>
      <c r="AE78" s="174"/>
      <c r="AF78" s="174">
        <f>IFERROR(_xlfn.XLOOKUP($D78,'Modelling New'!$D:$D,'Modelling New'!$W:$W),"")</f>
        <v>0.47579135467980305</v>
      </c>
      <c r="AG78" s="174">
        <f>IFERROR(_xlfn.XLOOKUP($D78,'Modelling New'!$D:$D,'Modelling New'!$AE:$AE),"")</f>
        <v>0.96029999999999993</v>
      </c>
      <c r="AH78" s="174">
        <f>IFERROR(_xlfn.XLOOKUP($D78,'Modelling New'!$D:$D,'Modelling New'!$AF:$AF),"")</f>
        <v>0.995</v>
      </c>
      <c r="AI78" s="177">
        <f>IFERROR(_xlfn.XLOOKUP($A78,Input_Raw!$A:$A,Input_Raw!$BQ:$BQ),"")</f>
        <v>974.61</v>
      </c>
      <c r="AJ78" s="167"/>
      <c r="AK78" s="167"/>
      <c r="AL78" s="167"/>
      <c r="AM78" s="167"/>
      <c r="AN78" s="175">
        <f>IFERROR(_xlfn.XLOOKUP($A78,Input_Raw!$A:$A,Input_Raw!$BN:$BN),"")</f>
        <v>7.73760280305611E-3</v>
      </c>
      <c r="AO78" s="174">
        <f>IFERROR((_xlfn.XLOOKUP($A78,'WTG Reactive Power'!$A:$A,'WTG Reactive Power'!$AE:$AE))/Table13[[#This Row],[Gen_Exp (kWh)]],"")</f>
        <v>2.4329705149209752E-3</v>
      </c>
      <c r="AP78" s="174">
        <f>IFERROR(_xlfn.XLOOKUP($D78,'Modelling New'!$D:$D,'Modelling New'!$AK:$AK),"")</f>
        <v>0.05</v>
      </c>
      <c r="AQ78" s="174">
        <f>IFERROR(_xlfn.XLOOKUP($D78,'Modelling New'!$D:$D,'Modelling New'!$AL:$AL),"")</f>
        <v>0.05</v>
      </c>
      <c r="AR78" s="276">
        <f>IFERROR(_xlfn.XLOOKUP($D78,'Modelling New'!$D:$D,'Modelling New'!$N:$N),"")</f>
        <v>70.2</v>
      </c>
      <c r="AS78" s="276"/>
    </row>
    <row r="79" spans="1:45">
      <c r="A79" s="165">
        <f t="shared" si="7"/>
        <v>45822</v>
      </c>
      <c r="B79" s="166">
        <f>YEAR(Table13[[#This Row],[Date]])+IF(MONTH(Table13[[#This Row],[Date]])&gt;=4,1,0)</f>
        <v>2026</v>
      </c>
      <c r="C79" s="167">
        <f>YEAR(Table13[[#This Row],[Date]])</f>
        <v>2025</v>
      </c>
      <c r="D79" s="168">
        <f>Table13[[#This Row],[Date]]-DAY(Table13[[#This Row],[Date]])+1</f>
        <v>45809</v>
      </c>
      <c r="E79" s="167">
        <f t="shared" si="4"/>
        <v>30</v>
      </c>
      <c r="F79" s="169"/>
      <c r="G79" s="176"/>
      <c r="H79" s="176"/>
      <c r="I79" s="176"/>
      <c r="J79" s="176"/>
      <c r="K79" s="171"/>
      <c r="L79" s="170"/>
      <c r="M79" s="170">
        <f>IFERROR(_xlfn.XLOOKUP($A79,Input_Raw!$A:$A,Input_Raw!BG:BG),"")</f>
        <v>5.4571030507578548</v>
      </c>
      <c r="N79" s="170">
        <f>IFERROR(_xlfn.XLOOKUP($A79,Input_Raw!$A:$A,Input_Raw!BH:BH),"")</f>
        <v>0</v>
      </c>
      <c r="O79" s="173">
        <f t="shared" si="5"/>
        <v>0.94979626756093294</v>
      </c>
      <c r="P79" s="173">
        <f>IFERROR(1-SUMIF(WTG_BD!$F:$F,$A79,WTG_BD!$AA:$AA)/($AA79+SUMIF(WTG_BD!$F:$F,$A79,WTG_BD!$AA:$AA)),"")</f>
        <v>0.97878070463357159</v>
      </c>
      <c r="Q79" s="173">
        <f>IFERROR(1-SUMIF(IGA_BD!$F:$F,$A79,IGA_BD!$X:$X)/($AA79+SUMIF(IGA_BD!$F:$F,$A79,IGA_BD!$X:$X)),"")</f>
        <v>0.97038720018138325</v>
      </c>
      <c r="R79" s="173">
        <f>IFERROR(1-SUMIF(Grid_BD!$F:$F,$A79,Grid_BD!$Y:$Y)/($AA79+SUMIF(Grid_BD!$F:$F,$A79,Grid_BD!$Y:$Y)),"")</f>
        <v>1</v>
      </c>
      <c r="S79" s="167"/>
      <c r="T79" s="172"/>
      <c r="U79" s="173"/>
      <c r="V79" s="167"/>
      <c r="W79" s="174">
        <f t="shared" si="6"/>
        <v>0.25454059829059827</v>
      </c>
      <c r="X79" s="167">
        <f>IFERROR(_xlfn.XLOOKUP($A79,Input_Raw!$A:$A,Input_Raw!$BF:$BF),"")</f>
        <v>463367</v>
      </c>
      <c r="Y79" s="167">
        <f>IFERROR(_xlfn.XLOOKUP($A79,Input_Raw!$A:$A,Input_Raw!BJ:BJ),"")</f>
        <v>429300</v>
      </c>
      <c r="Z79" s="167">
        <f>IFERROR(_xlfn.XLOOKUP($A79,Input_Raw!$A:$A,Input_Raw!BK:BK),"")</f>
        <v>450</v>
      </c>
      <c r="AA79" s="167">
        <f>IFERROR(_xlfn.XLOOKUP($A79,Input_Raw!$A:$A,Input_Raw!BL:BL),"")</f>
        <v>428850</v>
      </c>
      <c r="AB79" s="167">
        <f>IFERROR(_xlfn.XLOOKUP($A79,Input_Raw!$A:$A,Input_Raw!$BO:$BO),"")</f>
        <v>70.2</v>
      </c>
      <c r="AC79" s="176">
        <f>IFERROR(_xlfn.XLOOKUP($D79,'Modelling New'!$D:$D,'Modelling New'!$J:$J),"")</f>
        <v>7.15</v>
      </c>
      <c r="AD79" s="166">
        <f>IFERROR(_xlfn.XLOOKUP($D79,'Modelling New'!$D:$D,'Modelling New'!$T:$T)*1000,"")</f>
        <v>801613.2743645322</v>
      </c>
      <c r="AE79" s="174"/>
      <c r="AF79" s="174">
        <f>IFERROR(_xlfn.XLOOKUP($D79,'Modelling New'!$D:$D,'Modelling New'!$W:$W),"")</f>
        <v>0.47579135467980305</v>
      </c>
      <c r="AG79" s="174">
        <f>IFERROR(_xlfn.XLOOKUP($D79,'Modelling New'!$D:$D,'Modelling New'!$AE:$AE),"")</f>
        <v>0.96029999999999993</v>
      </c>
      <c r="AH79" s="174">
        <f>IFERROR(_xlfn.XLOOKUP($D79,'Modelling New'!$D:$D,'Modelling New'!$AF:$AF),"")</f>
        <v>0.995</v>
      </c>
      <c r="AI79" s="177">
        <f>IFERROR(_xlfn.XLOOKUP($A79,Input_Raw!$A:$A,Input_Raw!$BQ:$BQ),"")</f>
        <v>487.83</v>
      </c>
      <c r="AJ79" s="167"/>
      <c r="AK79" s="167"/>
      <c r="AL79" s="167"/>
      <c r="AM79" s="167"/>
      <c r="AN79" s="175">
        <f>IFERROR(_xlfn.XLOOKUP($A79,Input_Raw!$A:$A,Input_Raw!$BN:$BN),"")</f>
        <v>7.3520557139373333E-2</v>
      </c>
      <c r="AO79" s="174">
        <f>IFERROR((_xlfn.XLOOKUP($A79,'WTG Reactive Power'!$A:$A,'WTG Reactive Power'!$AE:$AE))/Table13[[#This Row],[Gen_Exp (kWh)]],"")</f>
        <v>3.8845666609836271E-3</v>
      </c>
      <c r="AP79" s="174">
        <f>IFERROR(_xlfn.XLOOKUP($D79,'Modelling New'!$D:$D,'Modelling New'!$AK:$AK),"")</f>
        <v>0.05</v>
      </c>
      <c r="AQ79" s="174">
        <f>IFERROR(_xlfn.XLOOKUP($D79,'Modelling New'!$D:$D,'Modelling New'!$AL:$AL),"")</f>
        <v>0.05</v>
      </c>
      <c r="AR79" s="276">
        <f>IFERROR(_xlfn.XLOOKUP($D79,'Modelling New'!$D:$D,'Modelling New'!$N:$N),"")</f>
        <v>70.2</v>
      </c>
      <c r="AS79" s="276"/>
    </row>
    <row r="80" spans="1:45">
      <c r="A80" s="165">
        <f t="shared" si="7"/>
        <v>45823</v>
      </c>
      <c r="B80" s="166">
        <f>YEAR(Table13[[#This Row],[Date]])+IF(MONTH(Table13[[#This Row],[Date]])&gt;=4,1,0)</f>
        <v>2026</v>
      </c>
      <c r="C80" s="167">
        <f>YEAR(Table13[[#This Row],[Date]])</f>
        <v>2025</v>
      </c>
      <c r="D80" s="168">
        <f>Table13[[#This Row],[Date]]-DAY(Table13[[#This Row],[Date]])+1</f>
        <v>45809</v>
      </c>
      <c r="E80" s="167">
        <f t="shared" si="4"/>
        <v>30</v>
      </c>
      <c r="F80" s="169"/>
      <c r="G80" s="170"/>
      <c r="H80" s="170"/>
      <c r="I80" s="170"/>
      <c r="J80" s="170"/>
      <c r="K80" s="171"/>
      <c r="L80" s="170"/>
      <c r="M80" s="170">
        <f>IFERROR(_xlfn.XLOOKUP($A80,Input_Raw!$A:$A,Input_Raw!BG:BG),"")</f>
        <v>3.5274332281297589</v>
      </c>
      <c r="N80" s="170">
        <f>IFERROR(_xlfn.XLOOKUP($A80,Input_Raw!$A:$A,Input_Raw!BH:BH),"")</f>
        <v>0</v>
      </c>
      <c r="O80" s="173">
        <f t="shared" si="5"/>
        <v>0.99931478892712311</v>
      </c>
      <c r="P80" s="173">
        <f>IFERROR(1-SUMIF(WTG_BD!$F:$F,$A80,WTG_BD!$AA:$AA)/($AA80+SUMIF(WTG_BD!$F:$F,$A80,WTG_BD!$AA:$AA)),"")</f>
        <v>0.99931478892712311</v>
      </c>
      <c r="Q80" s="173">
        <f>IFERROR(1-SUMIF(IGA_BD!$F:$F,$A80,IGA_BD!$X:$X)/($AA80+SUMIF(IGA_BD!$F:$F,$A80,IGA_BD!$X:$X)),"")</f>
        <v>1</v>
      </c>
      <c r="R80" s="173">
        <f>IFERROR(1-SUMIF(Grid_BD!$F:$F,$A80,Grid_BD!$Y:$Y)/($AA80+SUMIF(Grid_BD!$F:$F,$A80,Grid_BD!$Y:$Y)),"")</f>
        <v>1</v>
      </c>
      <c r="S80" s="167"/>
      <c r="T80" s="172"/>
      <c r="U80" s="173"/>
      <c r="V80" s="167"/>
      <c r="W80" s="174">
        <f t="shared" si="6"/>
        <v>9.5619658119658113E-2</v>
      </c>
      <c r="X80" s="167">
        <f>IFERROR(_xlfn.XLOOKUP($A80,Input_Raw!$A:$A,Input_Raw!$BF:$BF),"")</f>
        <v>169966</v>
      </c>
      <c r="Y80" s="167">
        <f>IFERROR(_xlfn.XLOOKUP($A80,Input_Raw!$A:$A,Input_Raw!BJ:BJ),"")</f>
        <v>162900</v>
      </c>
      <c r="Z80" s="167">
        <f>IFERROR(_xlfn.XLOOKUP($A80,Input_Raw!$A:$A,Input_Raw!BK:BK),"")</f>
        <v>1800</v>
      </c>
      <c r="AA80" s="167">
        <f>IFERROR(_xlfn.XLOOKUP($A80,Input_Raw!$A:$A,Input_Raw!BL:BL),"")</f>
        <v>161100</v>
      </c>
      <c r="AB80" s="167">
        <f>IFERROR(_xlfn.XLOOKUP($A80,Input_Raw!$A:$A,Input_Raw!$BO:$BO),"")</f>
        <v>70.2</v>
      </c>
      <c r="AC80" s="176">
        <f>IFERROR(_xlfn.XLOOKUP($D80,'Modelling New'!$D:$D,'Modelling New'!$J:$J),"")</f>
        <v>7.15</v>
      </c>
      <c r="AD80" s="166">
        <f>IFERROR(_xlfn.XLOOKUP($D80,'Modelling New'!$D:$D,'Modelling New'!$T:$T)*1000,"")</f>
        <v>801613.2743645322</v>
      </c>
      <c r="AE80" s="174"/>
      <c r="AF80" s="174">
        <f>IFERROR(_xlfn.XLOOKUP($D80,'Modelling New'!$D:$D,'Modelling New'!$W:$W),"")</f>
        <v>0.47579135467980305</v>
      </c>
      <c r="AG80" s="174">
        <f>IFERROR(_xlfn.XLOOKUP($D80,'Modelling New'!$D:$D,'Modelling New'!$AE:$AE),"")</f>
        <v>0.96029999999999993</v>
      </c>
      <c r="AH80" s="174">
        <f>IFERROR(_xlfn.XLOOKUP($D80,'Modelling New'!$D:$D,'Modelling New'!$AF:$AF),"")</f>
        <v>0.995</v>
      </c>
      <c r="AI80" s="177">
        <f>IFERROR(_xlfn.XLOOKUP($A80,Input_Raw!$A:$A,Input_Raw!$BQ:$BQ),"")</f>
        <v>170.73</v>
      </c>
      <c r="AJ80" s="167"/>
      <c r="AK80" s="167"/>
      <c r="AL80" s="167"/>
      <c r="AM80" s="167"/>
      <c r="AN80" s="175">
        <f>IFERROR(_xlfn.XLOOKUP($A80,Input_Raw!$A:$A,Input_Raw!$BN:$BN),"")</f>
        <v>4.157302048645023E-2</v>
      </c>
      <c r="AO80" s="174">
        <f>IFERROR((_xlfn.XLOOKUP($A80,'WTG Reactive Power'!$A:$A,'WTG Reactive Power'!$AE:$AE))/Table13[[#This Row],[Gen_Exp (kWh)]],"")</f>
        <v>5.2943529882447096E-3</v>
      </c>
      <c r="AP80" s="174">
        <f>IFERROR(_xlfn.XLOOKUP($D80,'Modelling New'!$D:$D,'Modelling New'!$AK:$AK),"")</f>
        <v>0.05</v>
      </c>
      <c r="AQ80" s="174">
        <f>IFERROR(_xlfn.XLOOKUP($D80,'Modelling New'!$D:$D,'Modelling New'!$AL:$AL),"")</f>
        <v>0.05</v>
      </c>
      <c r="AR80" s="276">
        <f>IFERROR(_xlfn.XLOOKUP($D80,'Modelling New'!$D:$D,'Modelling New'!$N:$N),"")</f>
        <v>70.2</v>
      </c>
      <c r="AS80" s="276"/>
    </row>
    <row r="81" spans="1:45">
      <c r="A81" s="165">
        <f t="shared" si="7"/>
        <v>45824</v>
      </c>
      <c r="B81" s="166">
        <f>YEAR(Table13[[#This Row],[Date]])+IF(MONTH(Table13[[#This Row],[Date]])&gt;=4,1,0)</f>
        <v>2026</v>
      </c>
      <c r="C81" s="167">
        <f>YEAR(Table13[[#This Row],[Date]])</f>
        <v>2025</v>
      </c>
      <c r="D81" s="168">
        <f>Table13[[#This Row],[Date]]-DAY(Table13[[#This Row],[Date]])+1</f>
        <v>45809</v>
      </c>
      <c r="E81" s="167">
        <f t="shared" si="4"/>
        <v>30</v>
      </c>
      <c r="F81" s="169"/>
      <c r="G81" s="176"/>
      <c r="H81" s="176"/>
      <c r="I81" s="176"/>
      <c r="J81" s="176"/>
      <c r="K81" s="171"/>
      <c r="L81" s="170"/>
      <c r="M81" s="170">
        <f>IFERROR(_xlfn.XLOOKUP($A81,Input_Raw!$A:$A,Input_Raw!BG:BG),"")</f>
        <v>8.2050000000000001</v>
      </c>
      <c r="N81" s="170">
        <f>IFERROR(_xlfn.XLOOKUP($A81,Input_Raw!$A:$A,Input_Raw!BH:BH),"")</f>
        <v>0</v>
      </c>
      <c r="O81" s="173">
        <f t="shared" si="5"/>
        <v>0.90728981079501669</v>
      </c>
      <c r="P81" s="173">
        <f>IFERROR(1-SUMIF(WTG_BD!$F:$F,$A81,WTG_BD!$AA:$AA)/($AA81+SUMIF(WTG_BD!$F:$F,$A81,WTG_BD!$AA:$AA)),"")</f>
        <v>0.96676214829263629</v>
      </c>
      <c r="Q81" s="173">
        <f>IFERROR(1-SUMIF(IGA_BD!$F:$F,$A81,IGA_BD!$X:$X)/($AA81+SUMIF(IGA_BD!$F:$F,$A81,IGA_BD!$X:$X)),"")</f>
        <v>0.93848296853300317</v>
      </c>
      <c r="R81" s="173">
        <f>IFERROR(1-SUMIF(Grid_BD!$F:$F,$A81,Grid_BD!$Y:$Y)/($AA81+SUMIF(Grid_BD!$F:$F,$A81,Grid_BD!$Y:$Y)),"")</f>
        <v>1</v>
      </c>
      <c r="S81" s="167"/>
      <c r="T81" s="172"/>
      <c r="U81" s="173"/>
      <c r="V81" s="167"/>
      <c r="W81" s="174">
        <f t="shared" si="6"/>
        <v>0.53365384615384603</v>
      </c>
      <c r="X81" s="167">
        <f>IFERROR(_xlfn.XLOOKUP($A81,Input_Raw!$A:$A,Input_Raw!$BF:$BF),"")</f>
        <v>924330</v>
      </c>
      <c r="Y81" s="167">
        <f>IFERROR(_xlfn.XLOOKUP($A81,Input_Raw!$A:$A,Input_Raw!BJ:BJ),"")</f>
        <v>899100</v>
      </c>
      <c r="Z81" s="167">
        <f>IFERROR(_xlfn.XLOOKUP($A81,Input_Raw!$A:$A,Input_Raw!BK:BK),"")</f>
        <v>0</v>
      </c>
      <c r="AA81" s="167">
        <f>IFERROR(_xlfn.XLOOKUP($A81,Input_Raw!$A:$A,Input_Raw!BL:BL),"")</f>
        <v>899100</v>
      </c>
      <c r="AB81" s="167">
        <f>IFERROR(_xlfn.XLOOKUP($A81,Input_Raw!$A:$A,Input_Raw!$BO:$BO),"")</f>
        <v>70.2</v>
      </c>
      <c r="AC81" s="176">
        <f>IFERROR(_xlfn.XLOOKUP($D81,'Modelling New'!$D:$D,'Modelling New'!$J:$J),"")</f>
        <v>7.15</v>
      </c>
      <c r="AD81" s="166">
        <f>IFERROR(_xlfn.XLOOKUP($D81,'Modelling New'!$D:$D,'Modelling New'!$T:$T)*1000,"")</f>
        <v>801613.2743645322</v>
      </c>
      <c r="AE81" s="174"/>
      <c r="AF81" s="174">
        <f>IFERROR(_xlfn.XLOOKUP($D81,'Modelling New'!$D:$D,'Modelling New'!$W:$W),"")</f>
        <v>0.47579135467980305</v>
      </c>
      <c r="AG81" s="174">
        <f>IFERROR(_xlfn.XLOOKUP($D81,'Modelling New'!$D:$D,'Modelling New'!$AE:$AE),"")</f>
        <v>0.96029999999999993</v>
      </c>
      <c r="AH81" s="174">
        <f>IFERROR(_xlfn.XLOOKUP($D81,'Modelling New'!$D:$D,'Modelling New'!$AF:$AF),"")</f>
        <v>0.995</v>
      </c>
      <c r="AI81" s="177">
        <f>IFERROR(_xlfn.XLOOKUP($A81,Input_Raw!$A:$A,Input_Raw!$BQ:$BQ),"")</f>
        <v>988.32</v>
      </c>
      <c r="AJ81" s="167"/>
      <c r="AK81" s="167"/>
      <c r="AL81" s="167"/>
      <c r="AM81" s="167"/>
      <c r="AN81" s="175">
        <f>IFERROR(_xlfn.XLOOKUP($A81,Input_Raw!$A:$A,Input_Raw!$BN:$BN),"")</f>
        <v>2.7295446431469281E-2</v>
      </c>
      <c r="AO81" s="174">
        <f>IFERROR((_xlfn.XLOOKUP($A81,'WTG Reactive Power'!$A:$A,'WTG Reactive Power'!$AE:$AE))/Table13[[#This Row],[Gen_Exp (kWh)]],"")</f>
        <v>2.3854921943461747E-2</v>
      </c>
      <c r="AP81" s="174">
        <f>IFERROR(_xlfn.XLOOKUP($D81,'Modelling New'!$D:$D,'Modelling New'!$AK:$AK),"")</f>
        <v>0.05</v>
      </c>
      <c r="AQ81" s="174">
        <f>IFERROR(_xlfn.XLOOKUP($D81,'Modelling New'!$D:$D,'Modelling New'!$AL:$AL),"")</f>
        <v>0.05</v>
      </c>
      <c r="AR81" s="276">
        <f>IFERROR(_xlfn.XLOOKUP($D81,'Modelling New'!$D:$D,'Modelling New'!$N:$N),"")</f>
        <v>70.2</v>
      </c>
      <c r="AS81" s="276"/>
    </row>
    <row r="82" spans="1:45">
      <c r="A82" s="165">
        <f t="shared" si="7"/>
        <v>45825</v>
      </c>
      <c r="B82" s="166">
        <f>YEAR(Table13[[#This Row],[Date]])+IF(MONTH(Table13[[#This Row],[Date]])&gt;=4,1,0)</f>
        <v>2026</v>
      </c>
      <c r="C82" s="167">
        <f>YEAR(Table13[[#This Row],[Date]])</f>
        <v>2025</v>
      </c>
      <c r="D82" s="168">
        <f>Table13[[#This Row],[Date]]-DAY(Table13[[#This Row],[Date]])+1</f>
        <v>45809</v>
      </c>
      <c r="E82" s="167">
        <f t="shared" si="4"/>
        <v>30</v>
      </c>
      <c r="F82" s="169"/>
      <c r="G82" s="170"/>
      <c r="H82" s="170"/>
      <c r="I82" s="170"/>
      <c r="J82" s="170"/>
      <c r="K82" s="171"/>
      <c r="L82" s="170"/>
      <c r="M82" s="170">
        <f>IFERROR(_xlfn.XLOOKUP($A82,Input_Raw!$A:$A,Input_Raw!BG:BG),"")</f>
        <v>7.8157692307692308</v>
      </c>
      <c r="N82" s="170">
        <f>IFERROR(_xlfn.XLOOKUP($A82,Input_Raw!$A:$A,Input_Raw!BH:BH),"")</f>
        <v>0</v>
      </c>
      <c r="O82" s="173">
        <f t="shared" si="5"/>
        <v>0.95676698511849434</v>
      </c>
      <c r="P82" s="173">
        <f>IFERROR(1-SUMIF(WTG_BD!$F:$F,$A82,WTG_BD!$AA:$AA)/($AA82+SUMIF(WTG_BD!$F:$F,$A82,WTG_BD!$AA:$AA)),"")</f>
        <v>0.95676698511849434</v>
      </c>
      <c r="Q82" s="173">
        <f>IFERROR(1-SUMIF(IGA_BD!$F:$F,$A82,IGA_BD!$X:$X)/($AA82+SUMIF(IGA_BD!$F:$F,$A82,IGA_BD!$X:$X)),"")</f>
        <v>1</v>
      </c>
      <c r="R82" s="173">
        <f>IFERROR(1-SUMIF(Grid_BD!$F:$F,$A82,Grid_BD!$Y:$Y)/($AA82+SUMIF(Grid_BD!$F:$F,$A82,Grid_BD!$Y:$Y)),"")</f>
        <v>1</v>
      </c>
      <c r="S82" s="167"/>
      <c r="T82" s="172"/>
      <c r="U82" s="173"/>
      <c r="V82" s="167"/>
      <c r="W82" s="174">
        <f t="shared" si="6"/>
        <v>0.54540598290598286</v>
      </c>
      <c r="X82" s="167">
        <f>IFERROR(_xlfn.XLOOKUP($A82,Input_Raw!$A:$A,Input_Raw!$BF:$BF),"")</f>
        <v>950793</v>
      </c>
      <c r="Y82" s="167">
        <f>IFERROR(_xlfn.XLOOKUP($A82,Input_Raw!$A:$A,Input_Raw!BJ:BJ),"")</f>
        <v>919350</v>
      </c>
      <c r="Z82" s="167">
        <f>IFERROR(_xlfn.XLOOKUP($A82,Input_Raw!$A:$A,Input_Raw!BK:BK),"")</f>
        <v>450</v>
      </c>
      <c r="AA82" s="167">
        <f>IFERROR(_xlfn.XLOOKUP($A82,Input_Raw!$A:$A,Input_Raw!BL:BL),"")</f>
        <v>918900</v>
      </c>
      <c r="AB82" s="167">
        <f>IFERROR(_xlfn.XLOOKUP($A82,Input_Raw!$A:$A,Input_Raw!$BO:$BO),"")</f>
        <v>70.2</v>
      </c>
      <c r="AC82" s="176">
        <f>IFERROR(_xlfn.XLOOKUP($D82,'Modelling New'!$D:$D,'Modelling New'!$J:$J),"")</f>
        <v>7.15</v>
      </c>
      <c r="AD82" s="166">
        <f>IFERROR(_xlfn.XLOOKUP($D82,'Modelling New'!$D:$D,'Modelling New'!$T:$T)*1000,"")</f>
        <v>801613.2743645322</v>
      </c>
      <c r="AE82" s="174"/>
      <c r="AF82" s="174">
        <f>IFERROR(_xlfn.XLOOKUP($D82,'Modelling New'!$D:$D,'Modelling New'!$W:$W),"")</f>
        <v>0.47579135467980305</v>
      </c>
      <c r="AG82" s="174">
        <f>IFERROR(_xlfn.XLOOKUP($D82,'Modelling New'!$D:$D,'Modelling New'!$AE:$AE),"")</f>
        <v>0.96029999999999993</v>
      </c>
      <c r="AH82" s="174">
        <f>IFERROR(_xlfn.XLOOKUP($D82,'Modelling New'!$D:$D,'Modelling New'!$AF:$AF),"")</f>
        <v>0.995</v>
      </c>
      <c r="AI82" s="177">
        <f>IFERROR(_xlfn.XLOOKUP($A82,Input_Raw!$A:$A,Input_Raw!$BQ:$BQ),"")</f>
        <v>991.84</v>
      </c>
      <c r="AJ82" s="167"/>
      <c r="AK82" s="167"/>
      <c r="AL82" s="167"/>
      <c r="AM82" s="167"/>
      <c r="AN82" s="175">
        <f>IFERROR(_xlfn.XLOOKUP($A82,Input_Raw!$A:$A,Input_Raw!$BN:$BN),"")</f>
        <v>3.3070289747610677E-2</v>
      </c>
      <c r="AO82" s="174">
        <f>IFERROR((_xlfn.XLOOKUP($A82,'WTG Reactive Power'!$A:$A,'WTG Reactive Power'!$AE:$AE))/Table13[[#This Row],[Gen_Exp (kWh)]],"")</f>
        <v>8.992325353678457E-3</v>
      </c>
      <c r="AP82" s="174">
        <f>IFERROR(_xlfn.XLOOKUP($D82,'Modelling New'!$D:$D,'Modelling New'!$AK:$AK),"")</f>
        <v>0.05</v>
      </c>
      <c r="AQ82" s="174">
        <f>IFERROR(_xlfn.XLOOKUP($D82,'Modelling New'!$D:$D,'Modelling New'!$AL:$AL),"")</f>
        <v>0.05</v>
      </c>
      <c r="AR82" s="276">
        <f>IFERROR(_xlfn.XLOOKUP($D82,'Modelling New'!$D:$D,'Modelling New'!$N:$N),"")</f>
        <v>70.2</v>
      </c>
      <c r="AS82" s="276"/>
    </row>
    <row r="83" spans="1:45">
      <c r="A83" s="165">
        <f t="shared" si="7"/>
        <v>45826</v>
      </c>
      <c r="B83" s="166">
        <f>YEAR(Table13[[#This Row],[Date]])+IF(MONTH(Table13[[#This Row],[Date]])&gt;=4,1,0)</f>
        <v>2026</v>
      </c>
      <c r="C83" s="167">
        <f>YEAR(Table13[[#This Row],[Date]])</f>
        <v>2025</v>
      </c>
      <c r="D83" s="168">
        <f>Table13[[#This Row],[Date]]-DAY(Table13[[#This Row],[Date]])+1</f>
        <v>45809</v>
      </c>
      <c r="E83" s="167">
        <f t="shared" si="4"/>
        <v>30</v>
      </c>
      <c r="F83" s="169"/>
      <c r="G83" s="176"/>
      <c r="H83" s="176"/>
      <c r="I83" s="176"/>
      <c r="J83" s="176"/>
      <c r="K83" s="171"/>
      <c r="L83" s="170"/>
      <c r="M83" s="170">
        <f>IFERROR(_xlfn.XLOOKUP($A83,Input_Raw!$A:$A,Input_Raw!BG:BG),"")</f>
        <v>8.5203846153846161</v>
      </c>
      <c r="N83" s="170">
        <f>IFERROR(_xlfn.XLOOKUP($A83,Input_Raw!$A:$A,Input_Raw!BH:BH),"")</f>
        <v>0</v>
      </c>
      <c r="O83" s="173">
        <f t="shared" si="5"/>
        <v>0.95445775530514709</v>
      </c>
      <c r="P83" s="173">
        <f>IFERROR(1-SUMIF(WTG_BD!$F:$F,$A83,WTG_BD!$AA:$AA)/($AA83+SUMIF(WTG_BD!$F:$F,$A83,WTG_BD!$AA:$AA)),"")</f>
        <v>0.95445775530514709</v>
      </c>
      <c r="Q83" s="173">
        <f>IFERROR(1-SUMIF(IGA_BD!$F:$F,$A83,IGA_BD!$X:$X)/($AA83+SUMIF(IGA_BD!$F:$F,$A83,IGA_BD!$X:$X)),"")</f>
        <v>1</v>
      </c>
      <c r="R83" s="173">
        <f>IFERROR(1-SUMIF(Grid_BD!$F:$F,$A83,Grid_BD!$Y:$Y)/($AA83+SUMIF(Grid_BD!$F:$F,$A83,Grid_BD!$Y:$Y)),"")</f>
        <v>1</v>
      </c>
      <c r="S83" s="167"/>
      <c r="T83" s="172"/>
      <c r="U83" s="173"/>
      <c r="V83" s="167"/>
      <c r="W83" s="174">
        <f t="shared" si="6"/>
        <v>0.64663461538461531</v>
      </c>
      <c r="X83" s="167">
        <f>IFERROR(_xlfn.XLOOKUP($A83,Input_Raw!$A:$A,Input_Raw!$BF:$BF),"")</f>
        <v>1124055</v>
      </c>
      <c r="Y83" s="167">
        <f>IFERROR(_xlfn.XLOOKUP($A83,Input_Raw!$A:$A,Input_Raw!BJ:BJ),"")</f>
        <v>1089450</v>
      </c>
      <c r="Z83" s="167">
        <f>IFERROR(_xlfn.XLOOKUP($A83,Input_Raw!$A:$A,Input_Raw!BK:BK),"")</f>
        <v>0</v>
      </c>
      <c r="AA83" s="167">
        <f>IFERROR(_xlfn.XLOOKUP($A83,Input_Raw!$A:$A,Input_Raw!BL:BL),"")</f>
        <v>1089450</v>
      </c>
      <c r="AB83" s="167">
        <f>IFERROR(_xlfn.XLOOKUP($A83,Input_Raw!$A:$A,Input_Raw!$BO:$BO),"")</f>
        <v>70.2</v>
      </c>
      <c r="AC83" s="176">
        <f>IFERROR(_xlfn.XLOOKUP($D83,'Modelling New'!$D:$D,'Modelling New'!$J:$J),"")</f>
        <v>7.15</v>
      </c>
      <c r="AD83" s="166">
        <f>IFERROR(_xlfn.XLOOKUP($D83,'Modelling New'!$D:$D,'Modelling New'!$T:$T)*1000,"")</f>
        <v>801613.2743645322</v>
      </c>
      <c r="AE83" s="174"/>
      <c r="AF83" s="174">
        <f>IFERROR(_xlfn.XLOOKUP($D83,'Modelling New'!$D:$D,'Modelling New'!$W:$W),"")</f>
        <v>0.47579135467980305</v>
      </c>
      <c r="AG83" s="174">
        <f>IFERROR(_xlfn.XLOOKUP($D83,'Modelling New'!$D:$D,'Modelling New'!$AE:$AE),"")</f>
        <v>0.96029999999999993</v>
      </c>
      <c r="AH83" s="174">
        <f>IFERROR(_xlfn.XLOOKUP($D83,'Modelling New'!$D:$D,'Modelling New'!$AF:$AF),"")</f>
        <v>0.995</v>
      </c>
      <c r="AI83" s="177">
        <f>IFERROR(_xlfn.XLOOKUP($A83,Input_Raw!$A:$A,Input_Raw!$BQ:$BQ),"")</f>
        <v>1202.27</v>
      </c>
      <c r="AJ83" s="167"/>
      <c r="AK83" s="167"/>
      <c r="AL83" s="167"/>
      <c r="AM83" s="167"/>
      <c r="AN83" s="175">
        <f>IFERROR(_xlfn.XLOOKUP($A83,Input_Raw!$A:$A,Input_Raw!$BN:$BN),"")</f>
        <v>3.0785860122502902E-2</v>
      </c>
      <c r="AO83" s="174">
        <f>IFERROR((_xlfn.XLOOKUP($A83,'WTG Reactive Power'!$A:$A,'WTG Reactive Power'!$AE:$AE))/Table13[[#This Row],[Gen_Exp (kWh)]],"")</f>
        <v>2.4018753530743605E-3</v>
      </c>
      <c r="AP83" s="174">
        <f>IFERROR(_xlfn.XLOOKUP($D83,'Modelling New'!$D:$D,'Modelling New'!$AK:$AK),"")</f>
        <v>0.05</v>
      </c>
      <c r="AQ83" s="174">
        <f>IFERROR(_xlfn.XLOOKUP($D83,'Modelling New'!$D:$D,'Modelling New'!$AL:$AL),"")</f>
        <v>0.05</v>
      </c>
      <c r="AR83" s="276">
        <f>IFERROR(_xlfn.XLOOKUP($D83,'Modelling New'!$D:$D,'Modelling New'!$N:$N),"")</f>
        <v>70.2</v>
      </c>
      <c r="AS83" s="276"/>
    </row>
    <row r="84" spans="1:45">
      <c r="A84" s="165">
        <f t="shared" si="7"/>
        <v>45827</v>
      </c>
      <c r="B84" s="166">
        <f>YEAR(Table13[[#This Row],[Date]])+IF(MONTH(Table13[[#This Row],[Date]])&gt;=4,1,0)</f>
        <v>2026</v>
      </c>
      <c r="C84" s="167">
        <f>YEAR(Table13[[#This Row],[Date]])</f>
        <v>2025</v>
      </c>
      <c r="D84" s="168">
        <f>Table13[[#This Row],[Date]]-DAY(Table13[[#This Row],[Date]])+1</f>
        <v>45809</v>
      </c>
      <c r="E84" s="167">
        <f t="shared" si="4"/>
        <v>30</v>
      </c>
      <c r="F84" s="169"/>
      <c r="G84" s="170"/>
      <c r="H84" s="170"/>
      <c r="I84" s="170"/>
      <c r="J84" s="170"/>
      <c r="K84" s="171"/>
      <c r="L84" s="170"/>
      <c r="M84" s="170">
        <f>IFERROR(_xlfn.XLOOKUP($A84,Input_Raw!$A:$A,Input_Raw!BG:BG),"")</f>
        <v>10.461153846153847</v>
      </c>
      <c r="N84" s="170">
        <f>IFERROR(_xlfn.XLOOKUP($A84,Input_Raw!$A:$A,Input_Raw!BH:BH),"")</f>
        <v>0</v>
      </c>
      <c r="O84" s="173">
        <f t="shared" si="5"/>
        <v>0.95647278687826454</v>
      </c>
      <c r="P84" s="173">
        <f>IFERROR(1-SUMIF(WTG_BD!$F:$F,$A84,WTG_BD!$AA:$AA)/($AA84+SUMIF(WTG_BD!$F:$F,$A84,WTG_BD!$AA:$AA)),"")</f>
        <v>0.95647278687826454</v>
      </c>
      <c r="Q84" s="173">
        <f>IFERROR(1-SUMIF(IGA_BD!$F:$F,$A84,IGA_BD!$X:$X)/($AA84+SUMIF(IGA_BD!$F:$F,$A84,IGA_BD!$X:$X)),"")</f>
        <v>1</v>
      </c>
      <c r="R84" s="173">
        <f>IFERROR(1-SUMIF(Grid_BD!$F:$F,$A84,Grid_BD!$Y:$Y)/($AA84+SUMIF(Grid_BD!$F:$F,$A84,Grid_BD!$Y:$Y)),"")</f>
        <v>1</v>
      </c>
      <c r="S84" s="167"/>
      <c r="T84" s="172"/>
      <c r="U84" s="173"/>
      <c r="V84" s="167"/>
      <c r="W84" s="174">
        <f t="shared" si="6"/>
        <v>0.87660256410256399</v>
      </c>
      <c r="X84" s="167">
        <f>IFERROR(_xlfn.XLOOKUP($A84,Input_Raw!$A:$A,Input_Raw!$BF:$BF),"")</f>
        <v>1534182</v>
      </c>
      <c r="Y84" s="167">
        <f>IFERROR(_xlfn.XLOOKUP($A84,Input_Raw!$A:$A,Input_Raw!BJ:BJ),"")</f>
        <v>1476900</v>
      </c>
      <c r="Z84" s="167">
        <f>IFERROR(_xlfn.XLOOKUP($A84,Input_Raw!$A:$A,Input_Raw!BK:BK),"")</f>
        <v>0</v>
      </c>
      <c r="AA84" s="167">
        <f>IFERROR(_xlfn.XLOOKUP($A84,Input_Raw!$A:$A,Input_Raw!BL:BL),"")</f>
        <v>1476900</v>
      </c>
      <c r="AB84" s="167">
        <f>IFERROR(_xlfn.XLOOKUP($A84,Input_Raw!$A:$A,Input_Raw!$BO:$BO),"")</f>
        <v>70.2</v>
      </c>
      <c r="AC84" s="176">
        <f>IFERROR(_xlfn.XLOOKUP($D84,'Modelling New'!$D:$D,'Modelling New'!$J:$J),"")</f>
        <v>7.15</v>
      </c>
      <c r="AD84" s="166">
        <f>IFERROR(_xlfn.XLOOKUP($D84,'Modelling New'!$D:$D,'Modelling New'!$T:$T)*1000,"")</f>
        <v>801613.2743645322</v>
      </c>
      <c r="AE84" s="174"/>
      <c r="AF84" s="174">
        <f>IFERROR(_xlfn.XLOOKUP($D84,'Modelling New'!$D:$D,'Modelling New'!$W:$W),"")</f>
        <v>0.47579135467980305</v>
      </c>
      <c r="AG84" s="174">
        <f>IFERROR(_xlfn.XLOOKUP($D84,'Modelling New'!$D:$D,'Modelling New'!$AE:$AE),"")</f>
        <v>0.96029999999999993</v>
      </c>
      <c r="AH84" s="174">
        <f>IFERROR(_xlfn.XLOOKUP($D84,'Modelling New'!$D:$D,'Modelling New'!$AF:$AF),"")</f>
        <v>0.995</v>
      </c>
      <c r="AI84" s="177">
        <f>IFERROR(_xlfn.XLOOKUP($A84,Input_Raw!$A:$A,Input_Raw!$BQ:$BQ),"")</f>
        <v>1596.54</v>
      </c>
      <c r="AJ84" s="167"/>
      <c r="AK84" s="167"/>
      <c r="AL84" s="167"/>
      <c r="AM84" s="167"/>
      <c r="AN84" s="175">
        <f>IFERROR(_xlfn.XLOOKUP($A84,Input_Raw!$A:$A,Input_Raw!$BN:$BN),"")</f>
        <v>3.7337160780142119E-2</v>
      </c>
      <c r="AO84" s="174">
        <f>IFERROR((_xlfn.XLOOKUP($A84,'WTG Reactive Power'!$A:$A,'WTG Reactive Power'!$AE:$AE))/Table13[[#This Row],[Gen_Exp (kWh)]],"")</f>
        <v>4.3996474994492168E-3</v>
      </c>
      <c r="AP84" s="174">
        <f>IFERROR(_xlfn.XLOOKUP($D84,'Modelling New'!$D:$D,'Modelling New'!$AK:$AK),"")</f>
        <v>0.05</v>
      </c>
      <c r="AQ84" s="174">
        <f>IFERROR(_xlfn.XLOOKUP($D84,'Modelling New'!$D:$D,'Modelling New'!$AL:$AL),"")</f>
        <v>0.05</v>
      </c>
      <c r="AR84" s="276">
        <f>IFERROR(_xlfn.XLOOKUP($D84,'Modelling New'!$D:$D,'Modelling New'!$N:$N),"")</f>
        <v>70.2</v>
      </c>
      <c r="AS84" s="276"/>
    </row>
    <row r="85" spans="1:45">
      <c r="A85" s="165">
        <f t="shared" si="7"/>
        <v>45828</v>
      </c>
      <c r="B85" s="166">
        <f>YEAR(Table13[[#This Row],[Date]])+IF(MONTH(Table13[[#This Row],[Date]])&gt;=4,1,0)</f>
        <v>2026</v>
      </c>
      <c r="C85" s="167">
        <f>YEAR(Table13[[#This Row],[Date]])</f>
        <v>2025</v>
      </c>
      <c r="D85" s="168">
        <f>Table13[[#This Row],[Date]]-DAY(Table13[[#This Row],[Date]])+1</f>
        <v>45809</v>
      </c>
      <c r="E85" s="167">
        <f t="shared" si="4"/>
        <v>30</v>
      </c>
      <c r="F85" s="169"/>
      <c r="G85" s="176"/>
      <c r="H85" s="176"/>
      <c r="I85" s="176"/>
      <c r="J85" s="176"/>
      <c r="K85" s="171"/>
      <c r="L85" s="170"/>
      <c r="M85" s="170">
        <f>IFERROR(_xlfn.XLOOKUP($A85,Input_Raw!$A:$A,Input_Raw!BG:BG),"")</f>
        <v>8.8839391657087781</v>
      </c>
      <c r="N85" s="170">
        <f>IFERROR(_xlfn.XLOOKUP($A85,Input_Raw!$A:$A,Input_Raw!BH:BH),"")</f>
        <v>0</v>
      </c>
      <c r="O85" s="173">
        <f t="shared" si="5"/>
        <v>0.75962515769608496</v>
      </c>
      <c r="P85" s="173">
        <f>IFERROR(1-SUMIF(WTG_BD!$F:$F,$A85,WTG_BD!$AA:$AA)/($AA85+SUMIF(WTG_BD!$F:$F,$A85,WTG_BD!$AA:$AA)),"")</f>
        <v>0.93357657820007645</v>
      </c>
      <c r="Q85" s="173">
        <f>IFERROR(1-SUMIF(IGA_BD!$F:$F,$A85,IGA_BD!$X:$X)/($AA85+SUMIF(IGA_BD!$F:$F,$A85,IGA_BD!$X:$X)),"")</f>
        <v>0.8136720387315548</v>
      </c>
      <c r="R85" s="173">
        <f>IFERROR(1-SUMIF(Grid_BD!$F:$F,$A85,Grid_BD!$Y:$Y)/($AA85+SUMIF(Grid_BD!$F:$F,$A85,Grid_BD!$Y:$Y)),"")</f>
        <v>1</v>
      </c>
      <c r="S85" s="167"/>
      <c r="T85" s="172"/>
      <c r="U85" s="173"/>
      <c r="V85" s="167"/>
      <c r="W85" s="174">
        <f t="shared" si="6"/>
        <v>0.5675747863247862</v>
      </c>
      <c r="X85" s="167">
        <f>IFERROR(_xlfn.XLOOKUP($A85,Input_Raw!$A:$A,Input_Raw!$BF:$BF),"")</f>
        <v>989072</v>
      </c>
      <c r="Y85" s="167">
        <f>IFERROR(_xlfn.XLOOKUP($A85,Input_Raw!$A:$A,Input_Raw!BJ:BJ),"")</f>
        <v>956250</v>
      </c>
      <c r="Z85" s="167">
        <f>IFERROR(_xlfn.XLOOKUP($A85,Input_Raw!$A:$A,Input_Raw!BK:BK),"")</f>
        <v>0</v>
      </c>
      <c r="AA85" s="167">
        <f>IFERROR(_xlfn.XLOOKUP($A85,Input_Raw!$A:$A,Input_Raw!BL:BL),"")</f>
        <v>956250</v>
      </c>
      <c r="AB85" s="167">
        <f>IFERROR(_xlfn.XLOOKUP($A85,Input_Raw!$A:$A,Input_Raw!$BO:$BO),"")</f>
        <v>70.2</v>
      </c>
      <c r="AC85" s="176">
        <f>IFERROR(_xlfn.XLOOKUP($D85,'Modelling New'!$D:$D,'Modelling New'!$J:$J),"")</f>
        <v>7.15</v>
      </c>
      <c r="AD85" s="166">
        <f>IFERROR(_xlfn.XLOOKUP($D85,'Modelling New'!$D:$D,'Modelling New'!$T:$T)*1000,"")</f>
        <v>801613.2743645322</v>
      </c>
      <c r="AE85" s="174"/>
      <c r="AF85" s="174">
        <f>IFERROR(_xlfn.XLOOKUP($D85,'Modelling New'!$D:$D,'Modelling New'!$W:$W),"")</f>
        <v>0.47579135467980305</v>
      </c>
      <c r="AG85" s="174">
        <f>IFERROR(_xlfn.XLOOKUP($D85,'Modelling New'!$D:$D,'Modelling New'!$AE:$AE),"")</f>
        <v>0.96029999999999993</v>
      </c>
      <c r="AH85" s="174">
        <f>IFERROR(_xlfn.XLOOKUP($D85,'Modelling New'!$D:$D,'Modelling New'!$AF:$AF),"")</f>
        <v>0.995</v>
      </c>
      <c r="AI85" s="177">
        <f>IFERROR(_xlfn.XLOOKUP($A85,Input_Raw!$A:$A,Input_Raw!$BQ:$BQ),"")</f>
        <v>1078.22</v>
      </c>
      <c r="AJ85" s="167"/>
      <c r="AK85" s="167"/>
      <c r="AL85" s="167"/>
      <c r="AM85" s="167"/>
      <c r="AN85" s="175">
        <f>IFERROR(_xlfn.XLOOKUP($A85,Input_Raw!$A:$A,Input_Raw!$BN:$BN),"")</f>
        <v>3.3184641765210215E-2</v>
      </c>
      <c r="AO85" s="174">
        <f>IFERROR((_xlfn.XLOOKUP($A85,'WTG Reactive Power'!$A:$A,'WTG Reactive Power'!$AE:$AE))/Table13[[#This Row],[Gen_Exp (kWh)]],"")</f>
        <v>6.8244374524807066E-3</v>
      </c>
      <c r="AP85" s="174">
        <f>IFERROR(_xlfn.XLOOKUP($D85,'Modelling New'!$D:$D,'Modelling New'!$AK:$AK),"")</f>
        <v>0.05</v>
      </c>
      <c r="AQ85" s="174">
        <f>IFERROR(_xlfn.XLOOKUP($D85,'Modelling New'!$D:$D,'Modelling New'!$AL:$AL),"")</f>
        <v>0.05</v>
      </c>
      <c r="AR85" s="276">
        <f>IFERROR(_xlfn.XLOOKUP($D85,'Modelling New'!$D:$D,'Modelling New'!$N:$N),"")</f>
        <v>70.2</v>
      </c>
      <c r="AS85" s="276"/>
    </row>
    <row r="86" spans="1:45">
      <c r="A86" s="165">
        <f t="shared" si="7"/>
        <v>45829</v>
      </c>
      <c r="B86" s="166">
        <f>YEAR(Table13[[#This Row],[Date]])+IF(MONTH(Table13[[#This Row],[Date]])&gt;=4,1,0)</f>
        <v>2026</v>
      </c>
      <c r="C86" s="167">
        <f>YEAR(Table13[[#This Row],[Date]])</f>
        <v>2025</v>
      </c>
      <c r="D86" s="168">
        <f>Table13[[#This Row],[Date]]-DAY(Table13[[#This Row],[Date]])+1</f>
        <v>45809</v>
      </c>
      <c r="E86" s="167">
        <f t="shared" si="4"/>
        <v>30</v>
      </c>
      <c r="F86" s="169"/>
      <c r="G86" s="170"/>
      <c r="H86" s="170"/>
      <c r="I86" s="170"/>
      <c r="J86" s="170"/>
      <c r="K86" s="171"/>
      <c r="L86" s="170"/>
      <c r="M86" s="170">
        <f>IFERROR(_xlfn.XLOOKUP($A86,Input_Raw!$A:$A,Input_Raw!BG:BG),"")</f>
        <v>8.8357692307692322</v>
      </c>
      <c r="N86" s="170">
        <f>IFERROR(_xlfn.XLOOKUP($A86,Input_Raw!$A:$A,Input_Raw!BH:BH),"")</f>
        <v>0</v>
      </c>
      <c r="O86" s="173">
        <f t="shared" si="5"/>
        <v>0.95463360533206976</v>
      </c>
      <c r="P86" s="173">
        <f>IFERROR(1-SUMIF(WTG_BD!$F:$F,$A86,WTG_BD!$AA:$AA)/($AA86+SUMIF(WTG_BD!$F:$F,$A86,WTG_BD!$AA:$AA)),"")</f>
        <v>0.95463360533206976</v>
      </c>
      <c r="Q86" s="173">
        <f>IFERROR(1-SUMIF(IGA_BD!$F:$F,$A86,IGA_BD!$X:$X)/($AA86+SUMIF(IGA_BD!$F:$F,$A86,IGA_BD!$X:$X)),"")</f>
        <v>1</v>
      </c>
      <c r="R86" s="173">
        <f>IFERROR(1-SUMIF(Grid_BD!$F:$F,$A86,Grid_BD!$Y:$Y)/($AA86+SUMIF(Grid_BD!$F:$F,$A86,Grid_BD!$Y:$Y)),"")</f>
        <v>1</v>
      </c>
      <c r="S86" s="167"/>
      <c r="T86" s="172"/>
      <c r="U86" s="173"/>
      <c r="V86" s="167"/>
      <c r="W86" s="174">
        <f t="shared" si="6"/>
        <v>0.69177350427350415</v>
      </c>
      <c r="X86" s="167">
        <f>IFERROR(_xlfn.XLOOKUP($A86,Input_Raw!$A:$A,Input_Raw!$BF:$BF),"")</f>
        <v>1204238</v>
      </c>
      <c r="Y86" s="167">
        <f>IFERROR(_xlfn.XLOOKUP($A86,Input_Raw!$A:$A,Input_Raw!BJ:BJ),"")</f>
        <v>1165500</v>
      </c>
      <c r="Z86" s="167">
        <f>IFERROR(_xlfn.XLOOKUP($A86,Input_Raw!$A:$A,Input_Raw!BK:BK),"")</f>
        <v>0</v>
      </c>
      <c r="AA86" s="167">
        <f>IFERROR(_xlfn.XLOOKUP($A86,Input_Raw!$A:$A,Input_Raw!BL:BL),"")</f>
        <v>1165500</v>
      </c>
      <c r="AB86" s="167">
        <f>IFERROR(_xlfn.XLOOKUP($A86,Input_Raw!$A:$A,Input_Raw!$BO:$BO),"")</f>
        <v>70.2</v>
      </c>
      <c r="AC86" s="176">
        <f>IFERROR(_xlfn.XLOOKUP($D86,'Modelling New'!$D:$D,'Modelling New'!$J:$J),"")</f>
        <v>7.15</v>
      </c>
      <c r="AD86" s="166">
        <f>IFERROR(_xlfn.XLOOKUP($D86,'Modelling New'!$D:$D,'Modelling New'!$T:$T)*1000,"")</f>
        <v>801613.2743645322</v>
      </c>
      <c r="AE86" s="174"/>
      <c r="AF86" s="174">
        <f>IFERROR(_xlfn.XLOOKUP($D86,'Modelling New'!$D:$D,'Modelling New'!$W:$W),"")</f>
        <v>0.47579135467980305</v>
      </c>
      <c r="AG86" s="174">
        <f>IFERROR(_xlfn.XLOOKUP($D86,'Modelling New'!$D:$D,'Modelling New'!$AE:$AE),"")</f>
        <v>0.96029999999999993</v>
      </c>
      <c r="AH86" s="174">
        <f>IFERROR(_xlfn.XLOOKUP($D86,'Modelling New'!$D:$D,'Modelling New'!$AF:$AF),"")</f>
        <v>0.995</v>
      </c>
      <c r="AI86" s="177">
        <f>IFERROR(_xlfn.XLOOKUP($A86,Input_Raw!$A:$A,Input_Raw!$BQ:$BQ),"")</f>
        <v>1261.1600000000001</v>
      </c>
      <c r="AJ86" s="167"/>
      <c r="AK86" s="167"/>
      <c r="AL86" s="167"/>
      <c r="AM86" s="167"/>
      <c r="AN86" s="175">
        <f>IFERROR(_xlfn.XLOOKUP($A86,Input_Raw!$A:$A,Input_Raw!$BN:$BN),"")</f>
        <v>3.2168059802132137E-2</v>
      </c>
      <c r="AO86" s="174">
        <f>IFERROR((_xlfn.XLOOKUP($A86,'WTG Reactive Power'!$A:$A,'WTG Reactive Power'!$AE:$AE))/Table13[[#This Row],[Gen_Exp (kWh)]],"")</f>
        <v>2.9894090703000572E-3</v>
      </c>
      <c r="AP86" s="174">
        <f>IFERROR(_xlfn.XLOOKUP($D86,'Modelling New'!$D:$D,'Modelling New'!$AK:$AK),"")</f>
        <v>0.05</v>
      </c>
      <c r="AQ86" s="174">
        <f>IFERROR(_xlfn.XLOOKUP($D86,'Modelling New'!$D:$D,'Modelling New'!$AL:$AL),"")</f>
        <v>0.05</v>
      </c>
      <c r="AR86" s="276">
        <f>IFERROR(_xlfn.XLOOKUP($D86,'Modelling New'!$D:$D,'Modelling New'!$N:$N),"")</f>
        <v>70.2</v>
      </c>
      <c r="AS86" s="276"/>
    </row>
    <row r="87" spans="1:45">
      <c r="A87" s="165">
        <f t="shared" si="7"/>
        <v>45830</v>
      </c>
      <c r="B87" s="166">
        <f>YEAR(Table13[[#This Row],[Date]])+IF(MONTH(Table13[[#This Row],[Date]])&gt;=4,1,0)</f>
        <v>2026</v>
      </c>
      <c r="C87" s="167">
        <f>YEAR(Table13[[#This Row],[Date]])</f>
        <v>2025</v>
      </c>
      <c r="D87" s="168">
        <f>Table13[[#This Row],[Date]]-DAY(Table13[[#This Row],[Date]])+1</f>
        <v>45809</v>
      </c>
      <c r="E87" s="167">
        <f t="shared" si="4"/>
        <v>30</v>
      </c>
      <c r="F87" s="169"/>
      <c r="G87" s="176"/>
      <c r="H87" s="176"/>
      <c r="I87" s="176"/>
      <c r="J87" s="176"/>
      <c r="K87" s="171"/>
      <c r="L87" s="170"/>
      <c r="M87" s="170">
        <f>IFERROR(_xlfn.XLOOKUP($A87,Input_Raw!$A:$A,Input_Raw!BG:BG),"")</f>
        <v>7.0880769230769243</v>
      </c>
      <c r="N87" s="170">
        <f>IFERROR(_xlfn.XLOOKUP($A87,Input_Raw!$A:$A,Input_Raw!BH:BH),"")</f>
        <v>0</v>
      </c>
      <c r="O87" s="173">
        <f t="shared" si="5"/>
        <v>0.95631733453483692</v>
      </c>
      <c r="P87" s="173">
        <f>IFERROR(1-SUMIF(WTG_BD!$F:$F,$A87,WTG_BD!$AA:$AA)/($AA87+SUMIF(WTG_BD!$F:$F,$A87,WTG_BD!$AA:$AA)),"")</f>
        <v>0.95631733453483692</v>
      </c>
      <c r="Q87" s="173">
        <f>IFERROR(1-SUMIF(IGA_BD!$F:$F,$A87,IGA_BD!$X:$X)/($AA87+SUMIF(IGA_BD!$F:$F,$A87,IGA_BD!$X:$X)),"")</f>
        <v>1</v>
      </c>
      <c r="R87" s="173">
        <f>IFERROR(1-SUMIF(Grid_BD!$F:$F,$A87,Grid_BD!$Y:$Y)/($AA87+SUMIF(Grid_BD!$F:$F,$A87,Grid_BD!$Y:$Y)),"")</f>
        <v>1</v>
      </c>
      <c r="S87" s="167"/>
      <c r="T87" s="172"/>
      <c r="U87" s="173"/>
      <c r="V87" s="167"/>
      <c r="W87" s="174">
        <f t="shared" si="6"/>
        <v>0.43322649572649569</v>
      </c>
      <c r="X87" s="167">
        <f>IFERROR(_xlfn.XLOOKUP($A87,Input_Raw!$A:$A,Input_Raw!$BF:$BF),"")</f>
        <v>749752</v>
      </c>
      <c r="Y87" s="167">
        <f>IFERROR(_xlfn.XLOOKUP($A87,Input_Raw!$A:$A,Input_Raw!BJ:BJ),"")</f>
        <v>729900</v>
      </c>
      <c r="Z87" s="167">
        <f>IFERROR(_xlfn.XLOOKUP($A87,Input_Raw!$A:$A,Input_Raw!BK:BK),"")</f>
        <v>0</v>
      </c>
      <c r="AA87" s="167">
        <f>IFERROR(_xlfn.XLOOKUP($A87,Input_Raw!$A:$A,Input_Raw!BL:BL),"")</f>
        <v>729900</v>
      </c>
      <c r="AB87" s="167">
        <f>IFERROR(_xlfn.XLOOKUP($A87,Input_Raw!$A:$A,Input_Raw!$BO:$BO),"")</f>
        <v>70.2</v>
      </c>
      <c r="AC87" s="176">
        <f>IFERROR(_xlfn.XLOOKUP($D87,'Modelling New'!$D:$D,'Modelling New'!$J:$J),"")</f>
        <v>7.15</v>
      </c>
      <c r="AD87" s="166">
        <f>IFERROR(_xlfn.XLOOKUP($D87,'Modelling New'!$D:$D,'Modelling New'!$T:$T)*1000,"")</f>
        <v>801613.2743645322</v>
      </c>
      <c r="AE87" s="174"/>
      <c r="AF87" s="174">
        <f>IFERROR(_xlfn.XLOOKUP($D87,'Modelling New'!$D:$D,'Modelling New'!$W:$W),"")</f>
        <v>0.47579135467980305</v>
      </c>
      <c r="AG87" s="174">
        <f>IFERROR(_xlfn.XLOOKUP($D87,'Modelling New'!$D:$D,'Modelling New'!$AE:$AE),"")</f>
        <v>0.96029999999999993</v>
      </c>
      <c r="AH87" s="174">
        <f>IFERROR(_xlfn.XLOOKUP($D87,'Modelling New'!$D:$D,'Modelling New'!$AF:$AF),"")</f>
        <v>0.995</v>
      </c>
      <c r="AI87" s="177">
        <f>IFERROR(_xlfn.XLOOKUP($A87,Input_Raw!$A:$A,Input_Raw!$BQ:$BQ),"")</f>
        <v>790.8</v>
      </c>
      <c r="AJ87" s="167"/>
      <c r="AK87" s="167"/>
      <c r="AL87" s="167"/>
      <c r="AM87" s="167"/>
      <c r="AN87" s="175">
        <f>IFERROR(_xlfn.XLOOKUP($A87,Input_Raw!$A:$A,Input_Raw!$BN:$BN),"")</f>
        <v>2.6478088754681547E-2</v>
      </c>
      <c r="AO87" s="174">
        <f>IFERROR((_xlfn.XLOOKUP($A87,'WTG Reactive Power'!$A:$A,'WTG Reactive Power'!$AE:$AE))/Table13[[#This Row],[Gen_Exp (kWh)]],"")</f>
        <v>2.4007671870165071E-3</v>
      </c>
      <c r="AP87" s="174">
        <f>IFERROR(_xlfn.XLOOKUP($D87,'Modelling New'!$D:$D,'Modelling New'!$AK:$AK),"")</f>
        <v>0.05</v>
      </c>
      <c r="AQ87" s="174">
        <f>IFERROR(_xlfn.XLOOKUP($D87,'Modelling New'!$D:$D,'Modelling New'!$AL:$AL),"")</f>
        <v>0.05</v>
      </c>
      <c r="AR87" s="276">
        <f>IFERROR(_xlfn.XLOOKUP($D87,'Modelling New'!$D:$D,'Modelling New'!$N:$N),"")</f>
        <v>70.2</v>
      </c>
      <c r="AS87" s="276"/>
    </row>
    <row r="88" spans="1:45">
      <c r="A88" s="165">
        <f t="shared" si="7"/>
        <v>45831</v>
      </c>
      <c r="B88" s="166">
        <f>YEAR(Table13[[#This Row],[Date]])+IF(MONTH(Table13[[#This Row],[Date]])&gt;=4,1,0)</f>
        <v>2026</v>
      </c>
      <c r="C88" s="167">
        <f>YEAR(Table13[[#This Row],[Date]])</f>
        <v>2025</v>
      </c>
      <c r="D88" s="168">
        <f>Table13[[#This Row],[Date]]-DAY(Table13[[#This Row],[Date]])+1</f>
        <v>45809</v>
      </c>
      <c r="E88" s="167">
        <f t="shared" ref="E88:E151" si="8">DAY(EOMONTH(A88,0))</f>
        <v>30</v>
      </c>
      <c r="F88" s="169"/>
      <c r="G88" s="170"/>
      <c r="H88" s="170"/>
      <c r="I88" s="170"/>
      <c r="J88" s="170"/>
      <c r="K88" s="171"/>
      <c r="L88" s="170"/>
      <c r="M88" s="170">
        <f>IFERROR(_xlfn.XLOOKUP($A88,Input_Raw!$A:$A,Input_Raw!BG:BG),"")</f>
        <v>7.5965384615384624</v>
      </c>
      <c r="N88" s="170">
        <f>IFERROR(_xlfn.XLOOKUP($A88,Input_Raw!$A:$A,Input_Raw!BH:BH),"")</f>
        <v>0</v>
      </c>
      <c r="O88" s="173">
        <f t="shared" ref="O88:O151" si="9">IFERROR(P88*Q88,"")</f>
        <v>0.95682683503691235</v>
      </c>
      <c r="P88" s="173">
        <f>IFERROR(1-SUMIF(WTG_BD!$F:$F,$A88,WTG_BD!$AA:$AA)/($AA88+SUMIF(WTG_BD!$F:$F,$A88,WTG_BD!$AA:$AA)),"")</f>
        <v>0.95682683503691235</v>
      </c>
      <c r="Q88" s="173">
        <f>IFERROR(1-SUMIF(IGA_BD!$F:$F,$A88,IGA_BD!$X:$X)/($AA88+SUMIF(IGA_BD!$F:$F,$A88,IGA_BD!$X:$X)),"")</f>
        <v>1</v>
      </c>
      <c r="R88" s="173">
        <f>IFERROR(1-SUMIF(Grid_BD!$F:$F,$A88,Grid_BD!$Y:$Y)/($AA88+SUMIF(Grid_BD!$F:$F,$A88,Grid_BD!$Y:$Y)),"")</f>
        <v>1</v>
      </c>
      <c r="S88" s="167"/>
      <c r="T88" s="172"/>
      <c r="U88" s="173"/>
      <c r="V88" s="167"/>
      <c r="W88" s="174">
        <f t="shared" ref="W88:W151" si="10">IFERROR(AA88/(24*AR88*1000),"")</f>
        <v>0.4869123931623931</v>
      </c>
      <c r="X88" s="167">
        <f>IFERROR(_xlfn.XLOOKUP($A88,Input_Raw!$A:$A,Input_Raw!$BF:$BF),"")</f>
        <v>840583</v>
      </c>
      <c r="Y88" s="167">
        <f>IFERROR(_xlfn.XLOOKUP($A88,Input_Raw!$A:$A,Input_Raw!BJ:BJ),"")</f>
        <v>820350</v>
      </c>
      <c r="Z88" s="167">
        <f>IFERROR(_xlfn.XLOOKUP($A88,Input_Raw!$A:$A,Input_Raw!BK:BK),"")</f>
        <v>0</v>
      </c>
      <c r="AA88" s="167">
        <f>IFERROR(_xlfn.XLOOKUP($A88,Input_Raw!$A:$A,Input_Raw!BL:BL),"")</f>
        <v>820350</v>
      </c>
      <c r="AB88" s="167">
        <f>IFERROR(_xlfn.XLOOKUP($A88,Input_Raw!$A:$A,Input_Raw!$BO:$BO),"")</f>
        <v>70.2</v>
      </c>
      <c r="AC88" s="176">
        <f>IFERROR(_xlfn.XLOOKUP($D88,'Modelling New'!$D:$D,'Modelling New'!$J:$J),"")</f>
        <v>7.15</v>
      </c>
      <c r="AD88" s="166">
        <f>IFERROR(_xlfn.XLOOKUP($D88,'Modelling New'!$D:$D,'Modelling New'!$T:$T)*1000,"")</f>
        <v>801613.2743645322</v>
      </c>
      <c r="AE88" s="174"/>
      <c r="AF88" s="174">
        <f>IFERROR(_xlfn.XLOOKUP($D88,'Modelling New'!$D:$D,'Modelling New'!$W:$W),"")</f>
        <v>0.47579135467980305</v>
      </c>
      <c r="AG88" s="174">
        <f>IFERROR(_xlfn.XLOOKUP($D88,'Modelling New'!$D:$D,'Modelling New'!$AE:$AE),"")</f>
        <v>0.96029999999999993</v>
      </c>
      <c r="AH88" s="174">
        <f>IFERROR(_xlfn.XLOOKUP($D88,'Modelling New'!$D:$D,'Modelling New'!$AF:$AF),"")</f>
        <v>0.995</v>
      </c>
      <c r="AI88" s="177">
        <f>IFERROR(_xlfn.XLOOKUP($A88,Input_Raw!$A:$A,Input_Raw!$BQ:$BQ),"")</f>
        <v>894.97</v>
      </c>
      <c r="AJ88" s="167"/>
      <c r="AK88" s="167"/>
      <c r="AL88" s="167"/>
      <c r="AM88" s="167"/>
      <c r="AN88" s="175">
        <f>IFERROR(_xlfn.XLOOKUP($A88,Input_Raw!$A:$A,Input_Raw!$BN:$BN),"")</f>
        <v>2.4070198897669832E-2</v>
      </c>
      <c r="AO88" s="174">
        <f>IFERROR((_xlfn.XLOOKUP($A88,'WTG Reactive Power'!$A:$A,'WTG Reactive Power'!$AE:$AE))/Table13[[#This Row],[Gen_Exp (kWh)]],"")</f>
        <v>2.141347136451725E-3</v>
      </c>
      <c r="AP88" s="174">
        <f>IFERROR(_xlfn.XLOOKUP($D88,'Modelling New'!$D:$D,'Modelling New'!$AK:$AK),"")</f>
        <v>0.05</v>
      </c>
      <c r="AQ88" s="174">
        <f>IFERROR(_xlfn.XLOOKUP($D88,'Modelling New'!$D:$D,'Modelling New'!$AL:$AL),"")</f>
        <v>0.05</v>
      </c>
      <c r="AR88" s="276">
        <f>IFERROR(_xlfn.XLOOKUP($D88,'Modelling New'!$D:$D,'Modelling New'!$N:$N),"")</f>
        <v>70.2</v>
      </c>
      <c r="AS88" s="276"/>
    </row>
    <row r="89" spans="1:45">
      <c r="A89" s="165">
        <f t="shared" si="7"/>
        <v>45832</v>
      </c>
      <c r="B89" s="166">
        <f>YEAR(Table13[[#This Row],[Date]])+IF(MONTH(Table13[[#This Row],[Date]])&gt;=4,1,0)</f>
        <v>2026</v>
      </c>
      <c r="C89" s="167">
        <f>YEAR(Table13[[#This Row],[Date]])</f>
        <v>2025</v>
      </c>
      <c r="D89" s="168">
        <f>Table13[[#This Row],[Date]]-DAY(Table13[[#This Row],[Date]])+1</f>
        <v>45809</v>
      </c>
      <c r="E89" s="167">
        <f t="shared" si="8"/>
        <v>30</v>
      </c>
      <c r="F89" s="169"/>
      <c r="G89" s="176"/>
      <c r="H89" s="176"/>
      <c r="I89" s="176"/>
      <c r="J89" s="176"/>
      <c r="K89" s="171"/>
      <c r="L89" s="170"/>
      <c r="M89" s="170">
        <f>IFERROR(_xlfn.XLOOKUP($A89,Input_Raw!$A:$A,Input_Raw!BG:BG),"")</f>
        <v>8.3515384615384622</v>
      </c>
      <c r="N89" s="170">
        <f>IFERROR(_xlfn.XLOOKUP($A89,Input_Raw!$A:$A,Input_Raw!BH:BH),"")</f>
        <v>0</v>
      </c>
      <c r="O89" s="173">
        <f t="shared" si="9"/>
        <v>0.95524815674881003</v>
      </c>
      <c r="P89" s="173">
        <f>IFERROR(1-SUMIF(WTG_BD!$F:$F,$A89,WTG_BD!$AA:$AA)/($AA89+SUMIF(WTG_BD!$F:$F,$A89,WTG_BD!$AA:$AA)),"")</f>
        <v>0.95524815674881003</v>
      </c>
      <c r="Q89" s="173">
        <f>IFERROR(1-SUMIF(IGA_BD!$F:$F,$A89,IGA_BD!$X:$X)/($AA89+SUMIF(IGA_BD!$F:$F,$A89,IGA_BD!$X:$X)),"")</f>
        <v>1</v>
      </c>
      <c r="R89" s="173">
        <f>IFERROR(1-SUMIF(Grid_BD!$F:$F,$A89,Grid_BD!$Y:$Y)/($AA89+SUMIF(Grid_BD!$F:$F,$A89,Grid_BD!$Y:$Y)),"")</f>
        <v>1</v>
      </c>
      <c r="S89" s="167"/>
      <c r="T89" s="172"/>
      <c r="U89" s="173"/>
      <c r="V89" s="167"/>
      <c r="W89" s="174">
        <f t="shared" si="10"/>
        <v>0.62713675213675202</v>
      </c>
      <c r="X89" s="167">
        <f>IFERROR(_xlfn.XLOOKUP($A89,Input_Raw!$A:$A,Input_Raw!$BF:$BF),"")</f>
        <v>1091775</v>
      </c>
      <c r="Y89" s="167">
        <f>IFERROR(_xlfn.XLOOKUP($A89,Input_Raw!$A:$A,Input_Raw!BJ:BJ),"")</f>
        <v>1056600</v>
      </c>
      <c r="Z89" s="167">
        <f>IFERROR(_xlfn.XLOOKUP($A89,Input_Raw!$A:$A,Input_Raw!BK:BK),"")</f>
        <v>0</v>
      </c>
      <c r="AA89" s="167">
        <f>IFERROR(_xlfn.XLOOKUP($A89,Input_Raw!$A:$A,Input_Raw!BL:BL),"")</f>
        <v>1056600</v>
      </c>
      <c r="AB89" s="167">
        <f>IFERROR(_xlfn.XLOOKUP($A89,Input_Raw!$A:$A,Input_Raw!$BO:$BO),"")</f>
        <v>70.2</v>
      </c>
      <c r="AC89" s="176">
        <f>IFERROR(_xlfn.XLOOKUP($D89,'Modelling New'!$D:$D,'Modelling New'!$J:$J),"")</f>
        <v>7.15</v>
      </c>
      <c r="AD89" s="166">
        <f>IFERROR(_xlfn.XLOOKUP($D89,'Modelling New'!$D:$D,'Modelling New'!$T:$T)*1000,"")</f>
        <v>801613.2743645322</v>
      </c>
      <c r="AE89" s="174"/>
      <c r="AF89" s="174">
        <f>IFERROR(_xlfn.XLOOKUP($D89,'Modelling New'!$D:$D,'Modelling New'!$W:$W),"")</f>
        <v>0.47579135467980305</v>
      </c>
      <c r="AG89" s="174">
        <f>IFERROR(_xlfn.XLOOKUP($D89,'Modelling New'!$D:$D,'Modelling New'!$AE:$AE),"")</f>
        <v>0.96029999999999993</v>
      </c>
      <c r="AH89" s="174">
        <f>IFERROR(_xlfn.XLOOKUP($D89,'Modelling New'!$D:$D,'Modelling New'!$AF:$AF),"")</f>
        <v>0.995</v>
      </c>
      <c r="AI89" s="177">
        <f>IFERROR(_xlfn.XLOOKUP($A89,Input_Raw!$A:$A,Input_Raw!$BQ:$BQ),"")</f>
        <v>1165.22</v>
      </c>
      <c r="AJ89" s="167"/>
      <c r="AK89" s="167"/>
      <c r="AL89" s="167"/>
      <c r="AM89" s="167"/>
      <c r="AN89" s="175">
        <f>IFERROR(_xlfn.XLOOKUP($A89,Input_Raw!$A:$A,Input_Raw!$BN:$BN),"")</f>
        <v>3.2218176822147421E-2</v>
      </c>
      <c r="AO89" s="174">
        <f>IFERROR((_xlfn.XLOOKUP($A89,'WTG Reactive Power'!$A:$A,'WTG Reactive Power'!$AE:$AE))/Table13[[#This Row],[Gen_Exp (kWh)]],"")</f>
        <v>3.709335714776398E-3</v>
      </c>
      <c r="AP89" s="174">
        <f>IFERROR(_xlfn.XLOOKUP($D89,'Modelling New'!$D:$D,'Modelling New'!$AK:$AK),"")</f>
        <v>0.05</v>
      </c>
      <c r="AQ89" s="174">
        <f>IFERROR(_xlfn.XLOOKUP($D89,'Modelling New'!$D:$D,'Modelling New'!$AL:$AL),"")</f>
        <v>0.05</v>
      </c>
      <c r="AR89" s="276">
        <f>IFERROR(_xlfn.XLOOKUP($D89,'Modelling New'!$D:$D,'Modelling New'!$N:$N),"")</f>
        <v>70.2</v>
      </c>
      <c r="AS89" s="276"/>
    </row>
    <row r="90" spans="1:45">
      <c r="A90" s="165">
        <f t="shared" ref="A90:A153" si="11">A89+1</f>
        <v>45833</v>
      </c>
      <c r="B90" s="166">
        <f>YEAR(Table13[[#This Row],[Date]])+IF(MONTH(Table13[[#This Row],[Date]])&gt;=4,1,0)</f>
        <v>2026</v>
      </c>
      <c r="C90" s="167">
        <f>YEAR(Table13[[#This Row],[Date]])</f>
        <v>2025</v>
      </c>
      <c r="D90" s="168">
        <f>Table13[[#This Row],[Date]]-DAY(Table13[[#This Row],[Date]])+1</f>
        <v>45809</v>
      </c>
      <c r="E90" s="167">
        <f t="shared" si="8"/>
        <v>30</v>
      </c>
      <c r="F90" s="169"/>
      <c r="G90" s="170"/>
      <c r="H90" s="170"/>
      <c r="I90" s="170"/>
      <c r="J90" s="170"/>
      <c r="K90" s="171"/>
      <c r="L90" s="170"/>
      <c r="M90" s="170">
        <f>IFERROR(_xlfn.XLOOKUP($A90,Input_Raw!$A:$A,Input_Raw!BG:BG),"")</f>
        <v>4.9557692307692314</v>
      </c>
      <c r="N90" s="170">
        <f>IFERROR(_xlfn.XLOOKUP($A90,Input_Raw!$A:$A,Input_Raw!BH:BH),"")</f>
        <v>0</v>
      </c>
      <c r="O90" s="173">
        <f t="shared" si="9"/>
        <v>0.96213285522004999</v>
      </c>
      <c r="P90" s="173">
        <f>IFERROR(1-SUMIF(WTG_BD!$F:$F,$A90,WTG_BD!$AA:$AA)/($AA90+SUMIF(WTG_BD!$F:$F,$A90,WTG_BD!$AA:$AA)),"")</f>
        <v>0.96213285522004999</v>
      </c>
      <c r="Q90" s="173">
        <f>IFERROR(1-SUMIF(IGA_BD!$F:$F,$A90,IGA_BD!$X:$X)/($AA90+SUMIF(IGA_BD!$F:$F,$A90,IGA_BD!$X:$X)),"")</f>
        <v>1</v>
      </c>
      <c r="R90" s="173">
        <f>IFERROR(1-SUMIF(Grid_BD!$F:$F,$A90,Grid_BD!$Y:$Y)/($AA90+SUMIF(Grid_BD!$F:$F,$A90,Grid_BD!$Y:$Y)),"")</f>
        <v>1</v>
      </c>
      <c r="S90" s="167"/>
      <c r="T90" s="172"/>
      <c r="U90" s="173"/>
      <c r="V90" s="167"/>
      <c r="W90" s="174">
        <f t="shared" si="10"/>
        <v>0.15624999999999997</v>
      </c>
      <c r="X90" s="167">
        <f>IFERROR(_xlfn.XLOOKUP($A90,Input_Raw!$A:$A,Input_Raw!$BF:$BF),"")</f>
        <v>270725</v>
      </c>
      <c r="Y90" s="167">
        <f>IFERROR(_xlfn.XLOOKUP($A90,Input_Raw!$A:$A,Input_Raw!BJ:BJ),"")</f>
        <v>263250</v>
      </c>
      <c r="Z90" s="167">
        <f>IFERROR(_xlfn.XLOOKUP($A90,Input_Raw!$A:$A,Input_Raw!BK:BK),"")</f>
        <v>0</v>
      </c>
      <c r="AA90" s="167">
        <f>IFERROR(_xlfn.XLOOKUP($A90,Input_Raw!$A:$A,Input_Raw!BL:BL),"")</f>
        <v>263250</v>
      </c>
      <c r="AB90" s="167">
        <f>IFERROR(_xlfn.XLOOKUP($A90,Input_Raw!$A:$A,Input_Raw!$BO:$BO),"")</f>
        <v>70.2</v>
      </c>
      <c r="AC90" s="176">
        <f>IFERROR(_xlfn.XLOOKUP($D90,'Modelling New'!$D:$D,'Modelling New'!$J:$J),"")</f>
        <v>7.15</v>
      </c>
      <c r="AD90" s="166">
        <f>IFERROR(_xlfn.XLOOKUP($D90,'Modelling New'!$D:$D,'Modelling New'!$T:$T)*1000,"")</f>
        <v>801613.2743645322</v>
      </c>
      <c r="AE90" s="174"/>
      <c r="AF90" s="174">
        <f>IFERROR(_xlfn.XLOOKUP($D90,'Modelling New'!$D:$D,'Modelling New'!$W:$W),"")</f>
        <v>0.47579135467980305</v>
      </c>
      <c r="AG90" s="174">
        <f>IFERROR(_xlfn.XLOOKUP($D90,'Modelling New'!$D:$D,'Modelling New'!$AE:$AE),"")</f>
        <v>0.96029999999999993</v>
      </c>
      <c r="AH90" s="174">
        <f>IFERROR(_xlfn.XLOOKUP($D90,'Modelling New'!$D:$D,'Modelling New'!$AF:$AF),"")</f>
        <v>0.995</v>
      </c>
      <c r="AI90" s="177">
        <f>IFERROR(_xlfn.XLOOKUP($A90,Input_Raw!$A:$A,Input_Raw!$BQ:$BQ),"")</f>
        <v>286.3</v>
      </c>
      <c r="AJ90" s="167"/>
      <c r="AK90" s="167"/>
      <c r="AL90" s="167"/>
      <c r="AM90" s="167"/>
      <c r="AN90" s="175">
        <f>IFERROR(_xlfn.XLOOKUP($A90,Input_Raw!$A:$A,Input_Raw!$BN:$BN),"")</f>
        <v>2.7611044417767107E-2</v>
      </c>
      <c r="AO90" s="174">
        <f>IFERROR((_xlfn.XLOOKUP($A90,'WTG Reactive Power'!$A:$A,'WTG Reactive Power'!$AE:$AE))/Table13[[#This Row],[Gen_Exp (kWh)]],"")</f>
        <v>1.6614645858343345E-3</v>
      </c>
      <c r="AP90" s="174">
        <f>IFERROR(_xlfn.XLOOKUP($D90,'Modelling New'!$D:$D,'Modelling New'!$AK:$AK),"")</f>
        <v>0.05</v>
      </c>
      <c r="AQ90" s="174">
        <f>IFERROR(_xlfn.XLOOKUP($D90,'Modelling New'!$D:$D,'Modelling New'!$AL:$AL),"")</f>
        <v>0.05</v>
      </c>
      <c r="AR90" s="276">
        <f>IFERROR(_xlfn.XLOOKUP($D90,'Modelling New'!$D:$D,'Modelling New'!$N:$N),"")</f>
        <v>70.2</v>
      </c>
      <c r="AS90" s="276"/>
    </row>
    <row r="91" spans="1:45">
      <c r="A91" s="165">
        <f t="shared" si="11"/>
        <v>45834</v>
      </c>
      <c r="B91" s="166">
        <f>YEAR(Table13[[#This Row],[Date]])+IF(MONTH(Table13[[#This Row],[Date]])&gt;=4,1,0)</f>
        <v>2026</v>
      </c>
      <c r="C91" s="167">
        <f>YEAR(Table13[[#This Row],[Date]])</f>
        <v>2025</v>
      </c>
      <c r="D91" s="168">
        <f>Table13[[#This Row],[Date]]-DAY(Table13[[#This Row],[Date]])+1</f>
        <v>45809</v>
      </c>
      <c r="E91" s="167">
        <f t="shared" si="8"/>
        <v>30</v>
      </c>
      <c r="F91" s="169"/>
      <c r="G91" s="176"/>
      <c r="H91" s="176"/>
      <c r="I91" s="176"/>
      <c r="J91" s="176"/>
      <c r="K91" s="171"/>
      <c r="L91" s="170"/>
      <c r="M91" s="170">
        <f>IFERROR(_xlfn.XLOOKUP($A91,Input_Raw!$A:$A,Input_Raw!BG:BG),"")</f>
        <v>3.906538461538462</v>
      </c>
      <c r="N91" s="170">
        <f>IFERROR(_xlfn.XLOOKUP($A91,Input_Raw!$A:$A,Input_Raw!BH:BH),"")</f>
        <v>0</v>
      </c>
      <c r="O91" s="173">
        <f t="shared" si="9"/>
        <v>0.94684078062820254</v>
      </c>
      <c r="P91" s="173">
        <f>IFERROR(1-SUMIF(WTG_BD!$F:$F,$A91,WTG_BD!$AA:$AA)/($AA91+SUMIF(WTG_BD!$F:$F,$A91,WTG_BD!$AA:$AA)),"")</f>
        <v>0.94684078062820254</v>
      </c>
      <c r="Q91" s="173">
        <f>IFERROR(1-SUMIF(IGA_BD!$F:$F,$A91,IGA_BD!$X:$X)/($AA91+SUMIF(IGA_BD!$F:$F,$A91,IGA_BD!$X:$X)),"")</f>
        <v>1</v>
      </c>
      <c r="R91" s="173">
        <f>IFERROR(1-SUMIF(Grid_BD!$F:$F,$A91,Grid_BD!$Y:$Y)/($AA91+SUMIF(Grid_BD!$F:$F,$A91,Grid_BD!$Y:$Y)),"")</f>
        <v>1</v>
      </c>
      <c r="S91" s="167"/>
      <c r="T91" s="172"/>
      <c r="U91" s="173"/>
      <c r="V91" s="167"/>
      <c r="W91" s="174">
        <f t="shared" si="10"/>
        <v>9.5085470085470067E-2</v>
      </c>
      <c r="X91" s="167">
        <f>IFERROR(_xlfn.XLOOKUP($A91,Input_Raw!$A:$A,Input_Raw!$BF:$BF),"")</f>
        <v>166407</v>
      </c>
      <c r="Y91" s="167">
        <f>IFERROR(_xlfn.XLOOKUP($A91,Input_Raw!$A:$A,Input_Raw!BJ:BJ),"")</f>
        <v>161100</v>
      </c>
      <c r="Z91" s="167">
        <f>IFERROR(_xlfn.XLOOKUP($A91,Input_Raw!$A:$A,Input_Raw!BK:BK),"")</f>
        <v>900</v>
      </c>
      <c r="AA91" s="167">
        <f>IFERROR(_xlfn.XLOOKUP($A91,Input_Raw!$A:$A,Input_Raw!BL:BL),"")</f>
        <v>160200</v>
      </c>
      <c r="AB91" s="167">
        <f>IFERROR(_xlfn.XLOOKUP($A91,Input_Raw!$A:$A,Input_Raw!$BO:$BO),"")</f>
        <v>70.2</v>
      </c>
      <c r="AC91" s="176">
        <f>IFERROR(_xlfn.XLOOKUP($D91,'Modelling New'!$D:$D,'Modelling New'!$J:$J),"")</f>
        <v>7.15</v>
      </c>
      <c r="AD91" s="166">
        <f>IFERROR(_xlfn.XLOOKUP($D91,'Modelling New'!$D:$D,'Modelling New'!$T:$T)*1000,"")</f>
        <v>801613.2743645322</v>
      </c>
      <c r="AE91" s="174"/>
      <c r="AF91" s="174">
        <f>IFERROR(_xlfn.XLOOKUP($D91,'Modelling New'!$D:$D,'Modelling New'!$W:$W),"")</f>
        <v>0.47579135467980305</v>
      </c>
      <c r="AG91" s="174">
        <f>IFERROR(_xlfn.XLOOKUP($D91,'Modelling New'!$D:$D,'Modelling New'!$AE:$AE),"")</f>
        <v>0.96029999999999993</v>
      </c>
      <c r="AH91" s="174">
        <f>IFERROR(_xlfn.XLOOKUP($D91,'Modelling New'!$D:$D,'Modelling New'!$AF:$AF),"")</f>
        <v>0.995</v>
      </c>
      <c r="AI91" s="177">
        <f>IFERROR(_xlfn.XLOOKUP($A91,Input_Raw!$A:$A,Input_Raw!$BQ:$BQ),"")</f>
        <v>172.06</v>
      </c>
      <c r="AJ91" s="167"/>
      <c r="AK91" s="167"/>
      <c r="AL91" s="167"/>
      <c r="AM91" s="167"/>
      <c r="AN91" s="175">
        <f>IFERROR(_xlfn.XLOOKUP($A91,Input_Raw!$A:$A,Input_Raw!$BN:$BN),"")</f>
        <v>3.1891687248733529E-2</v>
      </c>
      <c r="AO91" s="174">
        <f>IFERROR((_xlfn.XLOOKUP($A91,'WTG Reactive Power'!$A:$A,'WTG Reactive Power'!$AE:$AE))/Table13[[#This Row],[Gen_Exp (kWh)]],"")</f>
        <v>2.7030112915923019E-3</v>
      </c>
      <c r="AP91" s="174">
        <f>IFERROR(_xlfn.XLOOKUP($D91,'Modelling New'!$D:$D,'Modelling New'!$AK:$AK),"")</f>
        <v>0.05</v>
      </c>
      <c r="AQ91" s="174">
        <f>IFERROR(_xlfn.XLOOKUP($D91,'Modelling New'!$D:$D,'Modelling New'!$AL:$AL),"")</f>
        <v>0.05</v>
      </c>
      <c r="AR91" s="276">
        <f>IFERROR(_xlfn.XLOOKUP($D91,'Modelling New'!$D:$D,'Modelling New'!$N:$N),"")</f>
        <v>70.2</v>
      </c>
      <c r="AS91" s="276"/>
    </row>
    <row r="92" spans="1:45">
      <c r="A92" s="165">
        <f t="shared" si="11"/>
        <v>45835</v>
      </c>
      <c r="B92" s="166">
        <f>YEAR(Table13[[#This Row],[Date]])+IF(MONTH(Table13[[#This Row],[Date]])&gt;=4,1,0)</f>
        <v>2026</v>
      </c>
      <c r="C92" s="167">
        <f>YEAR(Table13[[#This Row],[Date]])</f>
        <v>2025</v>
      </c>
      <c r="D92" s="168">
        <f>Table13[[#This Row],[Date]]-DAY(Table13[[#This Row],[Date]])+1</f>
        <v>45809</v>
      </c>
      <c r="E92" s="167">
        <f t="shared" si="8"/>
        <v>30</v>
      </c>
      <c r="F92" s="169"/>
      <c r="G92" s="170"/>
      <c r="H92" s="170"/>
      <c r="I92" s="170"/>
      <c r="J92" s="170"/>
      <c r="K92" s="171"/>
      <c r="L92" s="170"/>
      <c r="M92" s="170">
        <f>IFERROR(_xlfn.XLOOKUP($A92,Input_Raw!$A:$A,Input_Raw!BG:BG),"")</f>
        <v>6.8374620035409128</v>
      </c>
      <c r="N92" s="170">
        <f>IFERROR(_xlfn.XLOOKUP($A92,Input_Raw!$A:$A,Input_Raw!BH:BH),"")</f>
        <v>0</v>
      </c>
      <c r="O92" s="173">
        <f t="shared" si="9"/>
        <v>0.95076941728374131</v>
      </c>
      <c r="P92" s="173">
        <f>IFERROR(1-SUMIF(WTG_BD!$F:$F,$A92,WTG_BD!$AA:$AA)/($AA92+SUMIF(WTG_BD!$F:$F,$A92,WTG_BD!$AA:$AA)),"")</f>
        <v>0.95076941728374131</v>
      </c>
      <c r="Q92" s="173">
        <f>IFERROR(1-SUMIF(IGA_BD!$F:$F,$A92,IGA_BD!$X:$X)/($AA92+SUMIF(IGA_BD!$F:$F,$A92,IGA_BD!$X:$X)),"")</f>
        <v>1</v>
      </c>
      <c r="R92" s="173">
        <f>IFERROR(1-SUMIF(Grid_BD!$F:$F,$A92,Grid_BD!$Y:$Y)/($AA92+SUMIF(Grid_BD!$F:$F,$A92,Grid_BD!$Y:$Y)),"")</f>
        <v>1</v>
      </c>
      <c r="S92" s="167"/>
      <c r="T92" s="172"/>
      <c r="U92" s="173"/>
      <c r="V92" s="167"/>
      <c r="W92" s="174">
        <f t="shared" si="10"/>
        <v>0.45860042735042728</v>
      </c>
      <c r="X92" s="167">
        <f>IFERROR(_xlfn.XLOOKUP($A92,Input_Raw!$A:$A,Input_Raw!$BF:$BF),"")</f>
        <v>794242</v>
      </c>
      <c r="Y92" s="167">
        <f>IFERROR(_xlfn.XLOOKUP($A92,Input_Raw!$A:$A,Input_Raw!BJ:BJ),"")</f>
        <v>772650</v>
      </c>
      <c r="Z92" s="167">
        <f>IFERROR(_xlfn.XLOOKUP($A92,Input_Raw!$A:$A,Input_Raw!BK:BK),"")</f>
        <v>0</v>
      </c>
      <c r="AA92" s="167">
        <f>IFERROR(_xlfn.XLOOKUP($A92,Input_Raw!$A:$A,Input_Raw!BL:BL),"")</f>
        <v>772650</v>
      </c>
      <c r="AB92" s="167">
        <f>IFERROR(_xlfn.XLOOKUP($A92,Input_Raw!$A:$A,Input_Raw!$BO:$BO),"")</f>
        <v>70.2</v>
      </c>
      <c r="AC92" s="176">
        <f>IFERROR(_xlfn.XLOOKUP($D92,'Modelling New'!$D:$D,'Modelling New'!$J:$J),"")</f>
        <v>7.15</v>
      </c>
      <c r="AD92" s="166">
        <f>IFERROR(_xlfn.XLOOKUP($D92,'Modelling New'!$D:$D,'Modelling New'!$T:$T)*1000,"")</f>
        <v>801613.2743645322</v>
      </c>
      <c r="AE92" s="174"/>
      <c r="AF92" s="174">
        <f>IFERROR(_xlfn.XLOOKUP($D92,'Modelling New'!$D:$D,'Modelling New'!$W:$W),"")</f>
        <v>0.47579135467980305</v>
      </c>
      <c r="AG92" s="174">
        <f>IFERROR(_xlfn.XLOOKUP($D92,'Modelling New'!$D:$D,'Modelling New'!$AE:$AE),"")</f>
        <v>0.96029999999999993</v>
      </c>
      <c r="AH92" s="174">
        <f>IFERROR(_xlfn.XLOOKUP($D92,'Modelling New'!$D:$D,'Modelling New'!$AF:$AF),"")</f>
        <v>0.995</v>
      </c>
      <c r="AI92" s="177">
        <f>IFERROR(_xlfn.XLOOKUP($A92,Input_Raw!$A:$A,Input_Raw!$BQ:$BQ),"")</f>
        <v>807.27</v>
      </c>
      <c r="AJ92" s="167"/>
      <c r="AK92" s="167"/>
      <c r="AL92" s="167"/>
      <c r="AM92" s="167"/>
      <c r="AN92" s="175">
        <f>IFERROR(_xlfn.XLOOKUP($A92,Input_Raw!$A:$A,Input_Raw!$BN:$BN),"")</f>
        <v>2.7185668851559097E-2</v>
      </c>
      <c r="AO92" s="174">
        <f>IFERROR((_xlfn.XLOOKUP($A92,'WTG Reactive Power'!$A:$A,'WTG Reactive Power'!$AE:$AE))/Table13[[#This Row],[Gen_Exp (kWh)]],"")</f>
        <v>2.8326127301250754E-3</v>
      </c>
      <c r="AP92" s="174">
        <f>IFERROR(_xlfn.XLOOKUP($D92,'Modelling New'!$D:$D,'Modelling New'!$AK:$AK),"")</f>
        <v>0.05</v>
      </c>
      <c r="AQ92" s="174">
        <f>IFERROR(_xlfn.XLOOKUP($D92,'Modelling New'!$D:$D,'Modelling New'!$AL:$AL),"")</f>
        <v>0.05</v>
      </c>
      <c r="AR92" s="276">
        <f>IFERROR(_xlfn.XLOOKUP($D92,'Modelling New'!$D:$D,'Modelling New'!$N:$N),"")</f>
        <v>70.2</v>
      </c>
      <c r="AS92" s="276"/>
    </row>
    <row r="93" spans="1:45">
      <c r="A93" s="165">
        <f t="shared" si="11"/>
        <v>45836</v>
      </c>
      <c r="B93" s="166">
        <f>YEAR(Table13[[#This Row],[Date]])+IF(MONTH(Table13[[#This Row],[Date]])&gt;=4,1,0)</f>
        <v>2026</v>
      </c>
      <c r="C93" s="167">
        <f>YEAR(Table13[[#This Row],[Date]])</f>
        <v>2025</v>
      </c>
      <c r="D93" s="168">
        <f>Table13[[#This Row],[Date]]-DAY(Table13[[#This Row],[Date]])+1</f>
        <v>45809</v>
      </c>
      <c r="E93" s="167">
        <f t="shared" si="8"/>
        <v>30</v>
      </c>
      <c r="F93" s="169"/>
      <c r="G93" s="176"/>
      <c r="H93" s="176"/>
      <c r="I93" s="176"/>
      <c r="J93" s="176"/>
      <c r="K93" s="171"/>
      <c r="L93" s="170"/>
      <c r="M93" s="170">
        <f>IFERROR(_xlfn.XLOOKUP($A93,Input_Raw!$A:$A,Input_Raw!BG:BG),"")</f>
        <v>9.6992174120476466</v>
      </c>
      <c r="N93" s="170">
        <f>IFERROR(_xlfn.XLOOKUP($A93,Input_Raw!$A:$A,Input_Raw!BH:BH),"")</f>
        <v>0</v>
      </c>
      <c r="O93" s="173">
        <f t="shared" si="9"/>
        <v>0.94970234885312121</v>
      </c>
      <c r="P93" s="173">
        <f>IFERROR(1-SUMIF(WTG_BD!$F:$F,$A93,WTG_BD!$AA:$AA)/($AA93+SUMIF(WTG_BD!$F:$F,$A93,WTG_BD!$AA:$AA)),"")</f>
        <v>0.94970234885312121</v>
      </c>
      <c r="Q93" s="173">
        <f>IFERROR(1-SUMIF(IGA_BD!$F:$F,$A93,IGA_BD!$X:$X)/($AA93+SUMIF(IGA_BD!$F:$F,$A93,IGA_BD!$X:$X)),"")</f>
        <v>1</v>
      </c>
      <c r="R93" s="173">
        <f>IFERROR(1-SUMIF(Grid_BD!$F:$F,$A93,Grid_BD!$Y:$Y)/($AA93+SUMIF(Grid_BD!$F:$F,$A93,Grid_BD!$Y:$Y)),"")</f>
        <v>1</v>
      </c>
      <c r="S93" s="167"/>
      <c r="T93" s="172"/>
      <c r="U93" s="173"/>
      <c r="V93" s="167"/>
      <c r="W93" s="174">
        <f t="shared" si="10"/>
        <v>0.79193376068376053</v>
      </c>
      <c r="X93" s="167">
        <f>IFERROR(_xlfn.XLOOKUP($A93,Input_Raw!$A:$A,Input_Raw!$BF:$BF),"")</f>
        <v>1382591</v>
      </c>
      <c r="Y93" s="167">
        <f>IFERROR(_xlfn.XLOOKUP($A93,Input_Raw!$A:$A,Input_Raw!BJ:BJ),"")</f>
        <v>1334250</v>
      </c>
      <c r="Z93" s="167">
        <f>IFERROR(_xlfn.XLOOKUP($A93,Input_Raw!$A:$A,Input_Raw!BK:BK),"")</f>
        <v>0</v>
      </c>
      <c r="AA93" s="167">
        <f>IFERROR(_xlfn.XLOOKUP($A93,Input_Raw!$A:$A,Input_Raw!BL:BL),"")</f>
        <v>1334250</v>
      </c>
      <c r="AB93" s="167">
        <f>IFERROR(_xlfn.XLOOKUP($A93,Input_Raw!$A:$A,Input_Raw!$BO:$BO),"")</f>
        <v>70.2</v>
      </c>
      <c r="AC93" s="176">
        <f>IFERROR(_xlfn.XLOOKUP($D93,'Modelling New'!$D:$D,'Modelling New'!$J:$J),"")</f>
        <v>7.15</v>
      </c>
      <c r="AD93" s="166">
        <f>IFERROR(_xlfn.XLOOKUP($D93,'Modelling New'!$D:$D,'Modelling New'!$T:$T)*1000,"")</f>
        <v>801613.2743645322</v>
      </c>
      <c r="AE93" s="174"/>
      <c r="AF93" s="174">
        <f>IFERROR(_xlfn.XLOOKUP($D93,'Modelling New'!$D:$D,'Modelling New'!$W:$W),"")</f>
        <v>0.47579135467980305</v>
      </c>
      <c r="AG93" s="174">
        <f>IFERROR(_xlfn.XLOOKUP($D93,'Modelling New'!$D:$D,'Modelling New'!$AE:$AE),"")</f>
        <v>0.96029999999999993</v>
      </c>
      <c r="AH93" s="174">
        <f>IFERROR(_xlfn.XLOOKUP($D93,'Modelling New'!$D:$D,'Modelling New'!$AF:$AF),"")</f>
        <v>0.995</v>
      </c>
      <c r="AI93" s="177">
        <f>IFERROR(_xlfn.XLOOKUP($A93,Input_Raw!$A:$A,Input_Raw!$BQ:$BQ),"")</f>
        <v>1434.41</v>
      </c>
      <c r="AJ93" s="167"/>
      <c r="AK93" s="167"/>
      <c r="AL93" s="167"/>
      <c r="AM93" s="167"/>
      <c r="AN93" s="175">
        <f>IFERROR(_xlfn.XLOOKUP($A93,Input_Raw!$A:$A,Input_Raw!$BN:$BN),"")</f>
        <v>3.4964063848238559E-2</v>
      </c>
      <c r="AO93" s="174">
        <f>IFERROR((_xlfn.XLOOKUP($A93,'WTG Reactive Power'!$A:$A,'WTG Reactive Power'!$AE:$AE))/Table13[[#This Row],[Gen_Exp (kWh)]],"")</f>
        <v>1.8551965114773632E-2</v>
      </c>
      <c r="AP93" s="174">
        <f>IFERROR(_xlfn.XLOOKUP($D93,'Modelling New'!$D:$D,'Modelling New'!$AK:$AK),"")</f>
        <v>0.05</v>
      </c>
      <c r="AQ93" s="174">
        <f>IFERROR(_xlfn.XLOOKUP($D93,'Modelling New'!$D:$D,'Modelling New'!$AL:$AL),"")</f>
        <v>0.05</v>
      </c>
      <c r="AR93" s="276">
        <f>IFERROR(_xlfn.XLOOKUP($D93,'Modelling New'!$D:$D,'Modelling New'!$N:$N),"")</f>
        <v>70.2</v>
      </c>
      <c r="AS93" s="276"/>
    </row>
    <row r="94" spans="1:45">
      <c r="A94" s="165">
        <f t="shared" si="11"/>
        <v>45837</v>
      </c>
      <c r="B94" s="166">
        <f>YEAR(Table13[[#This Row],[Date]])+IF(MONTH(Table13[[#This Row],[Date]])&gt;=4,1,0)</f>
        <v>2026</v>
      </c>
      <c r="C94" s="167">
        <f>YEAR(Table13[[#This Row],[Date]])</f>
        <v>2025</v>
      </c>
      <c r="D94" s="168">
        <f>Table13[[#This Row],[Date]]-DAY(Table13[[#This Row],[Date]])+1</f>
        <v>45809</v>
      </c>
      <c r="E94" s="167">
        <f t="shared" si="8"/>
        <v>30</v>
      </c>
      <c r="F94" s="169"/>
      <c r="G94" s="170"/>
      <c r="H94" s="170"/>
      <c r="I94" s="170"/>
      <c r="J94" s="170"/>
      <c r="K94" s="171"/>
      <c r="L94" s="170"/>
      <c r="M94" s="170">
        <f>IFERROR(_xlfn.XLOOKUP($A94,Input_Raw!$A:$A,Input_Raw!BG:BG),"")</f>
        <v>10.156923076923078</v>
      </c>
      <c r="N94" s="170">
        <f>IFERROR(_xlfn.XLOOKUP($A94,Input_Raw!$A:$A,Input_Raw!BH:BH),"")</f>
        <v>0</v>
      </c>
      <c r="O94" s="173">
        <f t="shared" si="9"/>
        <v>0.94971957428652787</v>
      </c>
      <c r="P94" s="173">
        <f>IFERROR(1-SUMIF(WTG_BD!$F:$F,$A94,WTG_BD!$AA:$AA)/($AA94+SUMIF(WTG_BD!$F:$F,$A94,WTG_BD!$AA:$AA)),"")</f>
        <v>0.94971957428652787</v>
      </c>
      <c r="Q94" s="173">
        <f>IFERROR(1-SUMIF(IGA_BD!$F:$F,$A94,IGA_BD!$X:$X)/($AA94+SUMIF(IGA_BD!$F:$F,$A94,IGA_BD!$X:$X)),"")</f>
        <v>1</v>
      </c>
      <c r="R94" s="173">
        <f>IFERROR(1-SUMIF(Grid_BD!$F:$F,$A94,Grid_BD!$Y:$Y)/($AA94+SUMIF(Grid_BD!$F:$F,$A94,Grid_BD!$Y:$Y)),"")</f>
        <v>1</v>
      </c>
      <c r="S94" s="167"/>
      <c r="T94" s="172"/>
      <c r="U94" s="173"/>
      <c r="V94" s="167"/>
      <c r="W94" s="174">
        <f t="shared" si="10"/>
        <v>0.81864316239316226</v>
      </c>
      <c r="X94" s="167">
        <f>IFERROR(_xlfn.XLOOKUP($A94,Input_Raw!$A:$A,Input_Raw!$BF:$BF),"")</f>
        <v>1430490</v>
      </c>
      <c r="Y94" s="167">
        <f>IFERROR(_xlfn.XLOOKUP($A94,Input_Raw!$A:$A,Input_Raw!BJ:BJ),"")</f>
        <v>1379250</v>
      </c>
      <c r="Z94" s="167">
        <f>IFERROR(_xlfn.XLOOKUP($A94,Input_Raw!$A:$A,Input_Raw!BK:BK),"")</f>
        <v>0</v>
      </c>
      <c r="AA94" s="167">
        <f>IFERROR(_xlfn.XLOOKUP($A94,Input_Raw!$A:$A,Input_Raw!BL:BL),"")</f>
        <v>1379250</v>
      </c>
      <c r="AB94" s="167">
        <f>IFERROR(_xlfn.XLOOKUP($A94,Input_Raw!$A:$A,Input_Raw!$BO:$BO),"")</f>
        <v>70.2</v>
      </c>
      <c r="AC94" s="176">
        <f>IFERROR(_xlfn.XLOOKUP($D94,'Modelling New'!$D:$D,'Modelling New'!$J:$J),"")</f>
        <v>7.15</v>
      </c>
      <c r="AD94" s="166">
        <f>IFERROR(_xlfn.XLOOKUP($D94,'Modelling New'!$D:$D,'Modelling New'!$T:$T)*1000,"")</f>
        <v>801613.2743645322</v>
      </c>
      <c r="AE94" s="174"/>
      <c r="AF94" s="174">
        <f>IFERROR(_xlfn.XLOOKUP($D94,'Modelling New'!$D:$D,'Modelling New'!$W:$W),"")</f>
        <v>0.47579135467980305</v>
      </c>
      <c r="AG94" s="174">
        <f>IFERROR(_xlfn.XLOOKUP($D94,'Modelling New'!$D:$D,'Modelling New'!$AE:$AE),"")</f>
        <v>0.96029999999999993</v>
      </c>
      <c r="AH94" s="174">
        <f>IFERROR(_xlfn.XLOOKUP($D94,'Modelling New'!$D:$D,'Modelling New'!$AF:$AF),"")</f>
        <v>0.995</v>
      </c>
      <c r="AI94" s="177">
        <f>IFERROR(_xlfn.XLOOKUP($A94,Input_Raw!$A:$A,Input_Raw!$BQ:$BQ),"")</f>
        <v>1508.13</v>
      </c>
      <c r="AJ94" s="167"/>
      <c r="AK94" s="167"/>
      <c r="AL94" s="167"/>
      <c r="AM94" s="167"/>
      <c r="AN94" s="175">
        <f>IFERROR(_xlfn.XLOOKUP($A94,Input_Raw!$A:$A,Input_Raw!$BN:$BN),"")</f>
        <v>3.5819893882515781E-2</v>
      </c>
      <c r="AO94" s="174">
        <f>IFERROR((_xlfn.XLOOKUP($A94,'WTG Reactive Power'!$A:$A,'WTG Reactive Power'!$AE:$AE))/Table13[[#This Row],[Gen_Exp (kWh)]],"")</f>
        <v>2.9255611713468816E-2</v>
      </c>
      <c r="AP94" s="174">
        <f>IFERROR(_xlfn.XLOOKUP($D94,'Modelling New'!$D:$D,'Modelling New'!$AK:$AK),"")</f>
        <v>0.05</v>
      </c>
      <c r="AQ94" s="174">
        <f>IFERROR(_xlfn.XLOOKUP($D94,'Modelling New'!$D:$D,'Modelling New'!$AL:$AL),"")</f>
        <v>0.05</v>
      </c>
      <c r="AR94" s="276">
        <f>IFERROR(_xlfn.XLOOKUP($D94,'Modelling New'!$D:$D,'Modelling New'!$N:$N),"")</f>
        <v>70.2</v>
      </c>
      <c r="AS94" s="276"/>
    </row>
    <row r="95" spans="1:45">
      <c r="A95" s="165">
        <f t="shared" si="11"/>
        <v>45838</v>
      </c>
      <c r="B95" s="166">
        <f>YEAR(Table13[[#This Row],[Date]])+IF(MONTH(Table13[[#This Row],[Date]])&gt;=4,1,0)</f>
        <v>2026</v>
      </c>
      <c r="C95" s="167">
        <f>YEAR(Table13[[#This Row],[Date]])</f>
        <v>2025</v>
      </c>
      <c r="D95" s="168">
        <f>Table13[[#This Row],[Date]]-DAY(Table13[[#This Row],[Date]])+1</f>
        <v>45809</v>
      </c>
      <c r="E95" s="167">
        <f t="shared" si="8"/>
        <v>30</v>
      </c>
      <c r="F95" s="169"/>
      <c r="G95" s="176"/>
      <c r="H95" s="176"/>
      <c r="I95" s="176"/>
      <c r="J95" s="176"/>
      <c r="K95" s="171"/>
      <c r="L95" s="170"/>
      <c r="M95" s="170">
        <f>IFERROR(_xlfn.XLOOKUP($A95,Input_Raw!$A:$A,Input_Raw!BG:BG),"")</f>
        <v>9.5536565352582237</v>
      </c>
      <c r="N95" s="170">
        <f>IFERROR(_xlfn.XLOOKUP($A95,Input_Raw!$A:$A,Input_Raw!BH:BH),"")</f>
        <v>0</v>
      </c>
      <c r="O95" s="173">
        <f t="shared" si="9"/>
        <v>0.94277392153619199</v>
      </c>
      <c r="P95" s="173">
        <f>IFERROR(1-SUMIF(WTG_BD!$F:$F,$A95,WTG_BD!$AA:$AA)/($AA95+SUMIF(WTG_BD!$F:$F,$A95,WTG_BD!$AA:$AA)),"")</f>
        <v>0.94277392153619199</v>
      </c>
      <c r="Q95" s="173">
        <f>IFERROR(1-SUMIF(IGA_BD!$F:$F,$A95,IGA_BD!$X:$X)/($AA95+SUMIF(IGA_BD!$F:$F,$A95,IGA_BD!$X:$X)),"")</f>
        <v>1</v>
      </c>
      <c r="R95" s="173">
        <f>IFERROR(1-SUMIF(Grid_BD!$F:$F,$A95,Grid_BD!$Y:$Y)/($AA95+SUMIF(Grid_BD!$F:$F,$A95,Grid_BD!$Y:$Y)),"")</f>
        <v>1</v>
      </c>
      <c r="S95" s="167"/>
      <c r="T95" s="172"/>
      <c r="U95" s="173"/>
      <c r="V95" s="167"/>
      <c r="W95" s="174">
        <f t="shared" si="10"/>
        <v>0.77270299145299137</v>
      </c>
      <c r="X95" s="167">
        <f>IFERROR(_xlfn.XLOOKUP($A95,Input_Raw!$A:$A,Input_Raw!$BF:$BF),"")</f>
        <v>1348035</v>
      </c>
      <c r="Y95" s="167">
        <f>IFERROR(_xlfn.XLOOKUP($A95,Input_Raw!$A:$A,Input_Raw!BJ:BJ),"")</f>
        <v>1301850</v>
      </c>
      <c r="Z95" s="167">
        <f>IFERROR(_xlfn.XLOOKUP($A95,Input_Raw!$A:$A,Input_Raw!BK:BK),"")</f>
        <v>0</v>
      </c>
      <c r="AA95" s="167">
        <f>IFERROR(_xlfn.XLOOKUP($A95,Input_Raw!$A:$A,Input_Raw!BL:BL),"")</f>
        <v>1301850</v>
      </c>
      <c r="AB95" s="167">
        <f>IFERROR(_xlfn.XLOOKUP($A95,Input_Raw!$A:$A,Input_Raw!$BO:$BO),"")</f>
        <v>70.2</v>
      </c>
      <c r="AC95" s="176">
        <f>IFERROR(_xlfn.XLOOKUP($D95,'Modelling New'!$D:$D,'Modelling New'!$J:$J),"")</f>
        <v>7.15</v>
      </c>
      <c r="AD95" s="166">
        <f>IFERROR(_xlfn.XLOOKUP($D95,'Modelling New'!$D:$D,'Modelling New'!$T:$T)*1000,"")</f>
        <v>801613.2743645322</v>
      </c>
      <c r="AE95" s="174"/>
      <c r="AF95" s="174">
        <f>IFERROR(_xlfn.XLOOKUP($D95,'Modelling New'!$D:$D,'Modelling New'!$W:$W),"")</f>
        <v>0.47579135467980305</v>
      </c>
      <c r="AG95" s="174">
        <f>IFERROR(_xlfn.XLOOKUP($D95,'Modelling New'!$D:$D,'Modelling New'!$AE:$AE),"")</f>
        <v>0.96029999999999993</v>
      </c>
      <c r="AH95" s="174">
        <f>IFERROR(_xlfn.XLOOKUP($D95,'Modelling New'!$D:$D,'Modelling New'!$AF:$AF),"")</f>
        <v>0.995</v>
      </c>
      <c r="AI95" s="177">
        <f>IFERROR(_xlfn.XLOOKUP($A95,Input_Raw!$A:$A,Input_Raw!$BQ:$BQ),"")</f>
        <v>1451.83</v>
      </c>
      <c r="AJ95" s="167"/>
      <c r="AK95" s="167"/>
      <c r="AL95" s="167"/>
      <c r="AM95" s="167"/>
      <c r="AN95" s="175">
        <f>IFERROR(_xlfn.XLOOKUP($A95,Input_Raw!$A:$A,Input_Raw!$BN:$BN),"")</f>
        <v>3.4260979870700689E-2</v>
      </c>
      <c r="AO95" s="174">
        <f>IFERROR((_xlfn.XLOOKUP($A95,'WTG Reactive Power'!$A:$A,'WTG Reactive Power'!$AE:$AE))/Table13[[#This Row],[Gen_Exp (kWh)]],"")</f>
        <v>2.1364385939534204E-2</v>
      </c>
      <c r="AP95" s="174">
        <f>IFERROR(_xlfn.XLOOKUP($D95,'Modelling New'!$D:$D,'Modelling New'!$AK:$AK),"")</f>
        <v>0.05</v>
      </c>
      <c r="AQ95" s="174">
        <f>IFERROR(_xlfn.XLOOKUP($D95,'Modelling New'!$D:$D,'Modelling New'!$AL:$AL),"")</f>
        <v>0.05</v>
      </c>
      <c r="AR95" s="276">
        <f>IFERROR(_xlfn.XLOOKUP($D95,'Modelling New'!$D:$D,'Modelling New'!$N:$N),"")</f>
        <v>70.2</v>
      </c>
      <c r="AS95" s="276"/>
    </row>
    <row r="96" spans="1:45">
      <c r="A96" s="165">
        <f t="shared" si="11"/>
        <v>45839</v>
      </c>
      <c r="B96" s="166">
        <f>YEAR(Table13[[#This Row],[Date]])+IF(MONTH(Table13[[#This Row],[Date]])&gt;=4,1,0)</f>
        <v>2026</v>
      </c>
      <c r="C96" s="167">
        <f>YEAR(Table13[[#This Row],[Date]])</f>
        <v>2025</v>
      </c>
      <c r="D96" s="168">
        <f>Table13[[#This Row],[Date]]-DAY(Table13[[#This Row],[Date]])+1</f>
        <v>45839</v>
      </c>
      <c r="E96" s="167">
        <f t="shared" si="8"/>
        <v>31</v>
      </c>
      <c r="F96" s="169"/>
      <c r="G96" s="170"/>
      <c r="H96" s="170"/>
      <c r="I96" s="170"/>
      <c r="J96" s="170"/>
      <c r="K96" s="171"/>
      <c r="L96" s="170"/>
      <c r="M96" s="170">
        <f>IFERROR(_xlfn.XLOOKUP($A96,Input_Raw!$A:$A,Input_Raw!BG:BG),"")</f>
        <v>7.6018168858153654</v>
      </c>
      <c r="N96" s="170">
        <f>IFERROR(_xlfn.XLOOKUP($A96,Input_Raw!$A:$A,Input_Raw!BH:BH),"")</f>
        <v>0</v>
      </c>
      <c r="O96" s="173">
        <f t="shared" si="9"/>
        <v>0.9445891013284361</v>
      </c>
      <c r="P96" s="173">
        <f>IFERROR(1-SUMIF(WTG_BD!$F:$F,$A96,WTG_BD!$AA:$AA)/($AA96+SUMIF(WTG_BD!$F:$F,$A96,WTG_BD!$AA:$AA)),"")</f>
        <v>0.94922568966382626</v>
      </c>
      <c r="Q96" s="173">
        <f>IFERROR(1-SUMIF(IGA_BD!$F:$F,$A96,IGA_BD!$X:$X)/($AA96+SUMIF(IGA_BD!$F:$F,$A96,IGA_BD!$X:$X)),"")</f>
        <v>0.99511539943990324</v>
      </c>
      <c r="R96" s="173">
        <f>IFERROR(1-SUMIF(Grid_BD!$F:$F,$A96,Grid_BD!$Y:$Y)/($AA96+SUMIF(Grid_BD!$F:$F,$A96,Grid_BD!$Y:$Y)),"")</f>
        <v>1</v>
      </c>
      <c r="S96" s="167"/>
      <c r="T96" s="172"/>
      <c r="U96" s="173"/>
      <c r="V96" s="167"/>
      <c r="W96" s="174">
        <f t="shared" si="10"/>
        <v>0.50747863247863245</v>
      </c>
      <c r="X96" s="167">
        <f>IFERROR(_xlfn.XLOOKUP($A96,Input_Raw!$A:$A,Input_Raw!$BF:$BF),"")</f>
        <v>879645</v>
      </c>
      <c r="Y96" s="167">
        <f>IFERROR(_xlfn.XLOOKUP($A96,Input_Raw!$A:$A,Input_Raw!BJ:BJ),"")</f>
        <v>855000</v>
      </c>
      <c r="Z96" s="167">
        <f>IFERROR(_xlfn.XLOOKUP($A96,Input_Raw!$A:$A,Input_Raw!BK:BK),"")</f>
        <v>0</v>
      </c>
      <c r="AA96" s="167">
        <f>IFERROR(_xlfn.XLOOKUP($A96,Input_Raw!$A:$A,Input_Raw!BL:BL),"")</f>
        <v>855000</v>
      </c>
      <c r="AB96" s="167">
        <f>IFERROR(_xlfn.XLOOKUP($A96,Input_Raw!$A:$A,Input_Raw!$BO:$BO),"")</f>
        <v>70.2</v>
      </c>
      <c r="AC96" s="176">
        <f>IFERROR(_xlfn.XLOOKUP($D96,'Modelling New'!$D:$D,'Modelling New'!$J:$J),"")</f>
        <v>8.18</v>
      </c>
      <c r="AD96" s="166">
        <f>IFERROR(_xlfn.XLOOKUP($D96,'Modelling New'!$D:$D,'Modelling New'!$T:$T)*1000,"")</f>
        <v>963883.16796059138</v>
      </c>
      <c r="AE96" s="174"/>
      <c r="AF96" s="174">
        <f>IFERROR(_xlfn.XLOOKUP($D96,'Modelling New'!$D:$D,'Modelling New'!$W:$W),"")</f>
        <v>0.57210539408867012</v>
      </c>
      <c r="AG96" s="174">
        <f>IFERROR(_xlfn.XLOOKUP($D96,'Modelling New'!$D:$D,'Modelling New'!$AE:$AE),"")</f>
        <v>0.96029999999999993</v>
      </c>
      <c r="AH96" s="174">
        <f>IFERROR(_xlfn.XLOOKUP($D96,'Modelling New'!$D:$D,'Modelling New'!$AF:$AF),"")</f>
        <v>0.995</v>
      </c>
      <c r="AI96" s="177">
        <f>IFERROR(_xlfn.XLOOKUP($A96,Input_Raw!$A:$A,Input_Raw!$BQ:$BQ),"")</f>
        <v>938.65</v>
      </c>
      <c r="AJ96" s="167"/>
      <c r="AK96" s="167"/>
      <c r="AL96" s="167"/>
      <c r="AM96" s="167"/>
      <c r="AN96" s="175">
        <f>IFERROR(_xlfn.XLOOKUP($A96,Input_Raw!$A:$A,Input_Raw!$BN:$BN),"")</f>
        <v>2.8016984124277406E-2</v>
      </c>
      <c r="AO96" s="174">
        <f>IFERROR((_xlfn.XLOOKUP($A96,'WTG Reactive Power'!$A:$A,'WTG Reactive Power'!$AE:$AE))/Table13[[#This Row],[Gen_Exp (kWh)]],"")</f>
        <v>8.1850291879110339E-3</v>
      </c>
      <c r="AP96" s="174">
        <f>IFERROR(_xlfn.XLOOKUP($D96,'Modelling New'!$D:$D,'Modelling New'!$AK:$AK),"")</f>
        <v>0.05</v>
      </c>
      <c r="AQ96" s="174">
        <f>IFERROR(_xlfn.XLOOKUP($D96,'Modelling New'!$D:$D,'Modelling New'!$AL:$AL),"")</f>
        <v>0.05</v>
      </c>
      <c r="AR96" s="276">
        <f>IFERROR(_xlfn.XLOOKUP($D96,'Modelling New'!$D:$D,'Modelling New'!$N:$N),"")</f>
        <v>70.2</v>
      </c>
      <c r="AS96" s="276"/>
    </row>
    <row r="97" spans="1:45">
      <c r="A97" s="165">
        <f t="shared" si="11"/>
        <v>45840</v>
      </c>
      <c r="B97" s="166">
        <f>YEAR(Table13[[#This Row],[Date]])+IF(MONTH(Table13[[#This Row],[Date]])&gt;=4,1,0)</f>
        <v>2026</v>
      </c>
      <c r="C97" s="167">
        <f>YEAR(Table13[[#This Row],[Date]])</f>
        <v>2025</v>
      </c>
      <c r="D97" s="168">
        <f>Table13[[#This Row],[Date]]-DAY(Table13[[#This Row],[Date]])+1</f>
        <v>45839</v>
      </c>
      <c r="E97" s="167">
        <f t="shared" si="8"/>
        <v>31</v>
      </c>
      <c r="F97" s="169"/>
      <c r="G97" s="176"/>
      <c r="H97" s="176"/>
      <c r="I97" s="176"/>
      <c r="J97" s="176"/>
      <c r="K97" s="171"/>
      <c r="L97" s="170"/>
      <c r="M97" s="170">
        <f>IFERROR(_xlfn.XLOOKUP($A97,Input_Raw!$A:$A,Input_Raw!BG:BG),"")</f>
        <v>7.2251072211121912</v>
      </c>
      <c r="N97" s="170">
        <f>IFERROR(_xlfn.XLOOKUP($A97,Input_Raw!$A:$A,Input_Raw!BH:BH),"")</f>
        <v>0</v>
      </c>
      <c r="O97" s="173">
        <f t="shared" si="9"/>
        <v>0.94994118737999644</v>
      </c>
      <c r="P97" s="173">
        <f>IFERROR(1-SUMIF(WTG_BD!$F:$F,$A97,WTG_BD!$AA:$AA)/($AA97+SUMIF(WTG_BD!$F:$F,$A97,WTG_BD!$AA:$AA)),"")</f>
        <v>0.95567683669764669</v>
      </c>
      <c r="Q97" s="173">
        <f>IFERROR(1-SUMIF(IGA_BD!$F:$F,$A97,IGA_BD!$X:$X)/($AA97+SUMIF(IGA_BD!$F:$F,$A97,IGA_BD!$X:$X)),"")</f>
        <v>0.99399833803917459</v>
      </c>
      <c r="R97" s="173">
        <f>IFERROR(1-SUMIF(Grid_BD!$F:$F,$A97,Grid_BD!$Y:$Y)/($AA97+SUMIF(Grid_BD!$F:$F,$A97,Grid_BD!$Y:$Y)),"")</f>
        <v>1</v>
      </c>
      <c r="S97" s="167"/>
      <c r="T97" s="172"/>
      <c r="U97" s="173"/>
      <c r="V97" s="167"/>
      <c r="W97" s="174">
        <f t="shared" si="10"/>
        <v>0.4473824786324786</v>
      </c>
      <c r="X97" s="167">
        <f>IFERROR(_xlfn.XLOOKUP($A97,Input_Raw!$A:$A,Input_Raw!$BF:$BF),"")</f>
        <v>774833</v>
      </c>
      <c r="Y97" s="167">
        <f>IFERROR(_xlfn.XLOOKUP($A97,Input_Raw!$A:$A,Input_Raw!BJ:BJ),"")</f>
        <v>753750</v>
      </c>
      <c r="Z97" s="167">
        <f>IFERROR(_xlfn.XLOOKUP($A97,Input_Raw!$A:$A,Input_Raw!BK:BK),"")</f>
        <v>0</v>
      </c>
      <c r="AA97" s="167">
        <f>IFERROR(_xlfn.XLOOKUP($A97,Input_Raw!$A:$A,Input_Raw!BL:BL),"")</f>
        <v>753750</v>
      </c>
      <c r="AB97" s="167">
        <f>IFERROR(_xlfn.XLOOKUP($A97,Input_Raw!$A:$A,Input_Raw!$BO:$BO),"")</f>
        <v>70.2</v>
      </c>
      <c r="AC97" s="176">
        <f>IFERROR(_xlfn.XLOOKUP($D97,'Modelling New'!$D:$D,'Modelling New'!$J:$J),"")</f>
        <v>8.18</v>
      </c>
      <c r="AD97" s="166">
        <f>IFERROR(_xlfn.XLOOKUP($D97,'Modelling New'!$D:$D,'Modelling New'!$T:$T)*1000,"")</f>
        <v>963883.16796059138</v>
      </c>
      <c r="AE97" s="174"/>
      <c r="AF97" s="174">
        <f>IFERROR(_xlfn.XLOOKUP($D97,'Modelling New'!$D:$D,'Modelling New'!$W:$W),"")</f>
        <v>0.57210539408867012</v>
      </c>
      <c r="AG97" s="174">
        <f>IFERROR(_xlfn.XLOOKUP($D97,'Modelling New'!$D:$D,'Modelling New'!$AE:$AE),"")</f>
        <v>0.96029999999999993</v>
      </c>
      <c r="AH97" s="174">
        <f>IFERROR(_xlfn.XLOOKUP($D97,'Modelling New'!$D:$D,'Modelling New'!$AF:$AF),"")</f>
        <v>0.995</v>
      </c>
      <c r="AI97" s="177">
        <f>IFERROR(_xlfn.XLOOKUP($A97,Input_Raw!$A:$A,Input_Raw!$BQ:$BQ),"")</f>
        <v>831.68</v>
      </c>
      <c r="AJ97" s="167"/>
      <c r="AK97" s="167"/>
      <c r="AL97" s="167"/>
      <c r="AM97" s="167"/>
      <c r="AN97" s="175">
        <f>IFERROR(_xlfn.XLOOKUP($A97,Input_Raw!$A:$A,Input_Raw!$BN:$BN),"")</f>
        <v>2.7209734226601088E-2</v>
      </c>
      <c r="AO97" s="174">
        <f>IFERROR((_xlfn.XLOOKUP($A97,'WTG Reactive Power'!$A:$A,'WTG Reactive Power'!$AE:$AE))/Table13[[#This Row],[Gen_Exp (kWh)]],"")</f>
        <v>1.5100028006034849E-2</v>
      </c>
      <c r="AP97" s="174">
        <f>IFERROR(_xlfn.XLOOKUP($D97,'Modelling New'!$D:$D,'Modelling New'!$AK:$AK),"")</f>
        <v>0.05</v>
      </c>
      <c r="AQ97" s="174">
        <f>IFERROR(_xlfn.XLOOKUP($D97,'Modelling New'!$D:$D,'Modelling New'!$AL:$AL),"")</f>
        <v>0.05</v>
      </c>
      <c r="AR97" s="276">
        <f>IFERROR(_xlfn.XLOOKUP($D97,'Modelling New'!$D:$D,'Modelling New'!$N:$N),"")</f>
        <v>70.2</v>
      </c>
      <c r="AS97" s="276"/>
    </row>
    <row r="98" spans="1:45">
      <c r="A98" s="165">
        <f t="shared" si="11"/>
        <v>45841</v>
      </c>
      <c r="B98" s="166">
        <f>YEAR(Table13[[#This Row],[Date]])+IF(MONTH(Table13[[#This Row],[Date]])&gt;=4,1,0)</f>
        <v>2026</v>
      </c>
      <c r="C98" s="167">
        <f>YEAR(Table13[[#This Row],[Date]])</f>
        <v>2025</v>
      </c>
      <c r="D98" s="168">
        <f>Table13[[#This Row],[Date]]-DAY(Table13[[#This Row],[Date]])+1</f>
        <v>45839</v>
      </c>
      <c r="E98" s="167">
        <f t="shared" si="8"/>
        <v>31</v>
      </c>
      <c r="F98" s="169"/>
      <c r="G98" s="170"/>
      <c r="H98" s="170"/>
      <c r="I98" s="170"/>
      <c r="J98" s="170"/>
      <c r="K98" s="171"/>
      <c r="L98" s="170"/>
      <c r="M98" s="170">
        <f>IFERROR(_xlfn.XLOOKUP($A98,Input_Raw!$A:$A,Input_Raw!BG:BG),"")</f>
        <v>6.9956249990779096</v>
      </c>
      <c r="N98" s="170">
        <f>IFERROR(_xlfn.XLOOKUP($A98,Input_Raw!$A:$A,Input_Raw!BH:BH),"")</f>
        <v>0</v>
      </c>
      <c r="O98" s="173">
        <f t="shared" si="9"/>
        <v>0.95794550432716941</v>
      </c>
      <c r="P98" s="173">
        <f>IFERROR(1-SUMIF(WTG_BD!$F:$F,$A98,WTG_BD!$AA:$AA)/($AA98+SUMIF(WTG_BD!$F:$F,$A98,WTG_BD!$AA:$AA)),"")</f>
        <v>0.95794550432716941</v>
      </c>
      <c r="Q98" s="173">
        <f>IFERROR(1-SUMIF(IGA_BD!$F:$F,$A98,IGA_BD!$X:$X)/($AA98+SUMIF(IGA_BD!$F:$F,$A98,IGA_BD!$X:$X)),"")</f>
        <v>1</v>
      </c>
      <c r="R98" s="173">
        <f>IFERROR(1-SUMIF(Grid_BD!$F:$F,$A98,Grid_BD!$Y:$Y)/($AA98+SUMIF(Grid_BD!$F:$F,$A98,Grid_BD!$Y:$Y)),"")</f>
        <v>1</v>
      </c>
      <c r="S98" s="167"/>
      <c r="T98" s="172"/>
      <c r="U98" s="173"/>
      <c r="V98" s="167"/>
      <c r="W98" s="174">
        <f t="shared" si="10"/>
        <v>0.42788461538461531</v>
      </c>
      <c r="X98" s="167">
        <f>IFERROR(_xlfn.XLOOKUP($A98,Input_Raw!$A:$A,Input_Raw!$BF:$BF),"")</f>
        <v>740015</v>
      </c>
      <c r="Y98" s="167">
        <f>IFERROR(_xlfn.XLOOKUP($A98,Input_Raw!$A:$A,Input_Raw!BJ:BJ),"")</f>
        <v>720900</v>
      </c>
      <c r="Z98" s="167">
        <f>IFERROR(_xlfn.XLOOKUP($A98,Input_Raw!$A:$A,Input_Raw!BK:BK),"")</f>
        <v>0</v>
      </c>
      <c r="AA98" s="167">
        <f>IFERROR(_xlfn.XLOOKUP($A98,Input_Raw!$A:$A,Input_Raw!BL:BL),"")</f>
        <v>720900</v>
      </c>
      <c r="AB98" s="167">
        <f>IFERROR(_xlfn.XLOOKUP($A98,Input_Raw!$A:$A,Input_Raw!$BO:$BO),"")</f>
        <v>70.2</v>
      </c>
      <c r="AC98" s="176">
        <f>IFERROR(_xlfn.XLOOKUP($D98,'Modelling New'!$D:$D,'Modelling New'!$J:$J),"")</f>
        <v>8.18</v>
      </c>
      <c r="AD98" s="166">
        <f>IFERROR(_xlfn.XLOOKUP($D98,'Modelling New'!$D:$D,'Modelling New'!$T:$T)*1000,"")</f>
        <v>963883.16796059138</v>
      </c>
      <c r="AE98" s="174"/>
      <c r="AF98" s="174">
        <f>IFERROR(_xlfn.XLOOKUP($D98,'Modelling New'!$D:$D,'Modelling New'!$W:$W),"")</f>
        <v>0.57210539408867012</v>
      </c>
      <c r="AG98" s="174">
        <f>IFERROR(_xlfn.XLOOKUP($D98,'Modelling New'!$D:$D,'Modelling New'!$AE:$AE),"")</f>
        <v>0.96029999999999993</v>
      </c>
      <c r="AH98" s="174">
        <f>IFERROR(_xlfn.XLOOKUP($D98,'Modelling New'!$D:$D,'Modelling New'!$AF:$AF),"")</f>
        <v>0.995</v>
      </c>
      <c r="AI98" s="177">
        <f>IFERROR(_xlfn.XLOOKUP($A98,Input_Raw!$A:$A,Input_Raw!$BQ:$BQ),"")</f>
        <v>789.12</v>
      </c>
      <c r="AJ98" s="167"/>
      <c r="AK98" s="167"/>
      <c r="AL98" s="167"/>
      <c r="AM98" s="167"/>
      <c r="AN98" s="175">
        <f>IFERROR(_xlfn.XLOOKUP($A98,Input_Raw!$A:$A,Input_Raw!$BN:$BN),"")</f>
        <v>2.5830557488699554E-2</v>
      </c>
      <c r="AO98" s="174">
        <f>IFERROR((_xlfn.XLOOKUP($A98,'WTG Reactive Power'!$A:$A,'WTG Reactive Power'!$AE:$AE))/Table13[[#This Row],[Gen_Exp (kWh)]],"")</f>
        <v>2.4323561008898474E-3</v>
      </c>
      <c r="AP98" s="174">
        <f>IFERROR(_xlfn.XLOOKUP($D98,'Modelling New'!$D:$D,'Modelling New'!$AK:$AK),"")</f>
        <v>0.05</v>
      </c>
      <c r="AQ98" s="174">
        <f>IFERROR(_xlfn.XLOOKUP($D98,'Modelling New'!$D:$D,'Modelling New'!$AL:$AL),"")</f>
        <v>0.05</v>
      </c>
      <c r="AR98" s="276">
        <f>IFERROR(_xlfn.XLOOKUP($D98,'Modelling New'!$D:$D,'Modelling New'!$N:$N),"")</f>
        <v>70.2</v>
      </c>
      <c r="AS98" s="276"/>
    </row>
    <row r="99" spans="1:45">
      <c r="A99" s="165">
        <f t="shared" si="11"/>
        <v>45842</v>
      </c>
      <c r="B99" s="166">
        <f>YEAR(Table13[[#This Row],[Date]])+IF(MONTH(Table13[[#This Row],[Date]])&gt;=4,1,0)</f>
        <v>2026</v>
      </c>
      <c r="C99" s="167">
        <f>YEAR(Table13[[#This Row],[Date]])</f>
        <v>2025</v>
      </c>
      <c r="D99" s="168">
        <f>Table13[[#This Row],[Date]]-DAY(Table13[[#This Row],[Date]])+1</f>
        <v>45839</v>
      </c>
      <c r="E99" s="167">
        <f t="shared" si="8"/>
        <v>31</v>
      </c>
      <c r="F99" s="169"/>
      <c r="G99" s="176"/>
      <c r="H99" s="176"/>
      <c r="I99" s="176"/>
      <c r="J99" s="176"/>
      <c r="K99" s="171"/>
      <c r="L99" s="170"/>
      <c r="M99" s="170">
        <f>IFERROR(_xlfn.XLOOKUP($A99,Input_Raw!$A:$A,Input_Raw!BG:BG),"")</f>
        <v>5.5617045970796006</v>
      </c>
      <c r="N99" s="170">
        <f>IFERROR(_xlfn.XLOOKUP($A99,Input_Raw!$A:$A,Input_Raw!BH:BH),"")</f>
        <v>0</v>
      </c>
      <c r="O99" s="173">
        <f t="shared" si="9"/>
        <v>0.93794241658497657</v>
      </c>
      <c r="P99" s="173">
        <f>IFERROR(1-SUMIF(WTG_BD!$F:$F,$A99,WTG_BD!$AA:$AA)/($AA99+SUMIF(WTG_BD!$F:$F,$A99,WTG_BD!$AA:$AA)),"")</f>
        <v>0.93794241658497657</v>
      </c>
      <c r="Q99" s="173">
        <f>IFERROR(1-SUMIF(IGA_BD!$F:$F,$A99,IGA_BD!$X:$X)/($AA99+SUMIF(IGA_BD!$F:$F,$A99,IGA_BD!$X:$X)),"")</f>
        <v>1</v>
      </c>
      <c r="R99" s="173">
        <f>IFERROR(1-SUMIF(Grid_BD!$F:$F,$A99,Grid_BD!$Y:$Y)/($AA99+SUMIF(Grid_BD!$F:$F,$A99,Grid_BD!$Y:$Y)),"")</f>
        <v>1</v>
      </c>
      <c r="S99" s="167"/>
      <c r="T99" s="172"/>
      <c r="U99" s="173"/>
      <c r="V99" s="167"/>
      <c r="W99" s="174">
        <f t="shared" si="10"/>
        <v>0.2409188034188034</v>
      </c>
      <c r="X99" s="167">
        <f>IFERROR(_xlfn.XLOOKUP($A99,Input_Raw!$A:$A,Input_Raw!$BF:$BF),"")</f>
        <v>416349</v>
      </c>
      <c r="Y99" s="167">
        <f>IFERROR(_xlfn.XLOOKUP($A99,Input_Raw!$A:$A,Input_Raw!BJ:BJ),"")</f>
        <v>405900</v>
      </c>
      <c r="Z99" s="167">
        <f>IFERROR(_xlfn.XLOOKUP($A99,Input_Raw!$A:$A,Input_Raw!BK:BK),"")</f>
        <v>0</v>
      </c>
      <c r="AA99" s="167">
        <f>IFERROR(_xlfn.XLOOKUP($A99,Input_Raw!$A:$A,Input_Raw!BL:BL),"")</f>
        <v>405900</v>
      </c>
      <c r="AB99" s="167">
        <f>IFERROR(_xlfn.XLOOKUP($A99,Input_Raw!$A:$A,Input_Raw!$BO:$BO),"")</f>
        <v>70.2</v>
      </c>
      <c r="AC99" s="176">
        <f>IFERROR(_xlfn.XLOOKUP($D99,'Modelling New'!$D:$D,'Modelling New'!$J:$J),"")</f>
        <v>8.18</v>
      </c>
      <c r="AD99" s="166">
        <f>IFERROR(_xlfn.XLOOKUP($D99,'Modelling New'!$D:$D,'Modelling New'!$T:$T)*1000,"")</f>
        <v>963883.16796059138</v>
      </c>
      <c r="AE99" s="174"/>
      <c r="AF99" s="174">
        <f>IFERROR(_xlfn.XLOOKUP($D99,'Modelling New'!$D:$D,'Modelling New'!$W:$W),"")</f>
        <v>0.57210539408867012</v>
      </c>
      <c r="AG99" s="174">
        <f>IFERROR(_xlfn.XLOOKUP($D99,'Modelling New'!$D:$D,'Modelling New'!$AE:$AE),"")</f>
        <v>0.96029999999999993</v>
      </c>
      <c r="AH99" s="174">
        <f>IFERROR(_xlfn.XLOOKUP($D99,'Modelling New'!$D:$D,'Modelling New'!$AF:$AF),"")</f>
        <v>0.995</v>
      </c>
      <c r="AI99" s="177">
        <f>IFERROR(_xlfn.XLOOKUP($A99,Input_Raw!$A:$A,Input_Raw!$BQ:$BQ),"")</f>
        <v>445.95</v>
      </c>
      <c r="AJ99" s="167"/>
      <c r="AK99" s="167"/>
      <c r="AL99" s="167"/>
      <c r="AM99" s="167"/>
      <c r="AN99" s="175">
        <f>IFERROR(_xlfn.XLOOKUP($A99,Input_Raw!$A:$A,Input_Raw!$BN:$BN),"")</f>
        <v>2.5096733749810855E-2</v>
      </c>
      <c r="AO99" s="174">
        <f>IFERROR((_xlfn.XLOOKUP($A99,'WTG Reactive Power'!$A:$A,'WTG Reactive Power'!$AE:$AE))/Table13[[#This Row],[Gen_Exp (kWh)]],"")</f>
        <v>2.1613117841042017E-3</v>
      </c>
      <c r="AP99" s="174">
        <f>IFERROR(_xlfn.XLOOKUP($D99,'Modelling New'!$D:$D,'Modelling New'!$AK:$AK),"")</f>
        <v>0.05</v>
      </c>
      <c r="AQ99" s="174">
        <f>IFERROR(_xlfn.XLOOKUP($D99,'Modelling New'!$D:$D,'Modelling New'!$AL:$AL),"")</f>
        <v>0.05</v>
      </c>
      <c r="AR99" s="276">
        <f>IFERROR(_xlfn.XLOOKUP($D99,'Modelling New'!$D:$D,'Modelling New'!$N:$N),"")</f>
        <v>70.2</v>
      </c>
      <c r="AS99" s="276"/>
    </row>
    <row r="100" spans="1:45">
      <c r="A100" s="165">
        <f t="shared" si="11"/>
        <v>45843</v>
      </c>
      <c r="B100" s="166">
        <f>YEAR(Table13[[#This Row],[Date]])+IF(MONTH(Table13[[#This Row],[Date]])&gt;=4,1,0)</f>
        <v>2026</v>
      </c>
      <c r="C100" s="167">
        <f>YEAR(Table13[[#This Row],[Date]])</f>
        <v>2025</v>
      </c>
      <c r="D100" s="168">
        <f>Table13[[#This Row],[Date]]-DAY(Table13[[#This Row],[Date]])+1</f>
        <v>45839</v>
      </c>
      <c r="E100" s="167">
        <f t="shared" si="8"/>
        <v>31</v>
      </c>
      <c r="F100" s="169"/>
      <c r="G100" s="170"/>
      <c r="H100" s="170"/>
      <c r="I100" s="170"/>
      <c r="J100" s="170"/>
      <c r="K100" s="171"/>
      <c r="L100" s="170"/>
      <c r="M100" s="170">
        <f>IFERROR(_xlfn.XLOOKUP($A100,Input_Raw!$A:$A,Input_Raw!BG:BG),"")</f>
        <v>6.5120095532882321</v>
      </c>
      <c r="N100" s="170">
        <f>IFERROR(_xlfn.XLOOKUP($A100,Input_Raw!$A:$A,Input_Raw!BH:BH),"")</f>
        <v>0</v>
      </c>
      <c r="O100" s="173">
        <f t="shared" si="9"/>
        <v>0.91077487549734015</v>
      </c>
      <c r="P100" s="173">
        <f>IFERROR(1-SUMIF(WTG_BD!$F:$F,$A100,WTG_BD!$AA:$AA)/($AA100+SUMIF(WTG_BD!$F:$F,$A100,WTG_BD!$AA:$AA)),"")</f>
        <v>0.91077487549734015</v>
      </c>
      <c r="Q100" s="173">
        <f>IFERROR(1-SUMIF(IGA_BD!$F:$F,$A100,IGA_BD!$X:$X)/($AA100+SUMIF(IGA_BD!$F:$F,$A100,IGA_BD!$X:$X)),"")</f>
        <v>1</v>
      </c>
      <c r="R100" s="173">
        <f>IFERROR(1-SUMIF(Grid_BD!$F:$F,$A100,Grid_BD!$Y:$Y)/($AA100+SUMIF(Grid_BD!$F:$F,$A100,Grid_BD!$Y:$Y)),"")</f>
        <v>1</v>
      </c>
      <c r="S100" s="167"/>
      <c r="T100" s="172"/>
      <c r="U100" s="173"/>
      <c r="V100" s="167"/>
      <c r="W100" s="174">
        <f t="shared" si="10"/>
        <v>0.33173076923076916</v>
      </c>
      <c r="X100" s="167">
        <f>IFERROR(_xlfn.XLOOKUP($A100,Input_Raw!$A:$A,Input_Raw!$BF:$BF),"")</f>
        <v>572949</v>
      </c>
      <c r="Y100" s="167">
        <f>IFERROR(_xlfn.XLOOKUP($A100,Input_Raw!$A:$A,Input_Raw!BJ:BJ),"")</f>
        <v>558900</v>
      </c>
      <c r="Z100" s="167">
        <f>IFERROR(_xlfn.XLOOKUP($A100,Input_Raw!$A:$A,Input_Raw!BK:BK),"")</f>
        <v>0</v>
      </c>
      <c r="AA100" s="167">
        <f>IFERROR(_xlfn.XLOOKUP($A100,Input_Raw!$A:$A,Input_Raw!BL:BL),"")</f>
        <v>558900</v>
      </c>
      <c r="AB100" s="167">
        <f>IFERROR(_xlfn.XLOOKUP($A100,Input_Raw!$A:$A,Input_Raw!$BO:$BO),"")</f>
        <v>70.2</v>
      </c>
      <c r="AC100" s="176">
        <f>IFERROR(_xlfn.XLOOKUP($D100,'Modelling New'!$D:$D,'Modelling New'!$J:$J),"")</f>
        <v>8.18</v>
      </c>
      <c r="AD100" s="166">
        <f>IFERROR(_xlfn.XLOOKUP($D100,'Modelling New'!$D:$D,'Modelling New'!$T:$T)*1000,"")</f>
        <v>963883.16796059138</v>
      </c>
      <c r="AE100" s="174"/>
      <c r="AF100" s="174">
        <f>IFERROR(_xlfn.XLOOKUP($D100,'Modelling New'!$D:$D,'Modelling New'!$W:$W),"")</f>
        <v>0.57210539408867012</v>
      </c>
      <c r="AG100" s="174">
        <f>IFERROR(_xlfn.XLOOKUP($D100,'Modelling New'!$D:$D,'Modelling New'!$AE:$AE),"")</f>
        <v>0.96029999999999993</v>
      </c>
      <c r="AH100" s="174">
        <f>IFERROR(_xlfn.XLOOKUP($D100,'Modelling New'!$D:$D,'Modelling New'!$AF:$AF),"")</f>
        <v>0.995</v>
      </c>
      <c r="AI100" s="177">
        <f>IFERROR(_xlfn.XLOOKUP($A100,Input_Raw!$A:$A,Input_Raw!$BQ:$BQ),"")</f>
        <v>637.63</v>
      </c>
      <c r="AJ100" s="167"/>
      <c r="AK100" s="167"/>
      <c r="AL100" s="167"/>
      <c r="AM100" s="167"/>
      <c r="AN100" s="175">
        <f>IFERROR(_xlfn.XLOOKUP($A100,Input_Raw!$A:$A,Input_Raw!$BN:$BN),"")</f>
        <v>2.4520507060837877E-2</v>
      </c>
      <c r="AO100" s="174">
        <f>IFERROR((_xlfn.XLOOKUP($A100,'WTG Reactive Power'!$A:$A,'WTG Reactive Power'!$AE:$AE))/Table13[[#This Row],[Gen_Exp (kWh)]],"")</f>
        <v>2.3560910307898262E-3</v>
      </c>
      <c r="AP100" s="174">
        <f>IFERROR(_xlfn.XLOOKUP($D100,'Modelling New'!$D:$D,'Modelling New'!$AK:$AK),"")</f>
        <v>0.05</v>
      </c>
      <c r="AQ100" s="174">
        <f>IFERROR(_xlfn.XLOOKUP($D100,'Modelling New'!$D:$D,'Modelling New'!$AL:$AL),"")</f>
        <v>0.05</v>
      </c>
      <c r="AR100" s="276">
        <f>IFERROR(_xlfn.XLOOKUP($D100,'Modelling New'!$D:$D,'Modelling New'!$N:$N),"")</f>
        <v>70.2</v>
      </c>
      <c r="AS100" s="276"/>
    </row>
    <row r="101" spans="1:45">
      <c r="A101" s="165">
        <f t="shared" si="11"/>
        <v>45844</v>
      </c>
      <c r="B101" s="166">
        <f>YEAR(Table13[[#This Row],[Date]])+IF(MONTH(Table13[[#This Row],[Date]])&gt;=4,1,0)</f>
        <v>2026</v>
      </c>
      <c r="C101" s="167">
        <f>YEAR(Table13[[#This Row],[Date]])</f>
        <v>2025</v>
      </c>
      <c r="D101" s="168">
        <f>Table13[[#This Row],[Date]]-DAY(Table13[[#This Row],[Date]])+1</f>
        <v>45839</v>
      </c>
      <c r="E101" s="167">
        <f t="shared" si="8"/>
        <v>31</v>
      </c>
      <c r="F101" s="169"/>
      <c r="G101" s="176"/>
      <c r="H101" s="176"/>
      <c r="I101" s="176"/>
      <c r="J101" s="176"/>
      <c r="K101" s="171"/>
      <c r="L101" s="170"/>
      <c r="M101" s="170">
        <f>IFERROR(_xlfn.XLOOKUP($A101,Input_Raw!$A:$A,Input_Raw!BG:BG),"")</f>
        <v>7.6739585397630368</v>
      </c>
      <c r="N101" s="170">
        <f>IFERROR(_xlfn.XLOOKUP($A101,Input_Raw!$A:$A,Input_Raw!BH:BH),"")</f>
        <v>0</v>
      </c>
      <c r="O101" s="173">
        <f t="shared" si="9"/>
        <v>0.90410913751602495</v>
      </c>
      <c r="P101" s="173">
        <f>IFERROR(1-SUMIF(WTG_BD!$F:$F,$A101,WTG_BD!$AA:$AA)/($AA101+SUMIF(WTG_BD!$F:$F,$A101,WTG_BD!$AA:$AA)),"")</f>
        <v>0.9175454717870134</v>
      </c>
      <c r="Q101" s="173">
        <f>IFERROR(1-SUMIF(IGA_BD!$F:$F,$A101,IGA_BD!$X:$X)/($AA101+SUMIF(IGA_BD!$F:$F,$A101,IGA_BD!$X:$X)),"")</f>
        <v>0.98535621973609677</v>
      </c>
      <c r="R101" s="173">
        <f>IFERROR(1-SUMIF(Grid_BD!$F:$F,$A101,Grid_BD!$Y:$Y)/($AA101+SUMIF(Grid_BD!$F:$F,$A101,Grid_BD!$Y:$Y)),"")</f>
        <v>1</v>
      </c>
      <c r="S101" s="167"/>
      <c r="T101" s="172"/>
      <c r="U101" s="173"/>
      <c r="V101" s="167"/>
      <c r="W101" s="174">
        <f t="shared" si="10"/>
        <v>0.47569444444444436</v>
      </c>
      <c r="X101" s="167">
        <f>IFERROR(_xlfn.XLOOKUP($A101,Input_Raw!$A:$A,Input_Raw!$BF:$BF),"")</f>
        <v>822516</v>
      </c>
      <c r="Y101" s="167">
        <f>IFERROR(_xlfn.XLOOKUP($A101,Input_Raw!$A:$A,Input_Raw!BJ:BJ),"")</f>
        <v>801450</v>
      </c>
      <c r="Z101" s="167">
        <f>IFERROR(_xlfn.XLOOKUP($A101,Input_Raw!$A:$A,Input_Raw!BK:BK),"")</f>
        <v>0</v>
      </c>
      <c r="AA101" s="167">
        <f>IFERROR(_xlfn.XLOOKUP($A101,Input_Raw!$A:$A,Input_Raw!BL:BL),"")</f>
        <v>801450</v>
      </c>
      <c r="AB101" s="167">
        <f>IFERROR(_xlfn.XLOOKUP($A101,Input_Raw!$A:$A,Input_Raw!$BO:$BO),"")</f>
        <v>70.2</v>
      </c>
      <c r="AC101" s="176">
        <f>IFERROR(_xlfn.XLOOKUP($D101,'Modelling New'!$D:$D,'Modelling New'!$J:$J),"")</f>
        <v>8.18</v>
      </c>
      <c r="AD101" s="166">
        <f>IFERROR(_xlfn.XLOOKUP($D101,'Modelling New'!$D:$D,'Modelling New'!$T:$T)*1000,"")</f>
        <v>963883.16796059138</v>
      </c>
      <c r="AE101" s="174"/>
      <c r="AF101" s="174">
        <f>IFERROR(_xlfn.XLOOKUP($D101,'Modelling New'!$D:$D,'Modelling New'!$W:$W),"")</f>
        <v>0.57210539408867012</v>
      </c>
      <c r="AG101" s="174">
        <f>IFERROR(_xlfn.XLOOKUP($D101,'Modelling New'!$D:$D,'Modelling New'!$AE:$AE),"")</f>
        <v>0.96029999999999993</v>
      </c>
      <c r="AH101" s="174">
        <f>IFERROR(_xlfn.XLOOKUP($D101,'Modelling New'!$D:$D,'Modelling New'!$AF:$AF),"")</f>
        <v>0.995</v>
      </c>
      <c r="AI101" s="177">
        <f>IFERROR(_xlfn.XLOOKUP($A101,Input_Raw!$A:$A,Input_Raw!$BQ:$BQ),"")</f>
        <v>935.58</v>
      </c>
      <c r="AJ101" s="167"/>
      <c r="AK101" s="167"/>
      <c r="AL101" s="167"/>
      <c r="AM101" s="167"/>
      <c r="AN101" s="175">
        <f>IFERROR(_xlfn.XLOOKUP($A101,Input_Raw!$A:$A,Input_Raw!$BN:$BN),"")</f>
        <v>2.5611659833972834E-2</v>
      </c>
      <c r="AO101" s="174">
        <f>IFERROR((_xlfn.XLOOKUP($A101,'WTG Reactive Power'!$A:$A,'WTG Reactive Power'!$AE:$AE))/Table13[[#This Row],[Gen_Exp (kWh)]],"")</f>
        <v>3.2824163906841936E-3</v>
      </c>
      <c r="AP101" s="174">
        <f>IFERROR(_xlfn.XLOOKUP($D101,'Modelling New'!$D:$D,'Modelling New'!$AK:$AK),"")</f>
        <v>0.05</v>
      </c>
      <c r="AQ101" s="174">
        <f>IFERROR(_xlfn.XLOOKUP($D101,'Modelling New'!$D:$D,'Modelling New'!$AL:$AL),"")</f>
        <v>0.05</v>
      </c>
      <c r="AR101" s="276">
        <f>IFERROR(_xlfn.XLOOKUP($D101,'Modelling New'!$D:$D,'Modelling New'!$N:$N),"")</f>
        <v>70.2</v>
      </c>
      <c r="AS101" s="276"/>
    </row>
    <row r="102" spans="1:45">
      <c r="A102" s="165">
        <f t="shared" si="11"/>
        <v>45845</v>
      </c>
      <c r="B102" s="166">
        <f>YEAR(Table13[[#This Row],[Date]])+IF(MONTH(Table13[[#This Row],[Date]])&gt;=4,1,0)</f>
        <v>2026</v>
      </c>
      <c r="C102" s="167">
        <f>YEAR(Table13[[#This Row],[Date]])</f>
        <v>2025</v>
      </c>
      <c r="D102" s="168">
        <f>Table13[[#This Row],[Date]]-DAY(Table13[[#This Row],[Date]])+1</f>
        <v>45839</v>
      </c>
      <c r="E102" s="167">
        <f t="shared" si="8"/>
        <v>31</v>
      </c>
      <c r="F102" s="169"/>
      <c r="G102" s="170"/>
      <c r="H102" s="170"/>
      <c r="I102" s="170"/>
      <c r="J102" s="170"/>
      <c r="K102" s="171"/>
      <c r="L102" s="170"/>
      <c r="M102" s="170">
        <f>IFERROR(_xlfn.XLOOKUP($A102,Input_Raw!$A:$A,Input_Raw!BG:BG),"")</f>
        <v>7.7634439343385679</v>
      </c>
      <c r="N102" s="170">
        <f>IFERROR(_xlfn.XLOOKUP($A102,Input_Raw!$A:$A,Input_Raw!BH:BH),"")</f>
        <v>0</v>
      </c>
      <c r="O102" s="173">
        <f t="shared" si="9"/>
        <v>0.9048173678252539</v>
      </c>
      <c r="P102" s="173">
        <f>IFERROR(1-SUMIF(WTG_BD!$F:$F,$A102,WTG_BD!$AA:$AA)/($AA102+SUMIF(WTG_BD!$F:$F,$A102,WTG_BD!$AA:$AA)),"")</f>
        <v>0.91497137505412962</v>
      </c>
      <c r="Q102" s="173">
        <f>IFERROR(1-SUMIF(IGA_BD!$F:$F,$A102,IGA_BD!$X:$X)/($AA102+SUMIF(IGA_BD!$F:$F,$A102,IGA_BD!$X:$X)),"")</f>
        <v>0.9889023771609522</v>
      </c>
      <c r="R102" s="173">
        <f>IFERROR(1-SUMIF(Grid_BD!$F:$F,$A102,Grid_BD!$Y:$Y)/($AA102+SUMIF(Grid_BD!$F:$F,$A102,Grid_BD!$Y:$Y)),"")</f>
        <v>1</v>
      </c>
      <c r="S102" s="167"/>
      <c r="T102" s="172"/>
      <c r="U102" s="173"/>
      <c r="V102" s="167"/>
      <c r="W102" s="174">
        <f t="shared" si="10"/>
        <v>0.49412393162393153</v>
      </c>
      <c r="X102" s="167">
        <f>IFERROR(_xlfn.XLOOKUP($A102,Input_Raw!$A:$A,Input_Raw!$BF:$BF),"")</f>
        <v>857288</v>
      </c>
      <c r="Y102" s="167">
        <f>IFERROR(_xlfn.XLOOKUP($A102,Input_Raw!$A:$A,Input_Raw!BJ:BJ),"")</f>
        <v>832500</v>
      </c>
      <c r="Z102" s="167">
        <f>IFERROR(_xlfn.XLOOKUP($A102,Input_Raw!$A:$A,Input_Raw!BK:BK),"")</f>
        <v>0</v>
      </c>
      <c r="AA102" s="167">
        <f>IFERROR(_xlfn.XLOOKUP($A102,Input_Raw!$A:$A,Input_Raw!BL:BL),"")</f>
        <v>832500</v>
      </c>
      <c r="AB102" s="167">
        <f>IFERROR(_xlfn.XLOOKUP($A102,Input_Raw!$A:$A,Input_Raw!$BO:$BO),"")</f>
        <v>70.2</v>
      </c>
      <c r="AC102" s="176">
        <f>IFERROR(_xlfn.XLOOKUP($D102,'Modelling New'!$D:$D,'Modelling New'!$J:$J),"")</f>
        <v>8.18</v>
      </c>
      <c r="AD102" s="166">
        <f>IFERROR(_xlfn.XLOOKUP($D102,'Modelling New'!$D:$D,'Modelling New'!$T:$T)*1000,"")</f>
        <v>963883.16796059138</v>
      </c>
      <c r="AE102" s="174"/>
      <c r="AF102" s="174">
        <f>IFERROR(_xlfn.XLOOKUP($D102,'Modelling New'!$D:$D,'Modelling New'!$W:$W),"")</f>
        <v>0.57210539408867012</v>
      </c>
      <c r="AG102" s="174">
        <f>IFERROR(_xlfn.XLOOKUP($D102,'Modelling New'!$D:$D,'Modelling New'!$AE:$AE),"")</f>
        <v>0.96029999999999993</v>
      </c>
      <c r="AH102" s="174">
        <f>IFERROR(_xlfn.XLOOKUP($D102,'Modelling New'!$D:$D,'Modelling New'!$AF:$AF),"")</f>
        <v>0.995</v>
      </c>
      <c r="AI102" s="177">
        <f>IFERROR(_xlfn.XLOOKUP($A102,Input_Raw!$A:$A,Input_Raw!$BQ:$BQ),"")</f>
        <v>948.36</v>
      </c>
      <c r="AJ102" s="167"/>
      <c r="AK102" s="167"/>
      <c r="AL102" s="167"/>
      <c r="AM102" s="167"/>
      <c r="AN102" s="175">
        <f>IFERROR(_xlfn.XLOOKUP($A102,Input_Raw!$A:$A,Input_Raw!$BN:$BN),"")</f>
        <v>2.8914437155308368E-2</v>
      </c>
      <c r="AO102" s="174">
        <f>IFERROR((_xlfn.XLOOKUP($A102,'WTG Reactive Power'!$A:$A,'WTG Reactive Power'!$AE:$AE))/Table13[[#This Row],[Gen_Exp (kWh)]],"")</f>
        <v>3.1492800552439791E-3</v>
      </c>
      <c r="AP102" s="174">
        <f>IFERROR(_xlfn.XLOOKUP($D102,'Modelling New'!$D:$D,'Modelling New'!$AK:$AK),"")</f>
        <v>0.05</v>
      </c>
      <c r="AQ102" s="174">
        <f>IFERROR(_xlfn.XLOOKUP($D102,'Modelling New'!$D:$D,'Modelling New'!$AL:$AL),"")</f>
        <v>0.05</v>
      </c>
      <c r="AR102" s="276">
        <f>IFERROR(_xlfn.XLOOKUP($D102,'Modelling New'!$D:$D,'Modelling New'!$N:$N),"")</f>
        <v>70.2</v>
      </c>
      <c r="AS102" s="276"/>
    </row>
    <row r="103" spans="1:45">
      <c r="A103" s="165">
        <f t="shared" si="11"/>
        <v>45846</v>
      </c>
      <c r="B103" s="166">
        <f>YEAR(Table13[[#This Row],[Date]])+IF(MONTH(Table13[[#This Row],[Date]])&gt;=4,1,0)</f>
        <v>2026</v>
      </c>
      <c r="C103" s="167">
        <f>YEAR(Table13[[#This Row],[Date]])</f>
        <v>2025</v>
      </c>
      <c r="D103" s="168">
        <f>Table13[[#This Row],[Date]]-DAY(Table13[[#This Row],[Date]])+1</f>
        <v>45839</v>
      </c>
      <c r="E103" s="167">
        <f t="shared" si="8"/>
        <v>31</v>
      </c>
      <c r="F103" s="169"/>
      <c r="G103" s="176"/>
      <c r="H103" s="176"/>
      <c r="I103" s="176"/>
      <c r="J103" s="176"/>
      <c r="K103" s="171"/>
      <c r="L103" s="170"/>
      <c r="M103" s="170">
        <f>IFERROR(_xlfn.XLOOKUP($A103,Input_Raw!$A:$A,Input_Raw!BG:BG),"")</f>
        <v>6.8320348464566667</v>
      </c>
      <c r="N103" s="170">
        <f>IFERROR(_xlfn.XLOOKUP($A103,Input_Raw!$A:$A,Input_Raw!BH:BH),"")</f>
        <v>0</v>
      </c>
      <c r="O103" s="173">
        <f t="shared" si="9"/>
        <v>0.93908615972231113</v>
      </c>
      <c r="P103" s="173">
        <f>IFERROR(1-SUMIF(WTG_BD!$F:$F,$A103,WTG_BD!$AA:$AA)/($AA103+SUMIF(WTG_BD!$F:$F,$A103,WTG_BD!$AA:$AA)),"")</f>
        <v>0.93908615972231113</v>
      </c>
      <c r="Q103" s="173">
        <f>IFERROR(1-SUMIF(IGA_BD!$F:$F,$A103,IGA_BD!$X:$X)/($AA103+SUMIF(IGA_BD!$F:$F,$A103,IGA_BD!$X:$X)),"")</f>
        <v>1</v>
      </c>
      <c r="R103" s="173">
        <f>IFERROR(1-SUMIF(Grid_BD!$F:$F,$A103,Grid_BD!$Y:$Y)/($AA103+SUMIF(Grid_BD!$F:$F,$A103,Grid_BD!$Y:$Y)),"")</f>
        <v>1</v>
      </c>
      <c r="S103" s="167"/>
      <c r="T103" s="172"/>
      <c r="U103" s="173"/>
      <c r="V103" s="167"/>
      <c r="W103" s="174">
        <f t="shared" si="10"/>
        <v>0.37847222222222215</v>
      </c>
      <c r="X103" s="167">
        <f>IFERROR(_xlfn.XLOOKUP($A103,Input_Raw!$A:$A,Input_Raw!$BF:$BF),"")</f>
        <v>653417</v>
      </c>
      <c r="Y103" s="167">
        <f>IFERROR(_xlfn.XLOOKUP($A103,Input_Raw!$A:$A,Input_Raw!BJ:BJ),"")</f>
        <v>637650</v>
      </c>
      <c r="Z103" s="167">
        <f>IFERROR(_xlfn.XLOOKUP($A103,Input_Raw!$A:$A,Input_Raw!BK:BK),"")</f>
        <v>0</v>
      </c>
      <c r="AA103" s="167">
        <f>IFERROR(_xlfn.XLOOKUP($A103,Input_Raw!$A:$A,Input_Raw!BL:BL),"")</f>
        <v>637650</v>
      </c>
      <c r="AB103" s="167">
        <f>IFERROR(_xlfn.XLOOKUP($A103,Input_Raw!$A:$A,Input_Raw!$BO:$BO),"")</f>
        <v>70.2</v>
      </c>
      <c r="AC103" s="176">
        <f>IFERROR(_xlfn.XLOOKUP($D103,'Modelling New'!$D:$D,'Modelling New'!$J:$J),"")</f>
        <v>8.18</v>
      </c>
      <c r="AD103" s="166">
        <f>IFERROR(_xlfn.XLOOKUP($D103,'Modelling New'!$D:$D,'Modelling New'!$T:$T)*1000,"")</f>
        <v>963883.16796059138</v>
      </c>
      <c r="AE103" s="174"/>
      <c r="AF103" s="174">
        <f>IFERROR(_xlfn.XLOOKUP($D103,'Modelling New'!$D:$D,'Modelling New'!$W:$W),"")</f>
        <v>0.57210539408867012</v>
      </c>
      <c r="AG103" s="174">
        <f>IFERROR(_xlfn.XLOOKUP($D103,'Modelling New'!$D:$D,'Modelling New'!$AE:$AE),"")</f>
        <v>0.96029999999999993</v>
      </c>
      <c r="AH103" s="174">
        <f>IFERROR(_xlfn.XLOOKUP($D103,'Modelling New'!$D:$D,'Modelling New'!$AF:$AF),"")</f>
        <v>0.995</v>
      </c>
      <c r="AI103" s="177">
        <f>IFERROR(_xlfn.XLOOKUP($A103,Input_Raw!$A:$A,Input_Raw!$BQ:$BQ),"")</f>
        <v>712.07</v>
      </c>
      <c r="AJ103" s="167"/>
      <c r="AK103" s="167"/>
      <c r="AL103" s="167"/>
      <c r="AM103" s="167"/>
      <c r="AN103" s="175">
        <f>IFERROR(_xlfn.XLOOKUP($A103,Input_Raw!$A:$A,Input_Raw!$BN:$BN),"")</f>
        <v>2.4130073138592965E-2</v>
      </c>
      <c r="AO103" s="174">
        <f>IFERROR((_xlfn.XLOOKUP($A103,'WTG Reactive Power'!$A:$A,'WTG Reactive Power'!$AE:$AE))/Table13[[#This Row],[Gen_Exp (kWh)]],"")</f>
        <v>2.7547186559272259E-3</v>
      </c>
      <c r="AP103" s="174">
        <f>IFERROR(_xlfn.XLOOKUP($D103,'Modelling New'!$D:$D,'Modelling New'!$AK:$AK),"")</f>
        <v>0.05</v>
      </c>
      <c r="AQ103" s="174">
        <f>IFERROR(_xlfn.XLOOKUP($D103,'Modelling New'!$D:$D,'Modelling New'!$AL:$AL),"")</f>
        <v>0.05</v>
      </c>
      <c r="AR103" s="276">
        <f>IFERROR(_xlfn.XLOOKUP($D103,'Modelling New'!$D:$D,'Modelling New'!$N:$N),"")</f>
        <v>70.2</v>
      </c>
      <c r="AS103" s="276"/>
    </row>
    <row r="104" spans="1:45">
      <c r="A104" s="165">
        <f t="shared" si="11"/>
        <v>45847</v>
      </c>
      <c r="B104" s="166">
        <f>YEAR(Table13[[#This Row],[Date]])+IF(MONTH(Table13[[#This Row],[Date]])&gt;=4,1,0)</f>
        <v>2026</v>
      </c>
      <c r="C104" s="167">
        <f>YEAR(Table13[[#This Row],[Date]])</f>
        <v>2025</v>
      </c>
      <c r="D104" s="168">
        <f>Table13[[#This Row],[Date]]-DAY(Table13[[#This Row],[Date]])+1</f>
        <v>45839</v>
      </c>
      <c r="E104" s="167">
        <f t="shared" si="8"/>
        <v>31</v>
      </c>
      <c r="F104" s="169"/>
      <c r="G104" s="170"/>
      <c r="H104" s="170"/>
      <c r="I104" s="170"/>
      <c r="J104" s="170"/>
      <c r="K104" s="171"/>
      <c r="L104" s="170"/>
      <c r="M104" s="170">
        <f>IFERROR(_xlfn.XLOOKUP($A104,Input_Raw!$A:$A,Input_Raw!BG:BG),"")</f>
        <v>7.0872809802874519</v>
      </c>
      <c r="N104" s="170">
        <f>IFERROR(_xlfn.XLOOKUP($A104,Input_Raw!$A:$A,Input_Raw!BH:BH),"")</f>
        <v>0</v>
      </c>
      <c r="O104" s="173">
        <f t="shared" si="9"/>
        <v>0.99048224723750888</v>
      </c>
      <c r="P104" s="173">
        <f>IFERROR(1-SUMIF(WTG_BD!$F:$F,$A104,WTG_BD!$AA:$AA)/($AA104+SUMIF(WTG_BD!$F:$F,$A104,WTG_BD!$AA:$AA)),"")</f>
        <v>0.99048224723750888</v>
      </c>
      <c r="Q104" s="173">
        <f>IFERROR(1-SUMIF(IGA_BD!$F:$F,$A104,IGA_BD!$X:$X)/($AA104+SUMIF(IGA_BD!$F:$F,$A104,IGA_BD!$X:$X)),"")</f>
        <v>1</v>
      </c>
      <c r="R104" s="173">
        <f>IFERROR(1-SUMIF(Grid_BD!$F:$F,$A104,Grid_BD!$Y:$Y)/($AA104+SUMIF(Grid_BD!$F:$F,$A104,Grid_BD!$Y:$Y)),"")</f>
        <v>1</v>
      </c>
      <c r="S104" s="167"/>
      <c r="T104" s="172"/>
      <c r="U104" s="173"/>
      <c r="V104" s="167"/>
      <c r="W104" s="174">
        <f t="shared" si="10"/>
        <v>0.44791666666666663</v>
      </c>
      <c r="X104" s="167">
        <f>IFERROR(_xlfn.XLOOKUP($A104,Input_Raw!$A:$A,Input_Raw!$BF:$BF),"")</f>
        <v>776427</v>
      </c>
      <c r="Y104" s="167">
        <f>IFERROR(_xlfn.XLOOKUP($A104,Input_Raw!$A:$A,Input_Raw!BJ:BJ),"")</f>
        <v>754650</v>
      </c>
      <c r="Z104" s="167">
        <f>IFERROR(_xlfn.XLOOKUP($A104,Input_Raw!$A:$A,Input_Raw!BK:BK),"")</f>
        <v>0</v>
      </c>
      <c r="AA104" s="167">
        <f>IFERROR(_xlfn.XLOOKUP($A104,Input_Raw!$A:$A,Input_Raw!BL:BL),"")</f>
        <v>754650</v>
      </c>
      <c r="AB104" s="167">
        <f>IFERROR(_xlfn.XLOOKUP($A104,Input_Raw!$A:$A,Input_Raw!$BO:$BO),"")</f>
        <v>70.2</v>
      </c>
      <c r="AC104" s="176">
        <f>IFERROR(_xlfn.XLOOKUP($D104,'Modelling New'!$D:$D,'Modelling New'!$J:$J),"")</f>
        <v>8.18</v>
      </c>
      <c r="AD104" s="166">
        <f>IFERROR(_xlfn.XLOOKUP($D104,'Modelling New'!$D:$D,'Modelling New'!$T:$T)*1000,"")</f>
        <v>963883.16796059138</v>
      </c>
      <c r="AE104" s="174"/>
      <c r="AF104" s="174">
        <f>IFERROR(_xlfn.XLOOKUP($D104,'Modelling New'!$D:$D,'Modelling New'!$W:$W),"")</f>
        <v>0.57210539408867012</v>
      </c>
      <c r="AG104" s="174">
        <f>IFERROR(_xlfn.XLOOKUP($D104,'Modelling New'!$D:$D,'Modelling New'!$AE:$AE),"")</f>
        <v>0.96029999999999993</v>
      </c>
      <c r="AH104" s="174">
        <f>IFERROR(_xlfn.XLOOKUP($D104,'Modelling New'!$D:$D,'Modelling New'!$AF:$AF),"")</f>
        <v>0.995</v>
      </c>
      <c r="AI104" s="177">
        <f>IFERROR(_xlfn.XLOOKUP($A104,Input_Raw!$A:$A,Input_Raw!$BQ:$BQ),"")</f>
        <v>814.18</v>
      </c>
      <c r="AJ104" s="167"/>
      <c r="AK104" s="167"/>
      <c r="AL104" s="167"/>
      <c r="AM104" s="167"/>
      <c r="AN104" s="175">
        <f>IFERROR(_xlfn.XLOOKUP($A104,Input_Raw!$A:$A,Input_Raw!$BN:$BN),"")</f>
        <v>2.8047710860132375E-2</v>
      </c>
      <c r="AO104" s="174">
        <f>IFERROR((_xlfn.XLOOKUP($A104,'WTG Reactive Power'!$A:$A,'WTG Reactive Power'!$AE:$AE))/Table13[[#This Row],[Gen_Exp (kWh)]],"")</f>
        <v>9.5630059232870587E-2</v>
      </c>
      <c r="AP104" s="174">
        <f>IFERROR(_xlfn.XLOOKUP($D104,'Modelling New'!$D:$D,'Modelling New'!$AK:$AK),"")</f>
        <v>0.05</v>
      </c>
      <c r="AQ104" s="174">
        <f>IFERROR(_xlfn.XLOOKUP($D104,'Modelling New'!$D:$D,'Modelling New'!$AL:$AL),"")</f>
        <v>0.05</v>
      </c>
      <c r="AR104" s="276">
        <f>IFERROR(_xlfn.XLOOKUP($D104,'Modelling New'!$D:$D,'Modelling New'!$N:$N),"")</f>
        <v>70.2</v>
      </c>
      <c r="AS104" s="276"/>
    </row>
    <row r="105" spans="1:45">
      <c r="A105" s="165">
        <f t="shared" si="11"/>
        <v>45848</v>
      </c>
      <c r="B105" s="166">
        <f>YEAR(Table13[[#This Row],[Date]])+IF(MONTH(Table13[[#This Row],[Date]])&gt;=4,1,0)</f>
        <v>2026</v>
      </c>
      <c r="C105" s="167">
        <f>YEAR(Table13[[#This Row],[Date]])</f>
        <v>2025</v>
      </c>
      <c r="D105" s="168">
        <f>Table13[[#This Row],[Date]]-DAY(Table13[[#This Row],[Date]])+1</f>
        <v>45839</v>
      </c>
      <c r="E105" s="167">
        <f t="shared" si="8"/>
        <v>31</v>
      </c>
      <c r="F105" s="169"/>
      <c r="G105" s="176"/>
      <c r="H105" s="176"/>
      <c r="I105" s="176"/>
      <c r="J105" s="176"/>
      <c r="K105" s="171"/>
      <c r="L105" s="170"/>
      <c r="M105" s="170">
        <f>IFERROR(_xlfn.XLOOKUP($A105,Input_Raw!$A:$A,Input_Raw!BG:BG),"")</f>
        <v>5.7260763891295987</v>
      </c>
      <c r="N105" s="170">
        <f>IFERROR(_xlfn.XLOOKUP($A105,Input_Raw!$A:$A,Input_Raw!BH:BH),"")</f>
        <v>0</v>
      </c>
      <c r="O105" s="173">
        <f t="shared" si="9"/>
        <v>0.97593395935670835</v>
      </c>
      <c r="P105" s="173">
        <f>IFERROR(1-SUMIF(WTG_BD!$F:$F,$A105,WTG_BD!$AA:$AA)/($AA105+SUMIF(WTG_BD!$F:$F,$A105,WTG_BD!$AA:$AA)),"")</f>
        <v>0.97593395935670835</v>
      </c>
      <c r="Q105" s="173">
        <f>IFERROR(1-SUMIF(IGA_BD!$F:$F,$A105,IGA_BD!$X:$X)/($AA105+SUMIF(IGA_BD!$F:$F,$A105,IGA_BD!$X:$X)),"")</f>
        <v>1</v>
      </c>
      <c r="R105" s="173">
        <f>IFERROR(1-SUMIF(Grid_BD!$F:$F,$A105,Grid_BD!$Y:$Y)/($AA105+SUMIF(Grid_BD!$F:$F,$A105,Grid_BD!$Y:$Y)),"")</f>
        <v>1</v>
      </c>
      <c r="S105" s="167"/>
      <c r="T105" s="172"/>
      <c r="U105" s="173"/>
      <c r="V105" s="167"/>
      <c r="W105" s="174">
        <f t="shared" si="10"/>
        <v>0.25267094017094016</v>
      </c>
      <c r="X105" s="167">
        <f>IFERROR(_xlfn.XLOOKUP($A105,Input_Raw!$A:$A,Input_Raw!$BF:$BF),"")</f>
        <v>436144</v>
      </c>
      <c r="Y105" s="167">
        <f>IFERROR(_xlfn.XLOOKUP($A105,Input_Raw!$A:$A,Input_Raw!BJ:BJ),"")</f>
        <v>425700</v>
      </c>
      <c r="Z105" s="167">
        <f>IFERROR(_xlfn.XLOOKUP($A105,Input_Raw!$A:$A,Input_Raw!BK:BK),"")</f>
        <v>0</v>
      </c>
      <c r="AA105" s="167">
        <f>IFERROR(_xlfn.XLOOKUP($A105,Input_Raw!$A:$A,Input_Raw!BL:BL),"")</f>
        <v>425700</v>
      </c>
      <c r="AB105" s="167">
        <f>IFERROR(_xlfn.XLOOKUP($A105,Input_Raw!$A:$A,Input_Raw!$BO:$BO),"")</f>
        <v>70.2</v>
      </c>
      <c r="AC105" s="176">
        <f>IFERROR(_xlfn.XLOOKUP($D105,'Modelling New'!$D:$D,'Modelling New'!$J:$J),"")</f>
        <v>8.18</v>
      </c>
      <c r="AD105" s="166">
        <f>IFERROR(_xlfn.XLOOKUP($D105,'Modelling New'!$D:$D,'Modelling New'!$T:$T)*1000,"")</f>
        <v>963883.16796059138</v>
      </c>
      <c r="AE105" s="174"/>
      <c r="AF105" s="174">
        <f>IFERROR(_xlfn.XLOOKUP($D105,'Modelling New'!$D:$D,'Modelling New'!$W:$W),"")</f>
        <v>0.57210539408867012</v>
      </c>
      <c r="AG105" s="174">
        <f>IFERROR(_xlfn.XLOOKUP($D105,'Modelling New'!$D:$D,'Modelling New'!$AE:$AE),"")</f>
        <v>0.96029999999999993</v>
      </c>
      <c r="AH105" s="174">
        <f>IFERROR(_xlfn.XLOOKUP($D105,'Modelling New'!$D:$D,'Modelling New'!$AF:$AF),"")</f>
        <v>0.995</v>
      </c>
      <c r="AI105" s="177">
        <f>IFERROR(_xlfn.XLOOKUP($A105,Input_Raw!$A:$A,Input_Raw!$BQ:$BQ),"")</f>
        <v>462.9</v>
      </c>
      <c r="AJ105" s="167"/>
      <c r="AK105" s="167"/>
      <c r="AL105" s="167"/>
      <c r="AM105" s="167"/>
      <c r="AN105" s="175">
        <f>IFERROR(_xlfn.XLOOKUP($A105,Input_Raw!$A:$A,Input_Raw!$BN:$BN),"")</f>
        <v>2.3946219597197255E-2</v>
      </c>
      <c r="AO105" s="174">
        <f>IFERROR((_xlfn.XLOOKUP($A105,'WTG Reactive Power'!$A:$A,'WTG Reactive Power'!$AE:$AE))/Table13[[#This Row],[Gen_Exp (kWh)]],"")</f>
        <v>1.0317280531200707E-2</v>
      </c>
      <c r="AP105" s="174">
        <f>IFERROR(_xlfn.XLOOKUP($D105,'Modelling New'!$D:$D,'Modelling New'!$AK:$AK),"")</f>
        <v>0.05</v>
      </c>
      <c r="AQ105" s="174">
        <f>IFERROR(_xlfn.XLOOKUP($D105,'Modelling New'!$D:$D,'Modelling New'!$AL:$AL),"")</f>
        <v>0.05</v>
      </c>
      <c r="AR105" s="276">
        <f>IFERROR(_xlfn.XLOOKUP($D105,'Modelling New'!$D:$D,'Modelling New'!$N:$N),"")</f>
        <v>70.2</v>
      </c>
      <c r="AS105" s="276"/>
    </row>
    <row r="106" spans="1:45">
      <c r="A106" s="165">
        <f t="shared" si="11"/>
        <v>45849</v>
      </c>
      <c r="B106" s="166">
        <f>YEAR(Table13[[#This Row],[Date]])+IF(MONTH(Table13[[#This Row],[Date]])&gt;=4,1,0)</f>
        <v>2026</v>
      </c>
      <c r="C106" s="167">
        <f>YEAR(Table13[[#This Row],[Date]])</f>
        <v>2025</v>
      </c>
      <c r="D106" s="168">
        <f>Table13[[#This Row],[Date]]-DAY(Table13[[#This Row],[Date]])+1</f>
        <v>45839</v>
      </c>
      <c r="E106" s="167">
        <f t="shared" si="8"/>
        <v>31</v>
      </c>
      <c r="F106" s="169"/>
      <c r="G106" s="170"/>
      <c r="H106" s="170"/>
      <c r="I106" s="170"/>
      <c r="J106" s="170"/>
      <c r="K106" s="171"/>
      <c r="L106" s="170"/>
      <c r="M106" s="170">
        <f>IFERROR(_xlfn.XLOOKUP($A106,Input_Raw!$A:$A,Input_Raw!BG:BG),"")</f>
        <v>6.116548803051848</v>
      </c>
      <c r="N106" s="170">
        <f>IFERROR(_xlfn.XLOOKUP($A106,Input_Raw!$A:$A,Input_Raw!BH:BH),"")</f>
        <v>0</v>
      </c>
      <c r="O106" s="173">
        <f t="shared" si="9"/>
        <v>0.98575455749724428</v>
      </c>
      <c r="P106" s="173">
        <f>IFERROR(1-SUMIF(WTG_BD!$F:$F,$A106,WTG_BD!$AA:$AA)/($AA106+SUMIF(WTG_BD!$F:$F,$A106,WTG_BD!$AA:$AA)),"")</f>
        <v>0.98575455749724428</v>
      </c>
      <c r="Q106" s="173">
        <f>IFERROR(1-SUMIF(IGA_BD!$F:$F,$A106,IGA_BD!$X:$X)/($AA106+SUMIF(IGA_BD!$F:$F,$A106,IGA_BD!$X:$X)),"")</f>
        <v>1</v>
      </c>
      <c r="R106" s="173">
        <f>IFERROR(1-SUMIF(Grid_BD!$F:$F,$A106,Grid_BD!$Y:$Y)/($AA106+SUMIF(Grid_BD!$F:$F,$A106,Grid_BD!$Y:$Y)),"")</f>
        <v>1</v>
      </c>
      <c r="S106" s="167"/>
      <c r="T106" s="172"/>
      <c r="U106" s="173"/>
      <c r="V106" s="167"/>
      <c r="W106" s="174">
        <f t="shared" si="10"/>
        <v>0.29727564102564097</v>
      </c>
      <c r="X106" s="167">
        <f>IFERROR(_xlfn.XLOOKUP($A106,Input_Raw!$A:$A,Input_Raw!$BF:$BF),"")</f>
        <v>513512</v>
      </c>
      <c r="Y106" s="167">
        <f>IFERROR(_xlfn.XLOOKUP($A106,Input_Raw!$A:$A,Input_Raw!BJ:BJ),"")</f>
        <v>500850</v>
      </c>
      <c r="Z106" s="167">
        <f>IFERROR(_xlfn.XLOOKUP($A106,Input_Raw!$A:$A,Input_Raw!BK:BK),"")</f>
        <v>0</v>
      </c>
      <c r="AA106" s="167">
        <f>IFERROR(_xlfn.XLOOKUP($A106,Input_Raw!$A:$A,Input_Raw!BL:BL),"")</f>
        <v>500850</v>
      </c>
      <c r="AB106" s="167">
        <f>IFERROR(_xlfn.XLOOKUP($A106,Input_Raw!$A:$A,Input_Raw!$BO:$BO),"")</f>
        <v>70.2</v>
      </c>
      <c r="AC106" s="176">
        <f>IFERROR(_xlfn.XLOOKUP($D106,'Modelling New'!$D:$D,'Modelling New'!$J:$J),"")</f>
        <v>8.18</v>
      </c>
      <c r="AD106" s="166">
        <f>IFERROR(_xlfn.XLOOKUP($D106,'Modelling New'!$D:$D,'Modelling New'!$T:$T)*1000,"")</f>
        <v>963883.16796059138</v>
      </c>
      <c r="AE106" s="174"/>
      <c r="AF106" s="174">
        <f>IFERROR(_xlfn.XLOOKUP($D106,'Modelling New'!$D:$D,'Modelling New'!$W:$W),"")</f>
        <v>0.57210539408867012</v>
      </c>
      <c r="AG106" s="174">
        <f>IFERROR(_xlfn.XLOOKUP($D106,'Modelling New'!$D:$D,'Modelling New'!$AE:$AE),"")</f>
        <v>0.96029999999999993</v>
      </c>
      <c r="AH106" s="174">
        <f>IFERROR(_xlfn.XLOOKUP($D106,'Modelling New'!$D:$D,'Modelling New'!$AF:$AF),"")</f>
        <v>0.995</v>
      </c>
      <c r="AI106" s="177">
        <f>IFERROR(_xlfn.XLOOKUP($A106,Input_Raw!$A:$A,Input_Raw!$BQ:$BQ),"")</f>
        <v>536.44000000000005</v>
      </c>
      <c r="AJ106" s="167"/>
      <c r="AK106" s="167"/>
      <c r="AL106" s="167"/>
      <c r="AM106" s="167"/>
      <c r="AN106" s="175">
        <f>IFERROR(_xlfn.XLOOKUP($A106,Input_Raw!$A:$A,Input_Raw!$BN:$BN),"")</f>
        <v>2.4657651622552151E-2</v>
      </c>
      <c r="AO106" s="174">
        <f>IFERROR((_xlfn.XLOOKUP($A106,'WTG Reactive Power'!$A:$A,'WTG Reactive Power'!$AE:$AE))/Table13[[#This Row],[Gen_Exp (kWh)]],"")</f>
        <v>2.6287993269874903E-3</v>
      </c>
      <c r="AP106" s="174">
        <f>IFERROR(_xlfn.XLOOKUP($D106,'Modelling New'!$D:$D,'Modelling New'!$AK:$AK),"")</f>
        <v>0.05</v>
      </c>
      <c r="AQ106" s="174">
        <f>IFERROR(_xlfn.XLOOKUP($D106,'Modelling New'!$D:$D,'Modelling New'!$AL:$AL),"")</f>
        <v>0.05</v>
      </c>
      <c r="AR106" s="276">
        <f>IFERROR(_xlfn.XLOOKUP($D106,'Modelling New'!$D:$D,'Modelling New'!$N:$N),"")</f>
        <v>70.2</v>
      </c>
      <c r="AS106" s="276"/>
    </row>
    <row r="107" spans="1:45">
      <c r="A107" s="165">
        <f t="shared" si="11"/>
        <v>45850</v>
      </c>
      <c r="B107" s="166">
        <f>YEAR(Table13[[#This Row],[Date]])+IF(MONTH(Table13[[#This Row],[Date]])&gt;=4,1,0)</f>
        <v>2026</v>
      </c>
      <c r="C107" s="167">
        <f>YEAR(Table13[[#This Row],[Date]])</f>
        <v>2025</v>
      </c>
      <c r="D107" s="168">
        <f>Table13[[#This Row],[Date]]-DAY(Table13[[#This Row],[Date]])+1</f>
        <v>45839</v>
      </c>
      <c r="E107" s="167">
        <f t="shared" si="8"/>
        <v>31</v>
      </c>
      <c r="F107" s="169"/>
      <c r="G107" s="176"/>
      <c r="H107" s="176"/>
      <c r="I107" s="176"/>
      <c r="J107" s="176"/>
      <c r="K107" s="171"/>
      <c r="L107" s="170"/>
      <c r="M107" s="170">
        <f>IFERROR(_xlfn.XLOOKUP($A107,Input_Raw!$A:$A,Input_Raw!BG:BG),"")</f>
        <v>6.0700565171497436</v>
      </c>
      <c r="N107" s="170">
        <f>IFERROR(_xlfn.XLOOKUP($A107,Input_Raw!$A:$A,Input_Raw!BH:BH),"")</f>
        <v>0</v>
      </c>
      <c r="O107" s="173">
        <f t="shared" si="9"/>
        <v>0.97506058262405659</v>
      </c>
      <c r="P107" s="173">
        <f>IFERROR(1-SUMIF(WTG_BD!$F:$F,$A107,WTG_BD!$AA:$AA)/($AA107+SUMIF(WTG_BD!$F:$F,$A107,WTG_BD!$AA:$AA)),"")</f>
        <v>0.97810494584065988</v>
      </c>
      <c r="Q107" s="173">
        <f>IFERROR(1-SUMIF(IGA_BD!$F:$F,$A107,IGA_BD!$X:$X)/($AA107+SUMIF(IGA_BD!$F:$F,$A107,IGA_BD!$X:$X)),"")</f>
        <v>0.99688748816826944</v>
      </c>
      <c r="R107" s="173">
        <f>IFERROR(1-SUMIF(Grid_BD!$F:$F,$A107,Grid_BD!$Y:$Y)/($AA107+SUMIF(Grid_BD!$F:$F,$A107,Grid_BD!$Y:$Y)),"")</f>
        <v>1</v>
      </c>
      <c r="S107" s="167"/>
      <c r="T107" s="172"/>
      <c r="U107" s="173"/>
      <c r="V107" s="167"/>
      <c r="W107" s="174">
        <f t="shared" si="10"/>
        <v>0.28685897435897434</v>
      </c>
      <c r="X107" s="167">
        <f>IFERROR(_xlfn.XLOOKUP($A107,Input_Raw!$A:$A,Input_Raw!$BF:$BF),"")</f>
        <v>494521</v>
      </c>
      <c r="Y107" s="167">
        <f>IFERROR(_xlfn.XLOOKUP($A107,Input_Raw!$A:$A,Input_Raw!BJ:BJ),"")</f>
        <v>483300</v>
      </c>
      <c r="Z107" s="167">
        <f>IFERROR(_xlfn.XLOOKUP($A107,Input_Raw!$A:$A,Input_Raw!BK:BK),"")</f>
        <v>0</v>
      </c>
      <c r="AA107" s="167">
        <f>IFERROR(_xlfn.XLOOKUP($A107,Input_Raw!$A:$A,Input_Raw!BL:BL),"")</f>
        <v>483300</v>
      </c>
      <c r="AB107" s="167">
        <f>IFERROR(_xlfn.XLOOKUP($A107,Input_Raw!$A:$A,Input_Raw!$BO:$BO),"")</f>
        <v>70.2</v>
      </c>
      <c r="AC107" s="176">
        <f>IFERROR(_xlfn.XLOOKUP($D107,'Modelling New'!$D:$D,'Modelling New'!$J:$J),"")</f>
        <v>8.18</v>
      </c>
      <c r="AD107" s="166">
        <f>IFERROR(_xlfn.XLOOKUP($D107,'Modelling New'!$D:$D,'Modelling New'!$T:$T)*1000,"")</f>
        <v>963883.16796059138</v>
      </c>
      <c r="AE107" s="174"/>
      <c r="AF107" s="174">
        <f>IFERROR(_xlfn.XLOOKUP($D107,'Modelling New'!$D:$D,'Modelling New'!$W:$W),"")</f>
        <v>0.57210539408867012</v>
      </c>
      <c r="AG107" s="174">
        <f>IFERROR(_xlfn.XLOOKUP($D107,'Modelling New'!$D:$D,'Modelling New'!$AE:$AE),"")</f>
        <v>0.96029999999999993</v>
      </c>
      <c r="AH107" s="174">
        <f>IFERROR(_xlfn.XLOOKUP($D107,'Modelling New'!$D:$D,'Modelling New'!$AF:$AF),"")</f>
        <v>0.995</v>
      </c>
      <c r="AI107" s="177">
        <f>IFERROR(_xlfn.XLOOKUP($A107,Input_Raw!$A:$A,Input_Raw!$BQ:$BQ),"")</f>
        <v>520.01</v>
      </c>
      <c r="AJ107" s="167"/>
      <c r="AK107" s="167"/>
      <c r="AL107" s="167"/>
      <c r="AM107" s="167"/>
      <c r="AN107" s="175">
        <f>IFERROR(_xlfn.XLOOKUP($A107,Input_Raw!$A:$A,Input_Raw!$BN:$BN),"")</f>
        <v>2.2690644077804582E-2</v>
      </c>
      <c r="AO107" s="174">
        <f>IFERROR((_xlfn.XLOOKUP($A107,'WTG Reactive Power'!$A:$A,'WTG Reactive Power'!$AE:$AE))/Table13[[#This Row],[Gen_Exp (kWh)]],"")</f>
        <v>1.819659832443921E-3</v>
      </c>
      <c r="AP107" s="174">
        <f>IFERROR(_xlfn.XLOOKUP($D107,'Modelling New'!$D:$D,'Modelling New'!$AK:$AK),"")</f>
        <v>0.05</v>
      </c>
      <c r="AQ107" s="174">
        <f>IFERROR(_xlfn.XLOOKUP($D107,'Modelling New'!$D:$D,'Modelling New'!$AL:$AL),"")</f>
        <v>0.05</v>
      </c>
      <c r="AR107" s="276">
        <f>IFERROR(_xlfn.XLOOKUP($D107,'Modelling New'!$D:$D,'Modelling New'!$N:$N),"")</f>
        <v>70.2</v>
      </c>
      <c r="AS107" s="276"/>
    </row>
    <row r="108" spans="1:45">
      <c r="A108" s="165">
        <f t="shared" si="11"/>
        <v>45851</v>
      </c>
      <c r="B108" s="166">
        <f>YEAR(Table13[[#This Row],[Date]])+IF(MONTH(Table13[[#This Row],[Date]])&gt;=4,1,0)</f>
        <v>2026</v>
      </c>
      <c r="C108" s="167">
        <f>YEAR(Table13[[#This Row],[Date]])</f>
        <v>2025</v>
      </c>
      <c r="D108" s="168">
        <f>Table13[[#This Row],[Date]]-DAY(Table13[[#This Row],[Date]])+1</f>
        <v>45839</v>
      </c>
      <c r="E108" s="167">
        <f t="shared" si="8"/>
        <v>31</v>
      </c>
      <c r="F108" s="169"/>
      <c r="G108" s="170"/>
      <c r="H108" s="170"/>
      <c r="I108" s="170"/>
      <c r="J108" s="170"/>
      <c r="K108" s="171"/>
      <c r="L108" s="170"/>
      <c r="M108" s="170">
        <f>IFERROR(_xlfn.XLOOKUP($A108,Input_Raw!$A:$A,Input_Raw!BG:BG),"")</f>
        <v>6.7007692307692315</v>
      </c>
      <c r="N108" s="170">
        <f>IFERROR(_xlfn.XLOOKUP($A108,Input_Raw!$A:$A,Input_Raw!BH:BH),"")</f>
        <v>0</v>
      </c>
      <c r="O108" s="173">
        <f t="shared" si="9"/>
        <v>0.94335272867740583</v>
      </c>
      <c r="P108" s="173">
        <f>IFERROR(1-SUMIF(WTG_BD!$F:$F,$A108,WTG_BD!$AA:$AA)/($AA108+SUMIF(WTG_BD!$F:$F,$A108,WTG_BD!$AA:$AA)),"")</f>
        <v>0.99055749848767838</v>
      </c>
      <c r="Q108" s="173">
        <f>IFERROR(1-SUMIF(IGA_BD!$F:$F,$A108,IGA_BD!$X:$X)/($AA108+SUMIF(IGA_BD!$F:$F,$A108,IGA_BD!$X:$X)),"")</f>
        <v>0.95234525014212512</v>
      </c>
      <c r="R108" s="173">
        <f>IFERROR(1-SUMIF(Grid_BD!$F:$F,$A108,Grid_BD!$Y:$Y)/($AA108+SUMIF(Grid_BD!$F:$F,$A108,Grid_BD!$Y:$Y)),"")</f>
        <v>1</v>
      </c>
      <c r="S108" s="167"/>
      <c r="T108" s="172"/>
      <c r="U108" s="173"/>
      <c r="V108" s="167"/>
      <c r="W108" s="174">
        <f t="shared" si="10"/>
        <v>0.35977564102564097</v>
      </c>
      <c r="X108" s="167">
        <f>IFERROR(_xlfn.XLOOKUP($A108,Input_Raw!$A:$A,Input_Raw!$BF:$BF),"")</f>
        <v>620190</v>
      </c>
      <c r="Y108" s="167">
        <f>IFERROR(_xlfn.XLOOKUP($A108,Input_Raw!$A:$A,Input_Raw!BJ:BJ),"")</f>
        <v>606150</v>
      </c>
      <c r="Z108" s="167">
        <f>IFERROR(_xlfn.XLOOKUP($A108,Input_Raw!$A:$A,Input_Raw!BK:BK),"")</f>
        <v>0</v>
      </c>
      <c r="AA108" s="167">
        <f>IFERROR(_xlfn.XLOOKUP($A108,Input_Raw!$A:$A,Input_Raw!BL:BL),"")</f>
        <v>606150</v>
      </c>
      <c r="AB108" s="167">
        <f>IFERROR(_xlfn.XLOOKUP($A108,Input_Raw!$A:$A,Input_Raw!$BO:$BO),"")</f>
        <v>70.2</v>
      </c>
      <c r="AC108" s="176">
        <f>IFERROR(_xlfn.XLOOKUP($D108,'Modelling New'!$D:$D,'Modelling New'!$J:$J),"")</f>
        <v>8.18</v>
      </c>
      <c r="AD108" s="166">
        <f>IFERROR(_xlfn.XLOOKUP($D108,'Modelling New'!$D:$D,'Modelling New'!$T:$T)*1000,"")</f>
        <v>963883.16796059138</v>
      </c>
      <c r="AE108" s="174"/>
      <c r="AF108" s="174">
        <f>IFERROR(_xlfn.XLOOKUP($D108,'Modelling New'!$D:$D,'Modelling New'!$W:$W),"")</f>
        <v>0.57210539408867012</v>
      </c>
      <c r="AG108" s="174">
        <f>IFERROR(_xlfn.XLOOKUP($D108,'Modelling New'!$D:$D,'Modelling New'!$AE:$AE),"")</f>
        <v>0.96029999999999993</v>
      </c>
      <c r="AH108" s="174">
        <f>IFERROR(_xlfn.XLOOKUP($D108,'Modelling New'!$D:$D,'Modelling New'!$AF:$AF),"")</f>
        <v>0.995</v>
      </c>
      <c r="AI108" s="177">
        <f>IFERROR(_xlfn.XLOOKUP($A108,Input_Raw!$A:$A,Input_Raw!$BQ:$BQ),"")</f>
        <v>663.92</v>
      </c>
      <c r="AJ108" s="167"/>
      <c r="AK108" s="167"/>
      <c r="AL108" s="167"/>
      <c r="AM108" s="167"/>
      <c r="AN108" s="175">
        <f>IFERROR(_xlfn.XLOOKUP($A108,Input_Raw!$A:$A,Input_Raw!$BN:$BN),"")</f>
        <v>2.2638223770134958E-2</v>
      </c>
      <c r="AO108" s="174">
        <f>IFERROR((_xlfn.XLOOKUP($A108,'WTG Reactive Power'!$A:$A,'WTG Reactive Power'!$AE:$AE))/Table13[[#This Row],[Gen_Exp (kWh)]],"")</f>
        <v>3.6275657459810704E-3</v>
      </c>
      <c r="AP108" s="174">
        <f>IFERROR(_xlfn.XLOOKUP($D108,'Modelling New'!$D:$D,'Modelling New'!$AK:$AK),"")</f>
        <v>0.05</v>
      </c>
      <c r="AQ108" s="174">
        <f>IFERROR(_xlfn.XLOOKUP($D108,'Modelling New'!$D:$D,'Modelling New'!$AL:$AL),"")</f>
        <v>0.05</v>
      </c>
      <c r="AR108" s="276">
        <f>IFERROR(_xlfn.XLOOKUP($D108,'Modelling New'!$D:$D,'Modelling New'!$N:$N),"")</f>
        <v>70.2</v>
      </c>
      <c r="AS108" s="276"/>
    </row>
    <row r="109" spans="1:45">
      <c r="A109" s="165">
        <f t="shared" si="11"/>
        <v>45852</v>
      </c>
      <c r="B109" s="166">
        <f>YEAR(Table13[[#This Row],[Date]])+IF(MONTH(Table13[[#This Row],[Date]])&gt;=4,1,0)</f>
        <v>2026</v>
      </c>
      <c r="C109" s="167">
        <f>YEAR(Table13[[#This Row],[Date]])</f>
        <v>2025</v>
      </c>
      <c r="D109" s="168">
        <f>Table13[[#This Row],[Date]]-DAY(Table13[[#This Row],[Date]])+1</f>
        <v>45839</v>
      </c>
      <c r="E109" s="167">
        <f t="shared" si="8"/>
        <v>31</v>
      </c>
      <c r="F109" s="169"/>
      <c r="G109" s="176"/>
      <c r="H109" s="176"/>
      <c r="I109" s="176"/>
      <c r="J109" s="176"/>
      <c r="K109" s="171"/>
      <c r="L109" s="170"/>
      <c r="M109" s="170">
        <f>IFERROR(_xlfn.XLOOKUP($A109,Input_Raw!$A:$A,Input_Raw!BG:BG),"")</f>
        <v>7.3103846153846144</v>
      </c>
      <c r="N109" s="170">
        <f>IFERROR(_xlfn.XLOOKUP($A109,Input_Raw!$A:$A,Input_Raw!BH:BH),"")</f>
        <v>0</v>
      </c>
      <c r="O109" s="173">
        <f t="shared" si="9"/>
        <v>0.98989447543657616</v>
      </c>
      <c r="P109" s="173">
        <f>IFERROR(1-SUMIF(WTG_BD!$F:$F,$A109,WTG_BD!$AA:$AA)/($AA109+SUMIF(WTG_BD!$F:$F,$A109,WTG_BD!$AA:$AA)),"")</f>
        <v>0.98989447543657616</v>
      </c>
      <c r="Q109" s="173">
        <f>IFERROR(1-SUMIF(IGA_BD!$F:$F,$A109,IGA_BD!$X:$X)/($AA109+SUMIF(IGA_BD!$F:$F,$A109,IGA_BD!$X:$X)),"")</f>
        <v>1</v>
      </c>
      <c r="R109" s="173">
        <f>IFERROR(1-SUMIF(Grid_BD!$F:$F,$A109,Grid_BD!$Y:$Y)/($AA109+SUMIF(Grid_BD!$F:$F,$A109,Grid_BD!$Y:$Y)),"")</f>
        <v>1</v>
      </c>
      <c r="S109" s="167"/>
      <c r="T109" s="172"/>
      <c r="U109" s="173"/>
      <c r="V109" s="167"/>
      <c r="W109" s="174">
        <f t="shared" si="10"/>
        <v>0.47088675213675207</v>
      </c>
      <c r="X109" s="167">
        <f>IFERROR(_xlfn.XLOOKUP($A109,Input_Raw!$A:$A,Input_Raw!$BF:$BF),"")</f>
        <v>814451</v>
      </c>
      <c r="Y109" s="167">
        <f>IFERROR(_xlfn.XLOOKUP($A109,Input_Raw!$A:$A,Input_Raw!BJ:BJ),"")</f>
        <v>793350</v>
      </c>
      <c r="Z109" s="167">
        <f>IFERROR(_xlfn.XLOOKUP($A109,Input_Raw!$A:$A,Input_Raw!BK:BK),"")</f>
        <v>0</v>
      </c>
      <c r="AA109" s="167">
        <f>IFERROR(_xlfn.XLOOKUP($A109,Input_Raw!$A:$A,Input_Raw!BL:BL),"")</f>
        <v>793350</v>
      </c>
      <c r="AB109" s="167">
        <f>IFERROR(_xlfn.XLOOKUP($A109,Input_Raw!$A:$A,Input_Raw!$BO:$BO),"")</f>
        <v>70.2</v>
      </c>
      <c r="AC109" s="176">
        <f>IFERROR(_xlfn.XLOOKUP($D109,'Modelling New'!$D:$D,'Modelling New'!$J:$J),"")</f>
        <v>8.18</v>
      </c>
      <c r="AD109" s="166">
        <f>IFERROR(_xlfn.XLOOKUP($D109,'Modelling New'!$D:$D,'Modelling New'!$T:$T)*1000,"")</f>
        <v>963883.16796059138</v>
      </c>
      <c r="AE109" s="174"/>
      <c r="AF109" s="174">
        <f>IFERROR(_xlfn.XLOOKUP($D109,'Modelling New'!$D:$D,'Modelling New'!$W:$W),"")</f>
        <v>0.57210539408867012</v>
      </c>
      <c r="AG109" s="174">
        <f>IFERROR(_xlfn.XLOOKUP($D109,'Modelling New'!$D:$D,'Modelling New'!$AE:$AE),"")</f>
        <v>0.96029999999999993</v>
      </c>
      <c r="AH109" s="174">
        <f>IFERROR(_xlfn.XLOOKUP($D109,'Modelling New'!$D:$D,'Modelling New'!$AF:$AF),"")</f>
        <v>0.995</v>
      </c>
      <c r="AI109" s="177">
        <f>IFERROR(_xlfn.XLOOKUP($A109,Input_Raw!$A:$A,Input_Raw!$BQ:$BQ),"")</f>
        <v>845.66</v>
      </c>
      <c r="AJ109" s="167"/>
      <c r="AK109" s="167"/>
      <c r="AL109" s="167"/>
      <c r="AM109" s="167"/>
      <c r="AN109" s="175">
        <f>IFERROR(_xlfn.XLOOKUP($A109,Input_Raw!$A:$A,Input_Raw!$BN:$BN),"")</f>
        <v>2.590824985174062E-2</v>
      </c>
      <c r="AO109" s="174">
        <f>IFERROR((_xlfn.XLOOKUP($A109,'WTG Reactive Power'!$A:$A,'WTG Reactive Power'!$AE:$AE))/Table13[[#This Row],[Gen_Exp (kWh)]],"")</f>
        <v>2.7623270153760019E-3</v>
      </c>
      <c r="AP109" s="174">
        <f>IFERROR(_xlfn.XLOOKUP($D109,'Modelling New'!$D:$D,'Modelling New'!$AK:$AK),"")</f>
        <v>0.05</v>
      </c>
      <c r="AQ109" s="174">
        <f>IFERROR(_xlfn.XLOOKUP($D109,'Modelling New'!$D:$D,'Modelling New'!$AL:$AL),"")</f>
        <v>0.05</v>
      </c>
      <c r="AR109" s="276">
        <f>IFERROR(_xlfn.XLOOKUP($D109,'Modelling New'!$D:$D,'Modelling New'!$N:$N),"")</f>
        <v>70.2</v>
      </c>
      <c r="AS109" s="276"/>
    </row>
    <row r="110" spans="1:45">
      <c r="A110" s="165">
        <f t="shared" si="11"/>
        <v>45853</v>
      </c>
      <c r="B110" s="166">
        <f>YEAR(Table13[[#This Row],[Date]])+IF(MONTH(Table13[[#This Row],[Date]])&gt;=4,1,0)</f>
        <v>2026</v>
      </c>
      <c r="C110" s="167">
        <f>YEAR(Table13[[#This Row],[Date]])</f>
        <v>2025</v>
      </c>
      <c r="D110" s="168">
        <f>Table13[[#This Row],[Date]]-DAY(Table13[[#This Row],[Date]])+1</f>
        <v>45839</v>
      </c>
      <c r="E110" s="167">
        <f t="shared" si="8"/>
        <v>31</v>
      </c>
      <c r="F110" s="169"/>
      <c r="G110" s="170"/>
      <c r="H110" s="170"/>
      <c r="I110" s="170"/>
      <c r="J110" s="170"/>
      <c r="K110" s="171"/>
      <c r="L110" s="170"/>
      <c r="M110" s="170" t="str">
        <f>IFERROR(_xlfn.XLOOKUP($A110,Input_Raw!$A:$A,Input_Raw!BG:BG),"")</f>
        <v/>
      </c>
      <c r="N110" s="170" t="str">
        <f>IFERROR(_xlfn.XLOOKUP($A110,Input_Raw!$A:$A,Input_Raw!BH:BH),"")</f>
        <v/>
      </c>
      <c r="O110" s="173" t="str">
        <f t="shared" si="9"/>
        <v/>
      </c>
      <c r="P110" s="173" t="str">
        <f>IFERROR(1-SUMIF(WTG_BD!$F:$F,$A110,WTG_BD!$AA:$AA)/($AA110+SUMIF(WTG_BD!$F:$F,$A110,WTG_BD!$AA:$AA)),"")</f>
        <v/>
      </c>
      <c r="Q110" s="173" t="str">
        <f>IFERROR(1-SUMIF(IGA_BD!$F:$F,$A110,IGA_BD!$X:$X)/($AA110+SUMIF(IGA_BD!$F:$F,$A110,IGA_BD!$X:$X)),"")</f>
        <v/>
      </c>
      <c r="R110" s="173" t="str">
        <f>IFERROR(1-SUMIF(Grid_BD!$F:$F,$A110,Grid_BD!$Y:$Y)/($AA110+SUMIF(Grid_BD!$F:$F,$A110,Grid_BD!$Y:$Y)),"")</f>
        <v/>
      </c>
      <c r="S110" s="167"/>
      <c r="T110" s="172"/>
      <c r="U110" s="173"/>
      <c r="V110" s="167"/>
      <c r="W110" s="174" t="str">
        <f t="shared" si="10"/>
        <v/>
      </c>
      <c r="X110" s="167" t="str">
        <f>IFERROR(_xlfn.XLOOKUP($A110,Input_Raw!$A:$A,Input_Raw!$BF:$BF),"")</f>
        <v/>
      </c>
      <c r="Y110" s="167" t="str">
        <f>IFERROR(_xlfn.XLOOKUP($A110,Input_Raw!$A:$A,Input_Raw!BJ:BJ),"")</f>
        <v/>
      </c>
      <c r="Z110" s="167" t="str">
        <f>IFERROR(_xlfn.XLOOKUP($A110,Input_Raw!$A:$A,Input_Raw!BK:BK),"")</f>
        <v/>
      </c>
      <c r="AA110" s="167" t="str">
        <f>IFERROR(_xlfn.XLOOKUP($A110,Input_Raw!$A:$A,Input_Raw!BL:BL),"")</f>
        <v/>
      </c>
      <c r="AB110" s="167" t="str">
        <f>IFERROR(_xlfn.XLOOKUP($A110,Input_Raw!$A:$A,Input_Raw!$BO:$BO),"")</f>
        <v/>
      </c>
      <c r="AC110" s="176">
        <f>IFERROR(_xlfn.XLOOKUP($D110,'Modelling New'!$D:$D,'Modelling New'!$J:$J),"")</f>
        <v>8.18</v>
      </c>
      <c r="AD110" s="166">
        <f>IFERROR(_xlfn.XLOOKUP($D110,'Modelling New'!$D:$D,'Modelling New'!$T:$T)*1000,"")</f>
        <v>963883.16796059138</v>
      </c>
      <c r="AE110" s="174"/>
      <c r="AF110" s="174">
        <f>IFERROR(_xlfn.XLOOKUP($D110,'Modelling New'!$D:$D,'Modelling New'!$W:$W),"")</f>
        <v>0.57210539408867012</v>
      </c>
      <c r="AG110" s="174">
        <f>IFERROR(_xlfn.XLOOKUP($D110,'Modelling New'!$D:$D,'Modelling New'!$AE:$AE),"")</f>
        <v>0.96029999999999993</v>
      </c>
      <c r="AH110" s="174">
        <f>IFERROR(_xlfn.XLOOKUP($D110,'Modelling New'!$D:$D,'Modelling New'!$AF:$AF),"")</f>
        <v>0.995</v>
      </c>
      <c r="AI110" s="177" t="str">
        <f>IFERROR(_xlfn.XLOOKUP($A110,Input_Raw!$A:$A,Input_Raw!$BQ:$BQ),"")</f>
        <v/>
      </c>
      <c r="AJ110" s="167"/>
      <c r="AK110" s="167"/>
      <c r="AL110" s="167"/>
      <c r="AM110" s="167"/>
      <c r="AN110" s="175" t="str">
        <f>IFERROR(_xlfn.XLOOKUP($A110,Input_Raw!$A:$A,Input_Raw!$BN:$BN),"")</f>
        <v/>
      </c>
      <c r="AO110" s="174" t="str">
        <f>IFERROR((_xlfn.XLOOKUP($A110,'WTG Reactive Power'!$A:$A,'WTG Reactive Power'!$AE:$AE))/Table13[[#This Row],[Gen_Exp (kWh)]],"")</f>
        <v/>
      </c>
      <c r="AP110" s="174">
        <f>IFERROR(_xlfn.XLOOKUP($D110,'Modelling New'!$D:$D,'Modelling New'!$AK:$AK),"")</f>
        <v>0.05</v>
      </c>
      <c r="AQ110" s="174">
        <f>IFERROR(_xlfn.XLOOKUP($D110,'Modelling New'!$D:$D,'Modelling New'!$AL:$AL),"")</f>
        <v>0.05</v>
      </c>
      <c r="AR110" s="276">
        <f>IFERROR(_xlfn.XLOOKUP($D110,'Modelling New'!$D:$D,'Modelling New'!$N:$N),"")</f>
        <v>70.2</v>
      </c>
      <c r="AS110" s="276"/>
    </row>
    <row r="111" spans="1:45">
      <c r="A111" s="165">
        <f t="shared" si="11"/>
        <v>45854</v>
      </c>
      <c r="B111" s="166">
        <f>YEAR(Table13[[#This Row],[Date]])+IF(MONTH(Table13[[#This Row],[Date]])&gt;=4,1,0)</f>
        <v>2026</v>
      </c>
      <c r="C111" s="167">
        <f>YEAR(Table13[[#This Row],[Date]])</f>
        <v>2025</v>
      </c>
      <c r="D111" s="168">
        <f>Table13[[#This Row],[Date]]-DAY(Table13[[#This Row],[Date]])+1</f>
        <v>45839</v>
      </c>
      <c r="E111" s="167">
        <f t="shared" si="8"/>
        <v>31</v>
      </c>
      <c r="F111" s="169"/>
      <c r="G111" s="176"/>
      <c r="H111" s="176"/>
      <c r="I111" s="176"/>
      <c r="J111" s="176"/>
      <c r="K111" s="171"/>
      <c r="L111" s="170"/>
      <c r="M111" s="170" t="str">
        <f>IFERROR(_xlfn.XLOOKUP($A111,Input_Raw!$A:$A,Input_Raw!BG:BG),"")</f>
        <v/>
      </c>
      <c r="N111" s="170" t="str">
        <f>IFERROR(_xlfn.XLOOKUP($A111,Input_Raw!$A:$A,Input_Raw!BH:BH),"")</f>
        <v/>
      </c>
      <c r="O111" s="173" t="str">
        <f t="shared" si="9"/>
        <v/>
      </c>
      <c r="P111" s="173" t="str">
        <f>IFERROR(1-SUMIF(WTG_BD!$F:$F,$A111,WTG_BD!$AA:$AA)/($AA111+SUMIF(WTG_BD!$F:$F,$A111,WTG_BD!$AA:$AA)),"")</f>
        <v/>
      </c>
      <c r="Q111" s="173" t="str">
        <f>IFERROR(1-SUMIF(IGA_BD!$F:$F,$A111,IGA_BD!$X:$X)/($AA111+SUMIF(IGA_BD!$F:$F,$A111,IGA_BD!$X:$X)),"")</f>
        <v/>
      </c>
      <c r="R111" s="173" t="str">
        <f>IFERROR(1-SUMIF(Grid_BD!$F:$F,$A111,Grid_BD!$Y:$Y)/($AA111+SUMIF(Grid_BD!$F:$F,$A111,Grid_BD!$Y:$Y)),"")</f>
        <v/>
      </c>
      <c r="S111" s="167"/>
      <c r="T111" s="172"/>
      <c r="U111" s="173"/>
      <c r="V111" s="167"/>
      <c r="W111" s="174" t="str">
        <f t="shared" si="10"/>
        <v/>
      </c>
      <c r="X111" s="167" t="str">
        <f>IFERROR(_xlfn.XLOOKUP($A111,Input_Raw!$A:$A,Input_Raw!$BF:$BF),"")</f>
        <v/>
      </c>
      <c r="Y111" s="167" t="str">
        <f>IFERROR(_xlfn.XLOOKUP($A111,Input_Raw!$A:$A,Input_Raw!BJ:BJ),"")</f>
        <v/>
      </c>
      <c r="Z111" s="167" t="str">
        <f>IFERROR(_xlfn.XLOOKUP($A111,Input_Raw!$A:$A,Input_Raw!BK:BK),"")</f>
        <v/>
      </c>
      <c r="AA111" s="167" t="str">
        <f>IFERROR(_xlfn.XLOOKUP($A111,Input_Raw!$A:$A,Input_Raw!BL:BL),"")</f>
        <v/>
      </c>
      <c r="AB111" s="167" t="str">
        <f>IFERROR(_xlfn.XLOOKUP($A111,Input_Raw!$A:$A,Input_Raw!$BO:$BO),"")</f>
        <v/>
      </c>
      <c r="AC111" s="176">
        <f>IFERROR(_xlfn.XLOOKUP($D111,'Modelling New'!$D:$D,'Modelling New'!$J:$J),"")</f>
        <v>8.18</v>
      </c>
      <c r="AD111" s="166">
        <f>IFERROR(_xlfn.XLOOKUP($D111,'Modelling New'!$D:$D,'Modelling New'!$T:$T)*1000,"")</f>
        <v>963883.16796059138</v>
      </c>
      <c r="AE111" s="174"/>
      <c r="AF111" s="174">
        <f>IFERROR(_xlfn.XLOOKUP($D111,'Modelling New'!$D:$D,'Modelling New'!$W:$W),"")</f>
        <v>0.57210539408867012</v>
      </c>
      <c r="AG111" s="174">
        <f>IFERROR(_xlfn.XLOOKUP($D111,'Modelling New'!$D:$D,'Modelling New'!$AE:$AE),"")</f>
        <v>0.96029999999999993</v>
      </c>
      <c r="AH111" s="174">
        <f>IFERROR(_xlfn.XLOOKUP($D111,'Modelling New'!$D:$D,'Modelling New'!$AF:$AF),"")</f>
        <v>0.995</v>
      </c>
      <c r="AI111" s="177" t="str">
        <f>IFERROR(_xlfn.XLOOKUP($A111,Input_Raw!$A:$A,Input_Raw!$BQ:$BQ),"")</f>
        <v/>
      </c>
      <c r="AJ111" s="167"/>
      <c r="AK111" s="167"/>
      <c r="AL111" s="167"/>
      <c r="AM111" s="167"/>
      <c r="AN111" s="175" t="str">
        <f>IFERROR(_xlfn.XLOOKUP($A111,Input_Raw!$A:$A,Input_Raw!$BN:$BN),"")</f>
        <v/>
      </c>
      <c r="AO111" s="174" t="str">
        <f>IFERROR((_xlfn.XLOOKUP($A111,'WTG Reactive Power'!$A:$A,'WTG Reactive Power'!$AE:$AE))/Table13[[#This Row],[Gen_Exp (kWh)]],"")</f>
        <v/>
      </c>
      <c r="AP111" s="174">
        <f>IFERROR(_xlfn.XLOOKUP($D111,'Modelling New'!$D:$D,'Modelling New'!$AK:$AK),"")</f>
        <v>0.05</v>
      </c>
      <c r="AQ111" s="174">
        <f>IFERROR(_xlfn.XLOOKUP($D111,'Modelling New'!$D:$D,'Modelling New'!$AL:$AL),"")</f>
        <v>0.05</v>
      </c>
      <c r="AR111" s="276">
        <f>IFERROR(_xlfn.XLOOKUP($D111,'Modelling New'!$D:$D,'Modelling New'!$N:$N),"")</f>
        <v>70.2</v>
      </c>
      <c r="AS111" s="276"/>
    </row>
    <row r="112" spans="1:45">
      <c r="A112" s="165">
        <f t="shared" si="11"/>
        <v>45855</v>
      </c>
      <c r="B112" s="166">
        <f>YEAR(Table13[[#This Row],[Date]])+IF(MONTH(Table13[[#This Row],[Date]])&gt;=4,1,0)</f>
        <v>2026</v>
      </c>
      <c r="C112" s="167">
        <f>YEAR(Table13[[#This Row],[Date]])</f>
        <v>2025</v>
      </c>
      <c r="D112" s="168">
        <f>Table13[[#This Row],[Date]]-DAY(Table13[[#This Row],[Date]])+1</f>
        <v>45839</v>
      </c>
      <c r="E112" s="167">
        <f t="shared" si="8"/>
        <v>31</v>
      </c>
      <c r="F112" s="169"/>
      <c r="G112" s="170"/>
      <c r="H112" s="170"/>
      <c r="I112" s="170"/>
      <c r="J112" s="170"/>
      <c r="K112" s="171"/>
      <c r="L112" s="170"/>
      <c r="M112" s="170" t="str">
        <f>IFERROR(_xlfn.XLOOKUP($A112,Input_Raw!$A:$A,Input_Raw!BG:BG),"")</f>
        <v/>
      </c>
      <c r="N112" s="170" t="str">
        <f>IFERROR(_xlfn.XLOOKUP($A112,Input_Raw!$A:$A,Input_Raw!BH:BH),"")</f>
        <v/>
      </c>
      <c r="O112" s="173" t="str">
        <f t="shared" si="9"/>
        <v/>
      </c>
      <c r="P112" s="173" t="str">
        <f>IFERROR(1-SUMIF(WTG_BD!$F:$F,$A112,WTG_BD!$AA:$AA)/($AA112+SUMIF(WTG_BD!$F:$F,$A112,WTG_BD!$AA:$AA)),"")</f>
        <v/>
      </c>
      <c r="Q112" s="173" t="str">
        <f>IFERROR(1-SUMIF(IGA_BD!$F:$F,$A112,IGA_BD!$X:$X)/($AA112+SUMIF(IGA_BD!$F:$F,$A112,IGA_BD!$X:$X)),"")</f>
        <v/>
      </c>
      <c r="R112" s="173" t="str">
        <f>IFERROR(1-SUMIF(Grid_BD!$F:$F,$A112,Grid_BD!$Y:$Y)/($AA112+SUMIF(Grid_BD!$F:$F,$A112,Grid_BD!$Y:$Y)),"")</f>
        <v/>
      </c>
      <c r="S112" s="167"/>
      <c r="T112" s="172"/>
      <c r="U112" s="173"/>
      <c r="V112" s="167"/>
      <c r="W112" s="174" t="str">
        <f t="shared" si="10"/>
        <v/>
      </c>
      <c r="X112" s="167" t="str">
        <f>IFERROR(_xlfn.XLOOKUP($A112,Input_Raw!$A:$A,Input_Raw!$BF:$BF),"")</f>
        <v/>
      </c>
      <c r="Y112" s="167" t="str">
        <f>IFERROR(_xlfn.XLOOKUP($A112,Input_Raw!$A:$A,Input_Raw!BJ:BJ),"")</f>
        <v/>
      </c>
      <c r="Z112" s="167" t="str">
        <f>IFERROR(_xlfn.XLOOKUP($A112,Input_Raw!$A:$A,Input_Raw!BK:BK),"")</f>
        <v/>
      </c>
      <c r="AA112" s="167" t="str">
        <f>IFERROR(_xlfn.XLOOKUP($A112,Input_Raw!$A:$A,Input_Raw!BL:BL),"")</f>
        <v/>
      </c>
      <c r="AB112" s="167" t="str">
        <f>IFERROR(_xlfn.XLOOKUP($A112,Input_Raw!$A:$A,Input_Raw!$BO:$BO),"")</f>
        <v/>
      </c>
      <c r="AC112" s="176">
        <f>IFERROR(_xlfn.XLOOKUP($D112,'Modelling New'!$D:$D,'Modelling New'!$J:$J),"")</f>
        <v>8.18</v>
      </c>
      <c r="AD112" s="166">
        <f>IFERROR(_xlfn.XLOOKUP($D112,'Modelling New'!$D:$D,'Modelling New'!$T:$T)*1000,"")</f>
        <v>963883.16796059138</v>
      </c>
      <c r="AE112" s="174"/>
      <c r="AF112" s="174">
        <f>IFERROR(_xlfn.XLOOKUP($D112,'Modelling New'!$D:$D,'Modelling New'!$W:$W),"")</f>
        <v>0.57210539408867012</v>
      </c>
      <c r="AG112" s="174">
        <f>IFERROR(_xlfn.XLOOKUP($D112,'Modelling New'!$D:$D,'Modelling New'!$AE:$AE),"")</f>
        <v>0.96029999999999993</v>
      </c>
      <c r="AH112" s="174">
        <f>IFERROR(_xlfn.XLOOKUP($D112,'Modelling New'!$D:$D,'Modelling New'!$AF:$AF),"")</f>
        <v>0.995</v>
      </c>
      <c r="AI112" s="177" t="str">
        <f>IFERROR(_xlfn.XLOOKUP($A112,Input_Raw!$A:$A,Input_Raw!$BQ:$BQ),"")</f>
        <v/>
      </c>
      <c r="AJ112" s="167"/>
      <c r="AK112" s="167"/>
      <c r="AL112" s="167"/>
      <c r="AM112" s="167"/>
      <c r="AN112" s="175" t="str">
        <f>IFERROR(_xlfn.XLOOKUP($A112,Input_Raw!$A:$A,Input_Raw!$BN:$BN),"")</f>
        <v/>
      </c>
      <c r="AO112" s="174" t="str">
        <f>IFERROR((_xlfn.XLOOKUP($A112,'WTG Reactive Power'!$A:$A,'WTG Reactive Power'!$AE:$AE))/Table13[[#This Row],[Gen_Exp (kWh)]],"")</f>
        <v/>
      </c>
      <c r="AP112" s="174">
        <f>IFERROR(_xlfn.XLOOKUP($D112,'Modelling New'!$D:$D,'Modelling New'!$AK:$AK),"")</f>
        <v>0.05</v>
      </c>
      <c r="AQ112" s="174">
        <f>IFERROR(_xlfn.XLOOKUP($D112,'Modelling New'!$D:$D,'Modelling New'!$AL:$AL),"")</f>
        <v>0.05</v>
      </c>
      <c r="AR112" s="276">
        <f>IFERROR(_xlfn.XLOOKUP($D112,'Modelling New'!$D:$D,'Modelling New'!$N:$N),"")</f>
        <v>70.2</v>
      </c>
      <c r="AS112" s="276"/>
    </row>
    <row r="113" spans="1:45">
      <c r="A113" s="165">
        <f t="shared" si="11"/>
        <v>45856</v>
      </c>
      <c r="B113" s="166">
        <f>YEAR(Table13[[#This Row],[Date]])+IF(MONTH(Table13[[#This Row],[Date]])&gt;=4,1,0)</f>
        <v>2026</v>
      </c>
      <c r="C113" s="167">
        <f>YEAR(Table13[[#This Row],[Date]])</f>
        <v>2025</v>
      </c>
      <c r="D113" s="168">
        <f>Table13[[#This Row],[Date]]-DAY(Table13[[#This Row],[Date]])+1</f>
        <v>45839</v>
      </c>
      <c r="E113" s="167">
        <f t="shared" si="8"/>
        <v>31</v>
      </c>
      <c r="F113" s="169"/>
      <c r="G113" s="176"/>
      <c r="H113" s="176"/>
      <c r="I113" s="176"/>
      <c r="J113" s="176"/>
      <c r="K113" s="171"/>
      <c r="L113" s="170"/>
      <c r="M113" s="170" t="str">
        <f>IFERROR(_xlfn.XLOOKUP($A113,Input_Raw!$A:$A,Input_Raw!BG:BG),"")</f>
        <v/>
      </c>
      <c r="N113" s="170" t="str">
        <f>IFERROR(_xlfn.XLOOKUP($A113,Input_Raw!$A:$A,Input_Raw!BH:BH),"")</f>
        <v/>
      </c>
      <c r="O113" s="173" t="str">
        <f t="shared" si="9"/>
        <v/>
      </c>
      <c r="P113" s="173" t="str">
        <f>IFERROR(1-SUMIF(WTG_BD!$F:$F,$A113,WTG_BD!$AA:$AA)/($AA113+SUMIF(WTG_BD!$F:$F,$A113,WTG_BD!$AA:$AA)),"")</f>
        <v/>
      </c>
      <c r="Q113" s="173" t="str">
        <f>IFERROR(1-SUMIF(IGA_BD!$F:$F,$A113,IGA_BD!$X:$X)/($AA113+SUMIF(IGA_BD!$F:$F,$A113,IGA_BD!$X:$X)),"")</f>
        <v/>
      </c>
      <c r="R113" s="173" t="str">
        <f>IFERROR(1-SUMIF(Grid_BD!$F:$F,$A113,Grid_BD!$Y:$Y)/($AA113+SUMIF(Grid_BD!$F:$F,$A113,Grid_BD!$Y:$Y)),"")</f>
        <v/>
      </c>
      <c r="S113" s="167"/>
      <c r="T113" s="172"/>
      <c r="U113" s="173"/>
      <c r="V113" s="167"/>
      <c r="W113" s="174" t="str">
        <f t="shared" si="10"/>
        <v/>
      </c>
      <c r="X113" s="167" t="str">
        <f>IFERROR(_xlfn.XLOOKUP($A113,Input_Raw!$A:$A,Input_Raw!$BF:$BF),"")</f>
        <v/>
      </c>
      <c r="Y113" s="167" t="str">
        <f>IFERROR(_xlfn.XLOOKUP($A113,Input_Raw!$A:$A,Input_Raw!BJ:BJ),"")</f>
        <v/>
      </c>
      <c r="Z113" s="167" t="str">
        <f>IFERROR(_xlfn.XLOOKUP($A113,Input_Raw!$A:$A,Input_Raw!BK:BK),"")</f>
        <v/>
      </c>
      <c r="AA113" s="167" t="str">
        <f>IFERROR(_xlfn.XLOOKUP($A113,Input_Raw!$A:$A,Input_Raw!BL:BL),"")</f>
        <v/>
      </c>
      <c r="AB113" s="167" t="str">
        <f>IFERROR(_xlfn.XLOOKUP($A113,Input_Raw!$A:$A,Input_Raw!$BO:$BO),"")</f>
        <v/>
      </c>
      <c r="AC113" s="176">
        <f>IFERROR(_xlfn.XLOOKUP($D113,'Modelling New'!$D:$D,'Modelling New'!$J:$J),"")</f>
        <v>8.18</v>
      </c>
      <c r="AD113" s="166">
        <f>IFERROR(_xlfn.XLOOKUP($D113,'Modelling New'!$D:$D,'Modelling New'!$T:$T)*1000,"")</f>
        <v>963883.16796059138</v>
      </c>
      <c r="AE113" s="174"/>
      <c r="AF113" s="174">
        <f>IFERROR(_xlfn.XLOOKUP($D113,'Modelling New'!$D:$D,'Modelling New'!$W:$W),"")</f>
        <v>0.57210539408867012</v>
      </c>
      <c r="AG113" s="174">
        <f>IFERROR(_xlfn.XLOOKUP($D113,'Modelling New'!$D:$D,'Modelling New'!$AE:$AE),"")</f>
        <v>0.96029999999999993</v>
      </c>
      <c r="AH113" s="174">
        <f>IFERROR(_xlfn.XLOOKUP($D113,'Modelling New'!$D:$D,'Modelling New'!$AF:$AF),"")</f>
        <v>0.995</v>
      </c>
      <c r="AI113" s="177" t="str">
        <f>IFERROR(_xlfn.XLOOKUP($A113,Input_Raw!$A:$A,Input_Raw!$BQ:$BQ),"")</f>
        <v/>
      </c>
      <c r="AJ113" s="167"/>
      <c r="AK113" s="167"/>
      <c r="AL113" s="167"/>
      <c r="AM113" s="167"/>
      <c r="AN113" s="175" t="str">
        <f>IFERROR(_xlfn.XLOOKUP($A113,Input_Raw!$A:$A,Input_Raw!$BN:$BN),"")</f>
        <v/>
      </c>
      <c r="AO113" s="174" t="str">
        <f>IFERROR((_xlfn.XLOOKUP($A113,'WTG Reactive Power'!$A:$A,'WTG Reactive Power'!$AE:$AE))/Table13[[#This Row],[Gen_Exp (kWh)]],"")</f>
        <v/>
      </c>
      <c r="AP113" s="174">
        <f>IFERROR(_xlfn.XLOOKUP($D113,'Modelling New'!$D:$D,'Modelling New'!$AK:$AK),"")</f>
        <v>0.05</v>
      </c>
      <c r="AQ113" s="174">
        <f>IFERROR(_xlfn.XLOOKUP($D113,'Modelling New'!$D:$D,'Modelling New'!$AL:$AL),"")</f>
        <v>0.05</v>
      </c>
      <c r="AR113" s="276">
        <f>IFERROR(_xlfn.XLOOKUP($D113,'Modelling New'!$D:$D,'Modelling New'!$N:$N),"")</f>
        <v>70.2</v>
      </c>
      <c r="AS113" s="276"/>
    </row>
    <row r="114" spans="1:45">
      <c r="A114" s="165">
        <f t="shared" si="11"/>
        <v>45857</v>
      </c>
      <c r="B114" s="166">
        <f>YEAR(Table13[[#This Row],[Date]])+IF(MONTH(Table13[[#This Row],[Date]])&gt;=4,1,0)</f>
        <v>2026</v>
      </c>
      <c r="C114" s="167">
        <f>YEAR(Table13[[#This Row],[Date]])</f>
        <v>2025</v>
      </c>
      <c r="D114" s="168">
        <f>Table13[[#This Row],[Date]]-DAY(Table13[[#This Row],[Date]])+1</f>
        <v>45839</v>
      </c>
      <c r="E114" s="167">
        <f t="shared" si="8"/>
        <v>31</v>
      </c>
      <c r="F114" s="169"/>
      <c r="G114" s="170"/>
      <c r="H114" s="170"/>
      <c r="I114" s="170"/>
      <c r="J114" s="170"/>
      <c r="K114" s="171"/>
      <c r="L114" s="170"/>
      <c r="M114" s="170" t="str">
        <f>IFERROR(_xlfn.XLOOKUP($A114,Input_Raw!$A:$A,Input_Raw!BG:BG),"")</f>
        <v/>
      </c>
      <c r="N114" s="170" t="str">
        <f>IFERROR(_xlfn.XLOOKUP($A114,Input_Raw!$A:$A,Input_Raw!BH:BH),"")</f>
        <v/>
      </c>
      <c r="O114" s="173" t="str">
        <f t="shared" si="9"/>
        <v/>
      </c>
      <c r="P114" s="173" t="str">
        <f>IFERROR(1-SUMIF(WTG_BD!$F:$F,$A114,WTG_BD!$AA:$AA)/($AA114+SUMIF(WTG_BD!$F:$F,$A114,WTG_BD!$AA:$AA)),"")</f>
        <v/>
      </c>
      <c r="Q114" s="173" t="str">
        <f>IFERROR(1-SUMIF(IGA_BD!$F:$F,$A114,IGA_BD!$X:$X)/($AA114+SUMIF(IGA_BD!$F:$F,$A114,IGA_BD!$X:$X)),"")</f>
        <v/>
      </c>
      <c r="R114" s="173" t="str">
        <f>IFERROR(1-SUMIF(Grid_BD!$F:$F,$A114,Grid_BD!$Y:$Y)/($AA114+SUMIF(Grid_BD!$F:$F,$A114,Grid_BD!$Y:$Y)),"")</f>
        <v/>
      </c>
      <c r="S114" s="167"/>
      <c r="T114" s="172"/>
      <c r="U114" s="173"/>
      <c r="V114" s="167"/>
      <c r="W114" s="174" t="str">
        <f t="shared" si="10"/>
        <v/>
      </c>
      <c r="X114" s="167" t="str">
        <f>IFERROR(_xlfn.XLOOKUP($A114,Input_Raw!$A:$A,Input_Raw!$BF:$BF),"")</f>
        <v/>
      </c>
      <c r="Y114" s="167" t="str">
        <f>IFERROR(_xlfn.XLOOKUP($A114,Input_Raw!$A:$A,Input_Raw!BJ:BJ),"")</f>
        <v/>
      </c>
      <c r="Z114" s="167" t="str">
        <f>IFERROR(_xlfn.XLOOKUP($A114,Input_Raw!$A:$A,Input_Raw!BK:BK),"")</f>
        <v/>
      </c>
      <c r="AA114" s="167" t="str">
        <f>IFERROR(_xlfn.XLOOKUP($A114,Input_Raw!$A:$A,Input_Raw!BL:BL),"")</f>
        <v/>
      </c>
      <c r="AB114" s="167" t="str">
        <f>IFERROR(_xlfn.XLOOKUP($A114,Input_Raw!$A:$A,Input_Raw!$BO:$BO),"")</f>
        <v/>
      </c>
      <c r="AC114" s="176">
        <f>IFERROR(_xlfn.XLOOKUP($D114,'Modelling New'!$D:$D,'Modelling New'!$J:$J),"")</f>
        <v>8.18</v>
      </c>
      <c r="AD114" s="166">
        <f>IFERROR(_xlfn.XLOOKUP($D114,'Modelling New'!$D:$D,'Modelling New'!$T:$T)*1000,"")</f>
        <v>963883.16796059138</v>
      </c>
      <c r="AE114" s="174"/>
      <c r="AF114" s="174">
        <f>IFERROR(_xlfn.XLOOKUP($D114,'Modelling New'!$D:$D,'Modelling New'!$W:$W),"")</f>
        <v>0.57210539408867012</v>
      </c>
      <c r="AG114" s="174">
        <f>IFERROR(_xlfn.XLOOKUP($D114,'Modelling New'!$D:$D,'Modelling New'!$AE:$AE),"")</f>
        <v>0.96029999999999993</v>
      </c>
      <c r="AH114" s="174">
        <f>IFERROR(_xlfn.XLOOKUP($D114,'Modelling New'!$D:$D,'Modelling New'!$AF:$AF),"")</f>
        <v>0.995</v>
      </c>
      <c r="AI114" s="177" t="str">
        <f>IFERROR(_xlfn.XLOOKUP($A114,Input_Raw!$A:$A,Input_Raw!$BQ:$BQ),"")</f>
        <v/>
      </c>
      <c r="AJ114" s="167"/>
      <c r="AK114" s="167"/>
      <c r="AL114" s="167"/>
      <c r="AM114" s="167"/>
      <c r="AN114" s="175" t="str">
        <f>IFERROR(_xlfn.XLOOKUP($A114,Input_Raw!$A:$A,Input_Raw!$BN:$BN),"")</f>
        <v/>
      </c>
      <c r="AO114" s="174" t="str">
        <f>IFERROR((_xlfn.XLOOKUP($A114,'WTG Reactive Power'!$A:$A,'WTG Reactive Power'!$AE:$AE))/Table13[[#This Row],[Gen_Exp (kWh)]],"")</f>
        <v/>
      </c>
      <c r="AP114" s="174">
        <f>IFERROR(_xlfn.XLOOKUP($D114,'Modelling New'!$D:$D,'Modelling New'!$AK:$AK),"")</f>
        <v>0.05</v>
      </c>
      <c r="AQ114" s="174">
        <f>IFERROR(_xlfn.XLOOKUP($D114,'Modelling New'!$D:$D,'Modelling New'!$AL:$AL),"")</f>
        <v>0.05</v>
      </c>
      <c r="AR114" s="276">
        <f>IFERROR(_xlfn.XLOOKUP($D114,'Modelling New'!$D:$D,'Modelling New'!$N:$N),"")</f>
        <v>70.2</v>
      </c>
      <c r="AS114" s="276"/>
    </row>
    <row r="115" spans="1:45">
      <c r="A115" s="165">
        <f t="shared" si="11"/>
        <v>45858</v>
      </c>
      <c r="B115" s="166">
        <f>YEAR(Table13[[#This Row],[Date]])+IF(MONTH(Table13[[#This Row],[Date]])&gt;=4,1,0)</f>
        <v>2026</v>
      </c>
      <c r="C115" s="167">
        <f>YEAR(Table13[[#This Row],[Date]])</f>
        <v>2025</v>
      </c>
      <c r="D115" s="168">
        <f>Table13[[#This Row],[Date]]-DAY(Table13[[#This Row],[Date]])+1</f>
        <v>45839</v>
      </c>
      <c r="E115" s="167">
        <f t="shared" si="8"/>
        <v>31</v>
      </c>
      <c r="F115" s="169"/>
      <c r="G115" s="176"/>
      <c r="H115" s="176"/>
      <c r="I115" s="176"/>
      <c r="J115" s="176"/>
      <c r="K115" s="171"/>
      <c r="L115" s="170"/>
      <c r="M115" s="170" t="str">
        <f>IFERROR(_xlfn.XLOOKUP($A115,Input_Raw!$A:$A,Input_Raw!BG:BG),"")</f>
        <v/>
      </c>
      <c r="N115" s="170" t="str">
        <f>IFERROR(_xlfn.XLOOKUP($A115,Input_Raw!$A:$A,Input_Raw!BH:BH),"")</f>
        <v/>
      </c>
      <c r="O115" s="173" t="str">
        <f t="shared" si="9"/>
        <v/>
      </c>
      <c r="P115" s="173" t="str">
        <f>IFERROR(1-SUMIF(WTG_BD!$F:$F,$A115,WTG_BD!$AA:$AA)/($AA115+SUMIF(WTG_BD!$F:$F,$A115,WTG_BD!$AA:$AA)),"")</f>
        <v/>
      </c>
      <c r="Q115" s="173" t="str">
        <f>IFERROR(1-SUMIF(IGA_BD!$F:$F,$A115,IGA_BD!$X:$X)/($AA115+SUMIF(IGA_BD!$F:$F,$A115,IGA_BD!$X:$X)),"")</f>
        <v/>
      </c>
      <c r="R115" s="173" t="str">
        <f>IFERROR(1-SUMIF(Grid_BD!$F:$F,$A115,Grid_BD!$Y:$Y)/($AA115+SUMIF(Grid_BD!$F:$F,$A115,Grid_BD!$Y:$Y)),"")</f>
        <v/>
      </c>
      <c r="S115" s="167"/>
      <c r="T115" s="172"/>
      <c r="U115" s="173"/>
      <c r="V115" s="167"/>
      <c r="W115" s="174" t="str">
        <f t="shared" si="10"/>
        <v/>
      </c>
      <c r="X115" s="167" t="str">
        <f>IFERROR(_xlfn.XLOOKUP($A115,Input_Raw!$A:$A,Input_Raw!$BF:$BF),"")</f>
        <v/>
      </c>
      <c r="Y115" s="167" t="str">
        <f>IFERROR(_xlfn.XLOOKUP($A115,Input_Raw!$A:$A,Input_Raw!BJ:BJ),"")</f>
        <v/>
      </c>
      <c r="Z115" s="167" t="str">
        <f>IFERROR(_xlfn.XLOOKUP($A115,Input_Raw!$A:$A,Input_Raw!BK:BK),"")</f>
        <v/>
      </c>
      <c r="AA115" s="167" t="str">
        <f>IFERROR(_xlfn.XLOOKUP($A115,Input_Raw!$A:$A,Input_Raw!BL:BL),"")</f>
        <v/>
      </c>
      <c r="AB115" s="167" t="str">
        <f>IFERROR(_xlfn.XLOOKUP($A115,Input_Raw!$A:$A,Input_Raw!$BO:$BO),"")</f>
        <v/>
      </c>
      <c r="AC115" s="176">
        <f>IFERROR(_xlfn.XLOOKUP($D115,'Modelling New'!$D:$D,'Modelling New'!$J:$J),"")</f>
        <v>8.18</v>
      </c>
      <c r="AD115" s="166">
        <f>IFERROR(_xlfn.XLOOKUP($D115,'Modelling New'!$D:$D,'Modelling New'!$T:$T)*1000,"")</f>
        <v>963883.16796059138</v>
      </c>
      <c r="AE115" s="174"/>
      <c r="AF115" s="174">
        <f>IFERROR(_xlfn.XLOOKUP($D115,'Modelling New'!$D:$D,'Modelling New'!$W:$W),"")</f>
        <v>0.57210539408867012</v>
      </c>
      <c r="AG115" s="174">
        <f>IFERROR(_xlfn.XLOOKUP($D115,'Modelling New'!$D:$D,'Modelling New'!$AE:$AE),"")</f>
        <v>0.96029999999999993</v>
      </c>
      <c r="AH115" s="174">
        <f>IFERROR(_xlfn.XLOOKUP($D115,'Modelling New'!$D:$D,'Modelling New'!$AF:$AF),"")</f>
        <v>0.995</v>
      </c>
      <c r="AI115" s="177" t="str">
        <f>IFERROR(_xlfn.XLOOKUP($A115,Input_Raw!$A:$A,Input_Raw!$BQ:$BQ),"")</f>
        <v/>
      </c>
      <c r="AJ115" s="167"/>
      <c r="AK115" s="167"/>
      <c r="AL115" s="167"/>
      <c r="AM115" s="167"/>
      <c r="AN115" s="175" t="str">
        <f>IFERROR(_xlfn.XLOOKUP($A115,Input_Raw!$A:$A,Input_Raw!$BN:$BN),"")</f>
        <v/>
      </c>
      <c r="AO115" s="174" t="str">
        <f>IFERROR((_xlfn.XLOOKUP($A115,'WTG Reactive Power'!$A:$A,'WTG Reactive Power'!$AE:$AE))/Table13[[#This Row],[Gen_Exp (kWh)]],"")</f>
        <v/>
      </c>
      <c r="AP115" s="174">
        <f>IFERROR(_xlfn.XLOOKUP($D115,'Modelling New'!$D:$D,'Modelling New'!$AK:$AK),"")</f>
        <v>0.05</v>
      </c>
      <c r="AQ115" s="174">
        <f>IFERROR(_xlfn.XLOOKUP($D115,'Modelling New'!$D:$D,'Modelling New'!$AL:$AL),"")</f>
        <v>0.05</v>
      </c>
      <c r="AR115" s="276">
        <f>IFERROR(_xlfn.XLOOKUP($D115,'Modelling New'!$D:$D,'Modelling New'!$N:$N),"")</f>
        <v>70.2</v>
      </c>
      <c r="AS115" s="276"/>
    </row>
    <row r="116" spans="1:45">
      <c r="A116" s="165">
        <f t="shared" si="11"/>
        <v>45859</v>
      </c>
      <c r="B116" s="166">
        <f>YEAR(Table13[[#This Row],[Date]])+IF(MONTH(Table13[[#This Row],[Date]])&gt;=4,1,0)</f>
        <v>2026</v>
      </c>
      <c r="C116" s="167">
        <f>YEAR(Table13[[#This Row],[Date]])</f>
        <v>2025</v>
      </c>
      <c r="D116" s="168">
        <f>Table13[[#This Row],[Date]]-DAY(Table13[[#This Row],[Date]])+1</f>
        <v>45839</v>
      </c>
      <c r="E116" s="167">
        <f t="shared" si="8"/>
        <v>31</v>
      </c>
      <c r="F116" s="169"/>
      <c r="G116" s="170"/>
      <c r="H116" s="170"/>
      <c r="I116" s="170"/>
      <c r="J116" s="170"/>
      <c r="K116" s="171"/>
      <c r="L116" s="170"/>
      <c r="M116" s="170" t="str">
        <f>IFERROR(_xlfn.XLOOKUP($A116,Input_Raw!$A:$A,Input_Raw!BG:BG),"")</f>
        <v/>
      </c>
      <c r="N116" s="170" t="str">
        <f>IFERROR(_xlfn.XLOOKUP($A116,Input_Raw!$A:$A,Input_Raw!BH:BH),"")</f>
        <v/>
      </c>
      <c r="O116" s="173" t="str">
        <f t="shared" si="9"/>
        <v/>
      </c>
      <c r="P116" s="173" t="str">
        <f>IFERROR(1-SUMIF(WTG_BD!$F:$F,$A116,WTG_BD!$AA:$AA)/($AA116+SUMIF(WTG_BD!$F:$F,$A116,WTG_BD!$AA:$AA)),"")</f>
        <v/>
      </c>
      <c r="Q116" s="173" t="str">
        <f>IFERROR(1-SUMIF(IGA_BD!$F:$F,$A116,IGA_BD!$X:$X)/($AA116+SUMIF(IGA_BD!$F:$F,$A116,IGA_BD!$X:$X)),"")</f>
        <v/>
      </c>
      <c r="R116" s="173" t="str">
        <f>IFERROR(1-SUMIF(Grid_BD!$F:$F,$A116,Grid_BD!$Y:$Y)/($AA116+SUMIF(Grid_BD!$F:$F,$A116,Grid_BD!$Y:$Y)),"")</f>
        <v/>
      </c>
      <c r="S116" s="167"/>
      <c r="T116" s="172"/>
      <c r="U116" s="173"/>
      <c r="V116" s="167"/>
      <c r="W116" s="174" t="str">
        <f t="shared" si="10"/>
        <v/>
      </c>
      <c r="X116" s="167" t="str">
        <f>IFERROR(_xlfn.XLOOKUP($A116,Input_Raw!$A:$A,Input_Raw!$BF:$BF),"")</f>
        <v/>
      </c>
      <c r="Y116" s="167" t="str">
        <f>IFERROR(_xlfn.XLOOKUP($A116,Input_Raw!$A:$A,Input_Raw!BJ:BJ),"")</f>
        <v/>
      </c>
      <c r="Z116" s="167" t="str">
        <f>IFERROR(_xlfn.XLOOKUP($A116,Input_Raw!$A:$A,Input_Raw!BK:BK),"")</f>
        <v/>
      </c>
      <c r="AA116" s="167" t="str">
        <f>IFERROR(_xlfn.XLOOKUP($A116,Input_Raw!$A:$A,Input_Raw!BL:BL),"")</f>
        <v/>
      </c>
      <c r="AB116" s="167" t="str">
        <f>IFERROR(_xlfn.XLOOKUP($A116,Input_Raw!$A:$A,Input_Raw!$BO:$BO),"")</f>
        <v/>
      </c>
      <c r="AC116" s="176">
        <f>IFERROR(_xlfn.XLOOKUP($D116,'Modelling New'!$D:$D,'Modelling New'!$J:$J),"")</f>
        <v>8.18</v>
      </c>
      <c r="AD116" s="166">
        <f>IFERROR(_xlfn.XLOOKUP($D116,'Modelling New'!$D:$D,'Modelling New'!$T:$T)*1000,"")</f>
        <v>963883.16796059138</v>
      </c>
      <c r="AE116" s="174"/>
      <c r="AF116" s="174">
        <f>IFERROR(_xlfn.XLOOKUP($D116,'Modelling New'!$D:$D,'Modelling New'!$W:$W),"")</f>
        <v>0.57210539408867012</v>
      </c>
      <c r="AG116" s="174">
        <f>IFERROR(_xlfn.XLOOKUP($D116,'Modelling New'!$D:$D,'Modelling New'!$AE:$AE),"")</f>
        <v>0.96029999999999993</v>
      </c>
      <c r="AH116" s="174">
        <f>IFERROR(_xlfn.XLOOKUP($D116,'Modelling New'!$D:$D,'Modelling New'!$AF:$AF),"")</f>
        <v>0.995</v>
      </c>
      <c r="AI116" s="177" t="str">
        <f>IFERROR(_xlfn.XLOOKUP($A116,Input_Raw!$A:$A,Input_Raw!$BQ:$BQ),"")</f>
        <v/>
      </c>
      <c r="AJ116" s="167"/>
      <c r="AK116" s="167"/>
      <c r="AL116" s="167"/>
      <c r="AM116" s="167"/>
      <c r="AN116" s="175" t="str">
        <f>IFERROR(_xlfn.XLOOKUP($A116,Input_Raw!$A:$A,Input_Raw!$BN:$BN),"")</f>
        <v/>
      </c>
      <c r="AO116" s="174" t="str">
        <f>IFERROR((_xlfn.XLOOKUP($A116,'WTG Reactive Power'!$A:$A,'WTG Reactive Power'!$AE:$AE))/Table13[[#This Row],[Gen_Exp (kWh)]],"")</f>
        <v/>
      </c>
      <c r="AP116" s="174">
        <f>IFERROR(_xlfn.XLOOKUP($D116,'Modelling New'!$D:$D,'Modelling New'!$AK:$AK),"")</f>
        <v>0.05</v>
      </c>
      <c r="AQ116" s="174">
        <f>IFERROR(_xlfn.XLOOKUP($D116,'Modelling New'!$D:$D,'Modelling New'!$AL:$AL),"")</f>
        <v>0.05</v>
      </c>
      <c r="AR116" s="276">
        <f>IFERROR(_xlfn.XLOOKUP($D116,'Modelling New'!$D:$D,'Modelling New'!$N:$N),"")</f>
        <v>70.2</v>
      </c>
      <c r="AS116" s="276"/>
    </row>
    <row r="117" spans="1:45">
      <c r="A117" s="165">
        <f t="shared" si="11"/>
        <v>45860</v>
      </c>
      <c r="B117" s="166">
        <f>YEAR(Table13[[#This Row],[Date]])+IF(MONTH(Table13[[#This Row],[Date]])&gt;=4,1,0)</f>
        <v>2026</v>
      </c>
      <c r="C117" s="167">
        <f>YEAR(Table13[[#This Row],[Date]])</f>
        <v>2025</v>
      </c>
      <c r="D117" s="168">
        <f>Table13[[#This Row],[Date]]-DAY(Table13[[#This Row],[Date]])+1</f>
        <v>45839</v>
      </c>
      <c r="E117" s="167">
        <f t="shared" si="8"/>
        <v>31</v>
      </c>
      <c r="F117" s="169"/>
      <c r="G117" s="176"/>
      <c r="H117" s="176"/>
      <c r="I117" s="176"/>
      <c r="J117" s="176"/>
      <c r="K117" s="171"/>
      <c r="L117" s="170"/>
      <c r="M117" s="170" t="str">
        <f>IFERROR(_xlfn.XLOOKUP($A117,Input_Raw!$A:$A,Input_Raw!BG:BG),"")</f>
        <v/>
      </c>
      <c r="N117" s="170" t="str">
        <f>IFERROR(_xlfn.XLOOKUP($A117,Input_Raw!$A:$A,Input_Raw!BH:BH),"")</f>
        <v/>
      </c>
      <c r="O117" s="173" t="str">
        <f t="shared" si="9"/>
        <v/>
      </c>
      <c r="P117" s="173" t="str">
        <f>IFERROR(1-SUMIF(WTG_BD!$F:$F,$A117,WTG_BD!$AA:$AA)/($AA117+SUMIF(WTG_BD!$F:$F,$A117,WTG_BD!$AA:$AA)),"")</f>
        <v/>
      </c>
      <c r="Q117" s="173" t="str">
        <f>IFERROR(1-SUMIF(IGA_BD!$F:$F,$A117,IGA_BD!$X:$X)/($AA117+SUMIF(IGA_BD!$F:$F,$A117,IGA_BD!$X:$X)),"")</f>
        <v/>
      </c>
      <c r="R117" s="173" t="str">
        <f>IFERROR(1-SUMIF(Grid_BD!$F:$F,$A117,Grid_BD!$Y:$Y)/($AA117+SUMIF(Grid_BD!$F:$F,$A117,Grid_BD!$Y:$Y)),"")</f>
        <v/>
      </c>
      <c r="S117" s="167"/>
      <c r="T117" s="172"/>
      <c r="U117" s="173"/>
      <c r="V117" s="167"/>
      <c r="W117" s="174" t="str">
        <f t="shared" si="10"/>
        <v/>
      </c>
      <c r="X117" s="167" t="str">
        <f>IFERROR(_xlfn.XLOOKUP($A117,Input_Raw!$A:$A,Input_Raw!$BF:$BF),"")</f>
        <v/>
      </c>
      <c r="Y117" s="167" t="str">
        <f>IFERROR(_xlfn.XLOOKUP($A117,Input_Raw!$A:$A,Input_Raw!BJ:BJ),"")</f>
        <v/>
      </c>
      <c r="Z117" s="167" t="str">
        <f>IFERROR(_xlfn.XLOOKUP($A117,Input_Raw!$A:$A,Input_Raw!BK:BK),"")</f>
        <v/>
      </c>
      <c r="AA117" s="167" t="str">
        <f>IFERROR(_xlfn.XLOOKUP($A117,Input_Raw!$A:$A,Input_Raw!BL:BL),"")</f>
        <v/>
      </c>
      <c r="AB117" s="167" t="str">
        <f>IFERROR(_xlfn.XLOOKUP($A117,Input_Raw!$A:$A,Input_Raw!$BO:$BO),"")</f>
        <v/>
      </c>
      <c r="AC117" s="176">
        <f>IFERROR(_xlfn.XLOOKUP($D117,'Modelling New'!$D:$D,'Modelling New'!$J:$J),"")</f>
        <v>8.18</v>
      </c>
      <c r="AD117" s="166">
        <f>IFERROR(_xlfn.XLOOKUP($D117,'Modelling New'!$D:$D,'Modelling New'!$T:$T)*1000,"")</f>
        <v>963883.16796059138</v>
      </c>
      <c r="AE117" s="174"/>
      <c r="AF117" s="174">
        <f>IFERROR(_xlfn.XLOOKUP($D117,'Modelling New'!$D:$D,'Modelling New'!$W:$W),"")</f>
        <v>0.57210539408867012</v>
      </c>
      <c r="AG117" s="174">
        <f>IFERROR(_xlfn.XLOOKUP($D117,'Modelling New'!$D:$D,'Modelling New'!$AE:$AE),"")</f>
        <v>0.96029999999999993</v>
      </c>
      <c r="AH117" s="174">
        <f>IFERROR(_xlfn.XLOOKUP($D117,'Modelling New'!$D:$D,'Modelling New'!$AF:$AF),"")</f>
        <v>0.995</v>
      </c>
      <c r="AI117" s="177" t="str">
        <f>IFERROR(_xlfn.XLOOKUP($A117,Input_Raw!$A:$A,Input_Raw!$BQ:$BQ),"")</f>
        <v/>
      </c>
      <c r="AJ117" s="167"/>
      <c r="AK117" s="167"/>
      <c r="AL117" s="167"/>
      <c r="AM117" s="167"/>
      <c r="AN117" s="175" t="str">
        <f>IFERROR(_xlfn.XLOOKUP($A117,Input_Raw!$A:$A,Input_Raw!$BN:$BN),"")</f>
        <v/>
      </c>
      <c r="AO117" s="174" t="str">
        <f>IFERROR((_xlfn.XLOOKUP($A117,'WTG Reactive Power'!$A:$A,'WTG Reactive Power'!$AE:$AE))/Table13[[#This Row],[Gen_Exp (kWh)]],"")</f>
        <v/>
      </c>
      <c r="AP117" s="174">
        <f>IFERROR(_xlfn.XLOOKUP($D117,'Modelling New'!$D:$D,'Modelling New'!$AK:$AK),"")</f>
        <v>0.05</v>
      </c>
      <c r="AQ117" s="174">
        <f>IFERROR(_xlfn.XLOOKUP($D117,'Modelling New'!$D:$D,'Modelling New'!$AL:$AL),"")</f>
        <v>0.05</v>
      </c>
      <c r="AR117" s="276">
        <f>IFERROR(_xlfn.XLOOKUP($D117,'Modelling New'!$D:$D,'Modelling New'!$N:$N),"")</f>
        <v>70.2</v>
      </c>
      <c r="AS117" s="276"/>
    </row>
    <row r="118" spans="1:45">
      <c r="A118" s="165">
        <f t="shared" si="11"/>
        <v>45861</v>
      </c>
      <c r="B118" s="166">
        <f>YEAR(Table13[[#This Row],[Date]])+IF(MONTH(Table13[[#This Row],[Date]])&gt;=4,1,0)</f>
        <v>2026</v>
      </c>
      <c r="C118" s="167">
        <f>YEAR(Table13[[#This Row],[Date]])</f>
        <v>2025</v>
      </c>
      <c r="D118" s="168">
        <f>Table13[[#This Row],[Date]]-DAY(Table13[[#This Row],[Date]])+1</f>
        <v>45839</v>
      </c>
      <c r="E118" s="167">
        <f t="shared" si="8"/>
        <v>31</v>
      </c>
      <c r="F118" s="169"/>
      <c r="G118" s="170"/>
      <c r="H118" s="170"/>
      <c r="I118" s="170"/>
      <c r="J118" s="170"/>
      <c r="K118" s="171"/>
      <c r="L118" s="170"/>
      <c r="M118" s="170" t="str">
        <f>IFERROR(_xlfn.XLOOKUP($A118,Input_Raw!$A:$A,Input_Raw!BG:BG),"")</f>
        <v/>
      </c>
      <c r="N118" s="170" t="str">
        <f>IFERROR(_xlfn.XLOOKUP($A118,Input_Raw!$A:$A,Input_Raw!BH:BH),"")</f>
        <v/>
      </c>
      <c r="O118" s="173" t="str">
        <f t="shared" si="9"/>
        <v/>
      </c>
      <c r="P118" s="173" t="str">
        <f>IFERROR(1-SUMIF(WTG_BD!$F:$F,$A118,WTG_BD!$AA:$AA)/($AA118+SUMIF(WTG_BD!$F:$F,$A118,WTG_BD!$AA:$AA)),"")</f>
        <v/>
      </c>
      <c r="Q118" s="173" t="str">
        <f>IFERROR(1-SUMIF(IGA_BD!$F:$F,$A118,IGA_BD!$X:$X)/($AA118+SUMIF(IGA_BD!$F:$F,$A118,IGA_BD!$X:$X)),"")</f>
        <v/>
      </c>
      <c r="R118" s="173" t="str">
        <f>IFERROR(1-SUMIF(Grid_BD!$F:$F,$A118,Grid_BD!$Y:$Y)/($AA118+SUMIF(Grid_BD!$F:$F,$A118,Grid_BD!$Y:$Y)),"")</f>
        <v/>
      </c>
      <c r="S118" s="167"/>
      <c r="T118" s="172"/>
      <c r="U118" s="173"/>
      <c r="V118" s="167"/>
      <c r="W118" s="174" t="str">
        <f t="shared" si="10"/>
        <v/>
      </c>
      <c r="X118" s="167" t="str">
        <f>IFERROR(_xlfn.XLOOKUP($A118,Input_Raw!$A:$A,Input_Raw!$BF:$BF),"")</f>
        <v/>
      </c>
      <c r="Y118" s="167" t="str">
        <f>IFERROR(_xlfn.XLOOKUP($A118,Input_Raw!$A:$A,Input_Raw!BJ:BJ),"")</f>
        <v/>
      </c>
      <c r="Z118" s="167" t="str">
        <f>IFERROR(_xlfn.XLOOKUP($A118,Input_Raw!$A:$A,Input_Raw!BK:BK),"")</f>
        <v/>
      </c>
      <c r="AA118" s="167" t="str">
        <f>IFERROR(_xlfn.XLOOKUP($A118,Input_Raw!$A:$A,Input_Raw!BL:BL),"")</f>
        <v/>
      </c>
      <c r="AB118" s="167" t="str">
        <f>IFERROR(_xlfn.XLOOKUP($A118,Input_Raw!$A:$A,Input_Raw!$BO:$BO),"")</f>
        <v/>
      </c>
      <c r="AC118" s="176">
        <f>IFERROR(_xlfn.XLOOKUP($D118,'Modelling New'!$D:$D,'Modelling New'!$J:$J),"")</f>
        <v>8.18</v>
      </c>
      <c r="AD118" s="166">
        <f>IFERROR(_xlfn.XLOOKUP($D118,'Modelling New'!$D:$D,'Modelling New'!$T:$T)*1000,"")</f>
        <v>963883.16796059138</v>
      </c>
      <c r="AE118" s="174"/>
      <c r="AF118" s="174">
        <f>IFERROR(_xlfn.XLOOKUP($D118,'Modelling New'!$D:$D,'Modelling New'!$W:$W),"")</f>
        <v>0.57210539408867012</v>
      </c>
      <c r="AG118" s="174">
        <f>IFERROR(_xlfn.XLOOKUP($D118,'Modelling New'!$D:$D,'Modelling New'!$AE:$AE),"")</f>
        <v>0.96029999999999993</v>
      </c>
      <c r="AH118" s="174">
        <f>IFERROR(_xlfn.XLOOKUP($D118,'Modelling New'!$D:$D,'Modelling New'!$AF:$AF),"")</f>
        <v>0.995</v>
      </c>
      <c r="AI118" s="177" t="str">
        <f>IFERROR(_xlfn.XLOOKUP($A118,Input_Raw!$A:$A,Input_Raw!$BQ:$BQ),"")</f>
        <v/>
      </c>
      <c r="AJ118" s="167"/>
      <c r="AK118" s="167"/>
      <c r="AL118" s="167"/>
      <c r="AM118" s="167"/>
      <c r="AN118" s="175" t="str">
        <f>IFERROR(_xlfn.XLOOKUP($A118,Input_Raw!$A:$A,Input_Raw!$BN:$BN),"")</f>
        <v/>
      </c>
      <c r="AO118" s="174" t="str">
        <f>IFERROR((_xlfn.XLOOKUP($A118,'WTG Reactive Power'!$A:$A,'WTG Reactive Power'!$AE:$AE))/Table13[[#This Row],[Gen_Exp (kWh)]],"")</f>
        <v/>
      </c>
      <c r="AP118" s="174">
        <f>IFERROR(_xlfn.XLOOKUP($D118,'Modelling New'!$D:$D,'Modelling New'!$AK:$AK),"")</f>
        <v>0.05</v>
      </c>
      <c r="AQ118" s="174">
        <f>IFERROR(_xlfn.XLOOKUP($D118,'Modelling New'!$D:$D,'Modelling New'!$AL:$AL),"")</f>
        <v>0.05</v>
      </c>
      <c r="AR118" s="276">
        <f>IFERROR(_xlfn.XLOOKUP($D118,'Modelling New'!$D:$D,'Modelling New'!$N:$N),"")</f>
        <v>70.2</v>
      </c>
      <c r="AS118" s="276"/>
    </row>
    <row r="119" spans="1:45">
      <c r="A119" s="165">
        <f t="shared" si="11"/>
        <v>45862</v>
      </c>
      <c r="B119" s="166">
        <f>YEAR(Table13[[#This Row],[Date]])+IF(MONTH(Table13[[#This Row],[Date]])&gt;=4,1,0)</f>
        <v>2026</v>
      </c>
      <c r="C119" s="167">
        <f>YEAR(Table13[[#This Row],[Date]])</f>
        <v>2025</v>
      </c>
      <c r="D119" s="168">
        <f>Table13[[#This Row],[Date]]-DAY(Table13[[#This Row],[Date]])+1</f>
        <v>45839</v>
      </c>
      <c r="E119" s="167">
        <f t="shared" si="8"/>
        <v>31</v>
      </c>
      <c r="F119" s="169"/>
      <c r="G119" s="176"/>
      <c r="H119" s="176"/>
      <c r="I119" s="176"/>
      <c r="J119" s="176"/>
      <c r="K119" s="171"/>
      <c r="L119" s="170"/>
      <c r="M119" s="170" t="str">
        <f>IFERROR(_xlfn.XLOOKUP($A119,Input_Raw!$A:$A,Input_Raw!BG:BG),"")</f>
        <v/>
      </c>
      <c r="N119" s="170" t="str">
        <f>IFERROR(_xlfn.XLOOKUP($A119,Input_Raw!$A:$A,Input_Raw!BH:BH),"")</f>
        <v/>
      </c>
      <c r="O119" s="173" t="str">
        <f t="shared" si="9"/>
        <v/>
      </c>
      <c r="P119" s="173" t="str">
        <f>IFERROR(1-SUMIF(WTG_BD!$F:$F,$A119,WTG_BD!$AA:$AA)/($AA119+SUMIF(WTG_BD!$F:$F,$A119,WTG_BD!$AA:$AA)),"")</f>
        <v/>
      </c>
      <c r="Q119" s="173" t="str">
        <f>IFERROR(1-SUMIF(IGA_BD!$F:$F,$A119,IGA_BD!$X:$X)/($AA119+SUMIF(IGA_BD!$F:$F,$A119,IGA_BD!$X:$X)),"")</f>
        <v/>
      </c>
      <c r="R119" s="173" t="str">
        <f>IFERROR(1-SUMIF(Grid_BD!$F:$F,$A119,Grid_BD!$Y:$Y)/($AA119+SUMIF(Grid_BD!$F:$F,$A119,Grid_BD!$Y:$Y)),"")</f>
        <v/>
      </c>
      <c r="S119" s="167"/>
      <c r="T119" s="172"/>
      <c r="U119" s="173"/>
      <c r="V119" s="167"/>
      <c r="W119" s="174" t="str">
        <f t="shared" si="10"/>
        <v/>
      </c>
      <c r="X119" s="167" t="str">
        <f>IFERROR(_xlfn.XLOOKUP($A119,Input_Raw!$A:$A,Input_Raw!$BF:$BF),"")</f>
        <v/>
      </c>
      <c r="Y119" s="167" t="str">
        <f>IFERROR(_xlfn.XLOOKUP($A119,Input_Raw!$A:$A,Input_Raw!BJ:BJ),"")</f>
        <v/>
      </c>
      <c r="Z119" s="167" t="str">
        <f>IFERROR(_xlfn.XLOOKUP($A119,Input_Raw!$A:$A,Input_Raw!BK:BK),"")</f>
        <v/>
      </c>
      <c r="AA119" s="167" t="str">
        <f>IFERROR(_xlfn.XLOOKUP($A119,Input_Raw!$A:$A,Input_Raw!BL:BL),"")</f>
        <v/>
      </c>
      <c r="AB119" s="167" t="str">
        <f>IFERROR(_xlfn.XLOOKUP($A119,Input_Raw!$A:$A,Input_Raw!$BO:$BO),"")</f>
        <v/>
      </c>
      <c r="AC119" s="176">
        <f>IFERROR(_xlfn.XLOOKUP($D119,'Modelling New'!$D:$D,'Modelling New'!$J:$J),"")</f>
        <v>8.18</v>
      </c>
      <c r="AD119" s="166">
        <f>IFERROR(_xlfn.XLOOKUP($D119,'Modelling New'!$D:$D,'Modelling New'!$T:$T)*1000,"")</f>
        <v>963883.16796059138</v>
      </c>
      <c r="AE119" s="174"/>
      <c r="AF119" s="174">
        <f>IFERROR(_xlfn.XLOOKUP($D119,'Modelling New'!$D:$D,'Modelling New'!$W:$W),"")</f>
        <v>0.57210539408867012</v>
      </c>
      <c r="AG119" s="174">
        <f>IFERROR(_xlfn.XLOOKUP($D119,'Modelling New'!$D:$D,'Modelling New'!$AE:$AE),"")</f>
        <v>0.96029999999999993</v>
      </c>
      <c r="AH119" s="174">
        <f>IFERROR(_xlfn.XLOOKUP($D119,'Modelling New'!$D:$D,'Modelling New'!$AF:$AF),"")</f>
        <v>0.995</v>
      </c>
      <c r="AI119" s="177" t="str">
        <f>IFERROR(_xlfn.XLOOKUP($A119,Input_Raw!$A:$A,Input_Raw!$BQ:$BQ),"")</f>
        <v/>
      </c>
      <c r="AJ119" s="167"/>
      <c r="AK119" s="167"/>
      <c r="AL119" s="167"/>
      <c r="AM119" s="167"/>
      <c r="AN119" s="175" t="str">
        <f>IFERROR(_xlfn.XLOOKUP($A119,Input_Raw!$A:$A,Input_Raw!$BN:$BN),"")</f>
        <v/>
      </c>
      <c r="AO119" s="174" t="str">
        <f>IFERROR((_xlfn.XLOOKUP($A119,'WTG Reactive Power'!$A:$A,'WTG Reactive Power'!$AE:$AE))/Table13[[#This Row],[Gen_Exp (kWh)]],"")</f>
        <v/>
      </c>
      <c r="AP119" s="174">
        <f>IFERROR(_xlfn.XLOOKUP($D119,'Modelling New'!$D:$D,'Modelling New'!$AK:$AK),"")</f>
        <v>0.05</v>
      </c>
      <c r="AQ119" s="174">
        <f>IFERROR(_xlfn.XLOOKUP($D119,'Modelling New'!$D:$D,'Modelling New'!$AL:$AL),"")</f>
        <v>0.05</v>
      </c>
      <c r="AR119" s="276">
        <f>IFERROR(_xlfn.XLOOKUP($D119,'Modelling New'!$D:$D,'Modelling New'!$N:$N),"")</f>
        <v>70.2</v>
      </c>
      <c r="AS119" s="276"/>
    </row>
    <row r="120" spans="1:45">
      <c r="A120" s="165">
        <f t="shared" si="11"/>
        <v>45863</v>
      </c>
      <c r="B120" s="166">
        <f>YEAR(Table13[[#This Row],[Date]])+IF(MONTH(Table13[[#This Row],[Date]])&gt;=4,1,0)</f>
        <v>2026</v>
      </c>
      <c r="C120" s="167">
        <f>YEAR(Table13[[#This Row],[Date]])</f>
        <v>2025</v>
      </c>
      <c r="D120" s="168">
        <f>Table13[[#This Row],[Date]]-DAY(Table13[[#This Row],[Date]])+1</f>
        <v>45839</v>
      </c>
      <c r="E120" s="167">
        <f t="shared" si="8"/>
        <v>31</v>
      </c>
      <c r="F120" s="169"/>
      <c r="G120" s="170"/>
      <c r="H120" s="170"/>
      <c r="I120" s="170"/>
      <c r="J120" s="170"/>
      <c r="K120" s="171"/>
      <c r="L120" s="170"/>
      <c r="M120" s="170" t="str">
        <f>IFERROR(_xlfn.XLOOKUP($A120,Input_Raw!$A:$A,Input_Raw!BG:BG),"")</f>
        <v/>
      </c>
      <c r="N120" s="170" t="str">
        <f>IFERROR(_xlfn.XLOOKUP($A120,Input_Raw!$A:$A,Input_Raw!BH:BH),"")</f>
        <v/>
      </c>
      <c r="O120" s="173" t="str">
        <f t="shared" si="9"/>
        <v/>
      </c>
      <c r="P120" s="173" t="str">
        <f>IFERROR(1-SUMIF(WTG_BD!$F:$F,$A120,WTG_BD!$AA:$AA)/($AA120+SUMIF(WTG_BD!$F:$F,$A120,WTG_BD!$AA:$AA)),"")</f>
        <v/>
      </c>
      <c r="Q120" s="173" t="str">
        <f>IFERROR(1-SUMIF(IGA_BD!$F:$F,$A120,IGA_BD!$X:$X)/($AA120+SUMIF(IGA_BD!$F:$F,$A120,IGA_BD!$X:$X)),"")</f>
        <v/>
      </c>
      <c r="R120" s="173" t="str">
        <f>IFERROR(1-SUMIF(Grid_BD!$F:$F,$A120,Grid_BD!$Y:$Y)/($AA120+SUMIF(Grid_BD!$F:$F,$A120,Grid_BD!$Y:$Y)),"")</f>
        <v/>
      </c>
      <c r="S120" s="167"/>
      <c r="T120" s="172"/>
      <c r="U120" s="173"/>
      <c r="V120" s="167"/>
      <c r="W120" s="174" t="str">
        <f t="shared" si="10"/>
        <v/>
      </c>
      <c r="X120" s="167" t="str">
        <f>IFERROR(_xlfn.XLOOKUP($A120,Input_Raw!$A:$A,Input_Raw!$BF:$BF),"")</f>
        <v/>
      </c>
      <c r="Y120" s="167" t="str">
        <f>IFERROR(_xlfn.XLOOKUP($A120,Input_Raw!$A:$A,Input_Raw!BJ:BJ),"")</f>
        <v/>
      </c>
      <c r="Z120" s="167" t="str">
        <f>IFERROR(_xlfn.XLOOKUP($A120,Input_Raw!$A:$A,Input_Raw!BK:BK),"")</f>
        <v/>
      </c>
      <c r="AA120" s="167" t="str">
        <f>IFERROR(_xlfn.XLOOKUP($A120,Input_Raw!$A:$A,Input_Raw!BL:BL),"")</f>
        <v/>
      </c>
      <c r="AB120" s="167" t="str">
        <f>IFERROR(_xlfn.XLOOKUP($A120,Input_Raw!$A:$A,Input_Raw!$BO:$BO),"")</f>
        <v/>
      </c>
      <c r="AC120" s="176">
        <f>IFERROR(_xlfn.XLOOKUP($D120,'Modelling New'!$D:$D,'Modelling New'!$J:$J),"")</f>
        <v>8.18</v>
      </c>
      <c r="AD120" s="166">
        <f>IFERROR(_xlfn.XLOOKUP($D120,'Modelling New'!$D:$D,'Modelling New'!$T:$T)*1000,"")</f>
        <v>963883.16796059138</v>
      </c>
      <c r="AE120" s="174"/>
      <c r="AF120" s="174">
        <f>IFERROR(_xlfn.XLOOKUP($D120,'Modelling New'!$D:$D,'Modelling New'!$W:$W),"")</f>
        <v>0.57210539408867012</v>
      </c>
      <c r="AG120" s="174">
        <f>IFERROR(_xlfn.XLOOKUP($D120,'Modelling New'!$D:$D,'Modelling New'!$AE:$AE),"")</f>
        <v>0.96029999999999993</v>
      </c>
      <c r="AH120" s="174">
        <f>IFERROR(_xlfn.XLOOKUP($D120,'Modelling New'!$D:$D,'Modelling New'!$AF:$AF),"")</f>
        <v>0.995</v>
      </c>
      <c r="AI120" s="177" t="str">
        <f>IFERROR(_xlfn.XLOOKUP($A120,Input_Raw!$A:$A,Input_Raw!$BQ:$BQ),"")</f>
        <v/>
      </c>
      <c r="AJ120" s="167"/>
      <c r="AK120" s="167"/>
      <c r="AL120" s="167"/>
      <c r="AM120" s="167"/>
      <c r="AN120" s="175" t="str">
        <f>IFERROR(_xlfn.XLOOKUP($A120,Input_Raw!$A:$A,Input_Raw!$BN:$BN),"")</f>
        <v/>
      </c>
      <c r="AO120" s="174" t="str">
        <f>IFERROR((_xlfn.XLOOKUP($A120,'WTG Reactive Power'!$A:$A,'WTG Reactive Power'!$AE:$AE))/Table13[[#This Row],[Gen_Exp (kWh)]],"")</f>
        <v/>
      </c>
      <c r="AP120" s="174">
        <f>IFERROR(_xlfn.XLOOKUP($D120,'Modelling New'!$D:$D,'Modelling New'!$AK:$AK),"")</f>
        <v>0.05</v>
      </c>
      <c r="AQ120" s="174">
        <f>IFERROR(_xlfn.XLOOKUP($D120,'Modelling New'!$D:$D,'Modelling New'!$AL:$AL),"")</f>
        <v>0.05</v>
      </c>
      <c r="AR120" s="276">
        <f>IFERROR(_xlfn.XLOOKUP($D120,'Modelling New'!$D:$D,'Modelling New'!$N:$N),"")</f>
        <v>70.2</v>
      </c>
      <c r="AS120" s="276"/>
    </row>
    <row r="121" spans="1:45">
      <c r="A121" s="165">
        <f t="shared" si="11"/>
        <v>45864</v>
      </c>
      <c r="B121" s="166">
        <f>YEAR(Table13[[#This Row],[Date]])+IF(MONTH(Table13[[#This Row],[Date]])&gt;=4,1,0)</f>
        <v>2026</v>
      </c>
      <c r="C121" s="167">
        <f>YEAR(Table13[[#This Row],[Date]])</f>
        <v>2025</v>
      </c>
      <c r="D121" s="168">
        <f>Table13[[#This Row],[Date]]-DAY(Table13[[#This Row],[Date]])+1</f>
        <v>45839</v>
      </c>
      <c r="E121" s="167">
        <f t="shared" si="8"/>
        <v>31</v>
      </c>
      <c r="F121" s="169"/>
      <c r="G121" s="176"/>
      <c r="H121" s="176"/>
      <c r="I121" s="176"/>
      <c r="J121" s="176"/>
      <c r="K121" s="171"/>
      <c r="L121" s="170"/>
      <c r="M121" s="170" t="str">
        <f>IFERROR(_xlfn.XLOOKUP($A121,Input_Raw!$A:$A,Input_Raw!BG:BG),"")</f>
        <v/>
      </c>
      <c r="N121" s="170" t="str">
        <f>IFERROR(_xlfn.XLOOKUP($A121,Input_Raw!$A:$A,Input_Raw!BH:BH),"")</f>
        <v/>
      </c>
      <c r="O121" s="173" t="str">
        <f t="shared" si="9"/>
        <v/>
      </c>
      <c r="P121" s="173" t="str">
        <f>IFERROR(1-SUMIF(WTG_BD!$F:$F,$A121,WTG_BD!$AA:$AA)/($AA121+SUMIF(WTG_BD!$F:$F,$A121,WTG_BD!$AA:$AA)),"")</f>
        <v/>
      </c>
      <c r="Q121" s="173" t="str">
        <f>IFERROR(1-SUMIF(IGA_BD!$F:$F,$A121,IGA_BD!$X:$X)/($AA121+SUMIF(IGA_BD!$F:$F,$A121,IGA_BD!$X:$X)),"")</f>
        <v/>
      </c>
      <c r="R121" s="173" t="str">
        <f>IFERROR(1-SUMIF(Grid_BD!$F:$F,$A121,Grid_BD!$Y:$Y)/($AA121+SUMIF(Grid_BD!$F:$F,$A121,Grid_BD!$Y:$Y)),"")</f>
        <v/>
      </c>
      <c r="S121" s="167"/>
      <c r="T121" s="172"/>
      <c r="U121" s="173"/>
      <c r="V121" s="167"/>
      <c r="W121" s="174" t="str">
        <f t="shared" si="10"/>
        <v/>
      </c>
      <c r="X121" s="167" t="str">
        <f>IFERROR(_xlfn.XLOOKUP($A121,Input_Raw!$A:$A,Input_Raw!$BF:$BF),"")</f>
        <v/>
      </c>
      <c r="Y121" s="167" t="str">
        <f>IFERROR(_xlfn.XLOOKUP($A121,Input_Raw!$A:$A,Input_Raw!BJ:BJ),"")</f>
        <v/>
      </c>
      <c r="Z121" s="167" t="str">
        <f>IFERROR(_xlfn.XLOOKUP($A121,Input_Raw!$A:$A,Input_Raw!BK:BK),"")</f>
        <v/>
      </c>
      <c r="AA121" s="167" t="str">
        <f>IFERROR(_xlfn.XLOOKUP($A121,Input_Raw!$A:$A,Input_Raw!BL:BL),"")</f>
        <v/>
      </c>
      <c r="AB121" s="167" t="str">
        <f>IFERROR(_xlfn.XLOOKUP($A121,Input_Raw!$A:$A,Input_Raw!$BO:$BO),"")</f>
        <v/>
      </c>
      <c r="AC121" s="176">
        <f>IFERROR(_xlfn.XLOOKUP($D121,'Modelling New'!$D:$D,'Modelling New'!$J:$J),"")</f>
        <v>8.18</v>
      </c>
      <c r="AD121" s="166">
        <f>IFERROR(_xlfn.XLOOKUP($D121,'Modelling New'!$D:$D,'Modelling New'!$T:$T)*1000,"")</f>
        <v>963883.16796059138</v>
      </c>
      <c r="AE121" s="174"/>
      <c r="AF121" s="174">
        <f>IFERROR(_xlfn.XLOOKUP($D121,'Modelling New'!$D:$D,'Modelling New'!$W:$W),"")</f>
        <v>0.57210539408867012</v>
      </c>
      <c r="AG121" s="174">
        <f>IFERROR(_xlfn.XLOOKUP($D121,'Modelling New'!$D:$D,'Modelling New'!$AE:$AE),"")</f>
        <v>0.96029999999999993</v>
      </c>
      <c r="AH121" s="174">
        <f>IFERROR(_xlfn.XLOOKUP($D121,'Modelling New'!$D:$D,'Modelling New'!$AF:$AF),"")</f>
        <v>0.995</v>
      </c>
      <c r="AI121" s="177" t="str">
        <f>IFERROR(_xlfn.XLOOKUP($A121,Input_Raw!$A:$A,Input_Raw!$BQ:$BQ),"")</f>
        <v/>
      </c>
      <c r="AJ121" s="167"/>
      <c r="AK121" s="167"/>
      <c r="AL121" s="167"/>
      <c r="AM121" s="167"/>
      <c r="AN121" s="175" t="str">
        <f>IFERROR(_xlfn.XLOOKUP($A121,Input_Raw!$A:$A,Input_Raw!$BN:$BN),"")</f>
        <v/>
      </c>
      <c r="AO121" s="174" t="str">
        <f>IFERROR((_xlfn.XLOOKUP($A121,'WTG Reactive Power'!$A:$A,'WTG Reactive Power'!$AE:$AE))/Table13[[#This Row],[Gen_Exp (kWh)]],"")</f>
        <v/>
      </c>
      <c r="AP121" s="174">
        <f>IFERROR(_xlfn.XLOOKUP($D121,'Modelling New'!$D:$D,'Modelling New'!$AK:$AK),"")</f>
        <v>0.05</v>
      </c>
      <c r="AQ121" s="174">
        <f>IFERROR(_xlfn.XLOOKUP($D121,'Modelling New'!$D:$D,'Modelling New'!$AL:$AL),"")</f>
        <v>0.05</v>
      </c>
      <c r="AR121" s="276">
        <f>IFERROR(_xlfn.XLOOKUP($D121,'Modelling New'!$D:$D,'Modelling New'!$N:$N),"")</f>
        <v>70.2</v>
      </c>
      <c r="AS121" s="276"/>
    </row>
    <row r="122" spans="1:45">
      <c r="A122" s="165">
        <f t="shared" si="11"/>
        <v>45865</v>
      </c>
      <c r="B122" s="166">
        <f>YEAR(Table13[[#This Row],[Date]])+IF(MONTH(Table13[[#This Row],[Date]])&gt;=4,1,0)</f>
        <v>2026</v>
      </c>
      <c r="C122" s="167">
        <f>YEAR(Table13[[#This Row],[Date]])</f>
        <v>2025</v>
      </c>
      <c r="D122" s="168">
        <f>Table13[[#This Row],[Date]]-DAY(Table13[[#This Row],[Date]])+1</f>
        <v>45839</v>
      </c>
      <c r="E122" s="167">
        <f t="shared" si="8"/>
        <v>31</v>
      </c>
      <c r="F122" s="169"/>
      <c r="G122" s="170"/>
      <c r="H122" s="170"/>
      <c r="I122" s="170"/>
      <c r="J122" s="170"/>
      <c r="K122" s="171"/>
      <c r="L122" s="170"/>
      <c r="M122" s="170" t="str">
        <f>IFERROR(_xlfn.XLOOKUP($A122,Input_Raw!$A:$A,Input_Raw!BG:BG),"")</f>
        <v/>
      </c>
      <c r="N122" s="170" t="str">
        <f>IFERROR(_xlfn.XLOOKUP($A122,Input_Raw!$A:$A,Input_Raw!BH:BH),"")</f>
        <v/>
      </c>
      <c r="O122" s="173" t="str">
        <f t="shared" si="9"/>
        <v/>
      </c>
      <c r="P122" s="173" t="str">
        <f>IFERROR(1-SUMIF(WTG_BD!$F:$F,$A122,WTG_BD!$AA:$AA)/($AA122+SUMIF(WTG_BD!$F:$F,$A122,WTG_BD!$AA:$AA)),"")</f>
        <v/>
      </c>
      <c r="Q122" s="173" t="str">
        <f>IFERROR(1-SUMIF(IGA_BD!$F:$F,$A122,IGA_BD!$X:$X)/($AA122+SUMIF(IGA_BD!$F:$F,$A122,IGA_BD!$X:$X)),"")</f>
        <v/>
      </c>
      <c r="R122" s="173" t="str">
        <f>IFERROR(1-SUMIF(Grid_BD!$F:$F,$A122,Grid_BD!$Y:$Y)/($AA122+SUMIF(Grid_BD!$F:$F,$A122,Grid_BD!$Y:$Y)),"")</f>
        <v/>
      </c>
      <c r="S122" s="167"/>
      <c r="T122" s="172"/>
      <c r="U122" s="173"/>
      <c r="V122" s="167"/>
      <c r="W122" s="174" t="str">
        <f t="shared" si="10"/>
        <v/>
      </c>
      <c r="X122" s="167" t="str">
        <f>IFERROR(_xlfn.XLOOKUP($A122,Input_Raw!$A:$A,Input_Raw!$BF:$BF),"")</f>
        <v/>
      </c>
      <c r="Y122" s="167" t="str">
        <f>IFERROR(_xlfn.XLOOKUP($A122,Input_Raw!$A:$A,Input_Raw!BJ:BJ),"")</f>
        <v/>
      </c>
      <c r="Z122" s="167" t="str">
        <f>IFERROR(_xlfn.XLOOKUP($A122,Input_Raw!$A:$A,Input_Raw!BK:BK),"")</f>
        <v/>
      </c>
      <c r="AA122" s="167" t="str">
        <f>IFERROR(_xlfn.XLOOKUP($A122,Input_Raw!$A:$A,Input_Raw!BL:BL),"")</f>
        <v/>
      </c>
      <c r="AB122" s="167" t="str">
        <f>IFERROR(_xlfn.XLOOKUP($A122,Input_Raw!$A:$A,Input_Raw!$BO:$BO),"")</f>
        <v/>
      </c>
      <c r="AC122" s="176">
        <f>IFERROR(_xlfn.XLOOKUP($D122,'Modelling New'!$D:$D,'Modelling New'!$J:$J),"")</f>
        <v>8.18</v>
      </c>
      <c r="AD122" s="166">
        <f>IFERROR(_xlfn.XLOOKUP($D122,'Modelling New'!$D:$D,'Modelling New'!$T:$T)*1000,"")</f>
        <v>963883.16796059138</v>
      </c>
      <c r="AE122" s="174"/>
      <c r="AF122" s="174">
        <f>IFERROR(_xlfn.XLOOKUP($D122,'Modelling New'!$D:$D,'Modelling New'!$W:$W),"")</f>
        <v>0.57210539408867012</v>
      </c>
      <c r="AG122" s="174">
        <f>IFERROR(_xlfn.XLOOKUP($D122,'Modelling New'!$D:$D,'Modelling New'!$AE:$AE),"")</f>
        <v>0.96029999999999993</v>
      </c>
      <c r="AH122" s="174">
        <f>IFERROR(_xlfn.XLOOKUP($D122,'Modelling New'!$D:$D,'Modelling New'!$AF:$AF),"")</f>
        <v>0.995</v>
      </c>
      <c r="AI122" s="177" t="str">
        <f>IFERROR(_xlfn.XLOOKUP($A122,Input_Raw!$A:$A,Input_Raw!$BQ:$BQ),"")</f>
        <v/>
      </c>
      <c r="AJ122" s="167"/>
      <c r="AK122" s="167"/>
      <c r="AL122" s="167"/>
      <c r="AM122" s="167"/>
      <c r="AN122" s="175" t="str">
        <f>IFERROR(_xlfn.XLOOKUP($A122,Input_Raw!$A:$A,Input_Raw!$BN:$BN),"")</f>
        <v/>
      </c>
      <c r="AO122" s="174" t="str">
        <f>IFERROR((_xlfn.XLOOKUP($A122,'WTG Reactive Power'!$A:$A,'WTG Reactive Power'!$AE:$AE))/Table13[[#This Row],[Gen_Exp (kWh)]],"")</f>
        <v/>
      </c>
      <c r="AP122" s="174">
        <f>IFERROR(_xlfn.XLOOKUP($D122,'Modelling New'!$D:$D,'Modelling New'!$AK:$AK),"")</f>
        <v>0.05</v>
      </c>
      <c r="AQ122" s="174">
        <f>IFERROR(_xlfn.XLOOKUP($D122,'Modelling New'!$D:$D,'Modelling New'!$AL:$AL),"")</f>
        <v>0.05</v>
      </c>
      <c r="AR122" s="276">
        <f>IFERROR(_xlfn.XLOOKUP($D122,'Modelling New'!$D:$D,'Modelling New'!$N:$N),"")</f>
        <v>70.2</v>
      </c>
      <c r="AS122" s="276"/>
    </row>
    <row r="123" spans="1:45">
      <c r="A123" s="165">
        <f t="shared" si="11"/>
        <v>45866</v>
      </c>
      <c r="B123" s="166">
        <f>YEAR(Table13[[#This Row],[Date]])+IF(MONTH(Table13[[#This Row],[Date]])&gt;=4,1,0)</f>
        <v>2026</v>
      </c>
      <c r="C123" s="167">
        <f>YEAR(Table13[[#This Row],[Date]])</f>
        <v>2025</v>
      </c>
      <c r="D123" s="168">
        <f>Table13[[#This Row],[Date]]-DAY(Table13[[#This Row],[Date]])+1</f>
        <v>45839</v>
      </c>
      <c r="E123" s="167">
        <f t="shared" si="8"/>
        <v>31</v>
      </c>
      <c r="F123" s="169"/>
      <c r="G123" s="176"/>
      <c r="H123" s="176"/>
      <c r="I123" s="176"/>
      <c r="J123" s="176"/>
      <c r="K123" s="171"/>
      <c r="L123" s="170"/>
      <c r="M123" s="170" t="str">
        <f>IFERROR(_xlfn.XLOOKUP($A123,Input_Raw!$A:$A,Input_Raw!BG:BG),"")</f>
        <v/>
      </c>
      <c r="N123" s="170" t="str">
        <f>IFERROR(_xlfn.XLOOKUP($A123,Input_Raw!$A:$A,Input_Raw!BH:BH),"")</f>
        <v/>
      </c>
      <c r="O123" s="173" t="str">
        <f t="shared" si="9"/>
        <v/>
      </c>
      <c r="P123" s="173" t="str">
        <f>IFERROR(1-SUMIF(WTG_BD!$F:$F,$A123,WTG_BD!$AA:$AA)/($AA123+SUMIF(WTG_BD!$F:$F,$A123,WTG_BD!$AA:$AA)),"")</f>
        <v/>
      </c>
      <c r="Q123" s="173" t="str">
        <f>IFERROR(1-SUMIF(IGA_BD!$F:$F,$A123,IGA_BD!$X:$X)/($AA123+SUMIF(IGA_BD!$F:$F,$A123,IGA_BD!$X:$X)),"")</f>
        <v/>
      </c>
      <c r="R123" s="173" t="str">
        <f>IFERROR(1-SUMIF(Grid_BD!$F:$F,$A123,Grid_BD!$Y:$Y)/($AA123+SUMIF(Grid_BD!$F:$F,$A123,Grid_BD!$Y:$Y)),"")</f>
        <v/>
      </c>
      <c r="S123" s="167"/>
      <c r="T123" s="172"/>
      <c r="U123" s="173"/>
      <c r="V123" s="167"/>
      <c r="W123" s="174" t="str">
        <f t="shared" si="10"/>
        <v/>
      </c>
      <c r="X123" s="167" t="str">
        <f>IFERROR(_xlfn.XLOOKUP($A123,Input_Raw!$A:$A,Input_Raw!$BF:$BF),"")</f>
        <v/>
      </c>
      <c r="Y123" s="167" t="str">
        <f>IFERROR(_xlfn.XLOOKUP($A123,Input_Raw!$A:$A,Input_Raw!BJ:BJ),"")</f>
        <v/>
      </c>
      <c r="Z123" s="167" t="str">
        <f>IFERROR(_xlfn.XLOOKUP($A123,Input_Raw!$A:$A,Input_Raw!BK:BK),"")</f>
        <v/>
      </c>
      <c r="AA123" s="167" t="str">
        <f>IFERROR(_xlfn.XLOOKUP($A123,Input_Raw!$A:$A,Input_Raw!BL:BL),"")</f>
        <v/>
      </c>
      <c r="AB123" s="167" t="str">
        <f>IFERROR(_xlfn.XLOOKUP($A123,Input_Raw!$A:$A,Input_Raw!$BO:$BO),"")</f>
        <v/>
      </c>
      <c r="AC123" s="176">
        <f>IFERROR(_xlfn.XLOOKUP($D123,'Modelling New'!$D:$D,'Modelling New'!$J:$J),"")</f>
        <v>8.18</v>
      </c>
      <c r="AD123" s="166">
        <f>IFERROR(_xlfn.XLOOKUP($D123,'Modelling New'!$D:$D,'Modelling New'!$T:$T)*1000,"")</f>
        <v>963883.16796059138</v>
      </c>
      <c r="AE123" s="174"/>
      <c r="AF123" s="174">
        <f>IFERROR(_xlfn.XLOOKUP($D123,'Modelling New'!$D:$D,'Modelling New'!$W:$W),"")</f>
        <v>0.57210539408867012</v>
      </c>
      <c r="AG123" s="174">
        <f>IFERROR(_xlfn.XLOOKUP($D123,'Modelling New'!$D:$D,'Modelling New'!$AE:$AE),"")</f>
        <v>0.96029999999999993</v>
      </c>
      <c r="AH123" s="174">
        <f>IFERROR(_xlfn.XLOOKUP($D123,'Modelling New'!$D:$D,'Modelling New'!$AF:$AF),"")</f>
        <v>0.995</v>
      </c>
      <c r="AI123" s="177" t="str">
        <f>IFERROR(_xlfn.XLOOKUP($A123,Input_Raw!$A:$A,Input_Raw!$BQ:$BQ),"")</f>
        <v/>
      </c>
      <c r="AJ123" s="167"/>
      <c r="AK123" s="167"/>
      <c r="AL123" s="167"/>
      <c r="AM123" s="167"/>
      <c r="AN123" s="175" t="str">
        <f>IFERROR(_xlfn.XLOOKUP($A123,Input_Raw!$A:$A,Input_Raw!$BN:$BN),"")</f>
        <v/>
      </c>
      <c r="AO123" s="174" t="str">
        <f>IFERROR((_xlfn.XLOOKUP($A123,'WTG Reactive Power'!$A:$A,'WTG Reactive Power'!$AE:$AE))/Table13[[#This Row],[Gen_Exp (kWh)]],"")</f>
        <v/>
      </c>
      <c r="AP123" s="174">
        <f>IFERROR(_xlfn.XLOOKUP($D123,'Modelling New'!$D:$D,'Modelling New'!$AK:$AK),"")</f>
        <v>0.05</v>
      </c>
      <c r="AQ123" s="174">
        <f>IFERROR(_xlfn.XLOOKUP($D123,'Modelling New'!$D:$D,'Modelling New'!$AL:$AL),"")</f>
        <v>0.05</v>
      </c>
      <c r="AR123" s="276">
        <f>IFERROR(_xlfn.XLOOKUP($D123,'Modelling New'!$D:$D,'Modelling New'!$N:$N),"")</f>
        <v>70.2</v>
      </c>
      <c r="AS123" s="276"/>
    </row>
    <row r="124" spans="1:45">
      <c r="A124" s="165">
        <f t="shared" si="11"/>
        <v>45867</v>
      </c>
      <c r="B124" s="166">
        <f>YEAR(Table13[[#This Row],[Date]])+IF(MONTH(Table13[[#This Row],[Date]])&gt;=4,1,0)</f>
        <v>2026</v>
      </c>
      <c r="C124" s="167">
        <f>YEAR(Table13[[#This Row],[Date]])</f>
        <v>2025</v>
      </c>
      <c r="D124" s="168">
        <f>Table13[[#This Row],[Date]]-DAY(Table13[[#This Row],[Date]])+1</f>
        <v>45839</v>
      </c>
      <c r="E124" s="167">
        <f t="shared" si="8"/>
        <v>31</v>
      </c>
      <c r="F124" s="169"/>
      <c r="G124" s="170"/>
      <c r="H124" s="170"/>
      <c r="I124" s="170"/>
      <c r="J124" s="170"/>
      <c r="K124" s="171"/>
      <c r="L124" s="170"/>
      <c r="M124" s="170" t="str">
        <f>IFERROR(_xlfn.XLOOKUP($A124,Input_Raw!$A:$A,Input_Raw!BG:BG),"")</f>
        <v/>
      </c>
      <c r="N124" s="170" t="str">
        <f>IFERROR(_xlfn.XLOOKUP($A124,Input_Raw!$A:$A,Input_Raw!BH:BH),"")</f>
        <v/>
      </c>
      <c r="O124" s="173" t="str">
        <f t="shared" si="9"/>
        <v/>
      </c>
      <c r="P124" s="173" t="str">
        <f>IFERROR(1-SUMIF(WTG_BD!$F:$F,$A124,WTG_BD!$AA:$AA)/($AA124+SUMIF(WTG_BD!$F:$F,$A124,WTG_BD!$AA:$AA)),"")</f>
        <v/>
      </c>
      <c r="Q124" s="173" t="str">
        <f>IFERROR(1-SUMIF(IGA_BD!$F:$F,$A124,IGA_BD!$X:$X)/($AA124+SUMIF(IGA_BD!$F:$F,$A124,IGA_BD!$X:$X)),"")</f>
        <v/>
      </c>
      <c r="R124" s="173" t="str">
        <f>IFERROR(1-SUMIF(Grid_BD!$F:$F,$A124,Grid_BD!$Y:$Y)/($AA124+SUMIF(Grid_BD!$F:$F,$A124,Grid_BD!$Y:$Y)),"")</f>
        <v/>
      </c>
      <c r="S124" s="167"/>
      <c r="T124" s="172"/>
      <c r="U124" s="173"/>
      <c r="V124" s="167"/>
      <c r="W124" s="174" t="str">
        <f t="shared" si="10"/>
        <v/>
      </c>
      <c r="X124" s="167" t="str">
        <f>IFERROR(_xlfn.XLOOKUP($A124,Input_Raw!$A:$A,Input_Raw!$BF:$BF),"")</f>
        <v/>
      </c>
      <c r="Y124" s="167" t="str">
        <f>IFERROR(_xlfn.XLOOKUP($A124,Input_Raw!$A:$A,Input_Raw!BJ:BJ),"")</f>
        <v/>
      </c>
      <c r="Z124" s="167" t="str">
        <f>IFERROR(_xlfn.XLOOKUP($A124,Input_Raw!$A:$A,Input_Raw!BK:BK),"")</f>
        <v/>
      </c>
      <c r="AA124" s="167" t="str">
        <f>IFERROR(_xlfn.XLOOKUP($A124,Input_Raw!$A:$A,Input_Raw!BL:BL),"")</f>
        <v/>
      </c>
      <c r="AB124" s="167" t="str">
        <f>IFERROR(_xlfn.XLOOKUP($A124,Input_Raw!$A:$A,Input_Raw!$BO:$BO),"")</f>
        <v/>
      </c>
      <c r="AC124" s="176">
        <f>IFERROR(_xlfn.XLOOKUP($D124,'Modelling New'!$D:$D,'Modelling New'!$J:$J),"")</f>
        <v>8.18</v>
      </c>
      <c r="AD124" s="166">
        <f>IFERROR(_xlfn.XLOOKUP($D124,'Modelling New'!$D:$D,'Modelling New'!$T:$T)*1000,"")</f>
        <v>963883.16796059138</v>
      </c>
      <c r="AE124" s="174"/>
      <c r="AF124" s="174">
        <f>IFERROR(_xlfn.XLOOKUP($D124,'Modelling New'!$D:$D,'Modelling New'!$W:$W),"")</f>
        <v>0.57210539408867012</v>
      </c>
      <c r="AG124" s="174">
        <f>IFERROR(_xlfn.XLOOKUP($D124,'Modelling New'!$D:$D,'Modelling New'!$AE:$AE),"")</f>
        <v>0.96029999999999993</v>
      </c>
      <c r="AH124" s="174">
        <f>IFERROR(_xlfn.XLOOKUP($D124,'Modelling New'!$D:$D,'Modelling New'!$AF:$AF),"")</f>
        <v>0.995</v>
      </c>
      <c r="AI124" s="177" t="str">
        <f>IFERROR(_xlfn.XLOOKUP($A124,Input_Raw!$A:$A,Input_Raw!$BQ:$BQ),"")</f>
        <v/>
      </c>
      <c r="AJ124" s="167"/>
      <c r="AK124" s="167"/>
      <c r="AL124" s="167"/>
      <c r="AM124" s="167"/>
      <c r="AN124" s="175" t="str">
        <f>IFERROR(_xlfn.XLOOKUP($A124,Input_Raw!$A:$A,Input_Raw!$BN:$BN),"")</f>
        <v/>
      </c>
      <c r="AO124" s="174" t="str">
        <f>IFERROR((_xlfn.XLOOKUP($A124,'WTG Reactive Power'!$A:$A,'WTG Reactive Power'!$AE:$AE))/Table13[[#This Row],[Gen_Exp (kWh)]],"")</f>
        <v/>
      </c>
      <c r="AP124" s="174">
        <f>IFERROR(_xlfn.XLOOKUP($D124,'Modelling New'!$D:$D,'Modelling New'!$AK:$AK),"")</f>
        <v>0.05</v>
      </c>
      <c r="AQ124" s="174">
        <f>IFERROR(_xlfn.XLOOKUP($D124,'Modelling New'!$D:$D,'Modelling New'!$AL:$AL),"")</f>
        <v>0.05</v>
      </c>
      <c r="AR124" s="276">
        <f>IFERROR(_xlfn.XLOOKUP($D124,'Modelling New'!$D:$D,'Modelling New'!$N:$N),"")</f>
        <v>70.2</v>
      </c>
      <c r="AS124" s="276"/>
    </row>
    <row r="125" spans="1:45">
      <c r="A125" s="165">
        <f t="shared" si="11"/>
        <v>45868</v>
      </c>
      <c r="B125" s="166">
        <f>YEAR(Table13[[#This Row],[Date]])+IF(MONTH(Table13[[#This Row],[Date]])&gt;=4,1,0)</f>
        <v>2026</v>
      </c>
      <c r="C125" s="167">
        <f>YEAR(Table13[[#This Row],[Date]])</f>
        <v>2025</v>
      </c>
      <c r="D125" s="168">
        <f>Table13[[#This Row],[Date]]-DAY(Table13[[#This Row],[Date]])+1</f>
        <v>45839</v>
      </c>
      <c r="E125" s="167">
        <f t="shared" si="8"/>
        <v>31</v>
      </c>
      <c r="F125" s="169"/>
      <c r="G125" s="176"/>
      <c r="H125" s="176"/>
      <c r="I125" s="176"/>
      <c r="J125" s="176"/>
      <c r="K125" s="171"/>
      <c r="L125" s="170"/>
      <c r="M125" s="170" t="str">
        <f>IFERROR(_xlfn.XLOOKUP($A125,Input_Raw!$A:$A,Input_Raw!BG:BG),"")</f>
        <v/>
      </c>
      <c r="N125" s="170" t="str">
        <f>IFERROR(_xlfn.XLOOKUP($A125,Input_Raw!$A:$A,Input_Raw!BH:BH),"")</f>
        <v/>
      </c>
      <c r="O125" s="173" t="str">
        <f t="shared" si="9"/>
        <v/>
      </c>
      <c r="P125" s="173" t="str">
        <f>IFERROR(1-SUMIF(WTG_BD!$F:$F,$A125,WTG_BD!$AA:$AA)/($AA125+SUMIF(WTG_BD!$F:$F,$A125,WTG_BD!$AA:$AA)),"")</f>
        <v/>
      </c>
      <c r="Q125" s="173" t="str">
        <f>IFERROR(1-SUMIF(IGA_BD!$F:$F,$A125,IGA_BD!$X:$X)/($AA125+SUMIF(IGA_BD!$F:$F,$A125,IGA_BD!$X:$X)),"")</f>
        <v/>
      </c>
      <c r="R125" s="173" t="str">
        <f>IFERROR(1-SUMIF(Grid_BD!$F:$F,$A125,Grid_BD!$Y:$Y)/($AA125+SUMIF(Grid_BD!$F:$F,$A125,Grid_BD!$Y:$Y)),"")</f>
        <v/>
      </c>
      <c r="S125" s="167"/>
      <c r="T125" s="172"/>
      <c r="U125" s="173"/>
      <c r="V125" s="167"/>
      <c r="W125" s="174" t="str">
        <f t="shared" si="10"/>
        <v/>
      </c>
      <c r="X125" s="167" t="str">
        <f>IFERROR(_xlfn.XLOOKUP($A125,Input_Raw!$A:$A,Input_Raw!$BF:$BF),"")</f>
        <v/>
      </c>
      <c r="Y125" s="167" t="str">
        <f>IFERROR(_xlfn.XLOOKUP($A125,Input_Raw!$A:$A,Input_Raw!BJ:BJ),"")</f>
        <v/>
      </c>
      <c r="Z125" s="167" t="str">
        <f>IFERROR(_xlfn.XLOOKUP($A125,Input_Raw!$A:$A,Input_Raw!BK:BK),"")</f>
        <v/>
      </c>
      <c r="AA125" s="167" t="str">
        <f>IFERROR(_xlfn.XLOOKUP($A125,Input_Raw!$A:$A,Input_Raw!BL:BL),"")</f>
        <v/>
      </c>
      <c r="AB125" s="167" t="str">
        <f>IFERROR(_xlfn.XLOOKUP($A125,Input_Raw!$A:$A,Input_Raw!$BO:$BO),"")</f>
        <v/>
      </c>
      <c r="AC125" s="176">
        <f>IFERROR(_xlfn.XLOOKUP($D125,'Modelling New'!$D:$D,'Modelling New'!$J:$J),"")</f>
        <v>8.18</v>
      </c>
      <c r="AD125" s="166">
        <f>IFERROR(_xlfn.XLOOKUP($D125,'Modelling New'!$D:$D,'Modelling New'!$T:$T)*1000,"")</f>
        <v>963883.16796059138</v>
      </c>
      <c r="AE125" s="174"/>
      <c r="AF125" s="174">
        <f>IFERROR(_xlfn.XLOOKUP($D125,'Modelling New'!$D:$D,'Modelling New'!$W:$W),"")</f>
        <v>0.57210539408867012</v>
      </c>
      <c r="AG125" s="174">
        <f>IFERROR(_xlfn.XLOOKUP($D125,'Modelling New'!$D:$D,'Modelling New'!$AE:$AE),"")</f>
        <v>0.96029999999999993</v>
      </c>
      <c r="AH125" s="174">
        <f>IFERROR(_xlfn.XLOOKUP($D125,'Modelling New'!$D:$D,'Modelling New'!$AF:$AF),"")</f>
        <v>0.995</v>
      </c>
      <c r="AI125" s="177" t="str">
        <f>IFERROR(_xlfn.XLOOKUP($A125,Input_Raw!$A:$A,Input_Raw!$BQ:$BQ),"")</f>
        <v/>
      </c>
      <c r="AJ125" s="167"/>
      <c r="AK125" s="167"/>
      <c r="AL125" s="167"/>
      <c r="AM125" s="167"/>
      <c r="AN125" s="175" t="str">
        <f>IFERROR(_xlfn.XLOOKUP($A125,Input_Raw!$A:$A,Input_Raw!$BN:$BN),"")</f>
        <v/>
      </c>
      <c r="AO125" s="174" t="str">
        <f>IFERROR((_xlfn.XLOOKUP($A125,'WTG Reactive Power'!$A:$A,'WTG Reactive Power'!$AE:$AE))/Table13[[#This Row],[Gen_Exp (kWh)]],"")</f>
        <v/>
      </c>
      <c r="AP125" s="174">
        <f>IFERROR(_xlfn.XLOOKUP($D125,'Modelling New'!$D:$D,'Modelling New'!$AK:$AK),"")</f>
        <v>0.05</v>
      </c>
      <c r="AQ125" s="174">
        <f>IFERROR(_xlfn.XLOOKUP($D125,'Modelling New'!$D:$D,'Modelling New'!$AL:$AL),"")</f>
        <v>0.05</v>
      </c>
      <c r="AR125" s="276">
        <f>IFERROR(_xlfn.XLOOKUP($D125,'Modelling New'!$D:$D,'Modelling New'!$N:$N),"")</f>
        <v>70.2</v>
      </c>
      <c r="AS125" s="276"/>
    </row>
    <row r="126" spans="1:45">
      <c r="A126" s="165">
        <f t="shared" si="11"/>
        <v>45869</v>
      </c>
      <c r="B126" s="166">
        <f>YEAR(Table13[[#This Row],[Date]])+IF(MONTH(Table13[[#This Row],[Date]])&gt;=4,1,0)</f>
        <v>2026</v>
      </c>
      <c r="C126" s="167">
        <f>YEAR(Table13[[#This Row],[Date]])</f>
        <v>2025</v>
      </c>
      <c r="D126" s="168">
        <f>Table13[[#This Row],[Date]]-DAY(Table13[[#This Row],[Date]])+1</f>
        <v>45839</v>
      </c>
      <c r="E126" s="167">
        <f t="shared" si="8"/>
        <v>31</v>
      </c>
      <c r="F126" s="169"/>
      <c r="G126" s="170"/>
      <c r="H126" s="170"/>
      <c r="I126" s="170"/>
      <c r="J126" s="170"/>
      <c r="K126" s="171"/>
      <c r="L126" s="170"/>
      <c r="M126" s="170" t="str">
        <f>IFERROR(_xlfn.XLOOKUP($A126,Input_Raw!$A:$A,Input_Raw!BG:BG),"")</f>
        <v/>
      </c>
      <c r="N126" s="170" t="str">
        <f>IFERROR(_xlfn.XLOOKUP($A126,Input_Raw!$A:$A,Input_Raw!BH:BH),"")</f>
        <v/>
      </c>
      <c r="O126" s="173" t="str">
        <f t="shared" si="9"/>
        <v/>
      </c>
      <c r="P126" s="173" t="str">
        <f>IFERROR(1-SUMIF(WTG_BD!$F:$F,$A126,WTG_BD!$AA:$AA)/($AA126+SUMIF(WTG_BD!$F:$F,$A126,WTG_BD!$AA:$AA)),"")</f>
        <v/>
      </c>
      <c r="Q126" s="173" t="str">
        <f>IFERROR(1-SUMIF(IGA_BD!$F:$F,$A126,IGA_BD!$X:$X)/($AA126+SUMIF(IGA_BD!$F:$F,$A126,IGA_BD!$X:$X)),"")</f>
        <v/>
      </c>
      <c r="R126" s="173" t="str">
        <f>IFERROR(1-SUMIF(Grid_BD!$F:$F,$A126,Grid_BD!$Y:$Y)/($AA126+SUMIF(Grid_BD!$F:$F,$A126,Grid_BD!$Y:$Y)),"")</f>
        <v/>
      </c>
      <c r="S126" s="167"/>
      <c r="T126" s="172"/>
      <c r="U126" s="173"/>
      <c r="V126" s="167"/>
      <c r="W126" s="174" t="str">
        <f t="shared" si="10"/>
        <v/>
      </c>
      <c r="X126" s="167" t="str">
        <f>IFERROR(_xlfn.XLOOKUP($A126,Input_Raw!$A:$A,Input_Raw!$BF:$BF),"")</f>
        <v/>
      </c>
      <c r="Y126" s="167" t="str">
        <f>IFERROR(_xlfn.XLOOKUP($A126,Input_Raw!$A:$A,Input_Raw!BJ:BJ),"")</f>
        <v/>
      </c>
      <c r="Z126" s="167" t="str">
        <f>IFERROR(_xlfn.XLOOKUP($A126,Input_Raw!$A:$A,Input_Raw!BK:BK),"")</f>
        <v/>
      </c>
      <c r="AA126" s="167" t="str">
        <f>IFERROR(_xlfn.XLOOKUP($A126,Input_Raw!$A:$A,Input_Raw!BL:BL),"")</f>
        <v/>
      </c>
      <c r="AB126" s="167" t="str">
        <f>IFERROR(_xlfn.XLOOKUP($A126,Input_Raw!$A:$A,Input_Raw!$BO:$BO),"")</f>
        <v/>
      </c>
      <c r="AC126" s="176">
        <f>IFERROR(_xlfn.XLOOKUP($D126,'Modelling New'!$D:$D,'Modelling New'!$J:$J),"")</f>
        <v>8.18</v>
      </c>
      <c r="AD126" s="166">
        <f>IFERROR(_xlfn.XLOOKUP($D126,'Modelling New'!$D:$D,'Modelling New'!$T:$T)*1000,"")</f>
        <v>963883.16796059138</v>
      </c>
      <c r="AE126" s="174"/>
      <c r="AF126" s="174">
        <f>IFERROR(_xlfn.XLOOKUP($D126,'Modelling New'!$D:$D,'Modelling New'!$W:$W),"")</f>
        <v>0.57210539408867012</v>
      </c>
      <c r="AG126" s="174">
        <f>IFERROR(_xlfn.XLOOKUP($D126,'Modelling New'!$D:$D,'Modelling New'!$AE:$AE),"")</f>
        <v>0.96029999999999993</v>
      </c>
      <c r="AH126" s="174">
        <f>IFERROR(_xlfn.XLOOKUP($D126,'Modelling New'!$D:$D,'Modelling New'!$AF:$AF),"")</f>
        <v>0.995</v>
      </c>
      <c r="AI126" s="177" t="str">
        <f>IFERROR(_xlfn.XLOOKUP($A126,Input_Raw!$A:$A,Input_Raw!$BQ:$BQ),"")</f>
        <v/>
      </c>
      <c r="AJ126" s="167"/>
      <c r="AK126" s="167"/>
      <c r="AL126" s="167"/>
      <c r="AM126" s="167"/>
      <c r="AN126" s="175" t="str">
        <f>IFERROR(_xlfn.XLOOKUP($A126,Input_Raw!$A:$A,Input_Raw!$BN:$BN),"")</f>
        <v/>
      </c>
      <c r="AO126" s="174" t="str">
        <f>IFERROR((_xlfn.XLOOKUP($A126,'WTG Reactive Power'!$A:$A,'WTG Reactive Power'!$AE:$AE))/Table13[[#This Row],[Gen_Exp (kWh)]],"")</f>
        <v/>
      </c>
      <c r="AP126" s="174">
        <f>IFERROR(_xlfn.XLOOKUP($D126,'Modelling New'!$D:$D,'Modelling New'!$AK:$AK),"")</f>
        <v>0.05</v>
      </c>
      <c r="AQ126" s="174">
        <f>IFERROR(_xlfn.XLOOKUP($D126,'Modelling New'!$D:$D,'Modelling New'!$AL:$AL),"")</f>
        <v>0.05</v>
      </c>
      <c r="AR126" s="276">
        <f>IFERROR(_xlfn.XLOOKUP($D126,'Modelling New'!$D:$D,'Modelling New'!$N:$N),"")</f>
        <v>70.2</v>
      </c>
      <c r="AS126" s="276"/>
    </row>
    <row r="127" spans="1:45">
      <c r="A127" s="165">
        <f t="shared" si="11"/>
        <v>45870</v>
      </c>
      <c r="B127" s="166">
        <f>YEAR(Table13[[#This Row],[Date]])+IF(MONTH(Table13[[#This Row],[Date]])&gt;=4,1,0)</f>
        <v>2026</v>
      </c>
      <c r="C127" s="167">
        <f>YEAR(Table13[[#This Row],[Date]])</f>
        <v>2025</v>
      </c>
      <c r="D127" s="168">
        <f>Table13[[#This Row],[Date]]-DAY(Table13[[#This Row],[Date]])+1</f>
        <v>45870</v>
      </c>
      <c r="E127" s="167">
        <f t="shared" si="8"/>
        <v>31</v>
      </c>
      <c r="F127" s="169"/>
      <c r="G127" s="176"/>
      <c r="H127" s="176"/>
      <c r="I127" s="176"/>
      <c r="J127" s="176"/>
      <c r="K127" s="171"/>
      <c r="L127" s="170"/>
      <c r="M127" s="170" t="str">
        <f>IFERROR(_xlfn.XLOOKUP($A127,Input_Raw!$A:$A,Input_Raw!BG:BG),"")</f>
        <v/>
      </c>
      <c r="N127" s="170" t="str">
        <f>IFERROR(_xlfn.XLOOKUP($A127,Input_Raw!$A:$A,Input_Raw!BH:BH),"")</f>
        <v/>
      </c>
      <c r="O127" s="173" t="str">
        <f t="shared" si="9"/>
        <v/>
      </c>
      <c r="P127" s="173" t="str">
        <f>IFERROR(1-SUMIF(WTG_BD!$F:$F,$A127,WTG_BD!$AA:$AA)/($AA127+SUMIF(WTG_BD!$F:$F,$A127,WTG_BD!$AA:$AA)),"")</f>
        <v/>
      </c>
      <c r="Q127" s="173" t="str">
        <f>IFERROR(1-SUMIF(IGA_BD!$F:$F,$A127,IGA_BD!$X:$X)/($AA127+SUMIF(IGA_BD!$F:$F,$A127,IGA_BD!$X:$X)),"")</f>
        <v/>
      </c>
      <c r="R127" s="173" t="str">
        <f>IFERROR(1-SUMIF(Grid_BD!$F:$F,$A127,Grid_BD!$Y:$Y)/($AA127+SUMIF(Grid_BD!$F:$F,$A127,Grid_BD!$Y:$Y)),"")</f>
        <v/>
      </c>
      <c r="S127" s="167"/>
      <c r="T127" s="172"/>
      <c r="U127" s="173"/>
      <c r="V127" s="167"/>
      <c r="W127" s="174" t="str">
        <f t="shared" si="10"/>
        <v/>
      </c>
      <c r="X127" s="167" t="str">
        <f>IFERROR(_xlfn.XLOOKUP($A127,Input_Raw!$A:$A,Input_Raw!$BF:$BF),"")</f>
        <v/>
      </c>
      <c r="Y127" s="167" t="str">
        <f>IFERROR(_xlfn.XLOOKUP($A127,Input_Raw!$A:$A,Input_Raw!BJ:BJ),"")</f>
        <v/>
      </c>
      <c r="Z127" s="167" t="str">
        <f>IFERROR(_xlfn.XLOOKUP($A127,Input_Raw!$A:$A,Input_Raw!BK:BK),"")</f>
        <v/>
      </c>
      <c r="AA127" s="167" t="str">
        <f>IFERROR(_xlfn.XLOOKUP($A127,Input_Raw!$A:$A,Input_Raw!BL:BL),"")</f>
        <v/>
      </c>
      <c r="AB127" s="167" t="str">
        <f>IFERROR(_xlfn.XLOOKUP($A127,Input_Raw!$A:$A,Input_Raw!$BO:$BO),"")</f>
        <v/>
      </c>
      <c r="AC127" s="176">
        <f>IFERROR(_xlfn.XLOOKUP($D127,'Modelling New'!$D:$D,'Modelling New'!$J:$J),"")</f>
        <v>9.01</v>
      </c>
      <c r="AD127" s="166">
        <f>IFERROR(_xlfn.XLOOKUP($D127,'Modelling New'!$D:$D,'Modelling New'!$T:$T)*1000,"")</f>
        <v>895729.81265024655</v>
      </c>
      <c r="AE127" s="174"/>
      <c r="AF127" s="174">
        <f>IFERROR(_xlfn.XLOOKUP($D127,'Modelling New'!$D:$D,'Modelling New'!$W:$W),"")</f>
        <v>0.53165349753694591</v>
      </c>
      <c r="AG127" s="174">
        <f>IFERROR(_xlfn.XLOOKUP($D127,'Modelling New'!$D:$D,'Modelling New'!$AE:$AE),"")</f>
        <v>0.96029999999999993</v>
      </c>
      <c r="AH127" s="174">
        <f>IFERROR(_xlfn.XLOOKUP($D127,'Modelling New'!$D:$D,'Modelling New'!$AF:$AF),"")</f>
        <v>0.995</v>
      </c>
      <c r="AI127" s="177" t="str">
        <f>IFERROR(_xlfn.XLOOKUP($A127,Input_Raw!$A:$A,Input_Raw!$BQ:$BQ),"")</f>
        <v/>
      </c>
      <c r="AJ127" s="167"/>
      <c r="AK127" s="167"/>
      <c r="AL127" s="167"/>
      <c r="AM127" s="167"/>
      <c r="AN127" s="175" t="str">
        <f>IFERROR(_xlfn.XLOOKUP($A127,Input_Raw!$A:$A,Input_Raw!$BN:$BN),"")</f>
        <v/>
      </c>
      <c r="AO127" s="174" t="str">
        <f>IFERROR((_xlfn.XLOOKUP($A127,'WTG Reactive Power'!$A:$A,'WTG Reactive Power'!$AE:$AE))/Table13[[#This Row],[Gen_Exp (kWh)]],"")</f>
        <v/>
      </c>
      <c r="AP127" s="174">
        <f>IFERROR(_xlfn.XLOOKUP($D127,'Modelling New'!$D:$D,'Modelling New'!$AK:$AK),"")</f>
        <v>0.05</v>
      </c>
      <c r="AQ127" s="174">
        <f>IFERROR(_xlfn.XLOOKUP($D127,'Modelling New'!$D:$D,'Modelling New'!$AL:$AL),"")</f>
        <v>0.05</v>
      </c>
      <c r="AR127" s="276">
        <f>IFERROR(_xlfn.XLOOKUP($D127,'Modelling New'!$D:$D,'Modelling New'!$N:$N),"")</f>
        <v>70.2</v>
      </c>
      <c r="AS127" s="276"/>
    </row>
    <row r="128" spans="1:45">
      <c r="A128" s="165">
        <f t="shared" si="11"/>
        <v>45871</v>
      </c>
      <c r="B128" s="166">
        <f>YEAR(Table13[[#This Row],[Date]])+IF(MONTH(Table13[[#This Row],[Date]])&gt;=4,1,0)</f>
        <v>2026</v>
      </c>
      <c r="C128" s="167">
        <f>YEAR(Table13[[#This Row],[Date]])</f>
        <v>2025</v>
      </c>
      <c r="D128" s="168">
        <f>Table13[[#This Row],[Date]]-DAY(Table13[[#This Row],[Date]])+1</f>
        <v>45870</v>
      </c>
      <c r="E128" s="167">
        <f t="shared" si="8"/>
        <v>31</v>
      </c>
      <c r="F128" s="169"/>
      <c r="G128" s="170"/>
      <c r="H128" s="170"/>
      <c r="I128" s="170"/>
      <c r="J128" s="170"/>
      <c r="K128" s="171"/>
      <c r="L128" s="170"/>
      <c r="M128" s="170" t="str">
        <f>IFERROR(_xlfn.XLOOKUP($A128,Input_Raw!$A:$A,Input_Raw!BG:BG),"")</f>
        <v/>
      </c>
      <c r="N128" s="170" t="str">
        <f>IFERROR(_xlfn.XLOOKUP($A128,Input_Raw!$A:$A,Input_Raw!BH:BH),"")</f>
        <v/>
      </c>
      <c r="O128" s="173" t="str">
        <f t="shared" si="9"/>
        <v/>
      </c>
      <c r="P128" s="173" t="str">
        <f>IFERROR(1-SUMIF(WTG_BD!$F:$F,$A128,WTG_BD!$AA:$AA)/($AA128+SUMIF(WTG_BD!$F:$F,$A128,WTG_BD!$AA:$AA)),"")</f>
        <v/>
      </c>
      <c r="Q128" s="173" t="str">
        <f>IFERROR(1-SUMIF(IGA_BD!$F:$F,$A128,IGA_BD!$X:$X)/($AA128+SUMIF(IGA_BD!$F:$F,$A128,IGA_BD!$X:$X)),"")</f>
        <v/>
      </c>
      <c r="R128" s="173" t="str">
        <f>IFERROR(1-SUMIF(Grid_BD!$F:$F,$A128,Grid_BD!$Y:$Y)/($AA128+SUMIF(Grid_BD!$F:$F,$A128,Grid_BD!$Y:$Y)),"")</f>
        <v/>
      </c>
      <c r="S128" s="167"/>
      <c r="T128" s="172"/>
      <c r="U128" s="173"/>
      <c r="V128" s="167"/>
      <c r="W128" s="174" t="str">
        <f t="shared" si="10"/>
        <v/>
      </c>
      <c r="X128" s="167" t="str">
        <f>IFERROR(_xlfn.XLOOKUP($A128,Input_Raw!$A:$A,Input_Raw!$BF:$BF),"")</f>
        <v/>
      </c>
      <c r="Y128" s="167" t="str">
        <f>IFERROR(_xlfn.XLOOKUP($A128,Input_Raw!$A:$A,Input_Raw!BJ:BJ),"")</f>
        <v/>
      </c>
      <c r="Z128" s="167" t="str">
        <f>IFERROR(_xlfn.XLOOKUP($A128,Input_Raw!$A:$A,Input_Raw!BK:BK),"")</f>
        <v/>
      </c>
      <c r="AA128" s="167" t="str">
        <f>IFERROR(_xlfn.XLOOKUP($A128,Input_Raw!$A:$A,Input_Raw!BL:BL),"")</f>
        <v/>
      </c>
      <c r="AB128" s="167" t="str">
        <f>IFERROR(_xlfn.XLOOKUP($A128,Input_Raw!$A:$A,Input_Raw!$BO:$BO),"")</f>
        <v/>
      </c>
      <c r="AC128" s="176">
        <f>IFERROR(_xlfn.XLOOKUP($D128,'Modelling New'!$D:$D,'Modelling New'!$J:$J),"")</f>
        <v>9.01</v>
      </c>
      <c r="AD128" s="166">
        <f>IFERROR(_xlfn.XLOOKUP($D128,'Modelling New'!$D:$D,'Modelling New'!$T:$T)*1000,"")</f>
        <v>895729.81265024655</v>
      </c>
      <c r="AE128" s="174"/>
      <c r="AF128" s="174">
        <f>IFERROR(_xlfn.XLOOKUP($D128,'Modelling New'!$D:$D,'Modelling New'!$W:$W),"")</f>
        <v>0.53165349753694591</v>
      </c>
      <c r="AG128" s="174">
        <f>IFERROR(_xlfn.XLOOKUP($D128,'Modelling New'!$D:$D,'Modelling New'!$AE:$AE),"")</f>
        <v>0.96029999999999993</v>
      </c>
      <c r="AH128" s="174">
        <f>IFERROR(_xlfn.XLOOKUP($D128,'Modelling New'!$D:$D,'Modelling New'!$AF:$AF),"")</f>
        <v>0.995</v>
      </c>
      <c r="AI128" s="177" t="str">
        <f>IFERROR(_xlfn.XLOOKUP($A128,Input_Raw!$A:$A,Input_Raw!$BQ:$BQ),"")</f>
        <v/>
      </c>
      <c r="AJ128" s="167"/>
      <c r="AK128" s="167"/>
      <c r="AL128" s="167"/>
      <c r="AM128" s="167"/>
      <c r="AN128" s="175" t="str">
        <f>IFERROR(_xlfn.XLOOKUP($A128,Input_Raw!$A:$A,Input_Raw!$BN:$BN),"")</f>
        <v/>
      </c>
      <c r="AO128" s="174" t="str">
        <f>IFERROR((_xlfn.XLOOKUP($A128,'WTG Reactive Power'!$A:$A,'WTG Reactive Power'!$AE:$AE))/Table13[[#This Row],[Gen_Exp (kWh)]],"")</f>
        <v/>
      </c>
      <c r="AP128" s="174">
        <f>IFERROR(_xlfn.XLOOKUP($D128,'Modelling New'!$D:$D,'Modelling New'!$AK:$AK),"")</f>
        <v>0.05</v>
      </c>
      <c r="AQ128" s="174">
        <f>IFERROR(_xlfn.XLOOKUP($D128,'Modelling New'!$D:$D,'Modelling New'!$AL:$AL),"")</f>
        <v>0.05</v>
      </c>
      <c r="AR128" s="276">
        <f>IFERROR(_xlfn.XLOOKUP($D128,'Modelling New'!$D:$D,'Modelling New'!$N:$N),"")</f>
        <v>70.2</v>
      </c>
      <c r="AS128" s="276"/>
    </row>
    <row r="129" spans="1:45">
      <c r="A129" s="165">
        <f t="shared" si="11"/>
        <v>45872</v>
      </c>
      <c r="B129" s="166">
        <f>YEAR(Table13[[#This Row],[Date]])+IF(MONTH(Table13[[#This Row],[Date]])&gt;=4,1,0)</f>
        <v>2026</v>
      </c>
      <c r="C129" s="167">
        <f>YEAR(Table13[[#This Row],[Date]])</f>
        <v>2025</v>
      </c>
      <c r="D129" s="168">
        <f>Table13[[#This Row],[Date]]-DAY(Table13[[#This Row],[Date]])+1</f>
        <v>45870</v>
      </c>
      <c r="E129" s="167">
        <f t="shared" si="8"/>
        <v>31</v>
      </c>
      <c r="F129" s="169"/>
      <c r="G129" s="176"/>
      <c r="H129" s="176"/>
      <c r="I129" s="176"/>
      <c r="J129" s="176"/>
      <c r="K129" s="171"/>
      <c r="L129" s="170"/>
      <c r="M129" s="170" t="str">
        <f>IFERROR(_xlfn.XLOOKUP($A129,Input_Raw!$A:$A,Input_Raw!BG:BG),"")</f>
        <v/>
      </c>
      <c r="N129" s="170" t="str">
        <f>IFERROR(_xlfn.XLOOKUP($A129,Input_Raw!$A:$A,Input_Raw!BH:BH),"")</f>
        <v/>
      </c>
      <c r="O129" s="173" t="str">
        <f t="shared" si="9"/>
        <v/>
      </c>
      <c r="P129" s="173" t="str">
        <f>IFERROR(1-SUMIF(WTG_BD!$F:$F,$A129,WTG_BD!$AA:$AA)/($AA129+SUMIF(WTG_BD!$F:$F,$A129,WTG_BD!$AA:$AA)),"")</f>
        <v/>
      </c>
      <c r="Q129" s="173" t="str">
        <f>IFERROR(1-SUMIF(IGA_BD!$F:$F,$A129,IGA_BD!$X:$X)/($AA129+SUMIF(IGA_BD!$F:$F,$A129,IGA_BD!$X:$X)),"")</f>
        <v/>
      </c>
      <c r="R129" s="173" t="str">
        <f>IFERROR(1-SUMIF(Grid_BD!$F:$F,$A129,Grid_BD!$Y:$Y)/($AA129+SUMIF(Grid_BD!$F:$F,$A129,Grid_BD!$Y:$Y)),"")</f>
        <v/>
      </c>
      <c r="S129" s="167"/>
      <c r="T129" s="172"/>
      <c r="U129" s="173"/>
      <c r="V129" s="167"/>
      <c r="W129" s="174" t="str">
        <f t="shared" si="10"/>
        <v/>
      </c>
      <c r="X129" s="167" t="str">
        <f>IFERROR(_xlfn.XLOOKUP($A129,Input_Raw!$A:$A,Input_Raw!$BF:$BF),"")</f>
        <v/>
      </c>
      <c r="Y129" s="167" t="str">
        <f>IFERROR(_xlfn.XLOOKUP($A129,Input_Raw!$A:$A,Input_Raw!BJ:BJ),"")</f>
        <v/>
      </c>
      <c r="Z129" s="167" t="str">
        <f>IFERROR(_xlfn.XLOOKUP($A129,Input_Raw!$A:$A,Input_Raw!BK:BK),"")</f>
        <v/>
      </c>
      <c r="AA129" s="167" t="str">
        <f>IFERROR(_xlfn.XLOOKUP($A129,Input_Raw!$A:$A,Input_Raw!BL:BL),"")</f>
        <v/>
      </c>
      <c r="AB129" s="167" t="str">
        <f>IFERROR(_xlfn.XLOOKUP($A129,Input_Raw!$A:$A,Input_Raw!$BO:$BO),"")</f>
        <v/>
      </c>
      <c r="AC129" s="176">
        <f>IFERROR(_xlfn.XLOOKUP($D129,'Modelling New'!$D:$D,'Modelling New'!$J:$J),"")</f>
        <v>9.01</v>
      </c>
      <c r="AD129" s="166">
        <f>IFERROR(_xlfn.XLOOKUP($D129,'Modelling New'!$D:$D,'Modelling New'!$T:$T)*1000,"")</f>
        <v>895729.81265024655</v>
      </c>
      <c r="AE129" s="174"/>
      <c r="AF129" s="174">
        <f>IFERROR(_xlfn.XLOOKUP($D129,'Modelling New'!$D:$D,'Modelling New'!$W:$W),"")</f>
        <v>0.53165349753694591</v>
      </c>
      <c r="AG129" s="174">
        <f>IFERROR(_xlfn.XLOOKUP($D129,'Modelling New'!$D:$D,'Modelling New'!$AE:$AE),"")</f>
        <v>0.96029999999999993</v>
      </c>
      <c r="AH129" s="174">
        <f>IFERROR(_xlfn.XLOOKUP($D129,'Modelling New'!$D:$D,'Modelling New'!$AF:$AF),"")</f>
        <v>0.995</v>
      </c>
      <c r="AI129" s="177" t="str">
        <f>IFERROR(_xlfn.XLOOKUP($A129,Input_Raw!$A:$A,Input_Raw!$BQ:$BQ),"")</f>
        <v/>
      </c>
      <c r="AJ129" s="167"/>
      <c r="AK129" s="167"/>
      <c r="AL129" s="167"/>
      <c r="AM129" s="167"/>
      <c r="AN129" s="175" t="str">
        <f>IFERROR(_xlfn.XLOOKUP($A129,Input_Raw!$A:$A,Input_Raw!$BN:$BN),"")</f>
        <v/>
      </c>
      <c r="AO129" s="174" t="str">
        <f>IFERROR((_xlfn.XLOOKUP($A129,'WTG Reactive Power'!$A:$A,'WTG Reactive Power'!$AE:$AE))/Table13[[#This Row],[Gen_Exp (kWh)]],"")</f>
        <v/>
      </c>
      <c r="AP129" s="174">
        <f>IFERROR(_xlfn.XLOOKUP($D129,'Modelling New'!$D:$D,'Modelling New'!$AK:$AK),"")</f>
        <v>0.05</v>
      </c>
      <c r="AQ129" s="174">
        <f>IFERROR(_xlfn.XLOOKUP($D129,'Modelling New'!$D:$D,'Modelling New'!$AL:$AL),"")</f>
        <v>0.05</v>
      </c>
      <c r="AR129" s="276">
        <f>IFERROR(_xlfn.XLOOKUP($D129,'Modelling New'!$D:$D,'Modelling New'!$N:$N),"")</f>
        <v>70.2</v>
      </c>
      <c r="AS129" s="276"/>
    </row>
    <row r="130" spans="1:45">
      <c r="A130" s="165">
        <f t="shared" si="11"/>
        <v>45873</v>
      </c>
      <c r="B130" s="166">
        <f>YEAR(Table13[[#This Row],[Date]])+IF(MONTH(Table13[[#This Row],[Date]])&gt;=4,1,0)</f>
        <v>2026</v>
      </c>
      <c r="C130" s="167">
        <f>YEAR(Table13[[#This Row],[Date]])</f>
        <v>2025</v>
      </c>
      <c r="D130" s="168">
        <f>Table13[[#This Row],[Date]]-DAY(Table13[[#This Row],[Date]])+1</f>
        <v>45870</v>
      </c>
      <c r="E130" s="167">
        <f t="shared" si="8"/>
        <v>31</v>
      </c>
      <c r="F130" s="169"/>
      <c r="G130" s="170"/>
      <c r="H130" s="170"/>
      <c r="I130" s="170"/>
      <c r="J130" s="170"/>
      <c r="K130" s="171"/>
      <c r="L130" s="170"/>
      <c r="M130" s="170" t="str">
        <f>IFERROR(_xlfn.XLOOKUP($A130,Input_Raw!$A:$A,Input_Raw!BG:BG),"")</f>
        <v/>
      </c>
      <c r="N130" s="170" t="str">
        <f>IFERROR(_xlfn.XLOOKUP($A130,Input_Raw!$A:$A,Input_Raw!BH:BH),"")</f>
        <v/>
      </c>
      <c r="O130" s="173" t="str">
        <f t="shared" si="9"/>
        <v/>
      </c>
      <c r="P130" s="173" t="str">
        <f>IFERROR(1-SUMIF(WTG_BD!$F:$F,$A130,WTG_BD!$AA:$AA)/($AA130+SUMIF(WTG_BD!$F:$F,$A130,WTG_BD!$AA:$AA)),"")</f>
        <v/>
      </c>
      <c r="Q130" s="173" t="str">
        <f>IFERROR(1-SUMIF(IGA_BD!$F:$F,$A130,IGA_BD!$X:$X)/($AA130+SUMIF(IGA_BD!$F:$F,$A130,IGA_BD!$X:$X)),"")</f>
        <v/>
      </c>
      <c r="R130" s="173" t="str">
        <f>IFERROR(1-SUMIF(Grid_BD!$F:$F,$A130,Grid_BD!$Y:$Y)/($AA130+SUMIF(Grid_BD!$F:$F,$A130,Grid_BD!$Y:$Y)),"")</f>
        <v/>
      </c>
      <c r="S130" s="167"/>
      <c r="T130" s="172"/>
      <c r="U130" s="173"/>
      <c r="V130" s="167"/>
      <c r="W130" s="174" t="str">
        <f t="shared" si="10"/>
        <v/>
      </c>
      <c r="X130" s="167" t="str">
        <f>IFERROR(_xlfn.XLOOKUP($A130,Input_Raw!$A:$A,Input_Raw!$BF:$BF),"")</f>
        <v/>
      </c>
      <c r="Y130" s="167" t="str">
        <f>IFERROR(_xlfn.XLOOKUP($A130,Input_Raw!$A:$A,Input_Raw!BJ:BJ),"")</f>
        <v/>
      </c>
      <c r="Z130" s="167" t="str">
        <f>IFERROR(_xlfn.XLOOKUP($A130,Input_Raw!$A:$A,Input_Raw!BK:BK),"")</f>
        <v/>
      </c>
      <c r="AA130" s="167" t="str">
        <f>IFERROR(_xlfn.XLOOKUP($A130,Input_Raw!$A:$A,Input_Raw!BL:BL),"")</f>
        <v/>
      </c>
      <c r="AB130" s="167" t="str">
        <f>IFERROR(_xlfn.XLOOKUP($A130,Input_Raw!$A:$A,Input_Raw!$BO:$BO),"")</f>
        <v/>
      </c>
      <c r="AC130" s="176">
        <f>IFERROR(_xlfn.XLOOKUP($D130,'Modelling New'!$D:$D,'Modelling New'!$J:$J),"")</f>
        <v>9.01</v>
      </c>
      <c r="AD130" s="166">
        <f>IFERROR(_xlfn.XLOOKUP($D130,'Modelling New'!$D:$D,'Modelling New'!$T:$T)*1000,"")</f>
        <v>895729.81265024655</v>
      </c>
      <c r="AE130" s="174"/>
      <c r="AF130" s="174">
        <f>IFERROR(_xlfn.XLOOKUP($D130,'Modelling New'!$D:$D,'Modelling New'!$W:$W),"")</f>
        <v>0.53165349753694591</v>
      </c>
      <c r="AG130" s="174">
        <f>IFERROR(_xlfn.XLOOKUP($D130,'Modelling New'!$D:$D,'Modelling New'!$AE:$AE),"")</f>
        <v>0.96029999999999993</v>
      </c>
      <c r="AH130" s="174">
        <f>IFERROR(_xlfn.XLOOKUP($D130,'Modelling New'!$D:$D,'Modelling New'!$AF:$AF),"")</f>
        <v>0.995</v>
      </c>
      <c r="AI130" s="177" t="str">
        <f>IFERROR(_xlfn.XLOOKUP($A130,Input_Raw!$A:$A,Input_Raw!$BQ:$BQ),"")</f>
        <v/>
      </c>
      <c r="AJ130" s="167"/>
      <c r="AK130" s="167"/>
      <c r="AL130" s="167"/>
      <c r="AM130" s="167"/>
      <c r="AN130" s="175" t="str">
        <f>IFERROR(_xlfn.XLOOKUP($A130,Input_Raw!$A:$A,Input_Raw!$BN:$BN),"")</f>
        <v/>
      </c>
      <c r="AO130" s="174" t="str">
        <f>IFERROR((_xlfn.XLOOKUP($A130,'WTG Reactive Power'!$A:$A,'WTG Reactive Power'!$AE:$AE))/Table13[[#This Row],[Gen_Exp (kWh)]],"")</f>
        <v/>
      </c>
      <c r="AP130" s="174">
        <f>IFERROR(_xlfn.XLOOKUP($D130,'Modelling New'!$D:$D,'Modelling New'!$AK:$AK),"")</f>
        <v>0.05</v>
      </c>
      <c r="AQ130" s="174">
        <f>IFERROR(_xlfn.XLOOKUP($D130,'Modelling New'!$D:$D,'Modelling New'!$AL:$AL),"")</f>
        <v>0.05</v>
      </c>
      <c r="AR130" s="276">
        <f>IFERROR(_xlfn.XLOOKUP($D130,'Modelling New'!$D:$D,'Modelling New'!$N:$N),"")</f>
        <v>70.2</v>
      </c>
      <c r="AS130" s="276"/>
    </row>
    <row r="131" spans="1:45">
      <c r="A131" s="165">
        <f t="shared" si="11"/>
        <v>45874</v>
      </c>
      <c r="B131" s="166">
        <f>YEAR(Table13[[#This Row],[Date]])+IF(MONTH(Table13[[#This Row],[Date]])&gt;=4,1,0)</f>
        <v>2026</v>
      </c>
      <c r="C131" s="167">
        <f>YEAR(Table13[[#This Row],[Date]])</f>
        <v>2025</v>
      </c>
      <c r="D131" s="168">
        <f>Table13[[#This Row],[Date]]-DAY(Table13[[#This Row],[Date]])+1</f>
        <v>45870</v>
      </c>
      <c r="E131" s="167">
        <f t="shared" si="8"/>
        <v>31</v>
      </c>
      <c r="F131" s="169"/>
      <c r="G131" s="176"/>
      <c r="H131" s="176"/>
      <c r="I131" s="176"/>
      <c r="J131" s="176"/>
      <c r="K131" s="171"/>
      <c r="L131" s="170"/>
      <c r="M131" s="170" t="str">
        <f>IFERROR(_xlfn.XLOOKUP($A131,Input_Raw!$A:$A,Input_Raw!BG:BG),"")</f>
        <v/>
      </c>
      <c r="N131" s="170" t="str">
        <f>IFERROR(_xlfn.XLOOKUP($A131,Input_Raw!$A:$A,Input_Raw!BH:BH),"")</f>
        <v/>
      </c>
      <c r="O131" s="173" t="str">
        <f t="shared" si="9"/>
        <v/>
      </c>
      <c r="P131" s="173" t="str">
        <f>IFERROR(1-SUMIF(WTG_BD!$F:$F,$A131,WTG_BD!$AA:$AA)/($AA131+SUMIF(WTG_BD!$F:$F,$A131,WTG_BD!$AA:$AA)),"")</f>
        <v/>
      </c>
      <c r="Q131" s="173" t="str">
        <f>IFERROR(1-SUMIF(IGA_BD!$F:$F,$A131,IGA_BD!$X:$X)/($AA131+SUMIF(IGA_BD!$F:$F,$A131,IGA_BD!$X:$X)),"")</f>
        <v/>
      </c>
      <c r="R131" s="173" t="str">
        <f>IFERROR(1-SUMIF(Grid_BD!$F:$F,$A131,Grid_BD!$Y:$Y)/($AA131+SUMIF(Grid_BD!$F:$F,$A131,Grid_BD!$Y:$Y)),"")</f>
        <v/>
      </c>
      <c r="S131" s="167"/>
      <c r="T131" s="172"/>
      <c r="U131" s="173"/>
      <c r="V131" s="167"/>
      <c r="W131" s="174" t="str">
        <f t="shared" si="10"/>
        <v/>
      </c>
      <c r="X131" s="167" t="str">
        <f>IFERROR(_xlfn.XLOOKUP($A131,Input_Raw!$A:$A,Input_Raw!$BF:$BF),"")</f>
        <v/>
      </c>
      <c r="Y131" s="167" t="str">
        <f>IFERROR(_xlfn.XLOOKUP($A131,Input_Raw!$A:$A,Input_Raw!BJ:BJ),"")</f>
        <v/>
      </c>
      <c r="Z131" s="167" t="str">
        <f>IFERROR(_xlfn.XLOOKUP($A131,Input_Raw!$A:$A,Input_Raw!BK:BK),"")</f>
        <v/>
      </c>
      <c r="AA131" s="167" t="str">
        <f>IFERROR(_xlfn.XLOOKUP($A131,Input_Raw!$A:$A,Input_Raw!BL:BL),"")</f>
        <v/>
      </c>
      <c r="AB131" s="167" t="str">
        <f>IFERROR(_xlfn.XLOOKUP($A131,Input_Raw!$A:$A,Input_Raw!$BO:$BO),"")</f>
        <v/>
      </c>
      <c r="AC131" s="176">
        <f>IFERROR(_xlfn.XLOOKUP($D131,'Modelling New'!$D:$D,'Modelling New'!$J:$J),"")</f>
        <v>9.01</v>
      </c>
      <c r="AD131" s="166">
        <f>IFERROR(_xlfn.XLOOKUP($D131,'Modelling New'!$D:$D,'Modelling New'!$T:$T)*1000,"")</f>
        <v>895729.81265024655</v>
      </c>
      <c r="AE131" s="174"/>
      <c r="AF131" s="174">
        <f>IFERROR(_xlfn.XLOOKUP($D131,'Modelling New'!$D:$D,'Modelling New'!$W:$W),"")</f>
        <v>0.53165349753694591</v>
      </c>
      <c r="AG131" s="174">
        <f>IFERROR(_xlfn.XLOOKUP($D131,'Modelling New'!$D:$D,'Modelling New'!$AE:$AE),"")</f>
        <v>0.96029999999999993</v>
      </c>
      <c r="AH131" s="174">
        <f>IFERROR(_xlfn.XLOOKUP($D131,'Modelling New'!$D:$D,'Modelling New'!$AF:$AF),"")</f>
        <v>0.995</v>
      </c>
      <c r="AI131" s="177" t="str">
        <f>IFERROR(_xlfn.XLOOKUP($A131,Input_Raw!$A:$A,Input_Raw!$BQ:$BQ),"")</f>
        <v/>
      </c>
      <c r="AJ131" s="167"/>
      <c r="AK131" s="167"/>
      <c r="AL131" s="167"/>
      <c r="AM131" s="167"/>
      <c r="AN131" s="175" t="str">
        <f>IFERROR(_xlfn.XLOOKUP($A131,Input_Raw!$A:$A,Input_Raw!$BN:$BN),"")</f>
        <v/>
      </c>
      <c r="AO131" s="174" t="str">
        <f>IFERROR((_xlfn.XLOOKUP($A131,'WTG Reactive Power'!$A:$A,'WTG Reactive Power'!$AE:$AE))/Table13[[#This Row],[Gen_Exp (kWh)]],"")</f>
        <v/>
      </c>
      <c r="AP131" s="174">
        <f>IFERROR(_xlfn.XLOOKUP($D131,'Modelling New'!$D:$D,'Modelling New'!$AK:$AK),"")</f>
        <v>0.05</v>
      </c>
      <c r="AQ131" s="174">
        <f>IFERROR(_xlfn.XLOOKUP($D131,'Modelling New'!$D:$D,'Modelling New'!$AL:$AL),"")</f>
        <v>0.05</v>
      </c>
      <c r="AR131" s="276">
        <f>IFERROR(_xlfn.XLOOKUP($D131,'Modelling New'!$D:$D,'Modelling New'!$N:$N),"")</f>
        <v>70.2</v>
      </c>
      <c r="AS131" s="276"/>
    </row>
    <row r="132" spans="1:45">
      <c r="A132" s="165">
        <f t="shared" si="11"/>
        <v>45875</v>
      </c>
      <c r="B132" s="166">
        <f>YEAR(Table13[[#This Row],[Date]])+IF(MONTH(Table13[[#This Row],[Date]])&gt;=4,1,0)</f>
        <v>2026</v>
      </c>
      <c r="C132" s="167">
        <f>YEAR(Table13[[#This Row],[Date]])</f>
        <v>2025</v>
      </c>
      <c r="D132" s="168">
        <f>Table13[[#This Row],[Date]]-DAY(Table13[[#This Row],[Date]])+1</f>
        <v>45870</v>
      </c>
      <c r="E132" s="167">
        <f t="shared" si="8"/>
        <v>31</v>
      </c>
      <c r="F132" s="169"/>
      <c r="G132" s="170"/>
      <c r="H132" s="170"/>
      <c r="I132" s="170"/>
      <c r="J132" s="170"/>
      <c r="K132" s="171"/>
      <c r="L132" s="170"/>
      <c r="M132" s="170" t="str">
        <f>IFERROR(_xlfn.XLOOKUP($A132,Input_Raw!$A:$A,Input_Raw!BG:BG),"")</f>
        <v/>
      </c>
      <c r="N132" s="170" t="str">
        <f>IFERROR(_xlfn.XLOOKUP($A132,Input_Raw!$A:$A,Input_Raw!BH:BH),"")</f>
        <v/>
      </c>
      <c r="O132" s="173" t="str">
        <f t="shared" si="9"/>
        <v/>
      </c>
      <c r="P132" s="173" t="str">
        <f>IFERROR(1-SUMIF(WTG_BD!$F:$F,$A132,WTG_BD!$AA:$AA)/($AA132+SUMIF(WTG_BD!$F:$F,$A132,WTG_BD!$AA:$AA)),"")</f>
        <v/>
      </c>
      <c r="Q132" s="173" t="str">
        <f>IFERROR(1-SUMIF(IGA_BD!$F:$F,$A132,IGA_BD!$X:$X)/($AA132+SUMIF(IGA_BD!$F:$F,$A132,IGA_BD!$X:$X)),"")</f>
        <v/>
      </c>
      <c r="R132" s="173" t="str">
        <f>IFERROR(1-SUMIF(Grid_BD!$F:$F,$A132,Grid_BD!$Y:$Y)/($AA132+SUMIF(Grid_BD!$F:$F,$A132,Grid_BD!$Y:$Y)),"")</f>
        <v/>
      </c>
      <c r="S132" s="167"/>
      <c r="T132" s="172"/>
      <c r="U132" s="173"/>
      <c r="V132" s="167"/>
      <c r="W132" s="174" t="str">
        <f t="shared" si="10"/>
        <v/>
      </c>
      <c r="X132" s="167" t="str">
        <f>IFERROR(_xlfn.XLOOKUP($A132,Input_Raw!$A:$A,Input_Raw!$BF:$BF),"")</f>
        <v/>
      </c>
      <c r="Y132" s="167" t="str">
        <f>IFERROR(_xlfn.XLOOKUP($A132,Input_Raw!$A:$A,Input_Raw!BJ:BJ),"")</f>
        <v/>
      </c>
      <c r="Z132" s="167" t="str">
        <f>IFERROR(_xlfn.XLOOKUP($A132,Input_Raw!$A:$A,Input_Raw!BK:BK),"")</f>
        <v/>
      </c>
      <c r="AA132" s="167" t="str">
        <f>IFERROR(_xlfn.XLOOKUP($A132,Input_Raw!$A:$A,Input_Raw!BL:BL),"")</f>
        <v/>
      </c>
      <c r="AB132" s="167" t="str">
        <f>IFERROR(_xlfn.XLOOKUP($A132,Input_Raw!$A:$A,Input_Raw!$BO:$BO),"")</f>
        <v/>
      </c>
      <c r="AC132" s="176">
        <f>IFERROR(_xlfn.XLOOKUP($D132,'Modelling New'!$D:$D,'Modelling New'!$J:$J),"")</f>
        <v>9.01</v>
      </c>
      <c r="AD132" s="166">
        <f>IFERROR(_xlfn.XLOOKUP($D132,'Modelling New'!$D:$D,'Modelling New'!$T:$T)*1000,"")</f>
        <v>895729.81265024655</v>
      </c>
      <c r="AE132" s="174"/>
      <c r="AF132" s="174">
        <f>IFERROR(_xlfn.XLOOKUP($D132,'Modelling New'!$D:$D,'Modelling New'!$W:$W),"")</f>
        <v>0.53165349753694591</v>
      </c>
      <c r="AG132" s="174">
        <f>IFERROR(_xlfn.XLOOKUP($D132,'Modelling New'!$D:$D,'Modelling New'!$AE:$AE),"")</f>
        <v>0.96029999999999993</v>
      </c>
      <c r="AH132" s="174">
        <f>IFERROR(_xlfn.XLOOKUP($D132,'Modelling New'!$D:$D,'Modelling New'!$AF:$AF),"")</f>
        <v>0.995</v>
      </c>
      <c r="AI132" s="177" t="str">
        <f>IFERROR(_xlfn.XLOOKUP($A132,Input_Raw!$A:$A,Input_Raw!$BQ:$BQ),"")</f>
        <v/>
      </c>
      <c r="AJ132" s="167"/>
      <c r="AK132" s="167"/>
      <c r="AL132" s="167"/>
      <c r="AM132" s="167"/>
      <c r="AN132" s="175" t="str">
        <f>IFERROR(_xlfn.XLOOKUP($A132,Input_Raw!$A:$A,Input_Raw!$BN:$BN),"")</f>
        <v/>
      </c>
      <c r="AO132" s="174" t="str">
        <f>IFERROR((_xlfn.XLOOKUP($A132,'WTG Reactive Power'!$A:$A,'WTG Reactive Power'!$AE:$AE))/Table13[[#This Row],[Gen_Exp (kWh)]],"")</f>
        <v/>
      </c>
      <c r="AP132" s="174">
        <f>IFERROR(_xlfn.XLOOKUP($D132,'Modelling New'!$D:$D,'Modelling New'!$AK:$AK),"")</f>
        <v>0.05</v>
      </c>
      <c r="AQ132" s="174">
        <f>IFERROR(_xlfn.XLOOKUP($D132,'Modelling New'!$D:$D,'Modelling New'!$AL:$AL),"")</f>
        <v>0.05</v>
      </c>
      <c r="AR132" s="276">
        <f>IFERROR(_xlfn.XLOOKUP($D132,'Modelling New'!$D:$D,'Modelling New'!$N:$N),"")</f>
        <v>70.2</v>
      </c>
      <c r="AS132" s="276"/>
    </row>
    <row r="133" spans="1:45">
      <c r="A133" s="165">
        <f t="shared" si="11"/>
        <v>45876</v>
      </c>
      <c r="B133" s="166">
        <f>YEAR(Table13[[#This Row],[Date]])+IF(MONTH(Table13[[#This Row],[Date]])&gt;=4,1,0)</f>
        <v>2026</v>
      </c>
      <c r="C133" s="167">
        <f>YEAR(Table13[[#This Row],[Date]])</f>
        <v>2025</v>
      </c>
      <c r="D133" s="168">
        <f>Table13[[#This Row],[Date]]-DAY(Table13[[#This Row],[Date]])+1</f>
        <v>45870</v>
      </c>
      <c r="E133" s="167">
        <f t="shared" si="8"/>
        <v>31</v>
      </c>
      <c r="F133" s="169"/>
      <c r="G133" s="176"/>
      <c r="H133" s="176"/>
      <c r="I133" s="176"/>
      <c r="J133" s="176"/>
      <c r="K133" s="171"/>
      <c r="L133" s="170"/>
      <c r="M133" s="170" t="str">
        <f>IFERROR(_xlfn.XLOOKUP($A133,Input_Raw!$A:$A,Input_Raw!BG:BG),"")</f>
        <v/>
      </c>
      <c r="N133" s="170" t="str">
        <f>IFERROR(_xlfn.XLOOKUP($A133,Input_Raw!$A:$A,Input_Raw!BH:BH),"")</f>
        <v/>
      </c>
      <c r="O133" s="173" t="str">
        <f t="shared" si="9"/>
        <v/>
      </c>
      <c r="P133" s="173" t="str">
        <f>IFERROR(1-SUMIF(WTG_BD!$F:$F,$A133,WTG_BD!$AA:$AA)/($AA133+SUMIF(WTG_BD!$F:$F,$A133,WTG_BD!$AA:$AA)),"")</f>
        <v/>
      </c>
      <c r="Q133" s="173" t="str">
        <f>IFERROR(1-SUMIF(IGA_BD!$F:$F,$A133,IGA_BD!$X:$X)/($AA133+SUMIF(IGA_BD!$F:$F,$A133,IGA_BD!$X:$X)),"")</f>
        <v/>
      </c>
      <c r="R133" s="173" t="str">
        <f>IFERROR(1-SUMIF(Grid_BD!$F:$F,$A133,Grid_BD!$Y:$Y)/($AA133+SUMIF(Grid_BD!$F:$F,$A133,Grid_BD!$Y:$Y)),"")</f>
        <v/>
      </c>
      <c r="S133" s="167"/>
      <c r="T133" s="172"/>
      <c r="U133" s="173"/>
      <c r="V133" s="167"/>
      <c r="W133" s="174" t="str">
        <f t="shared" si="10"/>
        <v/>
      </c>
      <c r="X133" s="167" t="str">
        <f>IFERROR(_xlfn.XLOOKUP($A133,Input_Raw!$A:$A,Input_Raw!$BF:$BF),"")</f>
        <v/>
      </c>
      <c r="Y133" s="167" t="str">
        <f>IFERROR(_xlfn.XLOOKUP($A133,Input_Raw!$A:$A,Input_Raw!BJ:BJ),"")</f>
        <v/>
      </c>
      <c r="Z133" s="167" t="str">
        <f>IFERROR(_xlfn.XLOOKUP($A133,Input_Raw!$A:$A,Input_Raw!BK:BK),"")</f>
        <v/>
      </c>
      <c r="AA133" s="167" t="str">
        <f>IFERROR(_xlfn.XLOOKUP($A133,Input_Raw!$A:$A,Input_Raw!BL:BL),"")</f>
        <v/>
      </c>
      <c r="AB133" s="167" t="str">
        <f>IFERROR(_xlfn.XLOOKUP($A133,Input_Raw!$A:$A,Input_Raw!$BO:$BO),"")</f>
        <v/>
      </c>
      <c r="AC133" s="176">
        <f>IFERROR(_xlfn.XLOOKUP($D133,'Modelling New'!$D:$D,'Modelling New'!$J:$J),"")</f>
        <v>9.01</v>
      </c>
      <c r="AD133" s="166">
        <f>IFERROR(_xlfn.XLOOKUP($D133,'Modelling New'!$D:$D,'Modelling New'!$T:$T)*1000,"")</f>
        <v>895729.81265024655</v>
      </c>
      <c r="AE133" s="174"/>
      <c r="AF133" s="174">
        <f>IFERROR(_xlfn.XLOOKUP($D133,'Modelling New'!$D:$D,'Modelling New'!$W:$W),"")</f>
        <v>0.53165349753694591</v>
      </c>
      <c r="AG133" s="174">
        <f>IFERROR(_xlfn.XLOOKUP($D133,'Modelling New'!$D:$D,'Modelling New'!$AE:$AE),"")</f>
        <v>0.96029999999999993</v>
      </c>
      <c r="AH133" s="174">
        <f>IFERROR(_xlfn.XLOOKUP($D133,'Modelling New'!$D:$D,'Modelling New'!$AF:$AF),"")</f>
        <v>0.995</v>
      </c>
      <c r="AI133" s="177" t="str">
        <f>IFERROR(_xlfn.XLOOKUP($A133,Input_Raw!$A:$A,Input_Raw!$BQ:$BQ),"")</f>
        <v/>
      </c>
      <c r="AJ133" s="167"/>
      <c r="AK133" s="167"/>
      <c r="AL133" s="167"/>
      <c r="AM133" s="167"/>
      <c r="AN133" s="175" t="str">
        <f>IFERROR(_xlfn.XLOOKUP($A133,Input_Raw!$A:$A,Input_Raw!$BN:$BN),"")</f>
        <v/>
      </c>
      <c r="AO133" s="174" t="str">
        <f>IFERROR((_xlfn.XLOOKUP($A133,'WTG Reactive Power'!$A:$A,'WTG Reactive Power'!$AE:$AE))/Table13[[#This Row],[Gen_Exp (kWh)]],"")</f>
        <v/>
      </c>
      <c r="AP133" s="174">
        <f>IFERROR(_xlfn.XLOOKUP($D133,'Modelling New'!$D:$D,'Modelling New'!$AK:$AK),"")</f>
        <v>0.05</v>
      </c>
      <c r="AQ133" s="174">
        <f>IFERROR(_xlfn.XLOOKUP($D133,'Modelling New'!$D:$D,'Modelling New'!$AL:$AL),"")</f>
        <v>0.05</v>
      </c>
      <c r="AR133" s="276">
        <f>IFERROR(_xlfn.XLOOKUP($D133,'Modelling New'!$D:$D,'Modelling New'!$N:$N),"")</f>
        <v>70.2</v>
      </c>
      <c r="AS133" s="276"/>
    </row>
    <row r="134" spans="1:45">
      <c r="A134" s="165">
        <f t="shared" si="11"/>
        <v>45877</v>
      </c>
      <c r="B134" s="166">
        <f>YEAR(Table13[[#This Row],[Date]])+IF(MONTH(Table13[[#This Row],[Date]])&gt;=4,1,0)</f>
        <v>2026</v>
      </c>
      <c r="C134" s="167">
        <f>YEAR(Table13[[#This Row],[Date]])</f>
        <v>2025</v>
      </c>
      <c r="D134" s="168">
        <f>Table13[[#This Row],[Date]]-DAY(Table13[[#This Row],[Date]])+1</f>
        <v>45870</v>
      </c>
      <c r="E134" s="167">
        <f t="shared" si="8"/>
        <v>31</v>
      </c>
      <c r="F134" s="169"/>
      <c r="G134" s="170"/>
      <c r="H134" s="170"/>
      <c r="I134" s="170"/>
      <c r="J134" s="170"/>
      <c r="K134" s="171"/>
      <c r="L134" s="170"/>
      <c r="M134" s="170" t="str">
        <f>IFERROR(_xlfn.XLOOKUP($A134,Input_Raw!$A:$A,Input_Raw!BG:BG),"")</f>
        <v/>
      </c>
      <c r="N134" s="170" t="str">
        <f>IFERROR(_xlfn.XLOOKUP($A134,Input_Raw!$A:$A,Input_Raw!BH:BH),"")</f>
        <v/>
      </c>
      <c r="O134" s="173" t="str">
        <f t="shared" si="9"/>
        <v/>
      </c>
      <c r="P134" s="173" t="str">
        <f>IFERROR(1-SUMIF(WTG_BD!$F:$F,$A134,WTG_BD!$AA:$AA)/($AA134+SUMIF(WTG_BD!$F:$F,$A134,WTG_BD!$AA:$AA)),"")</f>
        <v/>
      </c>
      <c r="Q134" s="173" t="str">
        <f>IFERROR(1-SUMIF(IGA_BD!$F:$F,$A134,IGA_BD!$X:$X)/($AA134+SUMIF(IGA_BD!$F:$F,$A134,IGA_BD!$X:$X)),"")</f>
        <v/>
      </c>
      <c r="R134" s="173" t="str">
        <f>IFERROR(1-SUMIF(Grid_BD!$F:$F,$A134,Grid_BD!$Y:$Y)/($AA134+SUMIF(Grid_BD!$F:$F,$A134,Grid_BD!$Y:$Y)),"")</f>
        <v/>
      </c>
      <c r="S134" s="167"/>
      <c r="T134" s="172"/>
      <c r="U134" s="173"/>
      <c r="V134" s="167"/>
      <c r="W134" s="174" t="str">
        <f t="shared" si="10"/>
        <v/>
      </c>
      <c r="X134" s="167" t="str">
        <f>IFERROR(_xlfn.XLOOKUP($A134,Input_Raw!$A:$A,Input_Raw!$BF:$BF),"")</f>
        <v/>
      </c>
      <c r="Y134" s="167" t="str">
        <f>IFERROR(_xlfn.XLOOKUP($A134,Input_Raw!$A:$A,Input_Raw!BJ:BJ),"")</f>
        <v/>
      </c>
      <c r="Z134" s="167" t="str">
        <f>IFERROR(_xlfn.XLOOKUP($A134,Input_Raw!$A:$A,Input_Raw!BK:BK),"")</f>
        <v/>
      </c>
      <c r="AA134" s="167" t="str">
        <f>IFERROR(_xlfn.XLOOKUP($A134,Input_Raw!$A:$A,Input_Raw!BL:BL),"")</f>
        <v/>
      </c>
      <c r="AB134" s="167" t="str">
        <f>IFERROR(_xlfn.XLOOKUP($A134,Input_Raw!$A:$A,Input_Raw!$BO:$BO),"")</f>
        <v/>
      </c>
      <c r="AC134" s="176">
        <f>IFERROR(_xlfn.XLOOKUP($D134,'Modelling New'!$D:$D,'Modelling New'!$J:$J),"")</f>
        <v>9.01</v>
      </c>
      <c r="AD134" s="166">
        <f>IFERROR(_xlfn.XLOOKUP($D134,'Modelling New'!$D:$D,'Modelling New'!$T:$T)*1000,"")</f>
        <v>895729.81265024655</v>
      </c>
      <c r="AE134" s="174"/>
      <c r="AF134" s="174">
        <f>IFERROR(_xlfn.XLOOKUP($D134,'Modelling New'!$D:$D,'Modelling New'!$W:$W),"")</f>
        <v>0.53165349753694591</v>
      </c>
      <c r="AG134" s="174">
        <f>IFERROR(_xlfn.XLOOKUP($D134,'Modelling New'!$D:$D,'Modelling New'!$AE:$AE),"")</f>
        <v>0.96029999999999993</v>
      </c>
      <c r="AH134" s="174">
        <f>IFERROR(_xlfn.XLOOKUP($D134,'Modelling New'!$D:$D,'Modelling New'!$AF:$AF),"")</f>
        <v>0.995</v>
      </c>
      <c r="AI134" s="177" t="str">
        <f>IFERROR(_xlfn.XLOOKUP($A134,Input_Raw!$A:$A,Input_Raw!$BQ:$BQ),"")</f>
        <v/>
      </c>
      <c r="AJ134" s="167"/>
      <c r="AK134" s="167"/>
      <c r="AL134" s="167"/>
      <c r="AM134" s="167"/>
      <c r="AN134" s="175" t="str">
        <f>IFERROR(_xlfn.XLOOKUP($A134,Input_Raw!$A:$A,Input_Raw!$BN:$BN),"")</f>
        <v/>
      </c>
      <c r="AO134" s="174" t="str">
        <f>IFERROR((_xlfn.XLOOKUP($A134,'WTG Reactive Power'!$A:$A,'WTG Reactive Power'!$AE:$AE))/Table13[[#This Row],[Gen_Exp (kWh)]],"")</f>
        <v/>
      </c>
      <c r="AP134" s="174">
        <f>IFERROR(_xlfn.XLOOKUP($D134,'Modelling New'!$D:$D,'Modelling New'!$AK:$AK),"")</f>
        <v>0.05</v>
      </c>
      <c r="AQ134" s="174">
        <f>IFERROR(_xlfn.XLOOKUP($D134,'Modelling New'!$D:$D,'Modelling New'!$AL:$AL),"")</f>
        <v>0.05</v>
      </c>
      <c r="AR134" s="276">
        <f>IFERROR(_xlfn.XLOOKUP($D134,'Modelling New'!$D:$D,'Modelling New'!$N:$N),"")</f>
        <v>70.2</v>
      </c>
      <c r="AS134" s="276"/>
    </row>
    <row r="135" spans="1:45">
      <c r="A135" s="165">
        <f t="shared" si="11"/>
        <v>45878</v>
      </c>
      <c r="B135" s="166">
        <f>YEAR(Table13[[#This Row],[Date]])+IF(MONTH(Table13[[#This Row],[Date]])&gt;=4,1,0)</f>
        <v>2026</v>
      </c>
      <c r="C135" s="167">
        <f>YEAR(Table13[[#This Row],[Date]])</f>
        <v>2025</v>
      </c>
      <c r="D135" s="168">
        <f>Table13[[#This Row],[Date]]-DAY(Table13[[#This Row],[Date]])+1</f>
        <v>45870</v>
      </c>
      <c r="E135" s="167">
        <f t="shared" si="8"/>
        <v>31</v>
      </c>
      <c r="F135" s="169"/>
      <c r="G135" s="176"/>
      <c r="H135" s="176"/>
      <c r="I135" s="176"/>
      <c r="J135" s="176"/>
      <c r="K135" s="171"/>
      <c r="L135" s="170"/>
      <c r="M135" s="170" t="str">
        <f>IFERROR(_xlfn.XLOOKUP($A135,Input_Raw!$A:$A,Input_Raw!BG:BG),"")</f>
        <v/>
      </c>
      <c r="N135" s="170" t="str">
        <f>IFERROR(_xlfn.XLOOKUP($A135,Input_Raw!$A:$A,Input_Raw!BH:BH),"")</f>
        <v/>
      </c>
      <c r="O135" s="173" t="str">
        <f t="shared" si="9"/>
        <v/>
      </c>
      <c r="P135" s="173" t="str">
        <f>IFERROR(1-SUMIF(WTG_BD!$F:$F,$A135,WTG_BD!$AA:$AA)/($AA135+SUMIF(WTG_BD!$F:$F,$A135,WTG_BD!$AA:$AA)),"")</f>
        <v/>
      </c>
      <c r="Q135" s="173" t="str">
        <f>IFERROR(1-SUMIF(IGA_BD!$F:$F,$A135,IGA_BD!$X:$X)/($AA135+SUMIF(IGA_BD!$F:$F,$A135,IGA_BD!$X:$X)),"")</f>
        <v/>
      </c>
      <c r="R135" s="173" t="str">
        <f>IFERROR(1-SUMIF(Grid_BD!$F:$F,$A135,Grid_BD!$Y:$Y)/($AA135+SUMIF(Grid_BD!$F:$F,$A135,Grid_BD!$Y:$Y)),"")</f>
        <v/>
      </c>
      <c r="S135" s="167"/>
      <c r="T135" s="172"/>
      <c r="U135" s="173"/>
      <c r="V135" s="167"/>
      <c r="W135" s="174" t="str">
        <f t="shared" si="10"/>
        <v/>
      </c>
      <c r="X135" s="167" t="str">
        <f>IFERROR(_xlfn.XLOOKUP($A135,Input_Raw!$A:$A,Input_Raw!$BF:$BF),"")</f>
        <v/>
      </c>
      <c r="Y135" s="167" t="str">
        <f>IFERROR(_xlfn.XLOOKUP($A135,Input_Raw!$A:$A,Input_Raw!BJ:BJ),"")</f>
        <v/>
      </c>
      <c r="Z135" s="167" t="str">
        <f>IFERROR(_xlfn.XLOOKUP($A135,Input_Raw!$A:$A,Input_Raw!BK:BK),"")</f>
        <v/>
      </c>
      <c r="AA135" s="167" t="str">
        <f>IFERROR(_xlfn.XLOOKUP($A135,Input_Raw!$A:$A,Input_Raw!BL:BL),"")</f>
        <v/>
      </c>
      <c r="AB135" s="167" t="str">
        <f>IFERROR(_xlfn.XLOOKUP($A135,Input_Raw!$A:$A,Input_Raw!$BO:$BO),"")</f>
        <v/>
      </c>
      <c r="AC135" s="176">
        <f>IFERROR(_xlfn.XLOOKUP($D135,'Modelling New'!$D:$D,'Modelling New'!$J:$J),"")</f>
        <v>9.01</v>
      </c>
      <c r="AD135" s="166">
        <f>IFERROR(_xlfn.XLOOKUP($D135,'Modelling New'!$D:$D,'Modelling New'!$T:$T)*1000,"")</f>
        <v>895729.81265024655</v>
      </c>
      <c r="AE135" s="174"/>
      <c r="AF135" s="174">
        <f>IFERROR(_xlfn.XLOOKUP($D135,'Modelling New'!$D:$D,'Modelling New'!$W:$W),"")</f>
        <v>0.53165349753694591</v>
      </c>
      <c r="AG135" s="174">
        <f>IFERROR(_xlfn.XLOOKUP($D135,'Modelling New'!$D:$D,'Modelling New'!$AE:$AE),"")</f>
        <v>0.96029999999999993</v>
      </c>
      <c r="AH135" s="174">
        <f>IFERROR(_xlfn.XLOOKUP($D135,'Modelling New'!$D:$D,'Modelling New'!$AF:$AF),"")</f>
        <v>0.995</v>
      </c>
      <c r="AI135" s="177" t="str">
        <f>IFERROR(_xlfn.XLOOKUP($A135,Input_Raw!$A:$A,Input_Raw!$BQ:$BQ),"")</f>
        <v/>
      </c>
      <c r="AJ135" s="167"/>
      <c r="AK135" s="167"/>
      <c r="AL135" s="167"/>
      <c r="AM135" s="167"/>
      <c r="AN135" s="175" t="str">
        <f>IFERROR(_xlfn.XLOOKUP($A135,Input_Raw!$A:$A,Input_Raw!$BN:$BN),"")</f>
        <v/>
      </c>
      <c r="AO135" s="174" t="str">
        <f>IFERROR((_xlfn.XLOOKUP($A135,'WTG Reactive Power'!$A:$A,'WTG Reactive Power'!$AE:$AE))/Table13[[#This Row],[Gen_Exp (kWh)]],"")</f>
        <v/>
      </c>
      <c r="AP135" s="174">
        <f>IFERROR(_xlfn.XLOOKUP($D135,'Modelling New'!$D:$D,'Modelling New'!$AK:$AK),"")</f>
        <v>0.05</v>
      </c>
      <c r="AQ135" s="174">
        <f>IFERROR(_xlfn.XLOOKUP($D135,'Modelling New'!$D:$D,'Modelling New'!$AL:$AL),"")</f>
        <v>0.05</v>
      </c>
      <c r="AR135" s="276">
        <f>IFERROR(_xlfn.XLOOKUP($D135,'Modelling New'!$D:$D,'Modelling New'!$N:$N),"")</f>
        <v>70.2</v>
      </c>
      <c r="AS135" s="276"/>
    </row>
    <row r="136" spans="1:45">
      <c r="A136" s="165">
        <f t="shared" si="11"/>
        <v>45879</v>
      </c>
      <c r="B136" s="166">
        <f>YEAR(Table13[[#This Row],[Date]])+IF(MONTH(Table13[[#This Row],[Date]])&gt;=4,1,0)</f>
        <v>2026</v>
      </c>
      <c r="C136" s="167">
        <f>YEAR(Table13[[#This Row],[Date]])</f>
        <v>2025</v>
      </c>
      <c r="D136" s="168">
        <f>Table13[[#This Row],[Date]]-DAY(Table13[[#This Row],[Date]])+1</f>
        <v>45870</v>
      </c>
      <c r="E136" s="167">
        <f t="shared" si="8"/>
        <v>31</v>
      </c>
      <c r="F136" s="169"/>
      <c r="G136" s="170"/>
      <c r="H136" s="170"/>
      <c r="I136" s="170"/>
      <c r="J136" s="170"/>
      <c r="K136" s="171"/>
      <c r="L136" s="170"/>
      <c r="M136" s="170" t="str">
        <f>IFERROR(_xlfn.XLOOKUP($A136,Input_Raw!$A:$A,Input_Raw!BG:BG),"")</f>
        <v/>
      </c>
      <c r="N136" s="170" t="str">
        <f>IFERROR(_xlfn.XLOOKUP($A136,Input_Raw!$A:$A,Input_Raw!BH:BH),"")</f>
        <v/>
      </c>
      <c r="O136" s="173" t="str">
        <f t="shared" si="9"/>
        <v/>
      </c>
      <c r="P136" s="173" t="str">
        <f>IFERROR(1-SUMIF(WTG_BD!$F:$F,$A136,WTG_BD!$AA:$AA)/($AA136+SUMIF(WTG_BD!$F:$F,$A136,WTG_BD!$AA:$AA)),"")</f>
        <v/>
      </c>
      <c r="Q136" s="173" t="str">
        <f>IFERROR(1-SUMIF(IGA_BD!$F:$F,$A136,IGA_BD!$X:$X)/($AA136+SUMIF(IGA_BD!$F:$F,$A136,IGA_BD!$X:$X)),"")</f>
        <v/>
      </c>
      <c r="R136" s="173" t="str">
        <f>IFERROR(1-SUMIF(Grid_BD!$F:$F,$A136,Grid_BD!$Y:$Y)/($AA136+SUMIF(Grid_BD!$F:$F,$A136,Grid_BD!$Y:$Y)),"")</f>
        <v/>
      </c>
      <c r="S136" s="167"/>
      <c r="T136" s="172"/>
      <c r="U136" s="173"/>
      <c r="V136" s="167"/>
      <c r="W136" s="174" t="str">
        <f t="shared" si="10"/>
        <v/>
      </c>
      <c r="X136" s="167" t="str">
        <f>IFERROR(_xlfn.XLOOKUP($A136,Input_Raw!$A:$A,Input_Raw!$BF:$BF),"")</f>
        <v/>
      </c>
      <c r="Y136" s="167" t="str">
        <f>IFERROR(_xlfn.XLOOKUP($A136,Input_Raw!$A:$A,Input_Raw!BJ:BJ),"")</f>
        <v/>
      </c>
      <c r="Z136" s="167" t="str">
        <f>IFERROR(_xlfn.XLOOKUP($A136,Input_Raw!$A:$A,Input_Raw!BK:BK),"")</f>
        <v/>
      </c>
      <c r="AA136" s="167" t="str">
        <f>IFERROR(_xlfn.XLOOKUP($A136,Input_Raw!$A:$A,Input_Raw!BL:BL),"")</f>
        <v/>
      </c>
      <c r="AB136" s="167" t="str">
        <f>IFERROR(_xlfn.XLOOKUP($A136,Input_Raw!$A:$A,Input_Raw!$BO:$BO),"")</f>
        <v/>
      </c>
      <c r="AC136" s="176">
        <f>IFERROR(_xlfn.XLOOKUP($D136,'Modelling New'!$D:$D,'Modelling New'!$J:$J),"")</f>
        <v>9.01</v>
      </c>
      <c r="AD136" s="166">
        <f>IFERROR(_xlfn.XLOOKUP($D136,'Modelling New'!$D:$D,'Modelling New'!$T:$T)*1000,"")</f>
        <v>895729.81265024655</v>
      </c>
      <c r="AE136" s="174"/>
      <c r="AF136" s="174">
        <f>IFERROR(_xlfn.XLOOKUP($D136,'Modelling New'!$D:$D,'Modelling New'!$W:$W),"")</f>
        <v>0.53165349753694591</v>
      </c>
      <c r="AG136" s="174">
        <f>IFERROR(_xlfn.XLOOKUP($D136,'Modelling New'!$D:$D,'Modelling New'!$AE:$AE),"")</f>
        <v>0.96029999999999993</v>
      </c>
      <c r="AH136" s="174">
        <f>IFERROR(_xlfn.XLOOKUP($D136,'Modelling New'!$D:$D,'Modelling New'!$AF:$AF),"")</f>
        <v>0.995</v>
      </c>
      <c r="AI136" s="177" t="str">
        <f>IFERROR(_xlfn.XLOOKUP($A136,Input_Raw!$A:$A,Input_Raw!$BQ:$BQ),"")</f>
        <v/>
      </c>
      <c r="AJ136" s="167"/>
      <c r="AK136" s="167"/>
      <c r="AL136" s="167"/>
      <c r="AM136" s="167"/>
      <c r="AN136" s="175" t="str">
        <f>IFERROR(_xlfn.XLOOKUP($A136,Input_Raw!$A:$A,Input_Raw!$BN:$BN),"")</f>
        <v/>
      </c>
      <c r="AO136" s="174" t="str">
        <f>IFERROR((_xlfn.XLOOKUP($A136,'WTG Reactive Power'!$A:$A,'WTG Reactive Power'!$AE:$AE))/Table13[[#This Row],[Gen_Exp (kWh)]],"")</f>
        <v/>
      </c>
      <c r="AP136" s="174">
        <f>IFERROR(_xlfn.XLOOKUP($D136,'Modelling New'!$D:$D,'Modelling New'!$AK:$AK),"")</f>
        <v>0.05</v>
      </c>
      <c r="AQ136" s="174">
        <f>IFERROR(_xlfn.XLOOKUP($D136,'Modelling New'!$D:$D,'Modelling New'!$AL:$AL),"")</f>
        <v>0.05</v>
      </c>
      <c r="AR136" s="276">
        <f>IFERROR(_xlfn.XLOOKUP($D136,'Modelling New'!$D:$D,'Modelling New'!$N:$N),"")</f>
        <v>70.2</v>
      </c>
      <c r="AS136" s="276"/>
    </row>
    <row r="137" spans="1:45">
      <c r="A137" s="165">
        <f t="shared" si="11"/>
        <v>45880</v>
      </c>
      <c r="B137" s="166">
        <f>YEAR(Table13[[#This Row],[Date]])+IF(MONTH(Table13[[#This Row],[Date]])&gt;=4,1,0)</f>
        <v>2026</v>
      </c>
      <c r="C137" s="167">
        <f>YEAR(Table13[[#This Row],[Date]])</f>
        <v>2025</v>
      </c>
      <c r="D137" s="168">
        <f>Table13[[#This Row],[Date]]-DAY(Table13[[#This Row],[Date]])+1</f>
        <v>45870</v>
      </c>
      <c r="E137" s="167">
        <f t="shared" si="8"/>
        <v>31</v>
      </c>
      <c r="F137" s="169"/>
      <c r="G137" s="176"/>
      <c r="H137" s="176"/>
      <c r="I137" s="176"/>
      <c r="J137" s="176"/>
      <c r="K137" s="171"/>
      <c r="L137" s="170"/>
      <c r="M137" s="170" t="str">
        <f>IFERROR(_xlfn.XLOOKUP($A137,Input_Raw!$A:$A,Input_Raw!BG:BG),"")</f>
        <v/>
      </c>
      <c r="N137" s="170" t="str">
        <f>IFERROR(_xlfn.XLOOKUP($A137,Input_Raw!$A:$A,Input_Raw!BH:BH),"")</f>
        <v/>
      </c>
      <c r="O137" s="173" t="str">
        <f t="shared" si="9"/>
        <v/>
      </c>
      <c r="P137" s="173" t="str">
        <f>IFERROR(1-SUMIF(WTG_BD!$F:$F,$A137,WTG_BD!$AA:$AA)/($AA137+SUMIF(WTG_BD!$F:$F,$A137,WTG_BD!$AA:$AA)),"")</f>
        <v/>
      </c>
      <c r="Q137" s="173" t="str">
        <f>IFERROR(1-SUMIF(IGA_BD!$F:$F,$A137,IGA_BD!$X:$X)/($AA137+SUMIF(IGA_BD!$F:$F,$A137,IGA_BD!$X:$X)),"")</f>
        <v/>
      </c>
      <c r="R137" s="173" t="str">
        <f>IFERROR(1-SUMIF(Grid_BD!$F:$F,$A137,Grid_BD!$Y:$Y)/($AA137+SUMIF(Grid_BD!$F:$F,$A137,Grid_BD!$Y:$Y)),"")</f>
        <v/>
      </c>
      <c r="S137" s="167"/>
      <c r="T137" s="172"/>
      <c r="U137" s="173"/>
      <c r="V137" s="167"/>
      <c r="W137" s="174" t="str">
        <f t="shared" si="10"/>
        <v/>
      </c>
      <c r="X137" s="167" t="str">
        <f>IFERROR(_xlfn.XLOOKUP($A137,Input_Raw!$A:$A,Input_Raw!$BF:$BF),"")</f>
        <v/>
      </c>
      <c r="Y137" s="167" t="str">
        <f>IFERROR(_xlfn.XLOOKUP($A137,Input_Raw!$A:$A,Input_Raw!BJ:BJ),"")</f>
        <v/>
      </c>
      <c r="Z137" s="167" t="str">
        <f>IFERROR(_xlfn.XLOOKUP($A137,Input_Raw!$A:$A,Input_Raw!BK:BK),"")</f>
        <v/>
      </c>
      <c r="AA137" s="167" t="str">
        <f>IFERROR(_xlfn.XLOOKUP($A137,Input_Raw!$A:$A,Input_Raw!BL:BL),"")</f>
        <v/>
      </c>
      <c r="AB137" s="167" t="str">
        <f>IFERROR(_xlfn.XLOOKUP($A137,Input_Raw!$A:$A,Input_Raw!$BO:$BO),"")</f>
        <v/>
      </c>
      <c r="AC137" s="176">
        <f>IFERROR(_xlfn.XLOOKUP($D137,'Modelling New'!$D:$D,'Modelling New'!$J:$J),"")</f>
        <v>9.01</v>
      </c>
      <c r="AD137" s="166">
        <f>IFERROR(_xlfn.XLOOKUP($D137,'Modelling New'!$D:$D,'Modelling New'!$T:$T)*1000,"")</f>
        <v>895729.81265024655</v>
      </c>
      <c r="AE137" s="174"/>
      <c r="AF137" s="174">
        <f>IFERROR(_xlfn.XLOOKUP($D137,'Modelling New'!$D:$D,'Modelling New'!$W:$W),"")</f>
        <v>0.53165349753694591</v>
      </c>
      <c r="AG137" s="174">
        <f>IFERROR(_xlfn.XLOOKUP($D137,'Modelling New'!$D:$D,'Modelling New'!$AE:$AE),"")</f>
        <v>0.96029999999999993</v>
      </c>
      <c r="AH137" s="174">
        <f>IFERROR(_xlfn.XLOOKUP($D137,'Modelling New'!$D:$D,'Modelling New'!$AF:$AF),"")</f>
        <v>0.995</v>
      </c>
      <c r="AI137" s="177" t="str">
        <f>IFERROR(_xlfn.XLOOKUP($A137,Input_Raw!$A:$A,Input_Raw!$BQ:$BQ),"")</f>
        <v/>
      </c>
      <c r="AJ137" s="167"/>
      <c r="AK137" s="167"/>
      <c r="AL137" s="167"/>
      <c r="AM137" s="167"/>
      <c r="AN137" s="175" t="str">
        <f>IFERROR(_xlfn.XLOOKUP($A137,Input_Raw!$A:$A,Input_Raw!$BN:$BN),"")</f>
        <v/>
      </c>
      <c r="AO137" s="174" t="str">
        <f>IFERROR((_xlfn.XLOOKUP($A137,'WTG Reactive Power'!$A:$A,'WTG Reactive Power'!$AE:$AE))/Table13[[#This Row],[Gen_Exp (kWh)]],"")</f>
        <v/>
      </c>
      <c r="AP137" s="174">
        <f>IFERROR(_xlfn.XLOOKUP($D137,'Modelling New'!$D:$D,'Modelling New'!$AK:$AK),"")</f>
        <v>0.05</v>
      </c>
      <c r="AQ137" s="174">
        <f>IFERROR(_xlfn.XLOOKUP($D137,'Modelling New'!$D:$D,'Modelling New'!$AL:$AL),"")</f>
        <v>0.05</v>
      </c>
      <c r="AR137" s="276">
        <f>IFERROR(_xlfn.XLOOKUP($D137,'Modelling New'!$D:$D,'Modelling New'!$N:$N),"")</f>
        <v>70.2</v>
      </c>
      <c r="AS137" s="276"/>
    </row>
    <row r="138" spans="1:45">
      <c r="A138" s="165">
        <f t="shared" si="11"/>
        <v>45881</v>
      </c>
      <c r="B138" s="166">
        <f>YEAR(Table13[[#This Row],[Date]])+IF(MONTH(Table13[[#This Row],[Date]])&gt;=4,1,0)</f>
        <v>2026</v>
      </c>
      <c r="C138" s="167">
        <f>YEAR(Table13[[#This Row],[Date]])</f>
        <v>2025</v>
      </c>
      <c r="D138" s="168">
        <f>Table13[[#This Row],[Date]]-DAY(Table13[[#This Row],[Date]])+1</f>
        <v>45870</v>
      </c>
      <c r="E138" s="167">
        <f t="shared" si="8"/>
        <v>31</v>
      </c>
      <c r="F138" s="169"/>
      <c r="G138" s="170"/>
      <c r="H138" s="170"/>
      <c r="I138" s="170"/>
      <c r="J138" s="170"/>
      <c r="K138" s="171"/>
      <c r="L138" s="170"/>
      <c r="M138" s="170" t="str">
        <f>IFERROR(_xlfn.XLOOKUP($A138,Input_Raw!$A:$A,Input_Raw!BG:BG),"")</f>
        <v/>
      </c>
      <c r="N138" s="170" t="str">
        <f>IFERROR(_xlfn.XLOOKUP($A138,Input_Raw!$A:$A,Input_Raw!BH:BH),"")</f>
        <v/>
      </c>
      <c r="O138" s="173" t="str">
        <f t="shared" si="9"/>
        <v/>
      </c>
      <c r="P138" s="173" t="str">
        <f>IFERROR(1-SUMIF(WTG_BD!$F:$F,$A138,WTG_BD!$AA:$AA)/($AA138+SUMIF(WTG_BD!$F:$F,$A138,WTG_BD!$AA:$AA)),"")</f>
        <v/>
      </c>
      <c r="Q138" s="173" t="str">
        <f>IFERROR(1-SUMIF(IGA_BD!$F:$F,$A138,IGA_BD!$X:$X)/($AA138+SUMIF(IGA_BD!$F:$F,$A138,IGA_BD!$X:$X)),"")</f>
        <v/>
      </c>
      <c r="R138" s="173" t="str">
        <f>IFERROR(1-SUMIF(Grid_BD!$F:$F,$A138,Grid_BD!$Y:$Y)/($AA138+SUMIF(Grid_BD!$F:$F,$A138,Grid_BD!$Y:$Y)),"")</f>
        <v/>
      </c>
      <c r="S138" s="167"/>
      <c r="T138" s="172"/>
      <c r="U138" s="173"/>
      <c r="V138" s="167"/>
      <c r="W138" s="174" t="str">
        <f t="shared" si="10"/>
        <v/>
      </c>
      <c r="X138" s="167" t="str">
        <f>IFERROR(_xlfn.XLOOKUP($A138,Input_Raw!$A:$A,Input_Raw!$BF:$BF),"")</f>
        <v/>
      </c>
      <c r="Y138" s="167" t="str">
        <f>IFERROR(_xlfn.XLOOKUP($A138,Input_Raw!$A:$A,Input_Raw!BJ:BJ),"")</f>
        <v/>
      </c>
      <c r="Z138" s="167" t="str">
        <f>IFERROR(_xlfn.XLOOKUP($A138,Input_Raw!$A:$A,Input_Raw!BK:BK),"")</f>
        <v/>
      </c>
      <c r="AA138" s="167" t="str">
        <f>IFERROR(_xlfn.XLOOKUP($A138,Input_Raw!$A:$A,Input_Raw!BL:BL),"")</f>
        <v/>
      </c>
      <c r="AB138" s="167" t="str">
        <f>IFERROR(_xlfn.XLOOKUP($A138,Input_Raw!$A:$A,Input_Raw!$BO:$BO),"")</f>
        <v/>
      </c>
      <c r="AC138" s="176">
        <f>IFERROR(_xlfn.XLOOKUP($D138,'Modelling New'!$D:$D,'Modelling New'!$J:$J),"")</f>
        <v>9.01</v>
      </c>
      <c r="AD138" s="166">
        <f>IFERROR(_xlfn.XLOOKUP($D138,'Modelling New'!$D:$D,'Modelling New'!$T:$T)*1000,"")</f>
        <v>895729.81265024655</v>
      </c>
      <c r="AE138" s="174"/>
      <c r="AF138" s="174">
        <f>IFERROR(_xlfn.XLOOKUP($D138,'Modelling New'!$D:$D,'Modelling New'!$W:$W),"")</f>
        <v>0.53165349753694591</v>
      </c>
      <c r="AG138" s="174">
        <f>IFERROR(_xlfn.XLOOKUP($D138,'Modelling New'!$D:$D,'Modelling New'!$AE:$AE),"")</f>
        <v>0.96029999999999993</v>
      </c>
      <c r="AH138" s="174">
        <f>IFERROR(_xlfn.XLOOKUP($D138,'Modelling New'!$D:$D,'Modelling New'!$AF:$AF),"")</f>
        <v>0.995</v>
      </c>
      <c r="AI138" s="177" t="str">
        <f>IFERROR(_xlfn.XLOOKUP($A138,Input_Raw!$A:$A,Input_Raw!$BQ:$BQ),"")</f>
        <v/>
      </c>
      <c r="AJ138" s="167"/>
      <c r="AK138" s="167"/>
      <c r="AL138" s="167"/>
      <c r="AM138" s="167"/>
      <c r="AN138" s="175" t="str">
        <f>IFERROR(_xlfn.XLOOKUP($A138,Input_Raw!$A:$A,Input_Raw!$BN:$BN),"")</f>
        <v/>
      </c>
      <c r="AO138" s="174" t="str">
        <f>IFERROR((_xlfn.XLOOKUP($A138,'WTG Reactive Power'!$A:$A,'WTG Reactive Power'!$AE:$AE))/Table13[[#This Row],[Gen_Exp (kWh)]],"")</f>
        <v/>
      </c>
      <c r="AP138" s="174">
        <f>IFERROR(_xlfn.XLOOKUP($D138,'Modelling New'!$D:$D,'Modelling New'!$AK:$AK),"")</f>
        <v>0.05</v>
      </c>
      <c r="AQ138" s="174">
        <f>IFERROR(_xlfn.XLOOKUP($D138,'Modelling New'!$D:$D,'Modelling New'!$AL:$AL),"")</f>
        <v>0.05</v>
      </c>
      <c r="AR138" s="276">
        <f>IFERROR(_xlfn.XLOOKUP($D138,'Modelling New'!$D:$D,'Modelling New'!$N:$N),"")</f>
        <v>70.2</v>
      </c>
      <c r="AS138" s="276"/>
    </row>
    <row r="139" spans="1:45">
      <c r="A139" s="165">
        <f t="shared" si="11"/>
        <v>45882</v>
      </c>
      <c r="B139" s="166">
        <f>YEAR(Table13[[#This Row],[Date]])+IF(MONTH(Table13[[#This Row],[Date]])&gt;=4,1,0)</f>
        <v>2026</v>
      </c>
      <c r="C139" s="167">
        <f>YEAR(Table13[[#This Row],[Date]])</f>
        <v>2025</v>
      </c>
      <c r="D139" s="168">
        <f>Table13[[#This Row],[Date]]-DAY(Table13[[#This Row],[Date]])+1</f>
        <v>45870</v>
      </c>
      <c r="E139" s="167">
        <f t="shared" si="8"/>
        <v>31</v>
      </c>
      <c r="F139" s="169"/>
      <c r="G139" s="176"/>
      <c r="H139" s="176"/>
      <c r="I139" s="176"/>
      <c r="J139" s="176"/>
      <c r="K139" s="171"/>
      <c r="L139" s="170"/>
      <c r="M139" s="170" t="str">
        <f>IFERROR(_xlfn.XLOOKUP($A139,Input_Raw!$A:$A,Input_Raw!BG:BG),"")</f>
        <v/>
      </c>
      <c r="N139" s="170" t="str">
        <f>IFERROR(_xlfn.XLOOKUP($A139,Input_Raw!$A:$A,Input_Raw!BH:BH),"")</f>
        <v/>
      </c>
      <c r="O139" s="173" t="str">
        <f t="shared" si="9"/>
        <v/>
      </c>
      <c r="P139" s="173" t="str">
        <f>IFERROR(1-SUMIF(WTG_BD!$F:$F,$A139,WTG_BD!$AA:$AA)/($AA139+SUMIF(WTG_BD!$F:$F,$A139,WTG_BD!$AA:$AA)),"")</f>
        <v/>
      </c>
      <c r="Q139" s="173" t="str">
        <f>IFERROR(1-SUMIF(IGA_BD!$F:$F,$A139,IGA_BD!$X:$X)/($AA139+SUMIF(IGA_BD!$F:$F,$A139,IGA_BD!$X:$X)),"")</f>
        <v/>
      </c>
      <c r="R139" s="173" t="str">
        <f>IFERROR(1-SUMIF(Grid_BD!$F:$F,$A139,Grid_BD!$Y:$Y)/($AA139+SUMIF(Grid_BD!$F:$F,$A139,Grid_BD!$Y:$Y)),"")</f>
        <v/>
      </c>
      <c r="S139" s="167"/>
      <c r="T139" s="172"/>
      <c r="U139" s="173"/>
      <c r="V139" s="167"/>
      <c r="W139" s="174" t="str">
        <f t="shared" si="10"/>
        <v/>
      </c>
      <c r="X139" s="167" t="str">
        <f>IFERROR(_xlfn.XLOOKUP($A139,Input_Raw!$A:$A,Input_Raw!$BF:$BF),"")</f>
        <v/>
      </c>
      <c r="Y139" s="167" t="str">
        <f>IFERROR(_xlfn.XLOOKUP($A139,Input_Raw!$A:$A,Input_Raw!BJ:BJ),"")</f>
        <v/>
      </c>
      <c r="Z139" s="167" t="str">
        <f>IFERROR(_xlfn.XLOOKUP($A139,Input_Raw!$A:$A,Input_Raw!BK:BK),"")</f>
        <v/>
      </c>
      <c r="AA139" s="167" t="str">
        <f>IFERROR(_xlfn.XLOOKUP($A139,Input_Raw!$A:$A,Input_Raw!BL:BL),"")</f>
        <v/>
      </c>
      <c r="AB139" s="167" t="str">
        <f>IFERROR(_xlfn.XLOOKUP($A139,Input_Raw!$A:$A,Input_Raw!$BO:$BO),"")</f>
        <v/>
      </c>
      <c r="AC139" s="176">
        <f>IFERROR(_xlfn.XLOOKUP($D139,'Modelling New'!$D:$D,'Modelling New'!$J:$J),"")</f>
        <v>9.01</v>
      </c>
      <c r="AD139" s="166">
        <f>IFERROR(_xlfn.XLOOKUP($D139,'Modelling New'!$D:$D,'Modelling New'!$T:$T)*1000,"")</f>
        <v>895729.81265024655</v>
      </c>
      <c r="AE139" s="174"/>
      <c r="AF139" s="174">
        <f>IFERROR(_xlfn.XLOOKUP($D139,'Modelling New'!$D:$D,'Modelling New'!$W:$W),"")</f>
        <v>0.53165349753694591</v>
      </c>
      <c r="AG139" s="174">
        <f>IFERROR(_xlfn.XLOOKUP($D139,'Modelling New'!$D:$D,'Modelling New'!$AE:$AE),"")</f>
        <v>0.96029999999999993</v>
      </c>
      <c r="AH139" s="174">
        <f>IFERROR(_xlfn.XLOOKUP($D139,'Modelling New'!$D:$D,'Modelling New'!$AF:$AF),"")</f>
        <v>0.995</v>
      </c>
      <c r="AI139" s="177" t="str">
        <f>IFERROR(_xlfn.XLOOKUP($A139,Input_Raw!$A:$A,Input_Raw!$BQ:$BQ),"")</f>
        <v/>
      </c>
      <c r="AJ139" s="167"/>
      <c r="AK139" s="167"/>
      <c r="AL139" s="167"/>
      <c r="AM139" s="167"/>
      <c r="AN139" s="175" t="str">
        <f>IFERROR(_xlfn.XLOOKUP($A139,Input_Raw!$A:$A,Input_Raw!$BN:$BN),"")</f>
        <v/>
      </c>
      <c r="AO139" s="174" t="str">
        <f>IFERROR((_xlfn.XLOOKUP($A139,'WTG Reactive Power'!$A:$A,'WTG Reactive Power'!$AE:$AE))/Table13[[#This Row],[Gen_Exp (kWh)]],"")</f>
        <v/>
      </c>
      <c r="AP139" s="174">
        <f>IFERROR(_xlfn.XLOOKUP($D139,'Modelling New'!$D:$D,'Modelling New'!$AK:$AK),"")</f>
        <v>0.05</v>
      </c>
      <c r="AQ139" s="174">
        <f>IFERROR(_xlfn.XLOOKUP($D139,'Modelling New'!$D:$D,'Modelling New'!$AL:$AL),"")</f>
        <v>0.05</v>
      </c>
      <c r="AR139" s="276">
        <f>IFERROR(_xlfn.XLOOKUP($D139,'Modelling New'!$D:$D,'Modelling New'!$N:$N),"")</f>
        <v>70.2</v>
      </c>
      <c r="AS139" s="276"/>
    </row>
    <row r="140" spans="1:45">
      <c r="A140" s="165">
        <f t="shared" si="11"/>
        <v>45883</v>
      </c>
      <c r="B140" s="166">
        <f>YEAR(Table13[[#This Row],[Date]])+IF(MONTH(Table13[[#This Row],[Date]])&gt;=4,1,0)</f>
        <v>2026</v>
      </c>
      <c r="C140" s="167">
        <f>YEAR(Table13[[#This Row],[Date]])</f>
        <v>2025</v>
      </c>
      <c r="D140" s="168">
        <f>Table13[[#This Row],[Date]]-DAY(Table13[[#This Row],[Date]])+1</f>
        <v>45870</v>
      </c>
      <c r="E140" s="167">
        <f t="shared" si="8"/>
        <v>31</v>
      </c>
      <c r="F140" s="169"/>
      <c r="G140" s="170"/>
      <c r="H140" s="170"/>
      <c r="I140" s="170"/>
      <c r="J140" s="170"/>
      <c r="K140" s="171"/>
      <c r="L140" s="170"/>
      <c r="M140" s="170" t="str">
        <f>IFERROR(_xlfn.XLOOKUP($A140,Input_Raw!$A:$A,Input_Raw!BG:BG),"")</f>
        <v/>
      </c>
      <c r="N140" s="170" t="str">
        <f>IFERROR(_xlfn.XLOOKUP($A140,Input_Raw!$A:$A,Input_Raw!BH:BH),"")</f>
        <v/>
      </c>
      <c r="O140" s="173" t="str">
        <f t="shared" si="9"/>
        <v/>
      </c>
      <c r="P140" s="173" t="str">
        <f>IFERROR(1-SUMIF(WTG_BD!$F:$F,$A140,WTG_BD!$AA:$AA)/($AA140+SUMIF(WTG_BD!$F:$F,$A140,WTG_BD!$AA:$AA)),"")</f>
        <v/>
      </c>
      <c r="Q140" s="173" t="str">
        <f>IFERROR(1-SUMIF(IGA_BD!$F:$F,$A140,IGA_BD!$X:$X)/($AA140+SUMIF(IGA_BD!$F:$F,$A140,IGA_BD!$X:$X)),"")</f>
        <v/>
      </c>
      <c r="R140" s="173" t="str">
        <f>IFERROR(1-SUMIF(Grid_BD!$F:$F,$A140,Grid_BD!$Y:$Y)/($AA140+SUMIF(Grid_BD!$F:$F,$A140,Grid_BD!$Y:$Y)),"")</f>
        <v/>
      </c>
      <c r="S140" s="167"/>
      <c r="T140" s="172"/>
      <c r="U140" s="173"/>
      <c r="V140" s="167"/>
      <c r="W140" s="174" t="str">
        <f t="shared" si="10"/>
        <v/>
      </c>
      <c r="X140" s="167" t="str">
        <f>IFERROR(_xlfn.XLOOKUP($A140,Input_Raw!$A:$A,Input_Raw!$BF:$BF),"")</f>
        <v/>
      </c>
      <c r="Y140" s="167" t="str">
        <f>IFERROR(_xlfn.XLOOKUP($A140,Input_Raw!$A:$A,Input_Raw!BJ:BJ),"")</f>
        <v/>
      </c>
      <c r="Z140" s="167" t="str">
        <f>IFERROR(_xlfn.XLOOKUP($A140,Input_Raw!$A:$A,Input_Raw!BK:BK),"")</f>
        <v/>
      </c>
      <c r="AA140" s="167" t="str">
        <f>IFERROR(_xlfn.XLOOKUP($A140,Input_Raw!$A:$A,Input_Raw!BL:BL),"")</f>
        <v/>
      </c>
      <c r="AB140" s="167" t="str">
        <f>IFERROR(_xlfn.XLOOKUP($A140,Input_Raw!$A:$A,Input_Raw!$BO:$BO),"")</f>
        <v/>
      </c>
      <c r="AC140" s="176">
        <f>IFERROR(_xlfn.XLOOKUP($D140,'Modelling New'!$D:$D,'Modelling New'!$J:$J),"")</f>
        <v>9.01</v>
      </c>
      <c r="AD140" s="166">
        <f>IFERROR(_xlfn.XLOOKUP($D140,'Modelling New'!$D:$D,'Modelling New'!$T:$T)*1000,"")</f>
        <v>895729.81265024655</v>
      </c>
      <c r="AE140" s="174"/>
      <c r="AF140" s="174">
        <f>IFERROR(_xlfn.XLOOKUP($D140,'Modelling New'!$D:$D,'Modelling New'!$W:$W),"")</f>
        <v>0.53165349753694591</v>
      </c>
      <c r="AG140" s="174">
        <f>IFERROR(_xlfn.XLOOKUP($D140,'Modelling New'!$D:$D,'Modelling New'!$AE:$AE),"")</f>
        <v>0.96029999999999993</v>
      </c>
      <c r="AH140" s="174">
        <f>IFERROR(_xlfn.XLOOKUP($D140,'Modelling New'!$D:$D,'Modelling New'!$AF:$AF),"")</f>
        <v>0.995</v>
      </c>
      <c r="AI140" s="177" t="str">
        <f>IFERROR(_xlfn.XLOOKUP($A140,Input_Raw!$A:$A,Input_Raw!$BQ:$BQ),"")</f>
        <v/>
      </c>
      <c r="AJ140" s="167"/>
      <c r="AK140" s="167"/>
      <c r="AL140" s="167"/>
      <c r="AM140" s="167"/>
      <c r="AN140" s="175" t="str">
        <f>IFERROR(_xlfn.XLOOKUP($A140,Input_Raw!$A:$A,Input_Raw!$BN:$BN),"")</f>
        <v/>
      </c>
      <c r="AO140" s="174" t="str">
        <f>IFERROR((_xlfn.XLOOKUP($A140,'WTG Reactive Power'!$A:$A,'WTG Reactive Power'!$AE:$AE))/Table13[[#This Row],[Gen_Exp (kWh)]],"")</f>
        <v/>
      </c>
      <c r="AP140" s="174">
        <f>IFERROR(_xlfn.XLOOKUP($D140,'Modelling New'!$D:$D,'Modelling New'!$AK:$AK),"")</f>
        <v>0.05</v>
      </c>
      <c r="AQ140" s="174">
        <f>IFERROR(_xlfn.XLOOKUP($D140,'Modelling New'!$D:$D,'Modelling New'!$AL:$AL),"")</f>
        <v>0.05</v>
      </c>
      <c r="AR140" s="276">
        <f>IFERROR(_xlfn.XLOOKUP($D140,'Modelling New'!$D:$D,'Modelling New'!$N:$N),"")</f>
        <v>70.2</v>
      </c>
      <c r="AS140" s="276"/>
    </row>
    <row r="141" spans="1:45">
      <c r="A141" s="165">
        <f t="shared" si="11"/>
        <v>45884</v>
      </c>
      <c r="B141" s="166">
        <f>YEAR(Table13[[#This Row],[Date]])+IF(MONTH(Table13[[#This Row],[Date]])&gt;=4,1,0)</f>
        <v>2026</v>
      </c>
      <c r="C141" s="167">
        <f>YEAR(Table13[[#This Row],[Date]])</f>
        <v>2025</v>
      </c>
      <c r="D141" s="168">
        <f>Table13[[#This Row],[Date]]-DAY(Table13[[#This Row],[Date]])+1</f>
        <v>45870</v>
      </c>
      <c r="E141" s="167">
        <f t="shared" si="8"/>
        <v>31</v>
      </c>
      <c r="F141" s="169"/>
      <c r="G141" s="176"/>
      <c r="H141" s="176"/>
      <c r="I141" s="176"/>
      <c r="J141" s="176"/>
      <c r="K141" s="171"/>
      <c r="L141" s="170"/>
      <c r="M141" s="170" t="str">
        <f>IFERROR(_xlfn.XLOOKUP($A141,Input_Raw!$A:$A,Input_Raw!BG:BG),"")</f>
        <v/>
      </c>
      <c r="N141" s="170" t="str">
        <f>IFERROR(_xlfn.XLOOKUP($A141,Input_Raw!$A:$A,Input_Raw!BH:BH),"")</f>
        <v/>
      </c>
      <c r="O141" s="173" t="str">
        <f t="shared" si="9"/>
        <v/>
      </c>
      <c r="P141" s="173" t="str">
        <f>IFERROR(1-SUMIF(WTG_BD!$F:$F,$A141,WTG_BD!$AA:$AA)/($AA141+SUMIF(WTG_BD!$F:$F,$A141,WTG_BD!$AA:$AA)),"")</f>
        <v/>
      </c>
      <c r="Q141" s="173" t="str">
        <f>IFERROR(1-SUMIF(IGA_BD!$F:$F,$A141,IGA_BD!$X:$X)/($AA141+SUMIF(IGA_BD!$F:$F,$A141,IGA_BD!$X:$X)),"")</f>
        <v/>
      </c>
      <c r="R141" s="173" t="str">
        <f>IFERROR(1-SUMIF(Grid_BD!$F:$F,$A141,Grid_BD!$Y:$Y)/($AA141+SUMIF(Grid_BD!$F:$F,$A141,Grid_BD!$Y:$Y)),"")</f>
        <v/>
      </c>
      <c r="S141" s="167"/>
      <c r="T141" s="172"/>
      <c r="U141" s="173"/>
      <c r="V141" s="167"/>
      <c r="W141" s="174" t="str">
        <f t="shared" si="10"/>
        <v/>
      </c>
      <c r="X141" s="167" t="str">
        <f>IFERROR(_xlfn.XLOOKUP($A141,Input_Raw!$A:$A,Input_Raw!$BF:$BF),"")</f>
        <v/>
      </c>
      <c r="Y141" s="167" t="str">
        <f>IFERROR(_xlfn.XLOOKUP($A141,Input_Raw!$A:$A,Input_Raw!BJ:BJ),"")</f>
        <v/>
      </c>
      <c r="Z141" s="167" t="str">
        <f>IFERROR(_xlfn.XLOOKUP($A141,Input_Raw!$A:$A,Input_Raw!BK:BK),"")</f>
        <v/>
      </c>
      <c r="AA141" s="167" t="str">
        <f>IFERROR(_xlfn.XLOOKUP($A141,Input_Raw!$A:$A,Input_Raw!BL:BL),"")</f>
        <v/>
      </c>
      <c r="AB141" s="167" t="str">
        <f>IFERROR(_xlfn.XLOOKUP($A141,Input_Raw!$A:$A,Input_Raw!$BO:$BO),"")</f>
        <v/>
      </c>
      <c r="AC141" s="176">
        <f>IFERROR(_xlfn.XLOOKUP($D141,'Modelling New'!$D:$D,'Modelling New'!$J:$J),"")</f>
        <v>9.01</v>
      </c>
      <c r="AD141" s="166">
        <f>IFERROR(_xlfn.XLOOKUP($D141,'Modelling New'!$D:$D,'Modelling New'!$T:$T)*1000,"")</f>
        <v>895729.81265024655</v>
      </c>
      <c r="AE141" s="174"/>
      <c r="AF141" s="174">
        <f>IFERROR(_xlfn.XLOOKUP($D141,'Modelling New'!$D:$D,'Modelling New'!$W:$W),"")</f>
        <v>0.53165349753694591</v>
      </c>
      <c r="AG141" s="174">
        <f>IFERROR(_xlfn.XLOOKUP($D141,'Modelling New'!$D:$D,'Modelling New'!$AE:$AE),"")</f>
        <v>0.96029999999999993</v>
      </c>
      <c r="AH141" s="174">
        <f>IFERROR(_xlfn.XLOOKUP($D141,'Modelling New'!$D:$D,'Modelling New'!$AF:$AF),"")</f>
        <v>0.995</v>
      </c>
      <c r="AI141" s="177" t="str">
        <f>IFERROR(_xlfn.XLOOKUP($A141,Input_Raw!$A:$A,Input_Raw!$BQ:$BQ),"")</f>
        <v/>
      </c>
      <c r="AJ141" s="167"/>
      <c r="AK141" s="167"/>
      <c r="AL141" s="167"/>
      <c r="AM141" s="167"/>
      <c r="AN141" s="175" t="str">
        <f>IFERROR(_xlfn.XLOOKUP($A141,Input_Raw!$A:$A,Input_Raw!$BN:$BN),"")</f>
        <v/>
      </c>
      <c r="AO141" s="174" t="str">
        <f>IFERROR((_xlfn.XLOOKUP($A141,'WTG Reactive Power'!$A:$A,'WTG Reactive Power'!$AE:$AE))/Table13[[#This Row],[Gen_Exp (kWh)]],"")</f>
        <v/>
      </c>
      <c r="AP141" s="174">
        <f>IFERROR(_xlfn.XLOOKUP($D141,'Modelling New'!$D:$D,'Modelling New'!$AK:$AK),"")</f>
        <v>0.05</v>
      </c>
      <c r="AQ141" s="174">
        <f>IFERROR(_xlfn.XLOOKUP($D141,'Modelling New'!$D:$D,'Modelling New'!$AL:$AL),"")</f>
        <v>0.05</v>
      </c>
      <c r="AR141" s="276">
        <f>IFERROR(_xlfn.XLOOKUP($D141,'Modelling New'!$D:$D,'Modelling New'!$N:$N),"")</f>
        <v>70.2</v>
      </c>
      <c r="AS141" s="276"/>
    </row>
    <row r="142" spans="1:45">
      <c r="A142" s="165">
        <f t="shared" si="11"/>
        <v>45885</v>
      </c>
      <c r="B142" s="166">
        <f>YEAR(Table13[[#This Row],[Date]])+IF(MONTH(Table13[[#This Row],[Date]])&gt;=4,1,0)</f>
        <v>2026</v>
      </c>
      <c r="C142" s="167">
        <f>YEAR(Table13[[#This Row],[Date]])</f>
        <v>2025</v>
      </c>
      <c r="D142" s="168">
        <f>Table13[[#This Row],[Date]]-DAY(Table13[[#This Row],[Date]])+1</f>
        <v>45870</v>
      </c>
      <c r="E142" s="167">
        <f t="shared" si="8"/>
        <v>31</v>
      </c>
      <c r="F142" s="169"/>
      <c r="G142" s="170"/>
      <c r="H142" s="170"/>
      <c r="I142" s="170"/>
      <c r="J142" s="170"/>
      <c r="K142" s="171"/>
      <c r="L142" s="170"/>
      <c r="M142" s="170" t="str">
        <f>IFERROR(_xlfn.XLOOKUP($A142,Input_Raw!$A:$A,Input_Raw!BG:BG),"")</f>
        <v/>
      </c>
      <c r="N142" s="170" t="str">
        <f>IFERROR(_xlfn.XLOOKUP($A142,Input_Raw!$A:$A,Input_Raw!BH:BH),"")</f>
        <v/>
      </c>
      <c r="O142" s="173" t="str">
        <f t="shared" si="9"/>
        <v/>
      </c>
      <c r="P142" s="173" t="str">
        <f>IFERROR(1-SUMIF(WTG_BD!$F:$F,$A142,WTG_BD!$AA:$AA)/($AA142+SUMIF(WTG_BD!$F:$F,$A142,WTG_BD!$AA:$AA)),"")</f>
        <v/>
      </c>
      <c r="Q142" s="173" t="str">
        <f>IFERROR(1-SUMIF(IGA_BD!$F:$F,$A142,IGA_BD!$X:$X)/($AA142+SUMIF(IGA_BD!$F:$F,$A142,IGA_BD!$X:$X)),"")</f>
        <v/>
      </c>
      <c r="R142" s="173" t="str">
        <f>IFERROR(1-SUMIF(Grid_BD!$F:$F,$A142,Grid_BD!$Y:$Y)/($AA142+SUMIF(Grid_BD!$F:$F,$A142,Grid_BD!$Y:$Y)),"")</f>
        <v/>
      </c>
      <c r="S142" s="167"/>
      <c r="T142" s="172"/>
      <c r="U142" s="173"/>
      <c r="V142" s="167"/>
      <c r="W142" s="174" t="str">
        <f t="shared" si="10"/>
        <v/>
      </c>
      <c r="X142" s="167" t="str">
        <f>IFERROR(_xlfn.XLOOKUP($A142,Input_Raw!$A:$A,Input_Raw!$BF:$BF),"")</f>
        <v/>
      </c>
      <c r="Y142" s="167" t="str">
        <f>IFERROR(_xlfn.XLOOKUP($A142,Input_Raw!$A:$A,Input_Raw!BJ:BJ),"")</f>
        <v/>
      </c>
      <c r="Z142" s="167" t="str">
        <f>IFERROR(_xlfn.XLOOKUP($A142,Input_Raw!$A:$A,Input_Raw!BK:BK),"")</f>
        <v/>
      </c>
      <c r="AA142" s="167" t="str">
        <f>IFERROR(_xlfn.XLOOKUP($A142,Input_Raw!$A:$A,Input_Raw!BL:BL),"")</f>
        <v/>
      </c>
      <c r="AB142" s="167" t="str">
        <f>IFERROR(_xlfn.XLOOKUP($A142,Input_Raw!$A:$A,Input_Raw!$BO:$BO),"")</f>
        <v/>
      </c>
      <c r="AC142" s="176">
        <f>IFERROR(_xlfn.XLOOKUP($D142,'Modelling New'!$D:$D,'Modelling New'!$J:$J),"")</f>
        <v>9.01</v>
      </c>
      <c r="AD142" s="166">
        <f>IFERROR(_xlfn.XLOOKUP($D142,'Modelling New'!$D:$D,'Modelling New'!$T:$T)*1000,"")</f>
        <v>895729.81265024655</v>
      </c>
      <c r="AE142" s="174"/>
      <c r="AF142" s="174">
        <f>IFERROR(_xlfn.XLOOKUP($D142,'Modelling New'!$D:$D,'Modelling New'!$W:$W),"")</f>
        <v>0.53165349753694591</v>
      </c>
      <c r="AG142" s="174">
        <f>IFERROR(_xlfn.XLOOKUP($D142,'Modelling New'!$D:$D,'Modelling New'!$AE:$AE),"")</f>
        <v>0.96029999999999993</v>
      </c>
      <c r="AH142" s="174">
        <f>IFERROR(_xlfn.XLOOKUP($D142,'Modelling New'!$D:$D,'Modelling New'!$AF:$AF),"")</f>
        <v>0.995</v>
      </c>
      <c r="AI142" s="177" t="str">
        <f>IFERROR(_xlfn.XLOOKUP($A142,Input_Raw!$A:$A,Input_Raw!$BQ:$BQ),"")</f>
        <v/>
      </c>
      <c r="AJ142" s="167"/>
      <c r="AK142" s="167"/>
      <c r="AL142" s="167"/>
      <c r="AM142" s="167"/>
      <c r="AN142" s="175" t="str">
        <f>IFERROR(_xlfn.XLOOKUP($A142,Input_Raw!$A:$A,Input_Raw!$BN:$BN),"")</f>
        <v/>
      </c>
      <c r="AO142" s="174" t="str">
        <f>IFERROR((_xlfn.XLOOKUP($A142,'WTG Reactive Power'!$A:$A,'WTG Reactive Power'!$AE:$AE))/Table13[[#This Row],[Gen_Exp (kWh)]],"")</f>
        <v/>
      </c>
      <c r="AP142" s="174">
        <f>IFERROR(_xlfn.XLOOKUP($D142,'Modelling New'!$D:$D,'Modelling New'!$AK:$AK),"")</f>
        <v>0.05</v>
      </c>
      <c r="AQ142" s="174">
        <f>IFERROR(_xlfn.XLOOKUP($D142,'Modelling New'!$D:$D,'Modelling New'!$AL:$AL),"")</f>
        <v>0.05</v>
      </c>
      <c r="AR142" s="276">
        <f>IFERROR(_xlfn.XLOOKUP($D142,'Modelling New'!$D:$D,'Modelling New'!$N:$N),"")</f>
        <v>70.2</v>
      </c>
      <c r="AS142" s="276"/>
    </row>
    <row r="143" spans="1:45">
      <c r="A143" s="165">
        <f t="shared" si="11"/>
        <v>45886</v>
      </c>
      <c r="B143" s="166">
        <f>YEAR(Table13[[#This Row],[Date]])+IF(MONTH(Table13[[#This Row],[Date]])&gt;=4,1,0)</f>
        <v>2026</v>
      </c>
      <c r="C143" s="167">
        <f>YEAR(Table13[[#This Row],[Date]])</f>
        <v>2025</v>
      </c>
      <c r="D143" s="168">
        <f>Table13[[#This Row],[Date]]-DAY(Table13[[#This Row],[Date]])+1</f>
        <v>45870</v>
      </c>
      <c r="E143" s="167">
        <f t="shared" si="8"/>
        <v>31</v>
      </c>
      <c r="F143" s="169"/>
      <c r="G143" s="176"/>
      <c r="H143" s="176"/>
      <c r="I143" s="176"/>
      <c r="J143" s="176"/>
      <c r="K143" s="171"/>
      <c r="L143" s="170"/>
      <c r="M143" s="170" t="str">
        <f>IFERROR(_xlfn.XLOOKUP($A143,Input_Raw!$A:$A,Input_Raw!BG:BG),"")</f>
        <v/>
      </c>
      <c r="N143" s="170" t="str">
        <f>IFERROR(_xlfn.XLOOKUP($A143,Input_Raw!$A:$A,Input_Raw!BH:BH),"")</f>
        <v/>
      </c>
      <c r="O143" s="173" t="str">
        <f t="shared" si="9"/>
        <v/>
      </c>
      <c r="P143" s="173" t="str">
        <f>IFERROR(1-SUMIF(WTG_BD!$F:$F,$A143,WTG_BD!$AA:$AA)/($AA143+SUMIF(WTG_BD!$F:$F,$A143,WTG_BD!$AA:$AA)),"")</f>
        <v/>
      </c>
      <c r="Q143" s="173" t="str">
        <f>IFERROR(1-SUMIF(IGA_BD!$F:$F,$A143,IGA_BD!$X:$X)/($AA143+SUMIF(IGA_BD!$F:$F,$A143,IGA_BD!$X:$X)),"")</f>
        <v/>
      </c>
      <c r="R143" s="173" t="str">
        <f>IFERROR(1-SUMIF(Grid_BD!$F:$F,$A143,Grid_BD!$Y:$Y)/($AA143+SUMIF(Grid_BD!$F:$F,$A143,Grid_BD!$Y:$Y)),"")</f>
        <v/>
      </c>
      <c r="S143" s="167"/>
      <c r="T143" s="172"/>
      <c r="U143" s="173"/>
      <c r="V143" s="167"/>
      <c r="W143" s="174" t="str">
        <f t="shared" si="10"/>
        <v/>
      </c>
      <c r="X143" s="167" t="str">
        <f>IFERROR(_xlfn.XLOOKUP($A143,Input_Raw!$A:$A,Input_Raw!$BF:$BF),"")</f>
        <v/>
      </c>
      <c r="Y143" s="167" t="str">
        <f>IFERROR(_xlfn.XLOOKUP($A143,Input_Raw!$A:$A,Input_Raw!BJ:BJ),"")</f>
        <v/>
      </c>
      <c r="Z143" s="167" t="str">
        <f>IFERROR(_xlfn.XLOOKUP($A143,Input_Raw!$A:$A,Input_Raw!BK:BK),"")</f>
        <v/>
      </c>
      <c r="AA143" s="167" t="str">
        <f>IFERROR(_xlfn.XLOOKUP($A143,Input_Raw!$A:$A,Input_Raw!BL:BL),"")</f>
        <v/>
      </c>
      <c r="AB143" s="167" t="str">
        <f>IFERROR(_xlfn.XLOOKUP($A143,Input_Raw!$A:$A,Input_Raw!$BO:$BO),"")</f>
        <v/>
      </c>
      <c r="AC143" s="176">
        <f>IFERROR(_xlfn.XLOOKUP($D143,'Modelling New'!$D:$D,'Modelling New'!$J:$J),"")</f>
        <v>9.01</v>
      </c>
      <c r="AD143" s="166">
        <f>IFERROR(_xlfn.XLOOKUP($D143,'Modelling New'!$D:$D,'Modelling New'!$T:$T)*1000,"")</f>
        <v>895729.81265024655</v>
      </c>
      <c r="AE143" s="174"/>
      <c r="AF143" s="174">
        <f>IFERROR(_xlfn.XLOOKUP($D143,'Modelling New'!$D:$D,'Modelling New'!$W:$W),"")</f>
        <v>0.53165349753694591</v>
      </c>
      <c r="AG143" s="174">
        <f>IFERROR(_xlfn.XLOOKUP($D143,'Modelling New'!$D:$D,'Modelling New'!$AE:$AE),"")</f>
        <v>0.96029999999999993</v>
      </c>
      <c r="AH143" s="174">
        <f>IFERROR(_xlfn.XLOOKUP($D143,'Modelling New'!$D:$D,'Modelling New'!$AF:$AF),"")</f>
        <v>0.995</v>
      </c>
      <c r="AI143" s="177" t="str">
        <f>IFERROR(_xlfn.XLOOKUP($A143,Input_Raw!$A:$A,Input_Raw!$BQ:$BQ),"")</f>
        <v/>
      </c>
      <c r="AJ143" s="167"/>
      <c r="AK143" s="167"/>
      <c r="AL143" s="167"/>
      <c r="AM143" s="167"/>
      <c r="AN143" s="175" t="str">
        <f>IFERROR(_xlfn.XLOOKUP($A143,Input_Raw!$A:$A,Input_Raw!$BN:$BN),"")</f>
        <v/>
      </c>
      <c r="AO143" s="174" t="str">
        <f>IFERROR((_xlfn.XLOOKUP($A143,'WTG Reactive Power'!$A:$A,'WTG Reactive Power'!$AE:$AE))/Table13[[#This Row],[Gen_Exp (kWh)]],"")</f>
        <v/>
      </c>
      <c r="AP143" s="174">
        <f>IFERROR(_xlfn.XLOOKUP($D143,'Modelling New'!$D:$D,'Modelling New'!$AK:$AK),"")</f>
        <v>0.05</v>
      </c>
      <c r="AQ143" s="174">
        <f>IFERROR(_xlfn.XLOOKUP($D143,'Modelling New'!$D:$D,'Modelling New'!$AL:$AL),"")</f>
        <v>0.05</v>
      </c>
      <c r="AR143" s="276">
        <f>IFERROR(_xlfn.XLOOKUP($D143,'Modelling New'!$D:$D,'Modelling New'!$N:$N),"")</f>
        <v>70.2</v>
      </c>
      <c r="AS143" s="276"/>
    </row>
    <row r="144" spans="1:45">
      <c r="A144" s="165">
        <f t="shared" si="11"/>
        <v>45887</v>
      </c>
      <c r="B144" s="166">
        <f>YEAR(Table13[[#This Row],[Date]])+IF(MONTH(Table13[[#This Row],[Date]])&gt;=4,1,0)</f>
        <v>2026</v>
      </c>
      <c r="C144" s="167">
        <f>YEAR(Table13[[#This Row],[Date]])</f>
        <v>2025</v>
      </c>
      <c r="D144" s="168">
        <f>Table13[[#This Row],[Date]]-DAY(Table13[[#This Row],[Date]])+1</f>
        <v>45870</v>
      </c>
      <c r="E144" s="167">
        <f t="shared" si="8"/>
        <v>31</v>
      </c>
      <c r="F144" s="169"/>
      <c r="G144" s="170"/>
      <c r="H144" s="170"/>
      <c r="I144" s="170"/>
      <c r="J144" s="170"/>
      <c r="K144" s="171"/>
      <c r="L144" s="170"/>
      <c r="M144" s="170" t="str">
        <f>IFERROR(_xlfn.XLOOKUP($A144,Input_Raw!$A:$A,Input_Raw!BG:BG),"")</f>
        <v/>
      </c>
      <c r="N144" s="170" t="str">
        <f>IFERROR(_xlfn.XLOOKUP($A144,Input_Raw!$A:$A,Input_Raw!BH:BH),"")</f>
        <v/>
      </c>
      <c r="O144" s="173" t="str">
        <f t="shared" si="9"/>
        <v/>
      </c>
      <c r="P144" s="173" t="str">
        <f>IFERROR(1-SUMIF(WTG_BD!$F:$F,$A144,WTG_BD!$AA:$AA)/($AA144+SUMIF(WTG_BD!$F:$F,$A144,WTG_BD!$AA:$AA)),"")</f>
        <v/>
      </c>
      <c r="Q144" s="173" t="str">
        <f>IFERROR(1-SUMIF(IGA_BD!$F:$F,$A144,IGA_BD!$X:$X)/($AA144+SUMIF(IGA_BD!$F:$F,$A144,IGA_BD!$X:$X)),"")</f>
        <v/>
      </c>
      <c r="R144" s="173" t="str">
        <f>IFERROR(1-SUMIF(Grid_BD!$F:$F,$A144,Grid_BD!$Y:$Y)/($AA144+SUMIF(Grid_BD!$F:$F,$A144,Grid_BD!$Y:$Y)),"")</f>
        <v/>
      </c>
      <c r="S144" s="167"/>
      <c r="T144" s="172"/>
      <c r="U144" s="173"/>
      <c r="V144" s="167"/>
      <c r="W144" s="174" t="str">
        <f t="shared" si="10"/>
        <v/>
      </c>
      <c r="X144" s="167" t="str">
        <f>IFERROR(_xlfn.XLOOKUP($A144,Input_Raw!$A:$A,Input_Raw!$BF:$BF),"")</f>
        <v/>
      </c>
      <c r="Y144" s="167" t="str">
        <f>IFERROR(_xlfn.XLOOKUP($A144,Input_Raw!$A:$A,Input_Raw!BJ:BJ),"")</f>
        <v/>
      </c>
      <c r="Z144" s="167" t="str">
        <f>IFERROR(_xlfn.XLOOKUP($A144,Input_Raw!$A:$A,Input_Raw!BK:BK),"")</f>
        <v/>
      </c>
      <c r="AA144" s="167" t="str">
        <f>IFERROR(_xlfn.XLOOKUP($A144,Input_Raw!$A:$A,Input_Raw!BL:BL),"")</f>
        <v/>
      </c>
      <c r="AB144" s="167" t="str">
        <f>IFERROR(_xlfn.XLOOKUP($A144,Input_Raw!$A:$A,Input_Raw!$BO:$BO),"")</f>
        <v/>
      </c>
      <c r="AC144" s="176">
        <f>IFERROR(_xlfn.XLOOKUP($D144,'Modelling New'!$D:$D,'Modelling New'!$J:$J),"")</f>
        <v>9.01</v>
      </c>
      <c r="AD144" s="166">
        <f>IFERROR(_xlfn.XLOOKUP($D144,'Modelling New'!$D:$D,'Modelling New'!$T:$T)*1000,"")</f>
        <v>895729.81265024655</v>
      </c>
      <c r="AE144" s="174"/>
      <c r="AF144" s="174">
        <f>IFERROR(_xlfn.XLOOKUP($D144,'Modelling New'!$D:$D,'Modelling New'!$W:$W),"")</f>
        <v>0.53165349753694591</v>
      </c>
      <c r="AG144" s="174">
        <f>IFERROR(_xlfn.XLOOKUP($D144,'Modelling New'!$D:$D,'Modelling New'!$AE:$AE),"")</f>
        <v>0.96029999999999993</v>
      </c>
      <c r="AH144" s="174">
        <f>IFERROR(_xlfn.XLOOKUP($D144,'Modelling New'!$D:$D,'Modelling New'!$AF:$AF),"")</f>
        <v>0.995</v>
      </c>
      <c r="AI144" s="177" t="str">
        <f>IFERROR(_xlfn.XLOOKUP($A144,Input_Raw!$A:$A,Input_Raw!$BQ:$BQ),"")</f>
        <v/>
      </c>
      <c r="AJ144" s="167"/>
      <c r="AK144" s="167"/>
      <c r="AL144" s="167"/>
      <c r="AM144" s="167"/>
      <c r="AN144" s="175" t="str">
        <f>IFERROR(_xlfn.XLOOKUP($A144,Input_Raw!$A:$A,Input_Raw!$BN:$BN),"")</f>
        <v/>
      </c>
      <c r="AO144" s="174" t="str">
        <f>IFERROR((_xlfn.XLOOKUP($A144,'WTG Reactive Power'!$A:$A,'WTG Reactive Power'!$AE:$AE))/Table13[[#This Row],[Gen_Exp (kWh)]],"")</f>
        <v/>
      </c>
      <c r="AP144" s="174">
        <f>IFERROR(_xlfn.XLOOKUP($D144,'Modelling New'!$D:$D,'Modelling New'!$AK:$AK),"")</f>
        <v>0.05</v>
      </c>
      <c r="AQ144" s="174">
        <f>IFERROR(_xlfn.XLOOKUP($D144,'Modelling New'!$D:$D,'Modelling New'!$AL:$AL),"")</f>
        <v>0.05</v>
      </c>
      <c r="AR144" s="276">
        <f>IFERROR(_xlfn.XLOOKUP($D144,'Modelling New'!$D:$D,'Modelling New'!$N:$N),"")</f>
        <v>70.2</v>
      </c>
      <c r="AS144" s="276"/>
    </row>
    <row r="145" spans="1:45">
      <c r="A145" s="165">
        <f t="shared" si="11"/>
        <v>45888</v>
      </c>
      <c r="B145" s="166">
        <f>YEAR(Table13[[#This Row],[Date]])+IF(MONTH(Table13[[#This Row],[Date]])&gt;=4,1,0)</f>
        <v>2026</v>
      </c>
      <c r="C145" s="167">
        <f>YEAR(Table13[[#This Row],[Date]])</f>
        <v>2025</v>
      </c>
      <c r="D145" s="168">
        <f>Table13[[#This Row],[Date]]-DAY(Table13[[#This Row],[Date]])+1</f>
        <v>45870</v>
      </c>
      <c r="E145" s="167">
        <f t="shared" si="8"/>
        <v>31</v>
      </c>
      <c r="F145" s="169"/>
      <c r="G145" s="176"/>
      <c r="H145" s="176"/>
      <c r="I145" s="176"/>
      <c r="J145" s="176"/>
      <c r="K145" s="171"/>
      <c r="L145" s="170"/>
      <c r="M145" s="170" t="str">
        <f>IFERROR(_xlfn.XLOOKUP($A145,Input_Raw!$A:$A,Input_Raw!BG:BG),"")</f>
        <v/>
      </c>
      <c r="N145" s="170" t="str">
        <f>IFERROR(_xlfn.XLOOKUP($A145,Input_Raw!$A:$A,Input_Raw!BH:BH),"")</f>
        <v/>
      </c>
      <c r="O145" s="173" t="str">
        <f t="shared" si="9"/>
        <v/>
      </c>
      <c r="P145" s="173" t="str">
        <f>IFERROR(1-SUMIF(WTG_BD!$F:$F,$A145,WTG_BD!$AA:$AA)/($AA145+SUMIF(WTG_BD!$F:$F,$A145,WTG_BD!$AA:$AA)),"")</f>
        <v/>
      </c>
      <c r="Q145" s="173" t="str">
        <f>IFERROR(1-SUMIF(IGA_BD!$F:$F,$A145,IGA_BD!$X:$X)/($AA145+SUMIF(IGA_BD!$F:$F,$A145,IGA_BD!$X:$X)),"")</f>
        <v/>
      </c>
      <c r="R145" s="173" t="str">
        <f>IFERROR(1-SUMIF(Grid_BD!$F:$F,$A145,Grid_BD!$Y:$Y)/($AA145+SUMIF(Grid_BD!$F:$F,$A145,Grid_BD!$Y:$Y)),"")</f>
        <v/>
      </c>
      <c r="S145" s="167"/>
      <c r="T145" s="172"/>
      <c r="U145" s="173"/>
      <c r="V145" s="167"/>
      <c r="W145" s="174" t="str">
        <f t="shared" si="10"/>
        <v/>
      </c>
      <c r="X145" s="167" t="str">
        <f>IFERROR(_xlfn.XLOOKUP($A145,Input_Raw!$A:$A,Input_Raw!$BF:$BF),"")</f>
        <v/>
      </c>
      <c r="Y145" s="167" t="str">
        <f>IFERROR(_xlfn.XLOOKUP($A145,Input_Raw!$A:$A,Input_Raw!BJ:BJ),"")</f>
        <v/>
      </c>
      <c r="Z145" s="167" t="str">
        <f>IFERROR(_xlfn.XLOOKUP($A145,Input_Raw!$A:$A,Input_Raw!BK:BK),"")</f>
        <v/>
      </c>
      <c r="AA145" s="167" t="str">
        <f>IFERROR(_xlfn.XLOOKUP($A145,Input_Raw!$A:$A,Input_Raw!BL:BL),"")</f>
        <v/>
      </c>
      <c r="AB145" s="167" t="str">
        <f>IFERROR(_xlfn.XLOOKUP($A145,Input_Raw!$A:$A,Input_Raw!$BO:$BO),"")</f>
        <v/>
      </c>
      <c r="AC145" s="176">
        <f>IFERROR(_xlfn.XLOOKUP($D145,'Modelling New'!$D:$D,'Modelling New'!$J:$J),"")</f>
        <v>9.01</v>
      </c>
      <c r="AD145" s="166">
        <f>IFERROR(_xlfn.XLOOKUP($D145,'Modelling New'!$D:$D,'Modelling New'!$T:$T)*1000,"")</f>
        <v>895729.81265024655</v>
      </c>
      <c r="AE145" s="174"/>
      <c r="AF145" s="174">
        <f>IFERROR(_xlfn.XLOOKUP($D145,'Modelling New'!$D:$D,'Modelling New'!$W:$W),"")</f>
        <v>0.53165349753694591</v>
      </c>
      <c r="AG145" s="174">
        <f>IFERROR(_xlfn.XLOOKUP($D145,'Modelling New'!$D:$D,'Modelling New'!$AE:$AE),"")</f>
        <v>0.96029999999999993</v>
      </c>
      <c r="AH145" s="174">
        <f>IFERROR(_xlfn.XLOOKUP($D145,'Modelling New'!$D:$D,'Modelling New'!$AF:$AF),"")</f>
        <v>0.995</v>
      </c>
      <c r="AI145" s="177" t="str">
        <f>IFERROR(_xlfn.XLOOKUP($A145,Input_Raw!$A:$A,Input_Raw!$BQ:$BQ),"")</f>
        <v/>
      </c>
      <c r="AJ145" s="167"/>
      <c r="AK145" s="167"/>
      <c r="AL145" s="167"/>
      <c r="AM145" s="167"/>
      <c r="AN145" s="175" t="str">
        <f>IFERROR(_xlfn.XLOOKUP($A145,Input_Raw!$A:$A,Input_Raw!$BN:$BN),"")</f>
        <v/>
      </c>
      <c r="AO145" s="174" t="str">
        <f>IFERROR((_xlfn.XLOOKUP($A145,'WTG Reactive Power'!$A:$A,'WTG Reactive Power'!$AE:$AE))/Table13[[#This Row],[Gen_Exp (kWh)]],"")</f>
        <v/>
      </c>
      <c r="AP145" s="174">
        <f>IFERROR(_xlfn.XLOOKUP($D145,'Modelling New'!$D:$D,'Modelling New'!$AK:$AK),"")</f>
        <v>0.05</v>
      </c>
      <c r="AQ145" s="174">
        <f>IFERROR(_xlfn.XLOOKUP($D145,'Modelling New'!$D:$D,'Modelling New'!$AL:$AL),"")</f>
        <v>0.05</v>
      </c>
      <c r="AR145" s="276">
        <f>IFERROR(_xlfn.XLOOKUP($D145,'Modelling New'!$D:$D,'Modelling New'!$N:$N),"")</f>
        <v>70.2</v>
      </c>
      <c r="AS145" s="276"/>
    </row>
    <row r="146" spans="1:45">
      <c r="A146" s="165">
        <f t="shared" si="11"/>
        <v>45889</v>
      </c>
      <c r="B146" s="166">
        <f>YEAR(Table13[[#This Row],[Date]])+IF(MONTH(Table13[[#This Row],[Date]])&gt;=4,1,0)</f>
        <v>2026</v>
      </c>
      <c r="C146" s="167">
        <f>YEAR(Table13[[#This Row],[Date]])</f>
        <v>2025</v>
      </c>
      <c r="D146" s="168">
        <f>Table13[[#This Row],[Date]]-DAY(Table13[[#This Row],[Date]])+1</f>
        <v>45870</v>
      </c>
      <c r="E146" s="167">
        <f t="shared" si="8"/>
        <v>31</v>
      </c>
      <c r="F146" s="169"/>
      <c r="G146" s="170"/>
      <c r="H146" s="170"/>
      <c r="I146" s="170"/>
      <c r="J146" s="170"/>
      <c r="K146" s="171"/>
      <c r="L146" s="170"/>
      <c r="M146" s="170" t="str">
        <f>IFERROR(_xlfn.XLOOKUP($A146,Input_Raw!$A:$A,Input_Raw!BG:BG),"")</f>
        <v/>
      </c>
      <c r="N146" s="170" t="str">
        <f>IFERROR(_xlfn.XLOOKUP($A146,Input_Raw!$A:$A,Input_Raw!BH:BH),"")</f>
        <v/>
      </c>
      <c r="O146" s="173" t="str">
        <f t="shared" si="9"/>
        <v/>
      </c>
      <c r="P146" s="173" t="str">
        <f>IFERROR(1-SUMIF(WTG_BD!$F:$F,$A146,WTG_BD!$AA:$AA)/($AA146+SUMIF(WTG_BD!$F:$F,$A146,WTG_BD!$AA:$AA)),"")</f>
        <v/>
      </c>
      <c r="Q146" s="173" t="str">
        <f>IFERROR(1-SUMIF(IGA_BD!$F:$F,$A146,IGA_BD!$X:$X)/($AA146+SUMIF(IGA_BD!$F:$F,$A146,IGA_BD!$X:$X)),"")</f>
        <v/>
      </c>
      <c r="R146" s="173" t="str">
        <f>IFERROR(1-SUMIF(Grid_BD!$F:$F,$A146,Grid_BD!$Y:$Y)/($AA146+SUMIF(Grid_BD!$F:$F,$A146,Grid_BD!$Y:$Y)),"")</f>
        <v/>
      </c>
      <c r="S146" s="167"/>
      <c r="T146" s="172"/>
      <c r="U146" s="173"/>
      <c r="V146" s="167"/>
      <c r="W146" s="174" t="str">
        <f t="shared" si="10"/>
        <v/>
      </c>
      <c r="X146" s="167" t="str">
        <f>IFERROR(_xlfn.XLOOKUP($A146,Input_Raw!$A:$A,Input_Raw!$BF:$BF),"")</f>
        <v/>
      </c>
      <c r="Y146" s="167" t="str">
        <f>IFERROR(_xlfn.XLOOKUP($A146,Input_Raw!$A:$A,Input_Raw!BJ:BJ),"")</f>
        <v/>
      </c>
      <c r="Z146" s="167" t="str">
        <f>IFERROR(_xlfn.XLOOKUP($A146,Input_Raw!$A:$A,Input_Raw!BK:BK),"")</f>
        <v/>
      </c>
      <c r="AA146" s="167" t="str">
        <f>IFERROR(_xlfn.XLOOKUP($A146,Input_Raw!$A:$A,Input_Raw!BL:BL),"")</f>
        <v/>
      </c>
      <c r="AB146" s="167" t="str">
        <f>IFERROR(_xlfn.XLOOKUP($A146,Input_Raw!$A:$A,Input_Raw!$BO:$BO),"")</f>
        <v/>
      </c>
      <c r="AC146" s="176">
        <f>IFERROR(_xlfn.XLOOKUP($D146,'Modelling New'!$D:$D,'Modelling New'!$J:$J),"")</f>
        <v>9.01</v>
      </c>
      <c r="AD146" s="166">
        <f>IFERROR(_xlfn.XLOOKUP($D146,'Modelling New'!$D:$D,'Modelling New'!$T:$T)*1000,"")</f>
        <v>895729.81265024655</v>
      </c>
      <c r="AE146" s="174"/>
      <c r="AF146" s="174">
        <f>IFERROR(_xlfn.XLOOKUP($D146,'Modelling New'!$D:$D,'Modelling New'!$W:$W),"")</f>
        <v>0.53165349753694591</v>
      </c>
      <c r="AG146" s="174">
        <f>IFERROR(_xlfn.XLOOKUP($D146,'Modelling New'!$D:$D,'Modelling New'!$AE:$AE),"")</f>
        <v>0.96029999999999993</v>
      </c>
      <c r="AH146" s="174">
        <f>IFERROR(_xlfn.XLOOKUP($D146,'Modelling New'!$D:$D,'Modelling New'!$AF:$AF),"")</f>
        <v>0.995</v>
      </c>
      <c r="AI146" s="177" t="str">
        <f>IFERROR(_xlfn.XLOOKUP($A146,Input_Raw!$A:$A,Input_Raw!$BQ:$BQ),"")</f>
        <v/>
      </c>
      <c r="AJ146" s="167"/>
      <c r="AK146" s="167"/>
      <c r="AL146" s="167"/>
      <c r="AM146" s="167"/>
      <c r="AN146" s="175" t="str">
        <f>IFERROR(_xlfn.XLOOKUP($A146,Input_Raw!$A:$A,Input_Raw!$BN:$BN),"")</f>
        <v/>
      </c>
      <c r="AO146" s="174" t="str">
        <f>IFERROR((_xlfn.XLOOKUP($A146,'WTG Reactive Power'!$A:$A,'WTG Reactive Power'!$AE:$AE))/Table13[[#This Row],[Gen_Exp (kWh)]],"")</f>
        <v/>
      </c>
      <c r="AP146" s="174">
        <f>IFERROR(_xlfn.XLOOKUP($D146,'Modelling New'!$D:$D,'Modelling New'!$AK:$AK),"")</f>
        <v>0.05</v>
      </c>
      <c r="AQ146" s="174">
        <f>IFERROR(_xlfn.XLOOKUP($D146,'Modelling New'!$D:$D,'Modelling New'!$AL:$AL),"")</f>
        <v>0.05</v>
      </c>
      <c r="AR146" s="276">
        <f>IFERROR(_xlfn.XLOOKUP($D146,'Modelling New'!$D:$D,'Modelling New'!$N:$N),"")</f>
        <v>70.2</v>
      </c>
      <c r="AS146" s="276"/>
    </row>
    <row r="147" spans="1:45">
      <c r="A147" s="165">
        <f t="shared" si="11"/>
        <v>45890</v>
      </c>
      <c r="B147" s="166">
        <f>YEAR(Table13[[#This Row],[Date]])+IF(MONTH(Table13[[#This Row],[Date]])&gt;=4,1,0)</f>
        <v>2026</v>
      </c>
      <c r="C147" s="167">
        <f>YEAR(Table13[[#This Row],[Date]])</f>
        <v>2025</v>
      </c>
      <c r="D147" s="168">
        <f>Table13[[#This Row],[Date]]-DAY(Table13[[#This Row],[Date]])+1</f>
        <v>45870</v>
      </c>
      <c r="E147" s="167">
        <f t="shared" si="8"/>
        <v>31</v>
      </c>
      <c r="F147" s="169"/>
      <c r="G147" s="176"/>
      <c r="H147" s="176"/>
      <c r="I147" s="176"/>
      <c r="J147" s="176"/>
      <c r="K147" s="171"/>
      <c r="L147" s="170"/>
      <c r="M147" s="170" t="str">
        <f>IFERROR(_xlfn.XLOOKUP($A147,Input_Raw!$A:$A,Input_Raw!BG:BG),"")</f>
        <v/>
      </c>
      <c r="N147" s="170" t="str">
        <f>IFERROR(_xlfn.XLOOKUP($A147,Input_Raw!$A:$A,Input_Raw!BH:BH),"")</f>
        <v/>
      </c>
      <c r="O147" s="173" t="str">
        <f t="shared" si="9"/>
        <v/>
      </c>
      <c r="P147" s="173" t="str">
        <f>IFERROR(1-SUMIF(WTG_BD!$F:$F,$A147,WTG_BD!$AA:$AA)/($AA147+SUMIF(WTG_BD!$F:$F,$A147,WTG_BD!$AA:$AA)),"")</f>
        <v/>
      </c>
      <c r="Q147" s="173" t="str">
        <f>IFERROR(1-SUMIF(IGA_BD!$F:$F,$A147,IGA_BD!$X:$X)/($AA147+SUMIF(IGA_BD!$F:$F,$A147,IGA_BD!$X:$X)),"")</f>
        <v/>
      </c>
      <c r="R147" s="173" t="str">
        <f>IFERROR(1-SUMIF(Grid_BD!$F:$F,$A147,Grid_BD!$Y:$Y)/($AA147+SUMIF(Grid_BD!$F:$F,$A147,Grid_BD!$Y:$Y)),"")</f>
        <v/>
      </c>
      <c r="S147" s="167"/>
      <c r="T147" s="172"/>
      <c r="U147" s="173"/>
      <c r="V147" s="167"/>
      <c r="W147" s="174" t="str">
        <f t="shared" si="10"/>
        <v/>
      </c>
      <c r="X147" s="167" t="str">
        <f>IFERROR(_xlfn.XLOOKUP($A147,Input_Raw!$A:$A,Input_Raw!$BF:$BF),"")</f>
        <v/>
      </c>
      <c r="Y147" s="167" t="str">
        <f>IFERROR(_xlfn.XLOOKUP($A147,Input_Raw!$A:$A,Input_Raw!BJ:BJ),"")</f>
        <v/>
      </c>
      <c r="Z147" s="167" t="str">
        <f>IFERROR(_xlfn.XLOOKUP($A147,Input_Raw!$A:$A,Input_Raw!BK:BK),"")</f>
        <v/>
      </c>
      <c r="AA147" s="167" t="str">
        <f>IFERROR(_xlfn.XLOOKUP($A147,Input_Raw!$A:$A,Input_Raw!BL:BL),"")</f>
        <v/>
      </c>
      <c r="AB147" s="167" t="str">
        <f>IFERROR(_xlfn.XLOOKUP($A147,Input_Raw!$A:$A,Input_Raw!$BO:$BO),"")</f>
        <v/>
      </c>
      <c r="AC147" s="176">
        <f>IFERROR(_xlfn.XLOOKUP($D147,'Modelling New'!$D:$D,'Modelling New'!$J:$J),"")</f>
        <v>9.01</v>
      </c>
      <c r="AD147" s="166">
        <f>IFERROR(_xlfn.XLOOKUP($D147,'Modelling New'!$D:$D,'Modelling New'!$T:$T)*1000,"")</f>
        <v>895729.81265024655</v>
      </c>
      <c r="AE147" s="174"/>
      <c r="AF147" s="174">
        <f>IFERROR(_xlfn.XLOOKUP($D147,'Modelling New'!$D:$D,'Modelling New'!$W:$W),"")</f>
        <v>0.53165349753694591</v>
      </c>
      <c r="AG147" s="174">
        <f>IFERROR(_xlfn.XLOOKUP($D147,'Modelling New'!$D:$D,'Modelling New'!$AE:$AE),"")</f>
        <v>0.96029999999999993</v>
      </c>
      <c r="AH147" s="174">
        <f>IFERROR(_xlfn.XLOOKUP($D147,'Modelling New'!$D:$D,'Modelling New'!$AF:$AF),"")</f>
        <v>0.995</v>
      </c>
      <c r="AI147" s="177" t="str">
        <f>IFERROR(_xlfn.XLOOKUP($A147,Input_Raw!$A:$A,Input_Raw!$BQ:$BQ),"")</f>
        <v/>
      </c>
      <c r="AJ147" s="167"/>
      <c r="AK147" s="167"/>
      <c r="AL147" s="167"/>
      <c r="AM147" s="167"/>
      <c r="AN147" s="175" t="str">
        <f>IFERROR(_xlfn.XLOOKUP($A147,Input_Raw!$A:$A,Input_Raw!$BN:$BN),"")</f>
        <v/>
      </c>
      <c r="AO147" s="174" t="str">
        <f>IFERROR((_xlfn.XLOOKUP($A147,'WTG Reactive Power'!$A:$A,'WTG Reactive Power'!$AE:$AE))/Table13[[#This Row],[Gen_Exp (kWh)]],"")</f>
        <v/>
      </c>
      <c r="AP147" s="174">
        <f>IFERROR(_xlfn.XLOOKUP($D147,'Modelling New'!$D:$D,'Modelling New'!$AK:$AK),"")</f>
        <v>0.05</v>
      </c>
      <c r="AQ147" s="174">
        <f>IFERROR(_xlfn.XLOOKUP($D147,'Modelling New'!$D:$D,'Modelling New'!$AL:$AL),"")</f>
        <v>0.05</v>
      </c>
      <c r="AR147" s="276">
        <f>IFERROR(_xlfn.XLOOKUP($D147,'Modelling New'!$D:$D,'Modelling New'!$N:$N),"")</f>
        <v>70.2</v>
      </c>
      <c r="AS147" s="276"/>
    </row>
    <row r="148" spans="1:45">
      <c r="A148" s="165">
        <f t="shared" si="11"/>
        <v>45891</v>
      </c>
      <c r="B148" s="166">
        <f>YEAR(Table13[[#This Row],[Date]])+IF(MONTH(Table13[[#This Row],[Date]])&gt;=4,1,0)</f>
        <v>2026</v>
      </c>
      <c r="C148" s="167">
        <f>YEAR(Table13[[#This Row],[Date]])</f>
        <v>2025</v>
      </c>
      <c r="D148" s="168">
        <f>Table13[[#This Row],[Date]]-DAY(Table13[[#This Row],[Date]])+1</f>
        <v>45870</v>
      </c>
      <c r="E148" s="167">
        <f t="shared" si="8"/>
        <v>31</v>
      </c>
      <c r="F148" s="169"/>
      <c r="G148" s="170"/>
      <c r="H148" s="170"/>
      <c r="I148" s="170"/>
      <c r="J148" s="170"/>
      <c r="K148" s="171"/>
      <c r="L148" s="170"/>
      <c r="M148" s="170" t="str">
        <f>IFERROR(_xlfn.XLOOKUP($A148,Input_Raw!$A:$A,Input_Raw!BG:BG),"")</f>
        <v/>
      </c>
      <c r="N148" s="170" t="str">
        <f>IFERROR(_xlfn.XLOOKUP($A148,Input_Raw!$A:$A,Input_Raw!BH:BH),"")</f>
        <v/>
      </c>
      <c r="O148" s="173" t="str">
        <f t="shared" si="9"/>
        <v/>
      </c>
      <c r="P148" s="173" t="str">
        <f>IFERROR(1-SUMIF(WTG_BD!$F:$F,$A148,WTG_BD!$AA:$AA)/($AA148+SUMIF(WTG_BD!$F:$F,$A148,WTG_BD!$AA:$AA)),"")</f>
        <v/>
      </c>
      <c r="Q148" s="173" t="str">
        <f>IFERROR(1-SUMIF(IGA_BD!$F:$F,$A148,IGA_BD!$X:$X)/($AA148+SUMIF(IGA_BD!$F:$F,$A148,IGA_BD!$X:$X)),"")</f>
        <v/>
      </c>
      <c r="R148" s="173" t="str">
        <f>IFERROR(1-SUMIF(Grid_BD!$F:$F,$A148,Grid_BD!$Y:$Y)/($AA148+SUMIF(Grid_BD!$F:$F,$A148,Grid_BD!$Y:$Y)),"")</f>
        <v/>
      </c>
      <c r="S148" s="167"/>
      <c r="T148" s="172"/>
      <c r="U148" s="173"/>
      <c r="V148" s="167"/>
      <c r="W148" s="174" t="str">
        <f t="shared" si="10"/>
        <v/>
      </c>
      <c r="X148" s="167" t="str">
        <f>IFERROR(_xlfn.XLOOKUP($A148,Input_Raw!$A:$A,Input_Raw!$BF:$BF),"")</f>
        <v/>
      </c>
      <c r="Y148" s="167" t="str">
        <f>IFERROR(_xlfn.XLOOKUP($A148,Input_Raw!$A:$A,Input_Raw!BJ:BJ),"")</f>
        <v/>
      </c>
      <c r="Z148" s="167" t="str">
        <f>IFERROR(_xlfn.XLOOKUP($A148,Input_Raw!$A:$A,Input_Raw!BK:BK),"")</f>
        <v/>
      </c>
      <c r="AA148" s="167" t="str">
        <f>IFERROR(_xlfn.XLOOKUP($A148,Input_Raw!$A:$A,Input_Raw!BL:BL),"")</f>
        <v/>
      </c>
      <c r="AB148" s="167" t="str">
        <f>IFERROR(_xlfn.XLOOKUP($A148,Input_Raw!$A:$A,Input_Raw!$BO:$BO),"")</f>
        <v/>
      </c>
      <c r="AC148" s="176">
        <f>IFERROR(_xlfn.XLOOKUP($D148,'Modelling New'!$D:$D,'Modelling New'!$J:$J),"")</f>
        <v>9.01</v>
      </c>
      <c r="AD148" s="166">
        <f>IFERROR(_xlfn.XLOOKUP($D148,'Modelling New'!$D:$D,'Modelling New'!$T:$T)*1000,"")</f>
        <v>895729.81265024655</v>
      </c>
      <c r="AE148" s="174"/>
      <c r="AF148" s="174">
        <f>IFERROR(_xlfn.XLOOKUP($D148,'Modelling New'!$D:$D,'Modelling New'!$W:$W),"")</f>
        <v>0.53165349753694591</v>
      </c>
      <c r="AG148" s="174">
        <f>IFERROR(_xlfn.XLOOKUP($D148,'Modelling New'!$D:$D,'Modelling New'!$AE:$AE),"")</f>
        <v>0.96029999999999993</v>
      </c>
      <c r="AH148" s="174">
        <f>IFERROR(_xlfn.XLOOKUP($D148,'Modelling New'!$D:$D,'Modelling New'!$AF:$AF),"")</f>
        <v>0.995</v>
      </c>
      <c r="AI148" s="177" t="str">
        <f>IFERROR(_xlfn.XLOOKUP($A148,Input_Raw!$A:$A,Input_Raw!$BQ:$BQ),"")</f>
        <v/>
      </c>
      <c r="AJ148" s="167"/>
      <c r="AK148" s="167"/>
      <c r="AL148" s="167"/>
      <c r="AM148" s="167"/>
      <c r="AN148" s="175" t="str">
        <f>IFERROR(_xlfn.XLOOKUP($A148,Input_Raw!$A:$A,Input_Raw!$BN:$BN),"")</f>
        <v/>
      </c>
      <c r="AO148" s="174" t="str">
        <f>IFERROR((_xlfn.XLOOKUP($A148,'WTG Reactive Power'!$A:$A,'WTG Reactive Power'!$AE:$AE))/Table13[[#This Row],[Gen_Exp (kWh)]],"")</f>
        <v/>
      </c>
      <c r="AP148" s="174">
        <f>IFERROR(_xlfn.XLOOKUP($D148,'Modelling New'!$D:$D,'Modelling New'!$AK:$AK),"")</f>
        <v>0.05</v>
      </c>
      <c r="AQ148" s="174">
        <f>IFERROR(_xlfn.XLOOKUP($D148,'Modelling New'!$D:$D,'Modelling New'!$AL:$AL),"")</f>
        <v>0.05</v>
      </c>
      <c r="AR148" s="276">
        <f>IFERROR(_xlfn.XLOOKUP($D148,'Modelling New'!$D:$D,'Modelling New'!$N:$N),"")</f>
        <v>70.2</v>
      </c>
      <c r="AS148" s="276"/>
    </row>
    <row r="149" spans="1:45">
      <c r="A149" s="165">
        <f t="shared" si="11"/>
        <v>45892</v>
      </c>
      <c r="B149" s="166">
        <f>YEAR(Table13[[#This Row],[Date]])+IF(MONTH(Table13[[#This Row],[Date]])&gt;=4,1,0)</f>
        <v>2026</v>
      </c>
      <c r="C149" s="167">
        <f>YEAR(Table13[[#This Row],[Date]])</f>
        <v>2025</v>
      </c>
      <c r="D149" s="168">
        <f>Table13[[#This Row],[Date]]-DAY(Table13[[#This Row],[Date]])+1</f>
        <v>45870</v>
      </c>
      <c r="E149" s="167">
        <f t="shared" si="8"/>
        <v>31</v>
      </c>
      <c r="F149" s="169"/>
      <c r="G149" s="176"/>
      <c r="H149" s="176"/>
      <c r="I149" s="176"/>
      <c r="J149" s="176"/>
      <c r="K149" s="171"/>
      <c r="L149" s="170"/>
      <c r="M149" s="170" t="str">
        <f>IFERROR(_xlfn.XLOOKUP($A149,Input_Raw!$A:$A,Input_Raw!BG:BG),"")</f>
        <v/>
      </c>
      <c r="N149" s="170" t="str">
        <f>IFERROR(_xlfn.XLOOKUP($A149,Input_Raw!$A:$A,Input_Raw!BH:BH),"")</f>
        <v/>
      </c>
      <c r="O149" s="173" t="str">
        <f t="shared" si="9"/>
        <v/>
      </c>
      <c r="P149" s="173" t="str">
        <f>IFERROR(1-SUMIF(WTG_BD!$F:$F,$A149,WTG_BD!$AA:$AA)/($AA149+SUMIF(WTG_BD!$F:$F,$A149,WTG_BD!$AA:$AA)),"")</f>
        <v/>
      </c>
      <c r="Q149" s="173" t="str">
        <f>IFERROR(1-SUMIF(IGA_BD!$F:$F,$A149,IGA_BD!$X:$X)/($AA149+SUMIF(IGA_BD!$F:$F,$A149,IGA_BD!$X:$X)),"")</f>
        <v/>
      </c>
      <c r="R149" s="173" t="str">
        <f>IFERROR(1-SUMIF(Grid_BD!$F:$F,$A149,Grid_BD!$Y:$Y)/($AA149+SUMIF(Grid_BD!$F:$F,$A149,Grid_BD!$Y:$Y)),"")</f>
        <v/>
      </c>
      <c r="S149" s="167"/>
      <c r="T149" s="172"/>
      <c r="U149" s="173"/>
      <c r="V149" s="167"/>
      <c r="W149" s="174" t="str">
        <f t="shared" si="10"/>
        <v/>
      </c>
      <c r="X149" s="167" t="str">
        <f>IFERROR(_xlfn.XLOOKUP($A149,Input_Raw!$A:$A,Input_Raw!$BF:$BF),"")</f>
        <v/>
      </c>
      <c r="Y149" s="167" t="str">
        <f>IFERROR(_xlfn.XLOOKUP($A149,Input_Raw!$A:$A,Input_Raw!BJ:BJ),"")</f>
        <v/>
      </c>
      <c r="Z149" s="167" t="str">
        <f>IFERROR(_xlfn.XLOOKUP($A149,Input_Raw!$A:$A,Input_Raw!BK:BK),"")</f>
        <v/>
      </c>
      <c r="AA149" s="167" t="str">
        <f>IFERROR(_xlfn.XLOOKUP($A149,Input_Raw!$A:$A,Input_Raw!BL:BL),"")</f>
        <v/>
      </c>
      <c r="AB149" s="167" t="str">
        <f>IFERROR(_xlfn.XLOOKUP($A149,Input_Raw!$A:$A,Input_Raw!$BO:$BO),"")</f>
        <v/>
      </c>
      <c r="AC149" s="176">
        <f>IFERROR(_xlfn.XLOOKUP($D149,'Modelling New'!$D:$D,'Modelling New'!$J:$J),"")</f>
        <v>9.01</v>
      </c>
      <c r="AD149" s="166">
        <f>IFERROR(_xlfn.XLOOKUP($D149,'Modelling New'!$D:$D,'Modelling New'!$T:$T)*1000,"")</f>
        <v>895729.81265024655</v>
      </c>
      <c r="AE149" s="174"/>
      <c r="AF149" s="174">
        <f>IFERROR(_xlfn.XLOOKUP($D149,'Modelling New'!$D:$D,'Modelling New'!$W:$W),"")</f>
        <v>0.53165349753694591</v>
      </c>
      <c r="AG149" s="174">
        <f>IFERROR(_xlfn.XLOOKUP($D149,'Modelling New'!$D:$D,'Modelling New'!$AE:$AE),"")</f>
        <v>0.96029999999999993</v>
      </c>
      <c r="AH149" s="174">
        <f>IFERROR(_xlfn.XLOOKUP($D149,'Modelling New'!$D:$D,'Modelling New'!$AF:$AF),"")</f>
        <v>0.995</v>
      </c>
      <c r="AI149" s="177" t="str">
        <f>IFERROR(_xlfn.XLOOKUP($A149,Input_Raw!$A:$A,Input_Raw!$BQ:$BQ),"")</f>
        <v/>
      </c>
      <c r="AJ149" s="167"/>
      <c r="AK149" s="167"/>
      <c r="AL149" s="167"/>
      <c r="AM149" s="167"/>
      <c r="AN149" s="175" t="str">
        <f>IFERROR(_xlfn.XLOOKUP($A149,Input_Raw!$A:$A,Input_Raw!$BN:$BN),"")</f>
        <v/>
      </c>
      <c r="AO149" s="174" t="str">
        <f>IFERROR((_xlfn.XLOOKUP($A149,'WTG Reactive Power'!$A:$A,'WTG Reactive Power'!$AE:$AE))/Table13[[#This Row],[Gen_Exp (kWh)]],"")</f>
        <v/>
      </c>
      <c r="AP149" s="174">
        <f>IFERROR(_xlfn.XLOOKUP($D149,'Modelling New'!$D:$D,'Modelling New'!$AK:$AK),"")</f>
        <v>0.05</v>
      </c>
      <c r="AQ149" s="174">
        <f>IFERROR(_xlfn.XLOOKUP($D149,'Modelling New'!$D:$D,'Modelling New'!$AL:$AL),"")</f>
        <v>0.05</v>
      </c>
      <c r="AR149" s="276">
        <f>IFERROR(_xlfn.XLOOKUP($D149,'Modelling New'!$D:$D,'Modelling New'!$N:$N),"")</f>
        <v>70.2</v>
      </c>
      <c r="AS149" s="276"/>
    </row>
    <row r="150" spans="1:45">
      <c r="A150" s="165">
        <f t="shared" si="11"/>
        <v>45893</v>
      </c>
      <c r="B150" s="166">
        <f>YEAR(Table13[[#This Row],[Date]])+IF(MONTH(Table13[[#This Row],[Date]])&gt;=4,1,0)</f>
        <v>2026</v>
      </c>
      <c r="C150" s="167">
        <f>YEAR(Table13[[#This Row],[Date]])</f>
        <v>2025</v>
      </c>
      <c r="D150" s="168">
        <f>Table13[[#This Row],[Date]]-DAY(Table13[[#This Row],[Date]])+1</f>
        <v>45870</v>
      </c>
      <c r="E150" s="167">
        <f t="shared" si="8"/>
        <v>31</v>
      </c>
      <c r="F150" s="169"/>
      <c r="G150" s="170"/>
      <c r="H150" s="170"/>
      <c r="I150" s="170"/>
      <c r="J150" s="170"/>
      <c r="K150" s="171"/>
      <c r="L150" s="170"/>
      <c r="M150" s="170" t="str">
        <f>IFERROR(_xlfn.XLOOKUP($A150,Input_Raw!$A:$A,Input_Raw!BG:BG),"")</f>
        <v/>
      </c>
      <c r="N150" s="170" t="str">
        <f>IFERROR(_xlfn.XLOOKUP($A150,Input_Raw!$A:$A,Input_Raw!BH:BH),"")</f>
        <v/>
      </c>
      <c r="O150" s="173" t="str">
        <f t="shared" si="9"/>
        <v/>
      </c>
      <c r="P150" s="173" t="str">
        <f>IFERROR(1-SUMIF(WTG_BD!$F:$F,$A150,WTG_BD!$AA:$AA)/($AA150+SUMIF(WTG_BD!$F:$F,$A150,WTG_BD!$AA:$AA)),"")</f>
        <v/>
      </c>
      <c r="Q150" s="173" t="str">
        <f>IFERROR(1-SUMIF(IGA_BD!$F:$F,$A150,IGA_BD!$X:$X)/($AA150+SUMIF(IGA_BD!$F:$F,$A150,IGA_BD!$X:$X)),"")</f>
        <v/>
      </c>
      <c r="R150" s="173" t="str">
        <f>IFERROR(1-SUMIF(Grid_BD!$F:$F,$A150,Grid_BD!$Y:$Y)/($AA150+SUMIF(Grid_BD!$F:$F,$A150,Grid_BD!$Y:$Y)),"")</f>
        <v/>
      </c>
      <c r="S150" s="167"/>
      <c r="T150" s="172"/>
      <c r="U150" s="173"/>
      <c r="V150" s="167"/>
      <c r="W150" s="174" t="str">
        <f t="shared" si="10"/>
        <v/>
      </c>
      <c r="X150" s="167" t="str">
        <f>IFERROR(_xlfn.XLOOKUP($A150,Input_Raw!$A:$A,Input_Raw!$BF:$BF),"")</f>
        <v/>
      </c>
      <c r="Y150" s="167" t="str">
        <f>IFERROR(_xlfn.XLOOKUP($A150,Input_Raw!$A:$A,Input_Raw!BJ:BJ),"")</f>
        <v/>
      </c>
      <c r="Z150" s="167" t="str">
        <f>IFERROR(_xlfn.XLOOKUP($A150,Input_Raw!$A:$A,Input_Raw!BK:BK),"")</f>
        <v/>
      </c>
      <c r="AA150" s="167" t="str">
        <f>IFERROR(_xlfn.XLOOKUP($A150,Input_Raw!$A:$A,Input_Raw!BL:BL),"")</f>
        <v/>
      </c>
      <c r="AB150" s="167" t="str">
        <f>IFERROR(_xlfn.XLOOKUP($A150,Input_Raw!$A:$A,Input_Raw!$BO:$BO),"")</f>
        <v/>
      </c>
      <c r="AC150" s="176">
        <f>IFERROR(_xlfn.XLOOKUP($D150,'Modelling New'!$D:$D,'Modelling New'!$J:$J),"")</f>
        <v>9.01</v>
      </c>
      <c r="AD150" s="166">
        <f>IFERROR(_xlfn.XLOOKUP($D150,'Modelling New'!$D:$D,'Modelling New'!$T:$T)*1000,"")</f>
        <v>895729.81265024655</v>
      </c>
      <c r="AE150" s="174"/>
      <c r="AF150" s="174">
        <f>IFERROR(_xlfn.XLOOKUP($D150,'Modelling New'!$D:$D,'Modelling New'!$W:$W),"")</f>
        <v>0.53165349753694591</v>
      </c>
      <c r="AG150" s="174">
        <f>IFERROR(_xlfn.XLOOKUP($D150,'Modelling New'!$D:$D,'Modelling New'!$AE:$AE),"")</f>
        <v>0.96029999999999993</v>
      </c>
      <c r="AH150" s="174">
        <f>IFERROR(_xlfn.XLOOKUP($D150,'Modelling New'!$D:$D,'Modelling New'!$AF:$AF),"")</f>
        <v>0.995</v>
      </c>
      <c r="AI150" s="177" t="str">
        <f>IFERROR(_xlfn.XLOOKUP($A150,Input_Raw!$A:$A,Input_Raw!$BQ:$BQ),"")</f>
        <v/>
      </c>
      <c r="AJ150" s="167"/>
      <c r="AK150" s="167"/>
      <c r="AL150" s="167"/>
      <c r="AM150" s="167"/>
      <c r="AN150" s="175" t="str">
        <f>IFERROR(_xlfn.XLOOKUP($A150,Input_Raw!$A:$A,Input_Raw!$BN:$BN),"")</f>
        <v/>
      </c>
      <c r="AO150" s="174" t="str">
        <f>IFERROR((_xlfn.XLOOKUP($A150,'WTG Reactive Power'!$A:$A,'WTG Reactive Power'!$AE:$AE))/Table13[[#This Row],[Gen_Exp (kWh)]],"")</f>
        <v/>
      </c>
      <c r="AP150" s="174">
        <f>IFERROR(_xlfn.XLOOKUP($D150,'Modelling New'!$D:$D,'Modelling New'!$AK:$AK),"")</f>
        <v>0.05</v>
      </c>
      <c r="AQ150" s="174">
        <f>IFERROR(_xlfn.XLOOKUP($D150,'Modelling New'!$D:$D,'Modelling New'!$AL:$AL),"")</f>
        <v>0.05</v>
      </c>
      <c r="AR150" s="276">
        <f>IFERROR(_xlfn.XLOOKUP($D150,'Modelling New'!$D:$D,'Modelling New'!$N:$N),"")</f>
        <v>70.2</v>
      </c>
      <c r="AS150" s="276"/>
    </row>
    <row r="151" spans="1:45">
      <c r="A151" s="165">
        <f t="shared" si="11"/>
        <v>45894</v>
      </c>
      <c r="B151" s="166">
        <f>YEAR(Table13[[#This Row],[Date]])+IF(MONTH(Table13[[#This Row],[Date]])&gt;=4,1,0)</f>
        <v>2026</v>
      </c>
      <c r="C151" s="167">
        <f>YEAR(Table13[[#This Row],[Date]])</f>
        <v>2025</v>
      </c>
      <c r="D151" s="168">
        <f>Table13[[#This Row],[Date]]-DAY(Table13[[#This Row],[Date]])+1</f>
        <v>45870</v>
      </c>
      <c r="E151" s="167">
        <f t="shared" si="8"/>
        <v>31</v>
      </c>
      <c r="F151" s="169"/>
      <c r="G151" s="176"/>
      <c r="H151" s="176"/>
      <c r="I151" s="176"/>
      <c r="J151" s="176"/>
      <c r="K151" s="171"/>
      <c r="L151" s="170"/>
      <c r="M151" s="170" t="str">
        <f>IFERROR(_xlfn.XLOOKUP($A151,Input_Raw!$A:$A,Input_Raw!BG:BG),"")</f>
        <v/>
      </c>
      <c r="N151" s="170" t="str">
        <f>IFERROR(_xlfn.XLOOKUP($A151,Input_Raw!$A:$A,Input_Raw!BH:BH),"")</f>
        <v/>
      </c>
      <c r="O151" s="173" t="str">
        <f t="shared" si="9"/>
        <v/>
      </c>
      <c r="P151" s="173" t="str">
        <f>IFERROR(1-SUMIF(WTG_BD!$F:$F,$A151,WTG_BD!$AA:$AA)/($AA151+SUMIF(WTG_BD!$F:$F,$A151,WTG_BD!$AA:$AA)),"")</f>
        <v/>
      </c>
      <c r="Q151" s="173" t="str">
        <f>IFERROR(1-SUMIF(IGA_BD!$F:$F,$A151,IGA_BD!$X:$X)/($AA151+SUMIF(IGA_BD!$F:$F,$A151,IGA_BD!$X:$X)),"")</f>
        <v/>
      </c>
      <c r="R151" s="173" t="str">
        <f>IFERROR(1-SUMIF(Grid_BD!$F:$F,$A151,Grid_BD!$Y:$Y)/($AA151+SUMIF(Grid_BD!$F:$F,$A151,Grid_BD!$Y:$Y)),"")</f>
        <v/>
      </c>
      <c r="S151" s="167"/>
      <c r="T151" s="172"/>
      <c r="U151" s="173"/>
      <c r="V151" s="167"/>
      <c r="W151" s="174" t="str">
        <f t="shared" si="10"/>
        <v/>
      </c>
      <c r="X151" s="167" t="str">
        <f>IFERROR(_xlfn.XLOOKUP($A151,Input_Raw!$A:$A,Input_Raw!$BF:$BF),"")</f>
        <v/>
      </c>
      <c r="Y151" s="167" t="str">
        <f>IFERROR(_xlfn.XLOOKUP($A151,Input_Raw!$A:$A,Input_Raw!BJ:BJ),"")</f>
        <v/>
      </c>
      <c r="Z151" s="167" t="str">
        <f>IFERROR(_xlfn.XLOOKUP($A151,Input_Raw!$A:$A,Input_Raw!BK:BK),"")</f>
        <v/>
      </c>
      <c r="AA151" s="167" t="str">
        <f>IFERROR(_xlfn.XLOOKUP($A151,Input_Raw!$A:$A,Input_Raw!BL:BL),"")</f>
        <v/>
      </c>
      <c r="AB151" s="167" t="str">
        <f>IFERROR(_xlfn.XLOOKUP($A151,Input_Raw!$A:$A,Input_Raw!$BO:$BO),"")</f>
        <v/>
      </c>
      <c r="AC151" s="176">
        <f>IFERROR(_xlfn.XLOOKUP($D151,'Modelling New'!$D:$D,'Modelling New'!$J:$J),"")</f>
        <v>9.01</v>
      </c>
      <c r="AD151" s="166">
        <f>IFERROR(_xlfn.XLOOKUP($D151,'Modelling New'!$D:$D,'Modelling New'!$T:$T)*1000,"")</f>
        <v>895729.81265024655</v>
      </c>
      <c r="AE151" s="174"/>
      <c r="AF151" s="174">
        <f>IFERROR(_xlfn.XLOOKUP($D151,'Modelling New'!$D:$D,'Modelling New'!$W:$W),"")</f>
        <v>0.53165349753694591</v>
      </c>
      <c r="AG151" s="174">
        <f>IFERROR(_xlfn.XLOOKUP($D151,'Modelling New'!$D:$D,'Modelling New'!$AE:$AE),"")</f>
        <v>0.96029999999999993</v>
      </c>
      <c r="AH151" s="174">
        <f>IFERROR(_xlfn.XLOOKUP($D151,'Modelling New'!$D:$D,'Modelling New'!$AF:$AF),"")</f>
        <v>0.995</v>
      </c>
      <c r="AI151" s="177" t="str">
        <f>IFERROR(_xlfn.XLOOKUP($A151,Input_Raw!$A:$A,Input_Raw!$BQ:$BQ),"")</f>
        <v/>
      </c>
      <c r="AJ151" s="167"/>
      <c r="AK151" s="167"/>
      <c r="AL151" s="167"/>
      <c r="AM151" s="167"/>
      <c r="AN151" s="175" t="str">
        <f>IFERROR(_xlfn.XLOOKUP($A151,Input_Raw!$A:$A,Input_Raw!$BN:$BN),"")</f>
        <v/>
      </c>
      <c r="AO151" s="174" t="str">
        <f>IFERROR((_xlfn.XLOOKUP($A151,'WTG Reactive Power'!$A:$A,'WTG Reactive Power'!$AE:$AE))/Table13[[#This Row],[Gen_Exp (kWh)]],"")</f>
        <v/>
      </c>
      <c r="AP151" s="174">
        <f>IFERROR(_xlfn.XLOOKUP($D151,'Modelling New'!$D:$D,'Modelling New'!$AK:$AK),"")</f>
        <v>0.05</v>
      </c>
      <c r="AQ151" s="174">
        <f>IFERROR(_xlfn.XLOOKUP($D151,'Modelling New'!$D:$D,'Modelling New'!$AL:$AL),"")</f>
        <v>0.05</v>
      </c>
      <c r="AR151" s="276">
        <f>IFERROR(_xlfn.XLOOKUP($D151,'Modelling New'!$D:$D,'Modelling New'!$N:$N),"")</f>
        <v>70.2</v>
      </c>
      <c r="AS151" s="276"/>
    </row>
    <row r="152" spans="1:45">
      <c r="A152" s="165">
        <f t="shared" si="11"/>
        <v>45895</v>
      </c>
      <c r="B152" s="166">
        <f>YEAR(Table13[[#This Row],[Date]])+IF(MONTH(Table13[[#This Row],[Date]])&gt;=4,1,0)</f>
        <v>2026</v>
      </c>
      <c r="C152" s="167">
        <f>YEAR(Table13[[#This Row],[Date]])</f>
        <v>2025</v>
      </c>
      <c r="D152" s="168">
        <f>Table13[[#This Row],[Date]]-DAY(Table13[[#This Row],[Date]])+1</f>
        <v>45870</v>
      </c>
      <c r="E152" s="167">
        <f t="shared" ref="E152:E215" si="12">DAY(EOMONTH(A152,0))</f>
        <v>31</v>
      </c>
      <c r="F152" s="169"/>
      <c r="G152" s="170"/>
      <c r="H152" s="170"/>
      <c r="I152" s="170"/>
      <c r="J152" s="170"/>
      <c r="K152" s="171"/>
      <c r="L152" s="170"/>
      <c r="M152" s="170" t="str">
        <f>IFERROR(_xlfn.XLOOKUP($A152,Input_Raw!$A:$A,Input_Raw!BG:BG),"")</f>
        <v/>
      </c>
      <c r="N152" s="170" t="str">
        <f>IFERROR(_xlfn.XLOOKUP($A152,Input_Raw!$A:$A,Input_Raw!BH:BH),"")</f>
        <v/>
      </c>
      <c r="O152" s="173" t="str">
        <f t="shared" ref="O152:O215" si="13">IFERROR(P152*Q152,"")</f>
        <v/>
      </c>
      <c r="P152" s="173" t="str">
        <f>IFERROR(1-SUMIF(WTG_BD!$F:$F,$A152,WTG_BD!$AA:$AA)/($AA152+SUMIF(WTG_BD!$F:$F,$A152,WTG_BD!$AA:$AA)),"")</f>
        <v/>
      </c>
      <c r="Q152" s="173" t="str">
        <f>IFERROR(1-SUMIF(IGA_BD!$F:$F,$A152,IGA_BD!$X:$X)/($AA152+SUMIF(IGA_BD!$F:$F,$A152,IGA_BD!$X:$X)),"")</f>
        <v/>
      </c>
      <c r="R152" s="173" t="str">
        <f>IFERROR(1-SUMIF(Grid_BD!$F:$F,$A152,Grid_BD!$Y:$Y)/($AA152+SUMIF(Grid_BD!$F:$F,$A152,Grid_BD!$Y:$Y)),"")</f>
        <v/>
      </c>
      <c r="S152" s="167"/>
      <c r="T152" s="172"/>
      <c r="U152" s="173"/>
      <c r="V152" s="167"/>
      <c r="W152" s="174" t="str">
        <f t="shared" ref="W152:W215" si="14">IFERROR(AA152/(24*AR152*1000),"")</f>
        <v/>
      </c>
      <c r="X152" s="167" t="str">
        <f>IFERROR(_xlfn.XLOOKUP($A152,Input_Raw!$A:$A,Input_Raw!$BF:$BF),"")</f>
        <v/>
      </c>
      <c r="Y152" s="167" t="str">
        <f>IFERROR(_xlfn.XLOOKUP($A152,Input_Raw!$A:$A,Input_Raw!BJ:BJ),"")</f>
        <v/>
      </c>
      <c r="Z152" s="167" t="str">
        <f>IFERROR(_xlfn.XLOOKUP($A152,Input_Raw!$A:$A,Input_Raw!BK:BK),"")</f>
        <v/>
      </c>
      <c r="AA152" s="167" t="str">
        <f>IFERROR(_xlfn.XLOOKUP($A152,Input_Raw!$A:$A,Input_Raw!BL:BL),"")</f>
        <v/>
      </c>
      <c r="AB152" s="167" t="str">
        <f>IFERROR(_xlfn.XLOOKUP($A152,Input_Raw!$A:$A,Input_Raw!$BO:$BO),"")</f>
        <v/>
      </c>
      <c r="AC152" s="176">
        <f>IFERROR(_xlfn.XLOOKUP($D152,'Modelling New'!$D:$D,'Modelling New'!$J:$J),"")</f>
        <v>9.01</v>
      </c>
      <c r="AD152" s="166">
        <f>IFERROR(_xlfn.XLOOKUP($D152,'Modelling New'!$D:$D,'Modelling New'!$T:$T)*1000,"")</f>
        <v>895729.81265024655</v>
      </c>
      <c r="AE152" s="174"/>
      <c r="AF152" s="174">
        <f>IFERROR(_xlfn.XLOOKUP($D152,'Modelling New'!$D:$D,'Modelling New'!$W:$W),"")</f>
        <v>0.53165349753694591</v>
      </c>
      <c r="AG152" s="174">
        <f>IFERROR(_xlfn.XLOOKUP($D152,'Modelling New'!$D:$D,'Modelling New'!$AE:$AE),"")</f>
        <v>0.96029999999999993</v>
      </c>
      <c r="AH152" s="174">
        <f>IFERROR(_xlfn.XLOOKUP($D152,'Modelling New'!$D:$D,'Modelling New'!$AF:$AF),"")</f>
        <v>0.995</v>
      </c>
      <c r="AI152" s="177" t="str">
        <f>IFERROR(_xlfn.XLOOKUP($A152,Input_Raw!$A:$A,Input_Raw!$BQ:$BQ),"")</f>
        <v/>
      </c>
      <c r="AJ152" s="167"/>
      <c r="AK152" s="167"/>
      <c r="AL152" s="167"/>
      <c r="AM152" s="167"/>
      <c r="AN152" s="175" t="str">
        <f>IFERROR(_xlfn.XLOOKUP($A152,Input_Raw!$A:$A,Input_Raw!$BN:$BN),"")</f>
        <v/>
      </c>
      <c r="AO152" s="174" t="str">
        <f>IFERROR((_xlfn.XLOOKUP($A152,'WTG Reactive Power'!$A:$A,'WTG Reactive Power'!$AE:$AE))/Table13[[#This Row],[Gen_Exp (kWh)]],"")</f>
        <v/>
      </c>
      <c r="AP152" s="174">
        <f>IFERROR(_xlfn.XLOOKUP($D152,'Modelling New'!$D:$D,'Modelling New'!$AK:$AK),"")</f>
        <v>0.05</v>
      </c>
      <c r="AQ152" s="174">
        <f>IFERROR(_xlfn.XLOOKUP($D152,'Modelling New'!$D:$D,'Modelling New'!$AL:$AL),"")</f>
        <v>0.05</v>
      </c>
      <c r="AR152" s="276">
        <f>IFERROR(_xlfn.XLOOKUP($D152,'Modelling New'!$D:$D,'Modelling New'!$N:$N),"")</f>
        <v>70.2</v>
      </c>
      <c r="AS152" s="276"/>
    </row>
    <row r="153" spans="1:45">
      <c r="A153" s="165">
        <f t="shared" si="11"/>
        <v>45896</v>
      </c>
      <c r="B153" s="166">
        <f>YEAR(Table13[[#This Row],[Date]])+IF(MONTH(Table13[[#This Row],[Date]])&gt;=4,1,0)</f>
        <v>2026</v>
      </c>
      <c r="C153" s="167">
        <f>YEAR(Table13[[#This Row],[Date]])</f>
        <v>2025</v>
      </c>
      <c r="D153" s="168">
        <f>Table13[[#This Row],[Date]]-DAY(Table13[[#This Row],[Date]])+1</f>
        <v>45870</v>
      </c>
      <c r="E153" s="167">
        <f t="shared" si="12"/>
        <v>31</v>
      </c>
      <c r="F153" s="169"/>
      <c r="G153" s="176"/>
      <c r="H153" s="176"/>
      <c r="I153" s="176"/>
      <c r="J153" s="176"/>
      <c r="K153" s="171"/>
      <c r="L153" s="170"/>
      <c r="M153" s="170" t="str">
        <f>IFERROR(_xlfn.XLOOKUP($A153,Input_Raw!$A:$A,Input_Raw!BG:BG),"")</f>
        <v/>
      </c>
      <c r="N153" s="170" t="str">
        <f>IFERROR(_xlfn.XLOOKUP($A153,Input_Raw!$A:$A,Input_Raw!BH:BH),"")</f>
        <v/>
      </c>
      <c r="O153" s="173" t="str">
        <f t="shared" si="13"/>
        <v/>
      </c>
      <c r="P153" s="173" t="str">
        <f>IFERROR(1-SUMIF(WTG_BD!$F:$F,$A153,WTG_BD!$AA:$AA)/($AA153+SUMIF(WTG_BD!$F:$F,$A153,WTG_BD!$AA:$AA)),"")</f>
        <v/>
      </c>
      <c r="Q153" s="173" t="str">
        <f>IFERROR(1-SUMIF(IGA_BD!$F:$F,$A153,IGA_BD!$X:$X)/($AA153+SUMIF(IGA_BD!$F:$F,$A153,IGA_BD!$X:$X)),"")</f>
        <v/>
      </c>
      <c r="R153" s="173" t="str">
        <f>IFERROR(1-SUMIF(Grid_BD!$F:$F,$A153,Grid_BD!$Y:$Y)/($AA153+SUMIF(Grid_BD!$F:$F,$A153,Grid_BD!$Y:$Y)),"")</f>
        <v/>
      </c>
      <c r="S153" s="167"/>
      <c r="T153" s="172"/>
      <c r="U153" s="173"/>
      <c r="V153" s="167"/>
      <c r="W153" s="174" t="str">
        <f t="shared" si="14"/>
        <v/>
      </c>
      <c r="X153" s="167" t="str">
        <f>IFERROR(_xlfn.XLOOKUP($A153,Input_Raw!$A:$A,Input_Raw!$BF:$BF),"")</f>
        <v/>
      </c>
      <c r="Y153" s="167" t="str">
        <f>IFERROR(_xlfn.XLOOKUP($A153,Input_Raw!$A:$A,Input_Raw!BJ:BJ),"")</f>
        <v/>
      </c>
      <c r="Z153" s="167" t="str">
        <f>IFERROR(_xlfn.XLOOKUP($A153,Input_Raw!$A:$A,Input_Raw!BK:BK),"")</f>
        <v/>
      </c>
      <c r="AA153" s="167" t="str">
        <f>IFERROR(_xlfn.XLOOKUP($A153,Input_Raw!$A:$A,Input_Raw!BL:BL),"")</f>
        <v/>
      </c>
      <c r="AB153" s="167" t="str">
        <f>IFERROR(_xlfn.XLOOKUP($A153,Input_Raw!$A:$A,Input_Raw!$BO:$BO),"")</f>
        <v/>
      </c>
      <c r="AC153" s="176">
        <f>IFERROR(_xlfn.XLOOKUP($D153,'Modelling New'!$D:$D,'Modelling New'!$J:$J),"")</f>
        <v>9.01</v>
      </c>
      <c r="AD153" s="166">
        <f>IFERROR(_xlfn.XLOOKUP($D153,'Modelling New'!$D:$D,'Modelling New'!$T:$T)*1000,"")</f>
        <v>895729.81265024655</v>
      </c>
      <c r="AE153" s="174"/>
      <c r="AF153" s="174">
        <f>IFERROR(_xlfn.XLOOKUP($D153,'Modelling New'!$D:$D,'Modelling New'!$W:$W),"")</f>
        <v>0.53165349753694591</v>
      </c>
      <c r="AG153" s="174">
        <f>IFERROR(_xlfn.XLOOKUP($D153,'Modelling New'!$D:$D,'Modelling New'!$AE:$AE),"")</f>
        <v>0.96029999999999993</v>
      </c>
      <c r="AH153" s="174">
        <f>IFERROR(_xlfn.XLOOKUP($D153,'Modelling New'!$D:$D,'Modelling New'!$AF:$AF),"")</f>
        <v>0.995</v>
      </c>
      <c r="AI153" s="177" t="str">
        <f>IFERROR(_xlfn.XLOOKUP($A153,Input_Raw!$A:$A,Input_Raw!$BQ:$BQ),"")</f>
        <v/>
      </c>
      <c r="AJ153" s="167"/>
      <c r="AK153" s="167"/>
      <c r="AL153" s="167"/>
      <c r="AM153" s="167"/>
      <c r="AN153" s="175" t="str">
        <f>IFERROR(_xlfn.XLOOKUP($A153,Input_Raw!$A:$A,Input_Raw!$BN:$BN),"")</f>
        <v/>
      </c>
      <c r="AO153" s="174" t="str">
        <f>IFERROR((_xlfn.XLOOKUP($A153,'WTG Reactive Power'!$A:$A,'WTG Reactive Power'!$AE:$AE))/Table13[[#This Row],[Gen_Exp (kWh)]],"")</f>
        <v/>
      </c>
      <c r="AP153" s="174">
        <f>IFERROR(_xlfn.XLOOKUP($D153,'Modelling New'!$D:$D,'Modelling New'!$AK:$AK),"")</f>
        <v>0.05</v>
      </c>
      <c r="AQ153" s="174">
        <f>IFERROR(_xlfn.XLOOKUP($D153,'Modelling New'!$D:$D,'Modelling New'!$AL:$AL),"")</f>
        <v>0.05</v>
      </c>
      <c r="AR153" s="276">
        <f>IFERROR(_xlfn.XLOOKUP($D153,'Modelling New'!$D:$D,'Modelling New'!$N:$N),"")</f>
        <v>70.2</v>
      </c>
      <c r="AS153" s="276"/>
    </row>
    <row r="154" spans="1:45">
      <c r="A154" s="165">
        <f t="shared" ref="A154:A217" si="15">A153+1</f>
        <v>45897</v>
      </c>
      <c r="B154" s="166">
        <f>YEAR(Table13[[#This Row],[Date]])+IF(MONTH(Table13[[#This Row],[Date]])&gt;=4,1,0)</f>
        <v>2026</v>
      </c>
      <c r="C154" s="167">
        <f>YEAR(Table13[[#This Row],[Date]])</f>
        <v>2025</v>
      </c>
      <c r="D154" s="168">
        <f>Table13[[#This Row],[Date]]-DAY(Table13[[#This Row],[Date]])+1</f>
        <v>45870</v>
      </c>
      <c r="E154" s="167">
        <f t="shared" si="12"/>
        <v>31</v>
      </c>
      <c r="F154" s="169"/>
      <c r="G154" s="170"/>
      <c r="H154" s="170"/>
      <c r="I154" s="170"/>
      <c r="J154" s="170"/>
      <c r="K154" s="171"/>
      <c r="L154" s="170"/>
      <c r="M154" s="170" t="str">
        <f>IFERROR(_xlfn.XLOOKUP($A154,Input_Raw!$A:$A,Input_Raw!BG:BG),"")</f>
        <v/>
      </c>
      <c r="N154" s="170" t="str">
        <f>IFERROR(_xlfn.XLOOKUP($A154,Input_Raw!$A:$A,Input_Raw!BH:BH),"")</f>
        <v/>
      </c>
      <c r="O154" s="173" t="str">
        <f t="shared" si="13"/>
        <v/>
      </c>
      <c r="P154" s="173" t="str">
        <f>IFERROR(1-SUMIF(WTG_BD!$F:$F,$A154,WTG_BD!$AA:$AA)/($AA154+SUMIF(WTG_BD!$F:$F,$A154,WTG_BD!$AA:$AA)),"")</f>
        <v/>
      </c>
      <c r="Q154" s="173" t="str">
        <f>IFERROR(1-SUMIF(IGA_BD!$F:$F,$A154,IGA_BD!$X:$X)/($AA154+SUMIF(IGA_BD!$F:$F,$A154,IGA_BD!$X:$X)),"")</f>
        <v/>
      </c>
      <c r="R154" s="173" t="str">
        <f>IFERROR(1-SUMIF(Grid_BD!$F:$F,$A154,Grid_BD!$Y:$Y)/($AA154+SUMIF(Grid_BD!$F:$F,$A154,Grid_BD!$Y:$Y)),"")</f>
        <v/>
      </c>
      <c r="S154" s="167"/>
      <c r="T154" s="172"/>
      <c r="U154" s="173"/>
      <c r="V154" s="167"/>
      <c r="W154" s="174" t="str">
        <f t="shared" si="14"/>
        <v/>
      </c>
      <c r="X154" s="167" t="str">
        <f>IFERROR(_xlfn.XLOOKUP($A154,Input_Raw!$A:$A,Input_Raw!$BF:$BF),"")</f>
        <v/>
      </c>
      <c r="Y154" s="167" t="str">
        <f>IFERROR(_xlfn.XLOOKUP($A154,Input_Raw!$A:$A,Input_Raw!BJ:BJ),"")</f>
        <v/>
      </c>
      <c r="Z154" s="167" t="str">
        <f>IFERROR(_xlfn.XLOOKUP($A154,Input_Raw!$A:$A,Input_Raw!BK:BK),"")</f>
        <v/>
      </c>
      <c r="AA154" s="167" t="str">
        <f>IFERROR(_xlfn.XLOOKUP($A154,Input_Raw!$A:$A,Input_Raw!BL:BL),"")</f>
        <v/>
      </c>
      <c r="AB154" s="167" t="str">
        <f>IFERROR(_xlfn.XLOOKUP($A154,Input_Raw!$A:$A,Input_Raw!$BO:$BO),"")</f>
        <v/>
      </c>
      <c r="AC154" s="176">
        <f>IFERROR(_xlfn.XLOOKUP($D154,'Modelling New'!$D:$D,'Modelling New'!$J:$J),"")</f>
        <v>9.01</v>
      </c>
      <c r="AD154" s="166">
        <f>IFERROR(_xlfn.XLOOKUP($D154,'Modelling New'!$D:$D,'Modelling New'!$T:$T)*1000,"")</f>
        <v>895729.81265024655</v>
      </c>
      <c r="AE154" s="174"/>
      <c r="AF154" s="174">
        <f>IFERROR(_xlfn.XLOOKUP($D154,'Modelling New'!$D:$D,'Modelling New'!$W:$W),"")</f>
        <v>0.53165349753694591</v>
      </c>
      <c r="AG154" s="174">
        <f>IFERROR(_xlfn.XLOOKUP($D154,'Modelling New'!$D:$D,'Modelling New'!$AE:$AE),"")</f>
        <v>0.96029999999999993</v>
      </c>
      <c r="AH154" s="174">
        <f>IFERROR(_xlfn.XLOOKUP($D154,'Modelling New'!$D:$D,'Modelling New'!$AF:$AF),"")</f>
        <v>0.995</v>
      </c>
      <c r="AI154" s="177" t="str">
        <f>IFERROR(_xlfn.XLOOKUP($A154,Input_Raw!$A:$A,Input_Raw!$BQ:$BQ),"")</f>
        <v/>
      </c>
      <c r="AJ154" s="167"/>
      <c r="AK154" s="167"/>
      <c r="AL154" s="167"/>
      <c r="AM154" s="167"/>
      <c r="AN154" s="175" t="str">
        <f>IFERROR(_xlfn.XLOOKUP($A154,Input_Raw!$A:$A,Input_Raw!$BN:$BN),"")</f>
        <v/>
      </c>
      <c r="AO154" s="174" t="str">
        <f>IFERROR((_xlfn.XLOOKUP($A154,'WTG Reactive Power'!$A:$A,'WTG Reactive Power'!$AE:$AE))/Table13[[#This Row],[Gen_Exp (kWh)]],"")</f>
        <v/>
      </c>
      <c r="AP154" s="174">
        <f>IFERROR(_xlfn.XLOOKUP($D154,'Modelling New'!$D:$D,'Modelling New'!$AK:$AK),"")</f>
        <v>0.05</v>
      </c>
      <c r="AQ154" s="174">
        <f>IFERROR(_xlfn.XLOOKUP($D154,'Modelling New'!$D:$D,'Modelling New'!$AL:$AL),"")</f>
        <v>0.05</v>
      </c>
      <c r="AR154" s="276">
        <f>IFERROR(_xlfn.XLOOKUP($D154,'Modelling New'!$D:$D,'Modelling New'!$N:$N),"")</f>
        <v>70.2</v>
      </c>
      <c r="AS154" s="276"/>
    </row>
    <row r="155" spans="1:45">
      <c r="A155" s="165">
        <f t="shared" si="15"/>
        <v>45898</v>
      </c>
      <c r="B155" s="166">
        <f>YEAR(Table13[[#This Row],[Date]])+IF(MONTH(Table13[[#This Row],[Date]])&gt;=4,1,0)</f>
        <v>2026</v>
      </c>
      <c r="C155" s="167">
        <f>YEAR(Table13[[#This Row],[Date]])</f>
        <v>2025</v>
      </c>
      <c r="D155" s="168">
        <f>Table13[[#This Row],[Date]]-DAY(Table13[[#This Row],[Date]])+1</f>
        <v>45870</v>
      </c>
      <c r="E155" s="167">
        <f t="shared" si="12"/>
        <v>31</v>
      </c>
      <c r="F155" s="169"/>
      <c r="G155" s="176"/>
      <c r="H155" s="176"/>
      <c r="I155" s="176"/>
      <c r="J155" s="176"/>
      <c r="K155" s="171"/>
      <c r="L155" s="170"/>
      <c r="M155" s="170" t="str">
        <f>IFERROR(_xlfn.XLOOKUP($A155,Input_Raw!$A:$A,Input_Raw!BG:BG),"")</f>
        <v/>
      </c>
      <c r="N155" s="170" t="str">
        <f>IFERROR(_xlfn.XLOOKUP($A155,Input_Raw!$A:$A,Input_Raw!BH:BH),"")</f>
        <v/>
      </c>
      <c r="O155" s="173" t="str">
        <f t="shared" si="13"/>
        <v/>
      </c>
      <c r="P155" s="173" t="str">
        <f>IFERROR(1-SUMIF(WTG_BD!$F:$F,$A155,WTG_BD!$AA:$AA)/($AA155+SUMIF(WTG_BD!$F:$F,$A155,WTG_BD!$AA:$AA)),"")</f>
        <v/>
      </c>
      <c r="Q155" s="173" t="str">
        <f>IFERROR(1-SUMIF(IGA_BD!$F:$F,$A155,IGA_BD!$X:$X)/($AA155+SUMIF(IGA_BD!$F:$F,$A155,IGA_BD!$X:$X)),"")</f>
        <v/>
      </c>
      <c r="R155" s="173" t="str">
        <f>IFERROR(1-SUMIF(Grid_BD!$F:$F,$A155,Grid_BD!$Y:$Y)/($AA155+SUMIF(Grid_BD!$F:$F,$A155,Grid_BD!$Y:$Y)),"")</f>
        <v/>
      </c>
      <c r="S155" s="167"/>
      <c r="T155" s="172"/>
      <c r="U155" s="173"/>
      <c r="V155" s="167"/>
      <c r="W155" s="174" t="str">
        <f t="shared" si="14"/>
        <v/>
      </c>
      <c r="X155" s="167" t="str">
        <f>IFERROR(_xlfn.XLOOKUP($A155,Input_Raw!$A:$A,Input_Raw!$BF:$BF),"")</f>
        <v/>
      </c>
      <c r="Y155" s="167" t="str">
        <f>IFERROR(_xlfn.XLOOKUP($A155,Input_Raw!$A:$A,Input_Raw!BJ:BJ),"")</f>
        <v/>
      </c>
      <c r="Z155" s="167" t="str">
        <f>IFERROR(_xlfn.XLOOKUP($A155,Input_Raw!$A:$A,Input_Raw!BK:BK),"")</f>
        <v/>
      </c>
      <c r="AA155" s="167" t="str">
        <f>IFERROR(_xlfn.XLOOKUP($A155,Input_Raw!$A:$A,Input_Raw!BL:BL),"")</f>
        <v/>
      </c>
      <c r="AB155" s="167" t="str">
        <f>IFERROR(_xlfn.XLOOKUP($A155,Input_Raw!$A:$A,Input_Raw!$BO:$BO),"")</f>
        <v/>
      </c>
      <c r="AC155" s="176">
        <f>IFERROR(_xlfn.XLOOKUP($D155,'Modelling New'!$D:$D,'Modelling New'!$J:$J),"")</f>
        <v>9.01</v>
      </c>
      <c r="AD155" s="166">
        <f>IFERROR(_xlfn.XLOOKUP($D155,'Modelling New'!$D:$D,'Modelling New'!$T:$T)*1000,"")</f>
        <v>895729.81265024655</v>
      </c>
      <c r="AE155" s="174"/>
      <c r="AF155" s="174">
        <f>IFERROR(_xlfn.XLOOKUP($D155,'Modelling New'!$D:$D,'Modelling New'!$W:$W),"")</f>
        <v>0.53165349753694591</v>
      </c>
      <c r="AG155" s="174">
        <f>IFERROR(_xlfn.XLOOKUP($D155,'Modelling New'!$D:$D,'Modelling New'!$AE:$AE),"")</f>
        <v>0.96029999999999993</v>
      </c>
      <c r="AH155" s="174">
        <f>IFERROR(_xlfn.XLOOKUP($D155,'Modelling New'!$D:$D,'Modelling New'!$AF:$AF),"")</f>
        <v>0.995</v>
      </c>
      <c r="AI155" s="177" t="str">
        <f>IFERROR(_xlfn.XLOOKUP($A155,Input_Raw!$A:$A,Input_Raw!$BQ:$BQ),"")</f>
        <v/>
      </c>
      <c r="AJ155" s="167"/>
      <c r="AK155" s="167"/>
      <c r="AL155" s="167"/>
      <c r="AM155" s="167"/>
      <c r="AN155" s="175" t="str">
        <f>IFERROR(_xlfn.XLOOKUP($A155,Input_Raw!$A:$A,Input_Raw!$BN:$BN),"")</f>
        <v/>
      </c>
      <c r="AO155" s="174" t="str">
        <f>IFERROR((_xlfn.XLOOKUP($A155,'WTG Reactive Power'!$A:$A,'WTG Reactive Power'!$AE:$AE))/Table13[[#This Row],[Gen_Exp (kWh)]],"")</f>
        <v/>
      </c>
      <c r="AP155" s="174">
        <f>IFERROR(_xlfn.XLOOKUP($D155,'Modelling New'!$D:$D,'Modelling New'!$AK:$AK),"")</f>
        <v>0.05</v>
      </c>
      <c r="AQ155" s="174">
        <f>IFERROR(_xlfn.XLOOKUP($D155,'Modelling New'!$D:$D,'Modelling New'!$AL:$AL),"")</f>
        <v>0.05</v>
      </c>
      <c r="AR155" s="276">
        <f>IFERROR(_xlfn.XLOOKUP($D155,'Modelling New'!$D:$D,'Modelling New'!$N:$N),"")</f>
        <v>70.2</v>
      </c>
      <c r="AS155" s="276"/>
    </row>
    <row r="156" spans="1:45">
      <c r="A156" s="165">
        <f t="shared" si="15"/>
        <v>45899</v>
      </c>
      <c r="B156" s="166">
        <f>YEAR(Table13[[#This Row],[Date]])+IF(MONTH(Table13[[#This Row],[Date]])&gt;=4,1,0)</f>
        <v>2026</v>
      </c>
      <c r="C156" s="167">
        <f>YEAR(Table13[[#This Row],[Date]])</f>
        <v>2025</v>
      </c>
      <c r="D156" s="168">
        <f>Table13[[#This Row],[Date]]-DAY(Table13[[#This Row],[Date]])+1</f>
        <v>45870</v>
      </c>
      <c r="E156" s="167">
        <f t="shared" si="12"/>
        <v>31</v>
      </c>
      <c r="F156" s="169"/>
      <c r="G156" s="170"/>
      <c r="H156" s="170"/>
      <c r="I156" s="170"/>
      <c r="J156" s="170"/>
      <c r="K156" s="171"/>
      <c r="L156" s="170"/>
      <c r="M156" s="170" t="str">
        <f>IFERROR(_xlfn.XLOOKUP($A156,Input_Raw!$A:$A,Input_Raw!BG:BG),"")</f>
        <v/>
      </c>
      <c r="N156" s="170" t="str">
        <f>IFERROR(_xlfn.XLOOKUP($A156,Input_Raw!$A:$A,Input_Raw!BH:BH),"")</f>
        <v/>
      </c>
      <c r="O156" s="173" t="str">
        <f t="shared" si="13"/>
        <v/>
      </c>
      <c r="P156" s="173" t="str">
        <f>IFERROR(1-SUMIF(WTG_BD!$F:$F,$A156,WTG_BD!$AA:$AA)/($AA156+SUMIF(WTG_BD!$F:$F,$A156,WTG_BD!$AA:$AA)),"")</f>
        <v/>
      </c>
      <c r="Q156" s="173" t="str">
        <f>IFERROR(1-SUMIF(IGA_BD!$F:$F,$A156,IGA_BD!$X:$X)/($AA156+SUMIF(IGA_BD!$F:$F,$A156,IGA_BD!$X:$X)),"")</f>
        <v/>
      </c>
      <c r="R156" s="173" t="str">
        <f>IFERROR(1-SUMIF(Grid_BD!$F:$F,$A156,Grid_BD!$Y:$Y)/($AA156+SUMIF(Grid_BD!$F:$F,$A156,Grid_BD!$Y:$Y)),"")</f>
        <v/>
      </c>
      <c r="S156" s="167"/>
      <c r="T156" s="172"/>
      <c r="U156" s="173"/>
      <c r="V156" s="167"/>
      <c r="W156" s="174" t="str">
        <f t="shared" si="14"/>
        <v/>
      </c>
      <c r="X156" s="167" t="str">
        <f>IFERROR(_xlfn.XLOOKUP($A156,Input_Raw!$A:$A,Input_Raw!$BF:$BF),"")</f>
        <v/>
      </c>
      <c r="Y156" s="167" t="str">
        <f>IFERROR(_xlfn.XLOOKUP($A156,Input_Raw!$A:$A,Input_Raw!BJ:BJ),"")</f>
        <v/>
      </c>
      <c r="Z156" s="167" t="str">
        <f>IFERROR(_xlfn.XLOOKUP($A156,Input_Raw!$A:$A,Input_Raw!BK:BK),"")</f>
        <v/>
      </c>
      <c r="AA156" s="167" t="str">
        <f>IFERROR(_xlfn.XLOOKUP($A156,Input_Raw!$A:$A,Input_Raw!BL:BL),"")</f>
        <v/>
      </c>
      <c r="AB156" s="167" t="str">
        <f>IFERROR(_xlfn.XLOOKUP($A156,Input_Raw!$A:$A,Input_Raw!$BO:$BO),"")</f>
        <v/>
      </c>
      <c r="AC156" s="176">
        <f>IFERROR(_xlfn.XLOOKUP($D156,'Modelling New'!$D:$D,'Modelling New'!$J:$J),"")</f>
        <v>9.01</v>
      </c>
      <c r="AD156" s="166">
        <f>IFERROR(_xlfn.XLOOKUP($D156,'Modelling New'!$D:$D,'Modelling New'!$T:$T)*1000,"")</f>
        <v>895729.81265024655</v>
      </c>
      <c r="AE156" s="174"/>
      <c r="AF156" s="174">
        <f>IFERROR(_xlfn.XLOOKUP($D156,'Modelling New'!$D:$D,'Modelling New'!$W:$W),"")</f>
        <v>0.53165349753694591</v>
      </c>
      <c r="AG156" s="174">
        <f>IFERROR(_xlfn.XLOOKUP($D156,'Modelling New'!$D:$D,'Modelling New'!$AE:$AE),"")</f>
        <v>0.96029999999999993</v>
      </c>
      <c r="AH156" s="174">
        <f>IFERROR(_xlfn.XLOOKUP($D156,'Modelling New'!$D:$D,'Modelling New'!$AF:$AF),"")</f>
        <v>0.995</v>
      </c>
      <c r="AI156" s="177" t="str">
        <f>IFERROR(_xlfn.XLOOKUP($A156,Input_Raw!$A:$A,Input_Raw!$BQ:$BQ),"")</f>
        <v/>
      </c>
      <c r="AJ156" s="167"/>
      <c r="AK156" s="167"/>
      <c r="AL156" s="167"/>
      <c r="AM156" s="167"/>
      <c r="AN156" s="175" t="str">
        <f>IFERROR(_xlfn.XLOOKUP($A156,Input_Raw!$A:$A,Input_Raw!$BN:$BN),"")</f>
        <v/>
      </c>
      <c r="AO156" s="174" t="str">
        <f>IFERROR((_xlfn.XLOOKUP($A156,'WTG Reactive Power'!$A:$A,'WTG Reactive Power'!$AE:$AE))/Table13[[#This Row],[Gen_Exp (kWh)]],"")</f>
        <v/>
      </c>
      <c r="AP156" s="174">
        <f>IFERROR(_xlfn.XLOOKUP($D156,'Modelling New'!$D:$D,'Modelling New'!$AK:$AK),"")</f>
        <v>0.05</v>
      </c>
      <c r="AQ156" s="174">
        <f>IFERROR(_xlfn.XLOOKUP($D156,'Modelling New'!$D:$D,'Modelling New'!$AL:$AL),"")</f>
        <v>0.05</v>
      </c>
      <c r="AR156" s="276">
        <f>IFERROR(_xlfn.XLOOKUP($D156,'Modelling New'!$D:$D,'Modelling New'!$N:$N),"")</f>
        <v>70.2</v>
      </c>
      <c r="AS156" s="276"/>
    </row>
    <row r="157" spans="1:45">
      <c r="A157" s="165">
        <f t="shared" si="15"/>
        <v>45900</v>
      </c>
      <c r="B157" s="166">
        <f>YEAR(Table13[[#This Row],[Date]])+IF(MONTH(Table13[[#This Row],[Date]])&gt;=4,1,0)</f>
        <v>2026</v>
      </c>
      <c r="C157" s="167">
        <f>YEAR(Table13[[#This Row],[Date]])</f>
        <v>2025</v>
      </c>
      <c r="D157" s="168">
        <f>Table13[[#This Row],[Date]]-DAY(Table13[[#This Row],[Date]])+1</f>
        <v>45870</v>
      </c>
      <c r="E157" s="167">
        <f t="shared" si="12"/>
        <v>31</v>
      </c>
      <c r="F157" s="169"/>
      <c r="G157" s="176"/>
      <c r="H157" s="176"/>
      <c r="I157" s="176"/>
      <c r="J157" s="176"/>
      <c r="K157" s="171"/>
      <c r="L157" s="170"/>
      <c r="M157" s="170" t="str">
        <f>IFERROR(_xlfn.XLOOKUP($A157,Input_Raw!$A:$A,Input_Raw!BG:BG),"")</f>
        <v/>
      </c>
      <c r="N157" s="170" t="str">
        <f>IFERROR(_xlfn.XLOOKUP($A157,Input_Raw!$A:$A,Input_Raw!BH:BH),"")</f>
        <v/>
      </c>
      <c r="O157" s="173" t="str">
        <f t="shared" si="13"/>
        <v/>
      </c>
      <c r="P157" s="173" t="str">
        <f>IFERROR(1-SUMIF(WTG_BD!$F:$F,$A157,WTG_BD!$AA:$AA)/($AA157+SUMIF(WTG_BD!$F:$F,$A157,WTG_BD!$AA:$AA)),"")</f>
        <v/>
      </c>
      <c r="Q157" s="173" t="str">
        <f>IFERROR(1-SUMIF(IGA_BD!$F:$F,$A157,IGA_BD!$X:$X)/($AA157+SUMIF(IGA_BD!$F:$F,$A157,IGA_BD!$X:$X)),"")</f>
        <v/>
      </c>
      <c r="R157" s="173" t="str">
        <f>IFERROR(1-SUMIF(Grid_BD!$F:$F,$A157,Grid_BD!$Y:$Y)/($AA157+SUMIF(Grid_BD!$F:$F,$A157,Grid_BD!$Y:$Y)),"")</f>
        <v/>
      </c>
      <c r="S157" s="167"/>
      <c r="T157" s="172"/>
      <c r="U157" s="173"/>
      <c r="V157" s="167"/>
      <c r="W157" s="174" t="str">
        <f t="shared" si="14"/>
        <v/>
      </c>
      <c r="X157" s="167" t="str">
        <f>IFERROR(_xlfn.XLOOKUP($A157,Input_Raw!$A:$A,Input_Raw!$BF:$BF),"")</f>
        <v/>
      </c>
      <c r="Y157" s="167" t="str">
        <f>IFERROR(_xlfn.XLOOKUP($A157,Input_Raw!$A:$A,Input_Raw!BJ:BJ),"")</f>
        <v/>
      </c>
      <c r="Z157" s="167" t="str">
        <f>IFERROR(_xlfn.XLOOKUP($A157,Input_Raw!$A:$A,Input_Raw!BK:BK),"")</f>
        <v/>
      </c>
      <c r="AA157" s="167" t="str">
        <f>IFERROR(_xlfn.XLOOKUP($A157,Input_Raw!$A:$A,Input_Raw!BL:BL),"")</f>
        <v/>
      </c>
      <c r="AB157" s="167" t="str">
        <f>IFERROR(_xlfn.XLOOKUP($A157,Input_Raw!$A:$A,Input_Raw!$BO:$BO),"")</f>
        <v/>
      </c>
      <c r="AC157" s="176">
        <f>IFERROR(_xlfn.XLOOKUP($D157,'Modelling New'!$D:$D,'Modelling New'!$J:$J),"")</f>
        <v>9.01</v>
      </c>
      <c r="AD157" s="166">
        <f>IFERROR(_xlfn.XLOOKUP($D157,'Modelling New'!$D:$D,'Modelling New'!$T:$T)*1000,"")</f>
        <v>895729.81265024655</v>
      </c>
      <c r="AE157" s="174"/>
      <c r="AF157" s="174">
        <f>IFERROR(_xlfn.XLOOKUP($D157,'Modelling New'!$D:$D,'Modelling New'!$W:$W),"")</f>
        <v>0.53165349753694591</v>
      </c>
      <c r="AG157" s="174">
        <f>IFERROR(_xlfn.XLOOKUP($D157,'Modelling New'!$D:$D,'Modelling New'!$AE:$AE),"")</f>
        <v>0.96029999999999993</v>
      </c>
      <c r="AH157" s="174">
        <f>IFERROR(_xlfn.XLOOKUP($D157,'Modelling New'!$D:$D,'Modelling New'!$AF:$AF),"")</f>
        <v>0.995</v>
      </c>
      <c r="AI157" s="177" t="str">
        <f>IFERROR(_xlfn.XLOOKUP($A157,Input_Raw!$A:$A,Input_Raw!$BQ:$BQ),"")</f>
        <v/>
      </c>
      <c r="AJ157" s="167"/>
      <c r="AK157" s="167"/>
      <c r="AL157" s="167"/>
      <c r="AM157" s="167"/>
      <c r="AN157" s="175" t="str">
        <f>IFERROR(_xlfn.XLOOKUP($A157,Input_Raw!$A:$A,Input_Raw!$BN:$BN),"")</f>
        <v/>
      </c>
      <c r="AO157" s="174" t="str">
        <f>IFERROR((_xlfn.XLOOKUP($A157,'WTG Reactive Power'!$A:$A,'WTG Reactive Power'!$AE:$AE))/Table13[[#This Row],[Gen_Exp (kWh)]],"")</f>
        <v/>
      </c>
      <c r="AP157" s="174">
        <f>IFERROR(_xlfn.XLOOKUP($D157,'Modelling New'!$D:$D,'Modelling New'!$AK:$AK),"")</f>
        <v>0.05</v>
      </c>
      <c r="AQ157" s="174">
        <f>IFERROR(_xlfn.XLOOKUP($D157,'Modelling New'!$D:$D,'Modelling New'!$AL:$AL),"")</f>
        <v>0.05</v>
      </c>
      <c r="AR157" s="276">
        <f>IFERROR(_xlfn.XLOOKUP($D157,'Modelling New'!$D:$D,'Modelling New'!$N:$N),"")</f>
        <v>70.2</v>
      </c>
      <c r="AS157" s="276"/>
    </row>
    <row r="158" spans="1:45">
      <c r="A158" s="165">
        <f t="shared" si="15"/>
        <v>45901</v>
      </c>
      <c r="B158" s="166">
        <f>YEAR(Table13[[#This Row],[Date]])+IF(MONTH(Table13[[#This Row],[Date]])&gt;=4,1,0)</f>
        <v>2026</v>
      </c>
      <c r="C158" s="167">
        <f>YEAR(Table13[[#This Row],[Date]])</f>
        <v>2025</v>
      </c>
      <c r="D158" s="168">
        <f>Table13[[#This Row],[Date]]-DAY(Table13[[#This Row],[Date]])+1</f>
        <v>45901</v>
      </c>
      <c r="E158" s="167">
        <f t="shared" si="12"/>
        <v>30</v>
      </c>
      <c r="F158" s="169"/>
      <c r="G158" s="170"/>
      <c r="H158" s="170"/>
      <c r="I158" s="170"/>
      <c r="J158" s="170"/>
      <c r="K158" s="171"/>
      <c r="L158" s="170"/>
      <c r="M158" s="170" t="str">
        <f>IFERROR(_xlfn.XLOOKUP($A158,Input_Raw!$A:$A,Input_Raw!BG:BG),"")</f>
        <v/>
      </c>
      <c r="N158" s="170" t="str">
        <f>IFERROR(_xlfn.XLOOKUP($A158,Input_Raw!$A:$A,Input_Raw!BH:BH),"")</f>
        <v/>
      </c>
      <c r="O158" s="173" t="str">
        <f t="shared" si="13"/>
        <v/>
      </c>
      <c r="P158" s="173" t="str">
        <f>IFERROR(1-SUMIF(WTG_BD!$F:$F,$A158,WTG_BD!$AA:$AA)/($AA158+SUMIF(WTG_BD!$F:$F,$A158,WTG_BD!$AA:$AA)),"")</f>
        <v/>
      </c>
      <c r="Q158" s="173" t="str">
        <f>IFERROR(1-SUMIF(IGA_BD!$F:$F,$A158,IGA_BD!$X:$X)/($AA158+SUMIF(IGA_BD!$F:$F,$A158,IGA_BD!$X:$X)),"")</f>
        <v/>
      </c>
      <c r="R158" s="173" t="str">
        <f>IFERROR(1-SUMIF(Grid_BD!$F:$F,$A158,Grid_BD!$Y:$Y)/($AA158+SUMIF(Grid_BD!$F:$F,$A158,Grid_BD!$Y:$Y)),"")</f>
        <v/>
      </c>
      <c r="S158" s="167"/>
      <c r="T158" s="172"/>
      <c r="U158" s="173"/>
      <c r="V158" s="167"/>
      <c r="W158" s="174" t="str">
        <f t="shared" si="14"/>
        <v/>
      </c>
      <c r="X158" s="167" t="str">
        <f>IFERROR(_xlfn.XLOOKUP($A158,Input_Raw!$A:$A,Input_Raw!$BF:$BF),"")</f>
        <v/>
      </c>
      <c r="Y158" s="167" t="str">
        <f>IFERROR(_xlfn.XLOOKUP($A158,Input_Raw!$A:$A,Input_Raw!BJ:BJ),"")</f>
        <v/>
      </c>
      <c r="Z158" s="167" t="str">
        <f>IFERROR(_xlfn.XLOOKUP($A158,Input_Raw!$A:$A,Input_Raw!BK:BK),"")</f>
        <v/>
      </c>
      <c r="AA158" s="167" t="str">
        <f>IFERROR(_xlfn.XLOOKUP($A158,Input_Raw!$A:$A,Input_Raw!BL:BL),"")</f>
        <v/>
      </c>
      <c r="AB158" s="167" t="str">
        <f>IFERROR(_xlfn.XLOOKUP($A158,Input_Raw!$A:$A,Input_Raw!$BO:$BO),"")</f>
        <v/>
      </c>
      <c r="AC158" s="176">
        <f>IFERROR(_xlfn.XLOOKUP($D158,'Modelling New'!$D:$D,'Modelling New'!$J:$J),"")</f>
        <v>8.16</v>
      </c>
      <c r="AD158" s="166">
        <f>IFERROR(_xlfn.XLOOKUP($D158,'Modelling New'!$D:$D,'Modelling New'!$T:$T)*1000,"")</f>
        <v>528999.85312315286</v>
      </c>
      <c r="AE158" s="174"/>
      <c r="AF158" s="174">
        <f>IFERROR(_xlfn.XLOOKUP($D158,'Modelling New'!$D:$D,'Modelling New'!$W:$W),"")</f>
        <v>0.31398376847290649</v>
      </c>
      <c r="AG158" s="174">
        <f>IFERROR(_xlfn.XLOOKUP($D158,'Modelling New'!$D:$D,'Modelling New'!$AE:$AE),"")</f>
        <v>0.96029999999999993</v>
      </c>
      <c r="AH158" s="174">
        <f>IFERROR(_xlfn.XLOOKUP($D158,'Modelling New'!$D:$D,'Modelling New'!$AF:$AF),"")</f>
        <v>0.995</v>
      </c>
      <c r="AI158" s="177" t="str">
        <f>IFERROR(_xlfn.XLOOKUP($A158,Input_Raw!$A:$A,Input_Raw!$BQ:$BQ),"")</f>
        <v/>
      </c>
      <c r="AJ158" s="167"/>
      <c r="AK158" s="167"/>
      <c r="AL158" s="167"/>
      <c r="AM158" s="167"/>
      <c r="AN158" s="175" t="str">
        <f>IFERROR(_xlfn.XLOOKUP($A158,Input_Raw!$A:$A,Input_Raw!$BN:$BN),"")</f>
        <v/>
      </c>
      <c r="AO158" s="174" t="str">
        <f>IFERROR((_xlfn.XLOOKUP($A158,'WTG Reactive Power'!$A:$A,'WTG Reactive Power'!$AE:$AE))/Table13[[#This Row],[Gen_Exp (kWh)]],"")</f>
        <v/>
      </c>
      <c r="AP158" s="174">
        <f>IFERROR(_xlfn.XLOOKUP($D158,'Modelling New'!$D:$D,'Modelling New'!$AK:$AK),"")</f>
        <v>0.05</v>
      </c>
      <c r="AQ158" s="174">
        <f>IFERROR(_xlfn.XLOOKUP($D158,'Modelling New'!$D:$D,'Modelling New'!$AL:$AL),"")</f>
        <v>0.05</v>
      </c>
      <c r="AR158" s="276">
        <f>IFERROR(_xlfn.XLOOKUP($D158,'Modelling New'!$D:$D,'Modelling New'!$N:$N),"")</f>
        <v>70.2</v>
      </c>
      <c r="AS158" s="276"/>
    </row>
    <row r="159" spans="1:45">
      <c r="A159" s="165">
        <f t="shared" si="15"/>
        <v>45902</v>
      </c>
      <c r="B159" s="166">
        <f>YEAR(Table13[[#This Row],[Date]])+IF(MONTH(Table13[[#This Row],[Date]])&gt;=4,1,0)</f>
        <v>2026</v>
      </c>
      <c r="C159" s="167">
        <f>YEAR(Table13[[#This Row],[Date]])</f>
        <v>2025</v>
      </c>
      <c r="D159" s="168">
        <f>Table13[[#This Row],[Date]]-DAY(Table13[[#This Row],[Date]])+1</f>
        <v>45901</v>
      </c>
      <c r="E159" s="167">
        <f t="shared" si="12"/>
        <v>30</v>
      </c>
      <c r="F159" s="169"/>
      <c r="G159" s="176"/>
      <c r="H159" s="176"/>
      <c r="I159" s="176"/>
      <c r="J159" s="176"/>
      <c r="K159" s="171"/>
      <c r="L159" s="170"/>
      <c r="M159" s="170" t="str">
        <f>IFERROR(_xlfn.XLOOKUP($A159,Input_Raw!$A:$A,Input_Raw!BG:BG),"")</f>
        <v/>
      </c>
      <c r="N159" s="170" t="str">
        <f>IFERROR(_xlfn.XLOOKUP($A159,Input_Raw!$A:$A,Input_Raw!BH:BH),"")</f>
        <v/>
      </c>
      <c r="O159" s="173" t="str">
        <f t="shared" si="13"/>
        <v/>
      </c>
      <c r="P159" s="173" t="str">
        <f>IFERROR(1-SUMIF(WTG_BD!$F:$F,$A159,WTG_BD!$AA:$AA)/($AA159+SUMIF(WTG_BD!$F:$F,$A159,WTG_BD!$AA:$AA)),"")</f>
        <v/>
      </c>
      <c r="Q159" s="173" t="str">
        <f>IFERROR(1-SUMIF(IGA_BD!$F:$F,$A159,IGA_BD!$X:$X)/($AA159+SUMIF(IGA_BD!$F:$F,$A159,IGA_BD!$X:$X)),"")</f>
        <v/>
      </c>
      <c r="R159" s="173" t="str">
        <f>IFERROR(1-SUMIF(Grid_BD!$F:$F,$A159,Grid_BD!$Y:$Y)/($AA159+SUMIF(Grid_BD!$F:$F,$A159,Grid_BD!$Y:$Y)),"")</f>
        <v/>
      </c>
      <c r="S159" s="167"/>
      <c r="T159" s="172"/>
      <c r="U159" s="173"/>
      <c r="V159" s="167"/>
      <c r="W159" s="174" t="str">
        <f t="shared" si="14"/>
        <v/>
      </c>
      <c r="X159" s="167" t="str">
        <f>IFERROR(_xlfn.XLOOKUP($A159,Input_Raw!$A:$A,Input_Raw!$BF:$BF),"")</f>
        <v/>
      </c>
      <c r="Y159" s="167" t="str">
        <f>IFERROR(_xlfn.XLOOKUP($A159,Input_Raw!$A:$A,Input_Raw!BJ:BJ),"")</f>
        <v/>
      </c>
      <c r="Z159" s="167" t="str">
        <f>IFERROR(_xlfn.XLOOKUP($A159,Input_Raw!$A:$A,Input_Raw!BK:BK),"")</f>
        <v/>
      </c>
      <c r="AA159" s="167" t="str">
        <f>IFERROR(_xlfn.XLOOKUP($A159,Input_Raw!$A:$A,Input_Raw!BL:BL),"")</f>
        <v/>
      </c>
      <c r="AB159" s="167" t="str">
        <f>IFERROR(_xlfn.XLOOKUP($A159,Input_Raw!$A:$A,Input_Raw!$BO:$BO),"")</f>
        <v/>
      </c>
      <c r="AC159" s="176">
        <f>IFERROR(_xlfn.XLOOKUP($D159,'Modelling New'!$D:$D,'Modelling New'!$J:$J),"")</f>
        <v>8.16</v>
      </c>
      <c r="AD159" s="166">
        <f>IFERROR(_xlfn.XLOOKUP($D159,'Modelling New'!$D:$D,'Modelling New'!$T:$T)*1000,"")</f>
        <v>528999.85312315286</v>
      </c>
      <c r="AE159" s="174"/>
      <c r="AF159" s="174">
        <f>IFERROR(_xlfn.XLOOKUP($D159,'Modelling New'!$D:$D,'Modelling New'!$W:$W),"")</f>
        <v>0.31398376847290649</v>
      </c>
      <c r="AG159" s="174">
        <f>IFERROR(_xlfn.XLOOKUP($D159,'Modelling New'!$D:$D,'Modelling New'!$AE:$AE),"")</f>
        <v>0.96029999999999993</v>
      </c>
      <c r="AH159" s="174">
        <f>IFERROR(_xlfn.XLOOKUP($D159,'Modelling New'!$D:$D,'Modelling New'!$AF:$AF),"")</f>
        <v>0.995</v>
      </c>
      <c r="AI159" s="177" t="str">
        <f>IFERROR(_xlfn.XLOOKUP($A159,Input_Raw!$A:$A,Input_Raw!$BQ:$BQ),"")</f>
        <v/>
      </c>
      <c r="AJ159" s="167"/>
      <c r="AK159" s="167"/>
      <c r="AL159" s="167"/>
      <c r="AM159" s="167"/>
      <c r="AN159" s="175" t="str">
        <f>IFERROR(_xlfn.XLOOKUP($A159,Input_Raw!$A:$A,Input_Raw!$BN:$BN),"")</f>
        <v/>
      </c>
      <c r="AO159" s="174" t="str">
        <f>IFERROR((_xlfn.XLOOKUP($A159,'WTG Reactive Power'!$A:$A,'WTG Reactive Power'!$AE:$AE))/Table13[[#This Row],[Gen_Exp (kWh)]],"")</f>
        <v/>
      </c>
      <c r="AP159" s="174">
        <f>IFERROR(_xlfn.XLOOKUP($D159,'Modelling New'!$D:$D,'Modelling New'!$AK:$AK),"")</f>
        <v>0.05</v>
      </c>
      <c r="AQ159" s="174">
        <f>IFERROR(_xlfn.XLOOKUP($D159,'Modelling New'!$D:$D,'Modelling New'!$AL:$AL),"")</f>
        <v>0.05</v>
      </c>
      <c r="AR159" s="276">
        <f>IFERROR(_xlfn.XLOOKUP($D159,'Modelling New'!$D:$D,'Modelling New'!$N:$N),"")</f>
        <v>70.2</v>
      </c>
      <c r="AS159" s="276"/>
    </row>
    <row r="160" spans="1:45">
      <c r="A160" s="165">
        <f t="shared" si="15"/>
        <v>45903</v>
      </c>
      <c r="B160" s="166">
        <f>YEAR(Table13[[#This Row],[Date]])+IF(MONTH(Table13[[#This Row],[Date]])&gt;=4,1,0)</f>
        <v>2026</v>
      </c>
      <c r="C160" s="167">
        <f>YEAR(Table13[[#This Row],[Date]])</f>
        <v>2025</v>
      </c>
      <c r="D160" s="168">
        <f>Table13[[#This Row],[Date]]-DAY(Table13[[#This Row],[Date]])+1</f>
        <v>45901</v>
      </c>
      <c r="E160" s="167">
        <f t="shared" si="12"/>
        <v>30</v>
      </c>
      <c r="F160" s="169"/>
      <c r="G160" s="170"/>
      <c r="H160" s="170"/>
      <c r="I160" s="170"/>
      <c r="J160" s="170"/>
      <c r="K160" s="171"/>
      <c r="L160" s="170"/>
      <c r="M160" s="170" t="str">
        <f>IFERROR(_xlfn.XLOOKUP($A160,Input_Raw!$A:$A,Input_Raw!BG:BG),"")</f>
        <v/>
      </c>
      <c r="N160" s="170" t="str">
        <f>IFERROR(_xlfn.XLOOKUP($A160,Input_Raw!$A:$A,Input_Raw!BH:BH),"")</f>
        <v/>
      </c>
      <c r="O160" s="173" t="str">
        <f t="shared" si="13"/>
        <v/>
      </c>
      <c r="P160" s="173" t="str">
        <f>IFERROR(1-SUMIF(WTG_BD!$F:$F,$A160,WTG_BD!$AA:$AA)/($AA160+SUMIF(WTG_BD!$F:$F,$A160,WTG_BD!$AA:$AA)),"")</f>
        <v/>
      </c>
      <c r="Q160" s="173" t="str">
        <f>IFERROR(1-SUMIF(IGA_BD!$F:$F,$A160,IGA_BD!$X:$X)/($AA160+SUMIF(IGA_BD!$F:$F,$A160,IGA_BD!$X:$X)),"")</f>
        <v/>
      </c>
      <c r="R160" s="173" t="str">
        <f>IFERROR(1-SUMIF(Grid_BD!$F:$F,$A160,Grid_BD!$Y:$Y)/($AA160+SUMIF(Grid_BD!$F:$F,$A160,Grid_BD!$Y:$Y)),"")</f>
        <v/>
      </c>
      <c r="S160" s="167"/>
      <c r="T160" s="172"/>
      <c r="U160" s="173"/>
      <c r="V160" s="167"/>
      <c r="W160" s="174" t="str">
        <f t="shared" si="14"/>
        <v/>
      </c>
      <c r="X160" s="167" t="str">
        <f>IFERROR(_xlfn.XLOOKUP($A160,Input_Raw!$A:$A,Input_Raw!$BF:$BF),"")</f>
        <v/>
      </c>
      <c r="Y160" s="167" t="str">
        <f>IFERROR(_xlfn.XLOOKUP($A160,Input_Raw!$A:$A,Input_Raw!BJ:BJ),"")</f>
        <v/>
      </c>
      <c r="Z160" s="167" t="str">
        <f>IFERROR(_xlfn.XLOOKUP($A160,Input_Raw!$A:$A,Input_Raw!BK:BK),"")</f>
        <v/>
      </c>
      <c r="AA160" s="167" t="str">
        <f>IFERROR(_xlfn.XLOOKUP($A160,Input_Raw!$A:$A,Input_Raw!BL:BL),"")</f>
        <v/>
      </c>
      <c r="AB160" s="167" t="str">
        <f>IFERROR(_xlfn.XLOOKUP($A160,Input_Raw!$A:$A,Input_Raw!$BO:$BO),"")</f>
        <v/>
      </c>
      <c r="AC160" s="176">
        <f>IFERROR(_xlfn.XLOOKUP($D160,'Modelling New'!$D:$D,'Modelling New'!$J:$J),"")</f>
        <v>8.16</v>
      </c>
      <c r="AD160" s="166">
        <f>IFERROR(_xlfn.XLOOKUP($D160,'Modelling New'!$D:$D,'Modelling New'!$T:$T)*1000,"")</f>
        <v>528999.85312315286</v>
      </c>
      <c r="AE160" s="174"/>
      <c r="AF160" s="174">
        <f>IFERROR(_xlfn.XLOOKUP($D160,'Modelling New'!$D:$D,'Modelling New'!$W:$W),"")</f>
        <v>0.31398376847290649</v>
      </c>
      <c r="AG160" s="174">
        <f>IFERROR(_xlfn.XLOOKUP($D160,'Modelling New'!$D:$D,'Modelling New'!$AE:$AE),"")</f>
        <v>0.96029999999999993</v>
      </c>
      <c r="AH160" s="174">
        <f>IFERROR(_xlfn.XLOOKUP($D160,'Modelling New'!$D:$D,'Modelling New'!$AF:$AF),"")</f>
        <v>0.995</v>
      </c>
      <c r="AI160" s="177" t="str">
        <f>IFERROR(_xlfn.XLOOKUP($A160,Input_Raw!$A:$A,Input_Raw!$BQ:$BQ),"")</f>
        <v/>
      </c>
      <c r="AJ160" s="167"/>
      <c r="AK160" s="167"/>
      <c r="AL160" s="167"/>
      <c r="AM160" s="167"/>
      <c r="AN160" s="175" t="str">
        <f>IFERROR(_xlfn.XLOOKUP($A160,Input_Raw!$A:$A,Input_Raw!$BN:$BN),"")</f>
        <v/>
      </c>
      <c r="AO160" s="174" t="str">
        <f>IFERROR((_xlfn.XLOOKUP($A160,'WTG Reactive Power'!$A:$A,'WTG Reactive Power'!$AE:$AE))/Table13[[#This Row],[Gen_Exp (kWh)]],"")</f>
        <v/>
      </c>
      <c r="AP160" s="174">
        <f>IFERROR(_xlfn.XLOOKUP($D160,'Modelling New'!$D:$D,'Modelling New'!$AK:$AK),"")</f>
        <v>0.05</v>
      </c>
      <c r="AQ160" s="174">
        <f>IFERROR(_xlfn.XLOOKUP($D160,'Modelling New'!$D:$D,'Modelling New'!$AL:$AL),"")</f>
        <v>0.05</v>
      </c>
      <c r="AR160" s="276">
        <f>IFERROR(_xlfn.XLOOKUP($D160,'Modelling New'!$D:$D,'Modelling New'!$N:$N),"")</f>
        <v>70.2</v>
      </c>
      <c r="AS160" s="276"/>
    </row>
    <row r="161" spans="1:45">
      <c r="A161" s="165">
        <f t="shared" si="15"/>
        <v>45904</v>
      </c>
      <c r="B161" s="166">
        <f>YEAR(Table13[[#This Row],[Date]])+IF(MONTH(Table13[[#This Row],[Date]])&gt;=4,1,0)</f>
        <v>2026</v>
      </c>
      <c r="C161" s="167">
        <f>YEAR(Table13[[#This Row],[Date]])</f>
        <v>2025</v>
      </c>
      <c r="D161" s="168">
        <f>Table13[[#This Row],[Date]]-DAY(Table13[[#This Row],[Date]])+1</f>
        <v>45901</v>
      </c>
      <c r="E161" s="167">
        <f t="shared" si="12"/>
        <v>30</v>
      </c>
      <c r="F161" s="169"/>
      <c r="G161" s="176"/>
      <c r="H161" s="176"/>
      <c r="I161" s="176"/>
      <c r="J161" s="176"/>
      <c r="K161" s="171"/>
      <c r="L161" s="170"/>
      <c r="M161" s="170" t="str">
        <f>IFERROR(_xlfn.XLOOKUP($A161,Input_Raw!$A:$A,Input_Raw!BG:BG),"")</f>
        <v/>
      </c>
      <c r="N161" s="170" t="str">
        <f>IFERROR(_xlfn.XLOOKUP($A161,Input_Raw!$A:$A,Input_Raw!BH:BH),"")</f>
        <v/>
      </c>
      <c r="O161" s="173" t="str">
        <f t="shared" si="13"/>
        <v/>
      </c>
      <c r="P161" s="173" t="str">
        <f>IFERROR(1-SUMIF(WTG_BD!$F:$F,$A161,WTG_BD!$AA:$AA)/($AA161+SUMIF(WTG_BD!$F:$F,$A161,WTG_BD!$AA:$AA)),"")</f>
        <v/>
      </c>
      <c r="Q161" s="173" t="str">
        <f>IFERROR(1-SUMIF(IGA_BD!$F:$F,$A161,IGA_BD!$X:$X)/($AA161+SUMIF(IGA_BD!$F:$F,$A161,IGA_BD!$X:$X)),"")</f>
        <v/>
      </c>
      <c r="R161" s="173" t="str">
        <f>IFERROR(1-SUMIF(Grid_BD!$F:$F,$A161,Grid_BD!$Y:$Y)/($AA161+SUMIF(Grid_BD!$F:$F,$A161,Grid_BD!$Y:$Y)),"")</f>
        <v/>
      </c>
      <c r="S161" s="167"/>
      <c r="T161" s="172"/>
      <c r="U161" s="173"/>
      <c r="V161" s="167"/>
      <c r="W161" s="174" t="str">
        <f t="shared" si="14"/>
        <v/>
      </c>
      <c r="X161" s="167" t="str">
        <f>IFERROR(_xlfn.XLOOKUP($A161,Input_Raw!$A:$A,Input_Raw!$BF:$BF),"")</f>
        <v/>
      </c>
      <c r="Y161" s="167" t="str">
        <f>IFERROR(_xlfn.XLOOKUP($A161,Input_Raw!$A:$A,Input_Raw!BJ:BJ),"")</f>
        <v/>
      </c>
      <c r="Z161" s="167" t="str">
        <f>IFERROR(_xlfn.XLOOKUP($A161,Input_Raw!$A:$A,Input_Raw!BK:BK),"")</f>
        <v/>
      </c>
      <c r="AA161" s="167" t="str">
        <f>IFERROR(_xlfn.XLOOKUP($A161,Input_Raw!$A:$A,Input_Raw!BL:BL),"")</f>
        <v/>
      </c>
      <c r="AB161" s="167" t="str">
        <f>IFERROR(_xlfn.XLOOKUP($A161,Input_Raw!$A:$A,Input_Raw!$BO:$BO),"")</f>
        <v/>
      </c>
      <c r="AC161" s="176">
        <f>IFERROR(_xlfn.XLOOKUP($D161,'Modelling New'!$D:$D,'Modelling New'!$J:$J),"")</f>
        <v>8.16</v>
      </c>
      <c r="AD161" s="166">
        <f>IFERROR(_xlfn.XLOOKUP($D161,'Modelling New'!$D:$D,'Modelling New'!$T:$T)*1000,"")</f>
        <v>528999.85312315286</v>
      </c>
      <c r="AE161" s="174"/>
      <c r="AF161" s="174">
        <f>IFERROR(_xlfn.XLOOKUP($D161,'Modelling New'!$D:$D,'Modelling New'!$W:$W),"")</f>
        <v>0.31398376847290649</v>
      </c>
      <c r="AG161" s="174">
        <f>IFERROR(_xlfn.XLOOKUP($D161,'Modelling New'!$D:$D,'Modelling New'!$AE:$AE),"")</f>
        <v>0.96029999999999993</v>
      </c>
      <c r="AH161" s="174">
        <f>IFERROR(_xlfn.XLOOKUP($D161,'Modelling New'!$D:$D,'Modelling New'!$AF:$AF),"")</f>
        <v>0.995</v>
      </c>
      <c r="AI161" s="177" t="str">
        <f>IFERROR(_xlfn.XLOOKUP($A161,Input_Raw!$A:$A,Input_Raw!$BQ:$BQ),"")</f>
        <v/>
      </c>
      <c r="AJ161" s="167"/>
      <c r="AK161" s="167"/>
      <c r="AL161" s="167"/>
      <c r="AM161" s="167"/>
      <c r="AN161" s="175" t="str">
        <f>IFERROR(_xlfn.XLOOKUP($A161,Input_Raw!$A:$A,Input_Raw!$BN:$BN),"")</f>
        <v/>
      </c>
      <c r="AO161" s="174" t="str">
        <f>IFERROR((_xlfn.XLOOKUP($A161,'WTG Reactive Power'!$A:$A,'WTG Reactive Power'!$AE:$AE))/Table13[[#This Row],[Gen_Exp (kWh)]],"")</f>
        <v/>
      </c>
      <c r="AP161" s="174">
        <f>IFERROR(_xlfn.XLOOKUP($D161,'Modelling New'!$D:$D,'Modelling New'!$AK:$AK),"")</f>
        <v>0.05</v>
      </c>
      <c r="AQ161" s="174">
        <f>IFERROR(_xlfn.XLOOKUP($D161,'Modelling New'!$D:$D,'Modelling New'!$AL:$AL),"")</f>
        <v>0.05</v>
      </c>
      <c r="AR161" s="276">
        <f>IFERROR(_xlfn.XLOOKUP($D161,'Modelling New'!$D:$D,'Modelling New'!$N:$N),"")</f>
        <v>70.2</v>
      </c>
      <c r="AS161" s="276"/>
    </row>
    <row r="162" spans="1:45">
      <c r="A162" s="165">
        <f t="shared" si="15"/>
        <v>45905</v>
      </c>
      <c r="B162" s="166">
        <f>YEAR(Table13[[#This Row],[Date]])+IF(MONTH(Table13[[#This Row],[Date]])&gt;=4,1,0)</f>
        <v>2026</v>
      </c>
      <c r="C162" s="167">
        <f>YEAR(Table13[[#This Row],[Date]])</f>
        <v>2025</v>
      </c>
      <c r="D162" s="168">
        <f>Table13[[#This Row],[Date]]-DAY(Table13[[#This Row],[Date]])+1</f>
        <v>45901</v>
      </c>
      <c r="E162" s="167">
        <f t="shared" si="12"/>
        <v>30</v>
      </c>
      <c r="F162" s="169"/>
      <c r="G162" s="170"/>
      <c r="H162" s="170"/>
      <c r="I162" s="170"/>
      <c r="J162" s="170"/>
      <c r="K162" s="171"/>
      <c r="L162" s="170"/>
      <c r="M162" s="170" t="str">
        <f>IFERROR(_xlfn.XLOOKUP($A162,Input_Raw!$A:$A,Input_Raw!BG:BG),"")</f>
        <v/>
      </c>
      <c r="N162" s="170" t="str">
        <f>IFERROR(_xlfn.XLOOKUP($A162,Input_Raw!$A:$A,Input_Raw!BH:BH),"")</f>
        <v/>
      </c>
      <c r="O162" s="173" t="str">
        <f t="shared" si="13"/>
        <v/>
      </c>
      <c r="P162" s="173" t="str">
        <f>IFERROR(1-SUMIF(WTG_BD!$F:$F,$A162,WTG_BD!$AA:$AA)/($AA162+SUMIF(WTG_BD!$F:$F,$A162,WTG_BD!$AA:$AA)),"")</f>
        <v/>
      </c>
      <c r="Q162" s="173" t="str">
        <f>IFERROR(1-SUMIF(IGA_BD!$F:$F,$A162,IGA_BD!$X:$X)/($AA162+SUMIF(IGA_BD!$F:$F,$A162,IGA_BD!$X:$X)),"")</f>
        <v/>
      </c>
      <c r="R162" s="173" t="str">
        <f>IFERROR(1-SUMIF(Grid_BD!$F:$F,$A162,Grid_BD!$Y:$Y)/($AA162+SUMIF(Grid_BD!$F:$F,$A162,Grid_BD!$Y:$Y)),"")</f>
        <v/>
      </c>
      <c r="S162" s="167"/>
      <c r="T162" s="172"/>
      <c r="U162" s="173"/>
      <c r="V162" s="167"/>
      <c r="W162" s="174" t="str">
        <f t="shared" si="14"/>
        <v/>
      </c>
      <c r="X162" s="167" t="str">
        <f>IFERROR(_xlfn.XLOOKUP($A162,Input_Raw!$A:$A,Input_Raw!$BF:$BF),"")</f>
        <v/>
      </c>
      <c r="Y162" s="167" t="str">
        <f>IFERROR(_xlfn.XLOOKUP($A162,Input_Raw!$A:$A,Input_Raw!BJ:BJ),"")</f>
        <v/>
      </c>
      <c r="Z162" s="167" t="str">
        <f>IFERROR(_xlfn.XLOOKUP($A162,Input_Raw!$A:$A,Input_Raw!BK:BK),"")</f>
        <v/>
      </c>
      <c r="AA162" s="167" t="str">
        <f>IFERROR(_xlfn.XLOOKUP($A162,Input_Raw!$A:$A,Input_Raw!BL:BL),"")</f>
        <v/>
      </c>
      <c r="AB162" s="167" t="str">
        <f>IFERROR(_xlfn.XLOOKUP($A162,Input_Raw!$A:$A,Input_Raw!$BO:$BO),"")</f>
        <v/>
      </c>
      <c r="AC162" s="176">
        <f>IFERROR(_xlfn.XLOOKUP($D162,'Modelling New'!$D:$D,'Modelling New'!$J:$J),"")</f>
        <v>8.16</v>
      </c>
      <c r="AD162" s="166">
        <f>IFERROR(_xlfn.XLOOKUP($D162,'Modelling New'!$D:$D,'Modelling New'!$T:$T)*1000,"")</f>
        <v>528999.85312315286</v>
      </c>
      <c r="AE162" s="174"/>
      <c r="AF162" s="174">
        <f>IFERROR(_xlfn.XLOOKUP($D162,'Modelling New'!$D:$D,'Modelling New'!$W:$W),"")</f>
        <v>0.31398376847290649</v>
      </c>
      <c r="AG162" s="174">
        <f>IFERROR(_xlfn.XLOOKUP($D162,'Modelling New'!$D:$D,'Modelling New'!$AE:$AE),"")</f>
        <v>0.96029999999999993</v>
      </c>
      <c r="AH162" s="174">
        <f>IFERROR(_xlfn.XLOOKUP($D162,'Modelling New'!$D:$D,'Modelling New'!$AF:$AF),"")</f>
        <v>0.995</v>
      </c>
      <c r="AI162" s="177" t="str">
        <f>IFERROR(_xlfn.XLOOKUP($A162,Input_Raw!$A:$A,Input_Raw!$BQ:$BQ),"")</f>
        <v/>
      </c>
      <c r="AJ162" s="167"/>
      <c r="AK162" s="167"/>
      <c r="AL162" s="167"/>
      <c r="AM162" s="167"/>
      <c r="AN162" s="175" t="str">
        <f>IFERROR(_xlfn.XLOOKUP($A162,Input_Raw!$A:$A,Input_Raw!$BN:$BN),"")</f>
        <v/>
      </c>
      <c r="AO162" s="174" t="str">
        <f>IFERROR((_xlfn.XLOOKUP($A162,'WTG Reactive Power'!$A:$A,'WTG Reactive Power'!$AE:$AE))/Table13[[#This Row],[Gen_Exp (kWh)]],"")</f>
        <v/>
      </c>
      <c r="AP162" s="174">
        <f>IFERROR(_xlfn.XLOOKUP($D162,'Modelling New'!$D:$D,'Modelling New'!$AK:$AK),"")</f>
        <v>0.05</v>
      </c>
      <c r="AQ162" s="174">
        <f>IFERROR(_xlfn.XLOOKUP($D162,'Modelling New'!$D:$D,'Modelling New'!$AL:$AL),"")</f>
        <v>0.05</v>
      </c>
      <c r="AR162" s="276">
        <f>IFERROR(_xlfn.XLOOKUP($D162,'Modelling New'!$D:$D,'Modelling New'!$N:$N),"")</f>
        <v>70.2</v>
      </c>
      <c r="AS162" s="276"/>
    </row>
    <row r="163" spans="1:45">
      <c r="A163" s="165">
        <f t="shared" si="15"/>
        <v>45906</v>
      </c>
      <c r="B163" s="166">
        <f>YEAR(Table13[[#This Row],[Date]])+IF(MONTH(Table13[[#This Row],[Date]])&gt;=4,1,0)</f>
        <v>2026</v>
      </c>
      <c r="C163" s="167">
        <f>YEAR(Table13[[#This Row],[Date]])</f>
        <v>2025</v>
      </c>
      <c r="D163" s="168">
        <f>Table13[[#This Row],[Date]]-DAY(Table13[[#This Row],[Date]])+1</f>
        <v>45901</v>
      </c>
      <c r="E163" s="167">
        <f t="shared" si="12"/>
        <v>30</v>
      </c>
      <c r="F163" s="169"/>
      <c r="G163" s="176"/>
      <c r="H163" s="176"/>
      <c r="I163" s="176"/>
      <c r="J163" s="176"/>
      <c r="K163" s="171"/>
      <c r="L163" s="170"/>
      <c r="M163" s="170" t="str">
        <f>IFERROR(_xlfn.XLOOKUP($A163,Input_Raw!$A:$A,Input_Raw!BG:BG),"")</f>
        <v/>
      </c>
      <c r="N163" s="170" t="str">
        <f>IFERROR(_xlfn.XLOOKUP($A163,Input_Raw!$A:$A,Input_Raw!BH:BH),"")</f>
        <v/>
      </c>
      <c r="O163" s="173" t="str">
        <f t="shared" si="13"/>
        <v/>
      </c>
      <c r="P163" s="173" t="str">
        <f>IFERROR(1-SUMIF(WTG_BD!$F:$F,$A163,WTG_BD!$AA:$AA)/($AA163+SUMIF(WTG_BD!$F:$F,$A163,WTG_BD!$AA:$AA)),"")</f>
        <v/>
      </c>
      <c r="Q163" s="173" t="str">
        <f>IFERROR(1-SUMIF(IGA_BD!$F:$F,$A163,IGA_BD!$X:$X)/($AA163+SUMIF(IGA_BD!$F:$F,$A163,IGA_BD!$X:$X)),"")</f>
        <v/>
      </c>
      <c r="R163" s="173" t="str">
        <f>IFERROR(1-SUMIF(Grid_BD!$F:$F,$A163,Grid_BD!$Y:$Y)/($AA163+SUMIF(Grid_BD!$F:$F,$A163,Grid_BD!$Y:$Y)),"")</f>
        <v/>
      </c>
      <c r="S163" s="167"/>
      <c r="T163" s="172"/>
      <c r="U163" s="173"/>
      <c r="V163" s="167"/>
      <c r="W163" s="174" t="str">
        <f t="shared" si="14"/>
        <v/>
      </c>
      <c r="X163" s="167" t="str">
        <f>IFERROR(_xlfn.XLOOKUP($A163,Input_Raw!$A:$A,Input_Raw!$BF:$BF),"")</f>
        <v/>
      </c>
      <c r="Y163" s="167" t="str">
        <f>IFERROR(_xlfn.XLOOKUP($A163,Input_Raw!$A:$A,Input_Raw!BJ:BJ),"")</f>
        <v/>
      </c>
      <c r="Z163" s="167" t="str">
        <f>IFERROR(_xlfn.XLOOKUP($A163,Input_Raw!$A:$A,Input_Raw!BK:BK),"")</f>
        <v/>
      </c>
      <c r="AA163" s="167" t="str">
        <f>IFERROR(_xlfn.XLOOKUP($A163,Input_Raw!$A:$A,Input_Raw!BL:BL),"")</f>
        <v/>
      </c>
      <c r="AB163" s="167" t="str">
        <f>IFERROR(_xlfn.XLOOKUP($A163,Input_Raw!$A:$A,Input_Raw!$BO:$BO),"")</f>
        <v/>
      </c>
      <c r="AC163" s="176">
        <f>IFERROR(_xlfn.XLOOKUP($D163,'Modelling New'!$D:$D,'Modelling New'!$J:$J),"")</f>
        <v>8.16</v>
      </c>
      <c r="AD163" s="166">
        <f>IFERROR(_xlfn.XLOOKUP($D163,'Modelling New'!$D:$D,'Modelling New'!$T:$T)*1000,"")</f>
        <v>528999.85312315286</v>
      </c>
      <c r="AE163" s="174"/>
      <c r="AF163" s="174">
        <f>IFERROR(_xlfn.XLOOKUP($D163,'Modelling New'!$D:$D,'Modelling New'!$W:$W),"")</f>
        <v>0.31398376847290649</v>
      </c>
      <c r="AG163" s="174">
        <f>IFERROR(_xlfn.XLOOKUP($D163,'Modelling New'!$D:$D,'Modelling New'!$AE:$AE),"")</f>
        <v>0.96029999999999993</v>
      </c>
      <c r="AH163" s="174">
        <f>IFERROR(_xlfn.XLOOKUP($D163,'Modelling New'!$D:$D,'Modelling New'!$AF:$AF),"")</f>
        <v>0.995</v>
      </c>
      <c r="AI163" s="177" t="str">
        <f>IFERROR(_xlfn.XLOOKUP($A163,Input_Raw!$A:$A,Input_Raw!$BQ:$BQ),"")</f>
        <v/>
      </c>
      <c r="AJ163" s="167"/>
      <c r="AK163" s="167"/>
      <c r="AL163" s="167"/>
      <c r="AM163" s="167"/>
      <c r="AN163" s="175" t="str">
        <f>IFERROR(_xlfn.XLOOKUP($A163,Input_Raw!$A:$A,Input_Raw!$BN:$BN),"")</f>
        <v/>
      </c>
      <c r="AO163" s="174" t="str">
        <f>IFERROR((_xlfn.XLOOKUP($A163,'WTG Reactive Power'!$A:$A,'WTG Reactive Power'!$AE:$AE))/Table13[[#This Row],[Gen_Exp (kWh)]],"")</f>
        <v/>
      </c>
      <c r="AP163" s="174">
        <f>IFERROR(_xlfn.XLOOKUP($D163,'Modelling New'!$D:$D,'Modelling New'!$AK:$AK),"")</f>
        <v>0.05</v>
      </c>
      <c r="AQ163" s="174">
        <f>IFERROR(_xlfn.XLOOKUP($D163,'Modelling New'!$D:$D,'Modelling New'!$AL:$AL),"")</f>
        <v>0.05</v>
      </c>
      <c r="AR163" s="276">
        <f>IFERROR(_xlfn.XLOOKUP($D163,'Modelling New'!$D:$D,'Modelling New'!$N:$N),"")</f>
        <v>70.2</v>
      </c>
      <c r="AS163" s="276"/>
    </row>
    <row r="164" spans="1:45">
      <c r="A164" s="165">
        <f t="shared" si="15"/>
        <v>45907</v>
      </c>
      <c r="B164" s="166">
        <f>YEAR(Table13[[#This Row],[Date]])+IF(MONTH(Table13[[#This Row],[Date]])&gt;=4,1,0)</f>
        <v>2026</v>
      </c>
      <c r="C164" s="167">
        <f>YEAR(Table13[[#This Row],[Date]])</f>
        <v>2025</v>
      </c>
      <c r="D164" s="168">
        <f>Table13[[#This Row],[Date]]-DAY(Table13[[#This Row],[Date]])+1</f>
        <v>45901</v>
      </c>
      <c r="E164" s="167">
        <f t="shared" si="12"/>
        <v>30</v>
      </c>
      <c r="F164" s="169"/>
      <c r="G164" s="170"/>
      <c r="H164" s="170"/>
      <c r="I164" s="170"/>
      <c r="J164" s="170"/>
      <c r="K164" s="171"/>
      <c r="L164" s="170"/>
      <c r="M164" s="170" t="str">
        <f>IFERROR(_xlfn.XLOOKUP($A164,Input_Raw!$A:$A,Input_Raw!BG:BG),"")</f>
        <v/>
      </c>
      <c r="N164" s="170" t="str">
        <f>IFERROR(_xlfn.XLOOKUP($A164,Input_Raw!$A:$A,Input_Raw!BH:BH),"")</f>
        <v/>
      </c>
      <c r="O164" s="173" t="str">
        <f t="shared" si="13"/>
        <v/>
      </c>
      <c r="P164" s="173" t="str">
        <f>IFERROR(1-SUMIF(WTG_BD!$F:$F,$A164,WTG_BD!$AA:$AA)/($AA164+SUMIF(WTG_BD!$F:$F,$A164,WTG_BD!$AA:$AA)),"")</f>
        <v/>
      </c>
      <c r="Q164" s="173" t="str">
        <f>IFERROR(1-SUMIF(IGA_BD!$F:$F,$A164,IGA_BD!$X:$X)/($AA164+SUMIF(IGA_BD!$F:$F,$A164,IGA_BD!$X:$X)),"")</f>
        <v/>
      </c>
      <c r="R164" s="173" t="str">
        <f>IFERROR(1-SUMIF(Grid_BD!$F:$F,$A164,Grid_BD!$Y:$Y)/($AA164+SUMIF(Grid_BD!$F:$F,$A164,Grid_BD!$Y:$Y)),"")</f>
        <v/>
      </c>
      <c r="S164" s="167"/>
      <c r="T164" s="172"/>
      <c r="U164" s="173"/>
      <c r="V164" s="167"/>
      <c r="W164" s="174" t="str">
        <f t="shared" si="14"/>
        <v/>
      </c>
      <c r="X164" s="167" t="str">
        <f>IFERROR(_xlfn.XLOOKUP($A164,Input_Raw!$A:$A,Input_Raw!$BF:$BF),"")</f>
        <v/>
      </c>
      <c r="Y164" s="167" t="str">
        <f>IFERROR(_xlfn.XLOOKUP($A164,Input_Raw!$A:$A,Input_Raw!BJ:BJ),"")</f>
        <v/>
      </c>
      <c r="Z164" s="167" t="str">
        <f>IFERROR(_xlfn.XLOOKUP($A164,Input_Raw!$A:$A,Input_Raw!BK:BK),"")</f>
        <v/>
      </c>
      <c r="AA164" s="167" t="str">
        <f>IFERROR(_xlfn.XLOOKUP($A164,Input_Raw!$A:$A,Input_Raw!BL:BL),"")</f>
        <v/>
      </c>
      <c r="AB164" s="167" t="str">
        <f>IFERROR(_xlfn.XLOOKUP($A164,Input_Raw!$A:$A,Input_Raw!$BO:$BO),"")</f>
        <v/>
      </c>
      <c r="AC164" s="176">
        <f>IFERROR(_xlfn.XLOOKUP($D164,'Modelling New'!$D:$D,'Modelling New'!$J:$J),"")</f>
        <v>8.16</v>
      </c>
      <c r="AD164" s="166">
        <f>IFERROR(_xlfn.XLOOKUP($D164,'Modelling New'!$D:$D,'Modelling New'!$T:$T)*1000,"")</f>
        <v>528999.85312315286</v>
      </c>
      <c r="AE164" s="174"/>
      <c r="AF164" s="174">
        <f>IFERROR(_xlfn.XLOOKUP($D164,'Modelling New'!$D:$D,'Modelling New'!$W:$W),"")</f>
        <v>0.31398376847290649</v>
      </c>
      <c r="AG164" s="174">
        <f>IFERROR(_xlfn.XLOOKUP($D164,'Modelling New'!$D:$D,'Modelling New'!$AE:$AE),"")</f>
        <v>0.96029999999999993</v>
      </c>
      <c r="AH164" s="174">
        <f>IFERROR(_xlfn.XLOOKUP($D164,'Modelling New'!$D:$D,'Modelling New'!$AF:$AF),"")</f>
        <v>0.995</v>
      </c>
      <c r="AI164" s="177" t="str">
        <f>IFERROR(_xlfn.XLOOKUP($A164,Input_Raw!$A:$A,Input_Raw!$BQ:$BQ),"")</f>
        <v/>
      </c>
      <c r="AJ164" s="167"/>
      <c r="AK164" s="167"/>
      <c r="AL164" s="167"/>
      <c r="AM164" s="167"/>
      <c r="AN164" s="175" t="str">
        <f>IFERROR(_xlfn.XLOOKUP($A164,Input_Raw!$A:$A,Input_Raw!$BN:$BN),"")</f>
        <v/>
      </c>
      <c r="AO164" s="174" t="str">
        <f>IFERROR((_xlfn.XLOOKUP($A164,'WTG Reactive Power'!$A:$A,'WTG Reactive Power'!$AE:$AE))/Table13[[#This Row],[Gen_Exp (kWh)]],"")</f>
        <v/>
      </c>
      <c r="AP164" s="174">
        <f>IFERROR(_xlfn.XLOOKUP($D164,'Modelling New'!$D:$D,'Modelling New'!$AK:$AK),"")</f>
        <v>0.05</v>
      </c>
      <c r="AQ164" s="174">
        <f>IFERROR(_xlfn.XLOOKUP($D164,'Modelling New'!$D:$D,'Modelling New'!$AL:$AL),"")</f>
        <v>0.05</v>
      </c>
      <c r="AR164" s="276">
        <f>IFERROR(_xlfn.XLOOKUP($D164,'Modelling New'!$D:$D,'Modelling New'!$N:$N),"")</f>
        <v>70.2</v>
      </c>
      <c r="AS164" s="276"/>
    </row>
    <row r="165" spans="1:45">
      <c r="A165" s="165">
        <f t="shared" si="15"/>
        <v>45908</v>
      </c>
      <c r="B165" s="166">
        <f>YEAR(Table13[[#This Row],[Date]])+IF(MONTH(Table13[[#This Row],[Date]])&gt;=4,1,0)</f>
        <v>2026</v>
      </c>
      <c r="C165" s="167">
        <f>YEAR(Table13[[#This Row],[Date]])</f>
        <v>2025</v>
      </c>
      <c r="D165" s="168">
        <f>Table13[[#This Row],[Date]]-DAY(Table13[[#This Row],[Date]])+1</f>
        <v>45901</v>
      </c>
      <c r="E165" s="167">
        <f t="shared" si="12"/>
        <v>30</v>
      </c>
      <c r="F165" s="169"/>
      <c r="G165" s="176"/>
      <c r="H165" s="176"/>
      <c r="I165" s="176"/>
      <c r="J165" s="176"/>
      <c r="K165" s="171"/>
      <c r="L165" s="170"/>
      <c r="M165" s="170" t="str">
        <f>IFERROR(_xlfn.XLOOKUP($A165,Input_Raw!$A:$A,Input_Raw!BG:BG),"")</f>
        <v/>
      </c>
      <c r="N165" s="170" t="str">
        <f>IFERROR(_xlfn.XLOOKUP($A165,Input_Raw!$A:$A,Input_Raw!BH:BH),"")</f>
        <v/>
      </c>
      <c r="O165" s="173" t="str">
        <f t="shared" si="13"/>
        <v/>
      </c>
      <c r="P165" s="173" t="str">
        <f>IFERROR(1-SUMIF(WTG_BD!$F:$F,$A165,WTG_BD!$AA:$AA)/($AA165+SUMIF(WTG_BD!$F:$F,$A165,WTG_BD!$AA:$AA)),"")</f>
        <v/>
      </c>
      <c r="Q165" s="173" t="str">
        <f>IFERROR(1-SUMIF(IGA_BD!$F:$F,$A165,IGA_BD!$X:$X)/($AA165+SUMIF(IGA_BD!$F:$F,$A165,IGA_BD!$X:$X)),"")</f>
        <v/>
      </c>
      <c r="R165" s="173" t="str">
        <f>IFERROR(1-SUMIF(Grid_BD!$F:$F,$A165,Grid_BD!$Y:$Y)/($AA165+SUMIF(Grid_BD!$F:$F,$A165,Grid_BD!$Y:$Y)),"")</f>
        <v/>
      </c>
      <c r="S165" s="167"/>
      <c r="T165" s="172"/>
      <c r="U165" s="173"/>
      <c r="V165" s="167"/>
      <c r="W165" s="174" t="str">
        <f t="shared" si="14"/>
        <v/>
      </c>
      <c r="X165" s="167" t="str">
        <f>IFERROR(_xlfn.XLOOKUP($A165,Input_Raw!$A:$A,Input_Raw!$BF:$BF),"")</f>
        <v/>
      </c>
      <c r="Y165" s="167" t="str">
        <f>IFERROR(_xlfn.XLOOKUP($A165,Input_Raw!$A:$A,Input_Raw!BJ:BJ),"")</f>
        <v/>
      </c>
      <c r="Z165" s="167" t="str">
        <f>IFERROR(_xlfn.XLOOKUP($A165,Input_Raw!$A:$A,Input_Raw!BK:BK),"")</f>
        <v/>
      </c>
      <c r="AA165" s="167" t="str">
        <f>IFERROR(_xlfn.XLOOKUP($A165,Input_Raw!$A:$A,Input_Raw!BL:BL),"")</f>
        <v/>
      </c>
      <c r="AB165" s="167" t="str">
        <f>IFERROR(_xlfn.XLOOKUP($A165,Input_Raw!$A:$A,Input_Raw!$BO:$BO),"")</f>
        <v/>
      </c>
      <c r="AC165" s="176">
        <f>IFERROR(_xlfn.XLOOKUP($D165,'Modelling New'!$D:$D,'Modelling New'!$J:$J),"")</f>
        <v>8.16</v>
      </c>
      <c r="AD165" s="166">
        <f>IFERROR(_xlfn.XLOOKUP($D165,'Modelling New'!$D:$D,'Modelling New'!$T:$T)*1000,"")</f>
        <v>528999.85312315286</v>
      </c>
      <c r="AE165" s="174"/>
      <c r="AF165" s="174">
        <f>IFERROR(_xlfn.XLOOKUP($D165,'Modelling New'!$D:$D,'Modelling New'!$W:$W),"")</f>
        <v>0.31398376847290649</v>
      </c>
      <c r="AG165" s="174">
        <f>IFERROR(_xlfn.XLOOKUP($D165,'Modelling New'!$D:$D,'Modelling New'!$AE:$AE),"")</f>
        <v>0.96029999999999993</v>
      </c>
      <c r="AH165" s="174">
        <f>IFERROR(_xlfn.XLOOKUP($D165,'Modelling New'!$D:$D,'Modelling New'!$AF:$AF),"")</f>
        <v>0.995</v>
      </c>
      <c r="AI165" s="177" t="str">
        <f>IFERROR(_xlfn.XLOOKUP($A165,Input_Raw!$A:$A,Input_Raw!$BQ:$BQ),"")</f>
        <v/>
      </c>
      <c r="AJ165" s="167"/>
      <c r="AK165" s="167"/>
      <c r="AL165" s="167"/>
      <c r="AM165" s="167"/>
      <c r="AN165" s="175" t="str">
        <f>IFERROR(_xlfn.XLOOKUP($A165,Input_Raw!$A:$A,Input_Raw!$BN:$BN),"")</f>
        <v/>
      </c>
      <c r="AO165" s="174" t="str">
        <f>IFERROR((_xlfn.XLOOKUP($A165,'WTG Reactive Power'!$A:$A,'WTG Reactive Power'!$AE:$AE))/Table13[[#This Row],[Gen_Exp (kWh)]],"")</f>
        <v/>
      </c>
      <c r="AP165" s="174">
        <f>IFERROR(_xlfn.XLOOKUP($D165,'Modelling New'!$D:$D,'Modelling New'!$AK:$AK),"")</f>
        <v>0.05</v>
      </c>
      <c r="AQ165" s="174">
        <f>IFERROR(_xlfn.XLOOKUP($D165,'Modelling New'!$D:$D,'Modelling New'!$AL:$AL),"")</f>
        <v>0.05</v>
      </c>
      <c r="AR165" s="276">
        <f>IFERROR(_xlfn.XLOOKUP($D165,'Modelling New'!$D:$D,'Modelling New'!$N:$N),"")</f>
        <v>70.2</v>
      </c>
      <c r="AS165" s="276"/>
    </row>
    <row r="166" spans="1:45">
      <c r="A166" s="165">
        <f t="shared" si="15"/>
        <v>45909</v>
      </c>
      <c r="B166" s="166">
        <f>YEAR(Table13[[#This Row],[Date]])+IF(MONTH(Table13[[#This Row],[Date]])&gt;=4,1,0)</f>
        <v>2026</v>
      </c>
      <c r="C166" s="167">
        <f>YEAR(Table13[[#This Row],[Date]])</f>
        <v>2025</v>
      </c>
      <c r="D166" s="168">
        <f>Table13[[#This Row],[Date]]-DAY(Table13[[#This Row],[Date]])+1</f>
        <v>45901</v>
      </c>
      <c r="E166" s="167">
        <f t="shared" si="12"/>
        <v>30</v>
      </c>
      <c r="F166" s="169"/>
      <c r="G166" s="170"/>
      <c r="H166" s="170"/>
      <c r="I166" s="170"/>
      <c r="J166" s="170"/>
      <c r="K166" s="171"/>
      <c r="L166" s="170"/>
      <c r="M166" s="170" t="str">
        <f>IFERROR(_xlfn.XLOOKUP($A166,Input_Raw!$A:$A,Input_Raw!BG:BG),"")</f>
        <v/>
      </c>
      <c r="N166" s="170" t="str">
        <f>IFERROR(_xlfn.XLOOKUP($A166,Input_Raw!$A:$A,Input_Raw!BH:BH),"")</f>
        <v/>
      </c>
      <c r="O166" s="173" t="str">
        <f t="shared" si="13"/>
        <v/>
      </c>
      <c r="P166" s="173" t="str">
        <f>IFERROR(1-SUMIF(WTG_BD!$F:$F,$A166,WTG_BD!$AA:$AA)/($AA166+SUMIF(WTG_BD!$F:$F,$A166,WTG_BD!$AA:$AA)),"")</f>
        <v/>
      </c>
      <c r="Q166" s="173" t="str">
        <f>IFERROR(1-SUMIF(IGA_BD!$F:$F,$A166,IGA_BD!$X:$X)/($AA166+SUMIF(IGA_BD!$F:$F,$A166,IGA_BD!$X:$X)),"")</f>
        <v/>
      </c>
      <c r="R166" s="173" t="str">
        <f>IFERROR(1-SUMIF(Grid_BD!$F:$F,$A166,Grid_BD!$Y:$Y)/($AA166+SUMIF(Grid_BD!$F:$F,$A166,Grid_BD!$Y:$Y)),"")</f>
        <v/>
      </c>
      <c r="S166" s="167"/>
      <c r="T166" s="172"/>
      <c r="U166" s="173"/>
      <c r="V166" s="167"/>
      <c r="W166" s="174" t="str">
        <f t="shared" si="14"/>
        <v/>
      </c>
      <c r="X166" s="167" t="str">
        <f>IFERROR(_xlfn.XLOOKUP($A166,Input_Raw!$A:$A,Input_Raw!$BF:$BF),"")</f>
        <v/>
      </c>
      <c r="Y166" s="167" t="str">
        <f>IFERROR(_xlfn.XLOOKUP($A166,Input_Raw!$A:$A,Input_Raw!BJ:BJ),"")</f>
        <v/>
      </c>
      <c r="Z166" s="167" t="str">
        <f>IFERROR(_xlfn.XLOOKUP($A166,Input_Raw!$A:$A,Input_Raw!BK:BK),"")</f>
        <v/>
      </c>
      <c r="AA166" s="167" t="str">
        <f>IFERROR(_xlfn.XLOOKUP($A166,Input_Raw!$A:$A,Input_Raw!BL:BL),"")</f>
        <v/>
      </c>
      <c r="AB166" s="167" t="str">
        <f>IFERROR(_xlfn.XLOOKUP($A166,Input_Raw!$A:$A,Input_Raw!$BO:$BO),"")</f>
        <v/>
      </c>
      <c r="AC166" s="176">
        <f>IFERROR(_xlfn.XLOOKUP($D166,'Modelling New'!$D:$D,'Modelling New'!$J:$J),"")</f>
        <v>8.16</v>
      </c>
      <c r="AD166" s="166">
        <f>IFERROR(_xlfn.XLOOKUP($D166,'Modelling New'!$D:$D,'Modelling New'!$T:$T)*1000,"")</f>
        <v>528999.85312315286</v>
      </c>
      <c r="AE166" s="174"/>
      <c r="AF166" s="174">
        <f>IFERROR(_xlfn.XLOOKUP($D166,'Modelling New'!$D:$D,'Modelling New'!$W:$W),"")</f>
        <v>0.31398376847290649</v>
      </c>
      <c r="AG166" s="174">
        <f>IFERROR(_xlfn.XLOOKUP($D166,'Modelling New'!$D:$D,'Modelling New'!$AE:$AE),"")</f>
        <v>0.96029999999999993</v>
      </c>
      <c r="AH166" s="174">
        <f>IFERROR(_xlfn.XLOOKUP($D166,'Modelling New'!$D:$D,'Modelling New'!$AF:$AF),"")</f>
        <v>0.995</v>
      </c>
      <c r="AI166" s="177" t="str">
        <f>IFERROR(_xlfn.XLOOKUP($A166,Input_Raw!$A:$A,Input_Raw!$BQ:$BQ),"")</f>
        <v/>
      </c>
      <c r="AJ166" s="167"/>
      <c r="AK166" s="167"/>
      <c r="AL166" s="167"/>
      <c r="AM166" s="167"/>
      <c r="AN166" s="175" t="str">
        <f>IFERROR(_xlfn.XLOOKUP($A166,Input_Raw!$A:$A,Input_Raw!$BN:$BN),"")</f>
        <v/>
      </c>
      <c r="AO166" s="174" t="str">
        <f>IFERROR((_xlfn.XLOOKUP($A166,'WTG Reactive Power'!$A:$A,'WTG Reactive Power'!$AE:$AE))/Table13[[#This Row],[Gen_Exp (kWh)]],"")</f>
        <v/>
      </c>
      <c r="AP166" s="174">
        <f>IFERROR(_xlfn.XLOOKUP($D166,'Modelling New'!$D:$D,'Modelling New'!$AK:$AK),"")</f>
        <v>0.05</v>
      </c>
      <c r="AQ166" s="174">
        <f>IFERROR(_xlfn.XLOOKUP($D166,'Modelling New'!$D:$D,'Modelling New'!$AL:$AL),"")</f>
        <v>0.05</v>
      </c>
      <c r="AR166" s="276">
        <f>IFERROR(_xlfn.XLOOKUP($D166,'Modelling New'!$D:$D,'Modelling New'!$N:$N),"")</f>
        <v>70.2</v>
      </c>
      <c r="AS166" s="276"/>
    </row>
    <row r="167" spans="1:45">
      <c r="A167" s="165">
        <f t="shared" si="15"/>
        <v>45910</v>
      </c>
      <c r="B167" s="166">
        <f>YEAR(Table13[[#This Row],[Date]])+IF(MONTH(Table13[[#This Row],[Date]])&gt;=4,1,0)</f>
        <v>2026</v>
      </c>
      <c r="C167" s="167">
        <f>YEAR(Table13[[#This Row],[Date]])</f>
        <v>2025</v>
      </c>
      <c r="D167" s="168">
        <f>Table13[[#This Row],[Date]]-DAY(Table13[[#This Row],[Date]])+1</f>
        <v>45901</v>
      </c>
      <c r="E167" s="167">
        <f t="shared" si="12"/>
        <v>30</v>
      </c>
      <c r="F167" s="169"/>
      <c r="G167" s="176"/>
      <c r="H167" s="176"/>
      <c r="I167" s="176"/>
      <c r="J167" s="176"/>
      <c r="K167" s="171"/>
      <c r="L167" s="170"/>
      <c r="M167" s="170" t="str">
        <f>IFERROR(_xlfn.XLOOKUP($A167,Input_Raw!$A:$A,Input_Raw!BG:BG),"")</f>
        <v/>
      </c>
      <c r="N167" s="170" t="str">
        <f>IFERROR(_xlfn.XLOOKUP($A167,Input_Raw!$A:$A,Input_Raw!BH:BH),"")</f>
        <v/>
      </c>
      <c r="O167" s="173" t="str">
        <f t="shared" si="13"/>
        <v/>
      </c>
      <c r="P167" s="173" t="str">
        <f>IFERROR(1-SUMIF(WTG_BD!$F:$F,$A167,WTG_BD!$AA:$AA)/($AA167+SUMIF(WTG_BD!$F:$F,$A167,WTG_BD!$AA:$AA)),"")</f>
        <v/>
      </c>
      <c r="Q167" s="173" t="str">
        <f>IFERROR(1-SUMIF(IGA_BD!$F:$F,$A167,IGA_BD!$X:$X)/($AA167+SUMIF(IGA_BD!$F:$F,$A167,IGA_BD!$X:$X)),"")</f>
        <v/>
      </c>
      <c r="R167" s="173" t="str">
        <f>IFERROR(1-SUMIF(Grid_BD!$F:$F,$A167,Grid_BD!$Y:$Y)/($AA167+SUMIF(Grid_BD!$F:$F,$A167,Grid_BD!$Y:$Y)),"")</f>
        <v/>
      </c>
      <c r="S167" s="167"/>
      <c r="T167" s="172"/>
      <c r="U167" s="173"/>
      <c r="V167" s="167"/>
      <c r="W167" s="174" t="str">
        <f t="shared" si="14"/>
        <v/>
      </c>
      <c r="X167" s="167" t="str">
        <f>IFERROR(_xlfn.XLOOKUP($A167,Input_Raw!$A:$A,Input_Raw!$BF:$BF),"")</f>
        <v/>
      </c>
      <c r="Y167" s="167" t="str">
        <f>IFERROR(_xlfn.XLOOKUP($A167,Input_Raw!$A:$A,Input_Raw!BJ:BJ),"")</f>
        <v/>
      </c>
      <c r="Z167" s="167" t="str">
        <f>IFERROR(_xlfn.XLOOKUP($A167,Input_Raw!$A:$A,Input_Raw!BK:BK),"")</f>
        <v/>
      </c>
      <c r="AA167" s="167" t="str">
        <f>IFERROR(_xlfn.XLOOKUP($A167,Input_Raw!$A:$A,Input_Raw!BL:BL),"")</f>
        <v/>
      </c>
      <c r="AB167" s="167" t="str">
        <f>IFERROR(_xlfn.XLOOKUP($A167,Input_Raw!$A:$A,Input_Raw!$BO:$BO),"")</f>
        <v/>
      </c>
      <c r="AC167" s="176">
        <f>IFERROR(_xlfn.XLOOKUP($D167,'Modelling New'!$D:$D,'Modelling New'!$J:$J),"")</f>
        <v>8.16</v>
      </c>
      <c r="AD167" s="166">
        <f>IFERROR(_xlfn.XLOOKUP($D167,'Modelling New'!$D:$D,'Modelling New'!$T:$T)*1000,"")</f>
        <v>528999.85312315286</v>
      </c>
      <c r="AE167" s="174"/>
      <c r="AF167" s="174">
        <f>IFERROR(_xlfn.XLOOKUP($D167,'Modelling New'!$D:$D,'Modelling New'!$W:$W),"")</f>
        <v>0.31398376847290649</v>
      </c>
      <c r="AG167" s="174">
        <f>IFERROR(_xlfn.XLOOKUP($D167,'Modelling New'!$D:$D,'Modelling New'!$AE:$AE),"")</f>
        <v>0.96029999999999993</v>
      </c>
      <c r="AH167" s="174">
        <f>IFERROR(_xlfn.XLOOKUP($D167,'Modelling New'!$D:$D,'Modelling New'!$AF:$AF),"")</f>
        <v>0.995</v>
      </c>
      <c r="AI167" s="177" t="str">
        <f>IFERROR(_xlfn.XLOOKUP($A167,Input_Raw!$A:$A,Input_Raw!$BQ:$BQ),"")</f>
        <v/>
      </c>
      <c r="AJ167" s="167"/>
      <c r="AK167" s="167"/>
      <c r="AL167" s="167"/>
      <c r="AM167" s="167"/>
      <c r="AN167" s="175" t="str">
        <f>IFERROR(_xlfn.XLOOKUP($A167,Input_Raw!$A:$A,Input_Raw!$BN:$BN),"")</f>
        <v/>
      </c>
      <c r="AO167" s="174" t="str">
        <f>IFERROR((_xlfn.XLOOKUP($A167,'WTG Reactive Power'!$A:$A,'WTG Reactive Power'!$AE:$AE))/Table13[[#This Row],[Gen_Exp (kWh)]],"")</f>
        <v/>
      </c>
      <c r="AP167" s="174">
        <f>IFERROR(_xlfn.XLOOKUP($D167,'Modelling New'!$D:$D,'Modelling New'!$AK:$AK),"")</f>
        <v>0.05</v>
      </c>
      <c r="AQ167" s="174">
        <f>IFERROR(_xlfn.XLOOKUP($D167,'Modelling New'!$D:$D,'Modelling New'!$AL:$AL),"")</f>
        <v>0.05</v>
      </c>
      <c r="AR167" s="276">
        <f>IFERROR(_xlfn.XLOOKUP($D167,'Modelling New'!$D:$D,'Modelling New'!$N:$N),"")</f>
        <v>70.2</v>
      </c>
      <c r="AS167" s="276"/>
    </row>
    <row r="168" spans="1:45">
      <c r="A168" s="165">
        <f t="shared" si="15"/>
        <v>45911</v>
      </c>
      <c r="B168" s="166">
        <f>YEAR(Table13[[#This Row],[Date]])+IF(MONTH(Table13[[#This Row],[Date]])&gt;=4,1,0)</f>
        <v>2026</v>
      </c>
      <c r="C168" s="167">
        <f>YEAR(Table13[[#This Row],[Date]])</f>
        <v>2025</v>
      </c>
      <c r="D168" s="168">
        <f>Table13[[#This Row],[Date]]-DAY(Table13[[#This Row],[Date]])+1</f>
        <v>45901</v>
      </c>
      <c r="E168" s="167">
        <f t="shared" si="12"/>
        <v>30</v>
      </c>
      <c r="F168" s="169"/>
      <c r="G168" s="170"/>
      <c r="H168" s="170"/>
      <c r="I168" s="170"/>
      <c r="J168" s="170"/>
      <c r="K168" s="171"/>
      <c r="L168" s="170"/>
      <c r="M168" s="170" t="str">
        <f>IFERROR(_xlfn.XLOOKUP($A168,Input_Raw!$A:$A,Input_Raw!BG:BG),"")</f>
        <v/>
      </c>
      <c r="N168" s="170" t="str">
        <f>IFERROR(_xlfn.XLOOKUP($A168,Input_Raw!$A:$A,Input_Raw!BH:BH),"")</f>
        <v/>
      </c>
      <c r="O168" s="173" t="str">
        <f t="shared" si="13"/>
        <v/>
      </c>
      <c r="P168" s="173" t="str">
        <f>IFERROR(1-SUMIF(WTG_BD!$F:$F,$A168,WTG_BD!$AA:$AA)/($AA168+SUMIF(WTG_BD!$F:$F,$A168,WTG_BD!$AA:$AA)),"")</f>
        <v/>
      </c>
      <c r="Q168" s="173" t="str">
        <f>IFERROR(1-SUMIF(IGA_BD!$F:$F,$A168,IGA_BD!$X:$X)/($AA168+SUMIF(IGA_BD!$F:$F,$A168,IGA_BD!$X:$X)),"")</f>
        <v/>
      </c>
      <c r="R168" s="173" t="str">
        <f>IFERROR(1-SUMIF(Grid_BD!$F:$F,$A168,Grid_BD!$Y:$Y)/($AA168+SUMIF(Grid_BD!$F:$F,$A168,Grid_BD!$Y:$Y)),"")</f>
        <v/>
      </c>
      <c r="S168" s="167"/>
      <c r="T168" s="172"/>
      <c r="U168" s="173"/>
      <c r="V168" s="167"/>
      <c r="W168" s="174" t="str">
        <f t="shared" si="14"/>
        <v/>
      </c>
      <c r="X168" s="167" t="str">
        <f>IFERROR(_xlfn.XLOOKUP($A168,Input_Raw!$A:$A,Input_Raw!$BF:$BF),"")</f>
        <v/>
      </c>
      <c r="Y168" s="167" t="str">
        <f>IFERROR(_xlfn.XLOOKUP($A168,Input_Raw!$A:$A,Input_Raw!BJ:BJ),"")</f>
        <v/>
      </c>
      <c r="Z168" s="167" t="str">
        <f>IFERROR(_xlfn.XLOOKUP($A168,Input_Raw!$A:$A,Input_Raw!BK:BK),"")</f>
        <v/>
      </c>
      <c r="AA168" s="167" t="str">
        <f>IFERROR(_xlfn.XLOOKUP($A168,Input_Raw!$A:$A,Input_Raw!BL:BL),"")</f>
        <v/>
      </c>
      <c r="AB168" s="167" t="str">
        <f>IFERROR(_xlfn.XLOOKUP($A168,Input_Raw!$A:$A,Input_Raw!$BO:$BO),"")</f>
        <v/>
      </c>
      <c r="AC168" s="176">
        <f>IFERROR(_xlfn.XLOOKUP($D168,'Modelling New'!$D:$D,'Modelling New'!$J:$J),"")</f>
        <v>8.16</v>
      </c>
      <c r="AD168" s="166">
        <f>IFERROR(_xlfn.XLOOKUP($D168,'Modelling New'!$D:$D,'Modelling New'!$T:$T)*1000,"")</f>
        <v>528999.85312315286</v>
      </c>
      <c r="AE168" s="174"/>
      <c r="AF168" s="174">
        <f>IFERROR(_xlfn.XLOOKUP($D168,'Modelling New'!$D:$D,'Modelling New'!$W:$W),"")</f>
        <v>0.31398376847290649</v>
      </c>
      <c r="AG168" s="174">
        <f>IFERROR(_xlfn.XLOOKUP($D168,'Modelling New'!$D:$D,'Modelling New'!$AE:$AE),"")</f>
        <v>0.96029999999999993</v>
      </c>
      <c r="AH168" s="174">
        <f>IFERROR(_xlfn.XLOOKUP($D168,'Modelling New'!$D:$D,'Modelling New'!$AF:$AF),"")</f>
        <v>0.995</v>
      </c>
      <c r="AI168" s="177" t="str">
        <f>IFERROR(_xlfn.XLOOKUP($A168,Input_Raw!$A:$A,Input_Raw!$BQ:$BQ),"")</f>
        <v/>
      </c>
      <c r="AJ168" s="167"/>
      <c r="AK168" s="167"/>
      <c r="AL168" s="167"/>
      <c r="AM168" s="167"/>
      <c r="AN168" s="175" t="str">
        <f>IFERROR(_xlfn.XLOOKUP($A168,Input_Raw!$A:$A,Input_Raw!$BN:$BN),"")</f>
        <v/>
      </c>
      <c r="AO168" s="174" t="str">
        <f>IFERROR((_xlfn.XLOOKUP($A168,'WTG Reactive Power'!$A:$A,'WTG Reactive Power'!$AE:$AE))/Table13[[#This Row],[Gen_Exp (kWh)]],"")</f>
        <v/>
      </c>
      <c r="AP168" s="174">
        <f>IFERROR(_xlfn.XLOOKUP($D168,'Modelling New'!$D:$D,'Modelling New'!$AK:$AK),"")</f>
        <v>0.05</v>
      </c>
      <c r="AQ168" s="174">
        <f>IFERROR(_xlfn.XLOOKUP($D168,'Modelling New'!$D:$D,'Modelling New'!$AL:$AL),"")</f>
        <v>0.05</v>
      </c>
      <c r="AR168" s="276">
        <f>IFERROR(_xlfn.XLOOKUP($D168,'Modelling New'!$D:$D,'Modelling New'!$N:$N),"")</f>
        <v>70.2</v>
      </c>
      <c r="AS168" s="276"/>
    </row>
    <row r="169" spans="1:45">
      <c r="A169" s="165">
        <f t="shared" si="15"/>
        <v>45912</v>
      </c>
      <c r="B169" s="166">
        <f>YEAR(Table13[[#This Row],[Date]])+IF(MONTH(Table13[[#This Row],[Date]])&gt;=4,1,0)</f>
        <v>2026</v>
      </c>
      <c r="C169" s="167">
        <f>YEAR(Table13[[#This Row],[Date]])</f>
        <v>2025</v>
      </c>
      <c r="D169" s="168">
        <f>Table13[[#This Row],[Date]]-DAY(Table13[[#This Row],[Date]])+1</f>
        <v>45901</v>
      </c>
      <c r="E169" s="167">
        <f t="shared" si="12"/>
        <v>30</v>
      </c>
      <c r="F169" s="169"/>
      <c r="G169" s="176"/>
      <c r="H169" s="176"/>
      <c r="I169" s="176"/>
      <c r="J169" s="176"/>
      <c r="K169" s="171"/>
      <c r="L169" s="170"/>
      <c r="M169" s="170" t="str">
        <f>IFERROR(_xlfn.XLOOKUP($A169,Input_Raw!$A:$A,Input_Raw!BG:BG),"")</f>
        <v/>
      </c>
      <c r="N169" s="170" t="str">
        <f>IFERROR(_xlfn.XLOOKUP($A169,Input_Raw!$A:$A,Input_Raw!BH:BH),"")</f>
        <v/>
      </c>
      <c r="O169" s="173" t="str">
        <f t="shared" si="13"/>
        <v/>
      </c>
      <c r="P169" s="173" t="str">
        <f>IFERROR(1-SUMIF(WTG_BD!$F:$F,$A169,WTG_BD!$AA:$AA)/($AA169+SUMIF(WTG_BD!$F:$F,$A169,WTG_BD!$AA:$AA)),"")</f>
        <v/>
      </c>
      <c r="Q169" s="173" t="str">
        <f>IFERROR(1-SUMIF(IGA_BD!$F:$F,$A169,IGA_BD!$X:$X)/($AA169+SUMIF(IGA_BD!$F:$F,$A169,IGA_BD!$X:$X)),"")</f>
        <v/>
      </c>
      <c r="R169" s="173" t="str">
        <f>IFERROR(1-SUMIF(Grid_BD!$F:$F,$A169,Grid_BD!$Y:$Y)/($AA169+SUMIF(Grid_BD!$F:$F,$A169,Grid_BD!$Y:$Y)),"")</f>
        <v/>
      </c>
      <c r="S169" s="167"/>
      <c r="T169" s="172"/>
      <c r="U169" s="173"/>
      <c r="V169" s="167"/>
      <c r="W169" s="174" t="str">
        <f t="shared" si="14"/>
        <v/>
      </c>
      <c r="X169" s="167" t="str">
        <f>IFERROR(_xlfn.XLOOKUP($A169,Input_Raw!$A:$A,Input_Raw!$BF:$BF),"")</f>
        <v/>
      </c>
      <c r="Y169" s="167" t="str">
        <f>IFERROR(_xlfn.XLOOKUP($A169,Input_Raw!$A:$A,Input_Raw!BJ:BJ),"")</f>
        <v/>
      </c>
      <c r="Z169" s="167" t="str">
        <f>IFERROR(_xlfn.XLOOKUP($A169,Input_Raw!$A:$A,Input_Raw!BK:BK),"")</f>
        <v/>
      </c>
      <c r="AA169" s="167" t="str">
        <f>IFERROR(_xlfn.XLOOKUP($A169,Input_Raw!$A:$A,Input_Raw!BL:BL),"")</f>
        <v/>
      </c>
      <c r="AB169" s="167" t="str">
        <f>IFERROR(_xlfn.XLOOKUP($A169,Input_Raw!$A:$A,Input_Raw!$BO:$BO),"")</f>
        <v/>
      </c>
      <c r="AC169" s="176">
        <f>IFERROR(_xlfn.XLOOKUP($D169,'Modelling New'!$D:$D,'Modelling New'!$J:$J),"")</f>
        <v>8.16</v>
      </c>
      <c r="AD169" s="166">
        <f>IFERROR(_xlfn.XLOOKUP($D169,'Modelling New'!$D:$D,'Modelling New'!$T:$T)*1000,"")</f>
        <v>528999.85312315286</v>
      </c>
      <c r="AE169" s="174"/>
      <c r="AF169" s="174">
        <f>IFERROR(_xlfn.XLOOKUP($D169,'Modelling New'!$D:$D,'Modelling New'!$W:$W),"")</f>
        <v>0.31398376847290649</v>
      </c>
      <c r="AG169" s="174">
        <f>IFERROR(_xlfn.XLOOKUP($D169,'Modelling New'!$D:$D,'Modelling New'!$AE:$AE),"")</f>
        <v>0.96029999999999993</v>
      </c>
      <c r="AH169" s="174">
        <f>IFERROR(_xlfn.XLOOKUP($D169,'Modelling New'!$D:$D,'Modelling New'!$AF:$AF),"")</f>
        <v>0.995</v>
      </c>
      <c r="AI169" s="177" t="str">
        <f>IFERROR(_xlfn.XLOOKUP($A169,Input_Raw!$A:$A,Input_Raw!$BQ:$BQ),"")</f>
        <v/>
      </c>
      <c r="AJ169" s="167"/>
      <c r="AK169" s="167"/>
      <c r="AL169" s="167"/>
      <c r="AM169" s="167"/>
      <c r="AN169" s="175" t="str">
        <f>IFERROR(_xlfn.XLOOKUP($A169,Input_Raw!$A:$A,Input_Raw!$BN:$BN),"")</f>
        <v/>
      </c>
      <c r="AO169" s="174" t="str">
        <f>IFERROR((_xlfn.XLOOKUP($A169,'WTG Reactive Power'!$A:$A,'WTG Reactive Power'!$AE:$AE))/Table13[[#This Row],[Gen_Exp (kWh)]],"")</f>
        <v/>
      </c>
      <c r="AP169" s="174">
        <f>IFERROR(_xlfn.XLOOKUP($D169,'Modelling New'!$D:$D,'Modelling New'!$AK:$AK),"")</f>
        <v>0.05</v>
      </c>
      <c r="AQ169" s="174">
        <f>IFERROR(_xlfn.XLOOKUP($D169,'Modelling New'!$D:$D,'Modelling New'!$AL:$AL),"")</f>
        <v>0.05</v>
      </c>
      <c r="AR169" s="276">
        <f>IFERROR(_xlfn.XLOOKUP($D169,'Modelling New'!$D:$D,'Modelling New'!$N:$N),"")</f>
        <v>70.2</v>
      </c>
      <c r="AS169" s="276"/>
    </row>
    <row r="170" spans="1:45">
      <c r="A170" s="165">
        <f t="shared" si="15"/>
        <v>45913</v>
      </c>
      <c r="B170" s="166">
        <f>YEAR(Table13[[#This Row],[Date]])+IF(MONTH(Table13[[#This Row],[Date]])&gt;=4,1,0)</f>
        <v>2026</v>
      </c>
      <c r="C170" s="167">
        <f>YEAR(Table13[[#This Row],[Date]])</f>
        <v>2025</v>
      </c>
      <c r="D170" s="168">
        <f>Table13[[#This Row],[Date]]-DAY(Table13[[#This Row],[Date]])+1</f>
        <v>45901</v>
      </c>
      <c r="E170" s="167">
        <f t="shared" si="12"/>
        <v>30</v>
      </c>
      <c r="F170" s="169"/>
      <c r="G170" s="170"/>
      <c r="H170" s="170"/>
      <c r="I170" s="170"/>
      <c r="J170" s="170"/>
      <c r="K170" s="171"/>
      <c r="L170" s="170"/>
      <c r="M170" s="170" t="str">
        <f>IFERROR(_xlfn.XLOOKUP($A170,Input_Raw!$A:$A,Input_Raw!BG:BG),"")</f>
        <v/>
      </c>
      <c r="N170" s="170" t="str">
        <f>IFERROR(_xlfn.XLOOKUP($A170,Input_Raw!$A:$A,Input_Raw!BH:BH),"")</f>
        <v/>
      </c>
      <c r="O170" s="173" t="str">
        <f t="shared" si="13"/>
        <v/>
      </c>
      <c r="P170" s="173" t="str">
        <f>IFERROR(1-SUMIF(WTG_BD!$F:$F,$A170,WTG_BD!$AA:$AA)/($AA170+SUMIF(WTG_BD!$F:$F,$A170,WTG_BD!$AA:$AA)),"")</f>
        <v/>
      </c>
      <c r="Q170" s="173" t="str">
        <f>IFERROR(1-SUMIF(IGA_BD!$F:$F,$A170,IGA_BD!$X:$X)/($AA170+SUMIF(IGA_BD!$F:$F,$A170,IGA_BD!$X:$X)),"")</f>
        <v/>
      </c>
      <c r="R170" s="173" t="str">
        <f>IFERROR(1-SUMIF(Grid_BD!$F:$F,$A170,Grid_BD!$Y:$Y)/($AA170+SUMIF(Grid_BD!$F:$F,$A170,Grid_BD!$Y:$Y)),"")</f>
        <v/>
      </c>
      <c r="S170" s="167"/>
      <c r="T170" s="172"/>
      <c r="U170" s="173"/>
      <c r="V170" s="167"/>
      <c r="W170" s="174" t="str">
        <f t="shared" si="14"/>
        <v/>
      </c>
      <c r="X170" s="167" t="str">
        <f>IFERROR(_xlfn.XLOOKUP($A170,Input_Raw!$A:$A,Input_Raw!$BF:$BF),"")</f>
        <v/>
      </c>
      <c r="Y170" s="167" t="str">
        <f>IFERROR(_xlfn.XLOOKUP($A170,Input_Raw!$A:$A,Input_Raw!BJ:BJ),"")</f>
        <v/>
      </c>
      <c r="Z170" s="167" t="str">
        <f>IFERROR(_xlfn.XLOOKUP($A170,Input_Raw!$A:$A,Input_Raw!BK:BK),"")</f>
        <v/>
      </c>
      <c r="AA170" s="167" t="str">
        <f>IFERROR(_xlfn.XLOOKUP($A170,Input_Raw!$A:$A,Input_Raw!BL:BL),"")</f>
        <v/>
      </c>
      <c r="AB170" s="167" t="str">
        <f>IFERROR(_xlfn.XLOOKUP($A170,Input_Raw!$A:$A,Input_Raw!$BO:$BO),"")</f>
        <v/>
      </c>
      <c r="AC170" s="176">
        <f>IFERROR(_xlfn.XLOOKUP($D170,'Modelling New'!$D:$D,'Modelling New'!$J:$J),"")</f>
        <v>8.16</v>
      </c>
      <c r="AD170" s="166">
        <f>IFERROR(_xlfn.XLOOKUP($D170,'Modelling New'!$D:$D,'Modelling New'!$T:$T)*1000,"")</f>
        <v>528999.85312315286</v>
      </c>
      <c r="AE170" s="174"/>
      <c r="AF170" s="174">
        <f>IFERROR(_xlfn.XLOOKUP($D170,'Modelling New'!$D:$D,'Modelling New'!$W:$W),"")</f>
        <v>0.31398376847290649</v>
      </c>
      <c r="AG170" s="174">
        <f>IFERROR(_xlfn.XLOOKUP($D170,'Modelling New'!$D:$D,'Modelling New'!$AE:$AE),"")</f>
        <v>0.96029999999999993</v>
      </c>
      <c r="AH170" s="174">
        <f>IFERROR(_xlfn.XLOOKUP($D170,'Modelling New'!$D:$D,'Modelling New'!$AF:$AF),"")</f>
        <v>0.995</v>
      </c>
      <c r="AI170" s="177" t="str">
        <f>IFERROR(_xlfn.XLOOKUP($A170,Input_Raw!$A:$A,Input_Raw!$BQ:$BQ),"")</f>
        <v/>
      </c>
      <c r="AJ170" s="167"/>
      <c r="AK170" s="167"/>
      <c r="AL170" s="167"/>
      <c r="AM170" s="167"/>
      <c r="AN170" s="175" t="str">
        <f>IFERROR(_xlfn.XLOOKUP($A170,Input_Raw!$A:$A,Input_Raw!$BN:$BN),"")</f>
        <v/>
      </c>
      <c r="AO170" s="174" t="str">
        <f>IFERROR((_xlfn.XLOOKUP($A170,'WTG Reactive Power'!$A:$A,'WTG Reactive Power'!$AE:$AE))/Table13[[#This Row],[Gen_Exp (kWh)]],"")</f>
        <v/>
      </c>
      <c r="AP170" s="174">
        <f>IFERROR(_xlfn.XLOOKUP($D170,'Modelling New'!$D:$D,'Modelling New'!$AK:$AK),"")</f>
        <v>0.05</v>
      </c>
      <c r="AQ170" s="174">
        <f>IFERROR(_xlfn.XLOOKUP($D170,'Modelling New'!$D:$D,'Modelling New'!$AL:$AL),"")</f>
        <v>0.05</v>
      </c>
      <c r="AR170" s="276">
        <f>IFERROR(_xlfn.XLOOKUP($D170,'Modelling New'!$D:$D,'Modelling New'!$N:$N),"")</f>
        <v>70.2</v>
      </c>
      <c r="AS170" s="276"/>
    </row>
    <row r="171" spans="1:45">
      <c r="A171" s="165">
        <f t="shared" si="15"/>
        <v>45914</v>
      </c>
      <c r="B171" s="166">
        <f>YEAR(Table13[[#This Row],[Date]])+IF(MONTH(Table13[[#This Row],[Date]])&gt;=4,1,0)</f>
        <v>2026</v>
      </c>
      <c r="C171" s="167">
        <f>YEAR(Table13[[#This Row],[Date]])</f>
        <v>2025</v>
      </c>
      <c r="D171" s="168">
        <f>Table13[[#This Row],[Date]]-DAY(Table13[[#This Row],[Date]])+1</f>
        <v>45901</v>
      </c>
      <c r="E171" s="167">
        <f t="shared" si="12"/>
        <v>30</v>
      </c>
      <c r="F171" s="169"/>
      <c r="G171" s="176"/>
      <c r="H171" s="176"/>
      <c r="I171" s="176"/>
      <c r="J171" s="176"/>
      <c r="K171" s="171"/>
      <c r="L171" s="170"/>
      <c r="M171" s="170" t="str">
        <f>IFERROR(_xlfn.XLOOKUP($A171,Input_Raw!$A:$A,Input_Raw!BG:BG),"")</f>
        <v/>
      </c>
      <c r="N171" s="170" t="str">
        <f>IFERROR(_xlfn.XLOOKUP($A171,Input_Raw!$A:$A,Input_Raw!BH:BH),"")</f>
        <v/>
      </c>
      <c r="O171" s="173" t="str">
        <f t="shared" si="13"/>
        <v/>
      </c>
      <c r="P171" s="173" t="str">
        <f>IFERROR(1-SUMIF(WTG_BD!$F:$F,$A171,WTG_BD!$AA:$AA)/($AA171+SUMIF(WTG_BD!$F:$F,$A171,WTG_BD!$AA:$AA)),"")</f>
        <v/>
      </c>
      <c r="Q171" s="173" t="str">
        <f>IFERROR(1-SUMIF(IGA_BD!$F:$F,$A171,IGA_BD!$X:$X)/($AA171+SUMIF(IGA_BD!$F:$F,$A171,IGA_BD!$X:$X)),"")</f>
        <v/>
      </c>
      <c r="R171" s="173" t="str">
        <f>IFERROR(1-SUMIF(Grid_BD!$F:$F,$A171,Grid_BD!$Y:$Y)/($AA171+SUMIF(Grid_BD!$F:$F,$A171,Grid_BD!$Y:$Y)),"")</f>
        <v/>
      </c>
      <c r="S171" s="167"/>
      <c r="T171" s="172"/>
      <c r="U171" s="173"/>
      <c r="V171" s="167"/>
      <c r="W171" s="174" t="str">
        <f t="shared" si="14"/>
        <v/>
      </c>
      <c r="X171" s="167" t="str">
        <f>IFERROR(_xlfn.XLOOKUP($A171,Input_Raw!$A:$A,Input_Raw!$BF:$BF),"")</f>
        <v/>
      </c>
      <c r="Y171" s="167" t="str">
        <f>IFERROR(_xlfn.XLOOKUP($A171,Input_Raw!$A:$A,Input_Raw!BJ:BJ),"")</f>
        <v/>
      </c>
      <c r="Z171" s="167" t="str">
        <f>IFERROR(_xlfn.XLOOKUP($A171,Input_Raw!$A:$A,Input_Raw!BK:BK),"")</f>
        <v/>
      </c>
      <c r="AA171" s="167" t="str">
        <f>IFERROR(_xlfn.XLOOKUP($A171,Input_Raw!$A:$A,Input_Raw!BL:BL),"")</f>
        <v/>
      </c>
      <c r="AB171" s="167" t="str">
        <f>IFERROR(_xlfn.XLOOKUP($A171,Input_Raw!$A:$A,Input_Raw!$BO:$BO),"")</f>
        <v/>
      </c>
      <c r="AC171" s="176">
        <f>IFERROR(_xlfn.XLOOKUP($D171,'Modelling New'!$D:$D,'Modelling New'!$J:$J),"")</f>
        <v>8.16</v>
      </c>
      <c r="AD171" s="166">
        <f>IFERROR(_xlfn.XLOOKUP($D171,'Modelling New'!$D:$D,'Modelling New'!$T:$T)*1000,"")</f>
        <v>528999.85312315286</v>
      </c>
      <c r="AE171" s="174"/>
      <c r="AF171" s="174">
        <f>IFERROR(_xlfn.XLOOKUP($D171,'Modelling New'!$D:$D,'Modelling New'!$W:$W),"")</f>
        <v>0.31398376847290649</v>
      </c>
      <c r="AG171" s="174">
        <f>IFERROR(_xlfn.XLOOKUP($D171,'Modelling New'!$D:$D,'Modelling New'!$AE:$AE),"")</f>
        <v>0.96029999999999993</v>
      </c>
      <c r="AH171" s="174">
        <f>IFERROR(_xlfn.XLOOKUP($D171,'Modelling New'!$D:$D,'Modelling New'!$AF:$AF),"")</f>
        <v>0.995</v>
      </c>
      <c r="AI171" s="177" t="str">
        <f>IFERROR(_xlfn.XLOOKUP($A171,Input_Raw!$A:$A,Input_Raw!$BQ:$BQ),"")</f>
        <v/>
      </c>
      <c r="AJ171" s="167"/>
      <c r="AK171" s="167"/>
      <c r="AL171" s="167"/>
      <c r="AM171" s="167"/>
      <c r="AN171" s="175" t="str">
        <f>IFERROR(_xlfn.XLOOKUP($A171,Input_Raw!$A:$A,Input_Raw!$BN:$BN),"")</f>
        <v/>
      </c>
      <c r="AO171" s="174" t="str">
        <f>IFERROR((_xlfn.XLOOKUP($A171,'WTG Reactive Power'!$A:$A,'WTG Reactive Power'!$AE:$AE))/Table13[[#This Row],[Gen_Exp (kWh)]],"")</f>
        <v/>
      </c>
      <c r="AP171" s="174">
        <f>IFERROR(_xlfn.XLOOKUP($D171,'Modelling New'!$D:$D,'Modelling New'!$AK:$AK),"")</f>
        <v>0.05</v>
      </c>
      <c r="AQ171" s="174">
        <f>IFERROR(_xlfn.XLOOKUP($D171,'Modelling New'!$D:$D,'Modelling New'!$AL:$AL),"")</f>
        <v>0.05</v>
      </c>
      <c r="AR171" s="276">
        <f>IFERROR(_xlfn.XLOOKUP($D171,'Modelling New'!$D:$D,'Modelling New'!$N:$N),"")</f>
        <v>70.2</v>
      </c>
      <c r="AS171" s="276"/>
    </row>
    <row r="172" spans="1:45">
      <c r="A172" s="165">
        <f t="shared" si="15"/>
        <v>45915</v>
      </c>
      <c r="B172" s="166">
        <f>YEAR(Table13[[#This Row],[Date]])+IF(MONTH(Table13[[#This Row],[Date]])&gt;=4,1,0)</f>
        <v>2026</v>
      </c>
      <c r="C172" s="167">
        <f>YEAR(Table13[[#This Row],[Date]])</f>
        <v>2025</v>
      </c>
      <c r="D172" s="168">
        <f>Table13[[#This Row],[Date]]-DAY(Table13[[#This Row],[Date]])+1</f>
        <v>45901</v>
      </c>
      <c r="E172" s="167">
        <f t="shared" si="12"/>
        <v>30</v>
      </c>
      <c r="F172" s="169"/>
      <c r="G172" s="170"/>
      <c r="H172" s="170"/>
      <c r="I172" s="170"/>
      <c r="J172" s="170"/>
      <c r="K172" s="171"/>
      <c r="L172" s="170"/>
      <c r="M172" s="170" t="str">
        <f>IFERROR(_xlfn.XLOOKUP($A172,Input_Raw!$A:$A,Input_Raw!BG:BG),"")</f>
        <v/>
      </c>
      <c r="N172" s="170" t="str">
        <f>IFERROR(_xlfn.XLOOKUP($A172,Input_Raw!$A:$A,Input_Raw!BH:BH),"")</f>
        <v/>
      </c>
      <c r="O172" s="173" t="str">
        <f t="shared" si="13"/>
        <v/>
      </c>
      <c r="P172" s="173" t="str">
        <f>IFERROR(1-SUMIF(WTG_BD!$F:$F,$A172,WTG_BD!$AA:$AA)/($AA172+SUMIF(WTG_BD!$F:$F,$A172,WTG_BD!$AA:$AA)),"")</f>
        <v/>
      </c>
      <c r="Q172" s="173" t="str">
        <f>IFERROR(1-SUMIF(IGA_BD!$F:$F,$A172,IGA_BD!$X:$X)/($AA172+SUMIF(IGA_BD!$F:$F,$A172,IGA_BD!$X:$X)),"")</f>
        <v/>
      </c>
      <c r="R172" s="173" t="str">
        <f>IFERROR(1-SUMIF(Grid_BD!$F:$F,$A172,Grid_BD!$Y:$Y)/($AA172+SUMIF(Grid_BD!$F:$F,$A172,Grid_BD!$Y:$Y)),"")</f>
        <v/>
      </c>
      <c r="S172" s="167"/>
      <c r="T172" s="172"/>
      <c r="U172" s="173"/>
      <c r="V172" s="167"/>
      <c r="W172" s="174" t="str">
        <f t="shared" si="14"/>
        <v/>
      </c>
      <c r="X172" s="167" t="str">
        <f>IFERROR(_xlfn.XLOOKUP($A172,Input_Raw!$A:$A,Input_Raw!$BF:$BF),"")</f>
        <v/>
      </c>
      <c r="Y172" s="167" t="str">
        <f>IFERROR(_xlfn.XLOOKUP($A172,Input_Raw!$A:$A,Input_Raw!BJ:BJ),"")</f>
        <v/>
      </c>
      <c r="Z172" s="167" t="str">
        <f>IFERROR(_xlfn.XLOOKUP($A172,Input_Raw!$A:$A,Input_Raw!BK:BK),"")</f>
        <v/>
      </c>
      <c r="AA172" s="167" t="str">
        <f>IFERROR(_xlfn.XLOOKUP($A172,Input_Raw!$A:$A,Input_Raw!BL:BL),"")</f>
        <v/>
      </c>
      <c r="AB172" s="167" t="str">
        <f>IFERROR(_xlfn.XLOOKUP($A172,Input_Raw!$A:$A,Input_Raw!$BO:$BO),"")</f>
        <v/>
      </c>
      <c r="AC172" s="176">
        <f>IFERROR(_xlfn.XLOOKUP($D172,'Modelling New'!$D:$D,'Modelling New'!$J:$J),"")</f>
        <v>8.16</v>
      </c>
      <c r="AD172" s="166">
        <f>IFERROR(_xlfn.XLOOKUP($D172,'Modelling New'!$D:$D,'Modelling New'!$T:$T)*1000,"")</f>
        <v>528999.85312315286</v>
      </c>
      <c r="AE172" s="174"/>
      <c r="AF172" s="174">
        <f>IFERROR(_xlfn.XLOOKUP($D172,'Modelling New'!$D:$D,'Modelling New'!$W:$W),"")</f>
        <v>0.31398376847290649</v>
      </c>
      <c r="AG172" s="174">
        <f>IFERROR(_xlfn.XLOOKUP($D172,'Modelling New'!$D:$D,'Modelling New'!$AE:$AE),"")</f>
        <v>0.96029999999999993</v>
      </c>
      <c r="AH172" s="174">
        <f>IFERROR(_xlfn.XLOOKUP($D172,'Modelling New'!$D:$D,'Modelling New'!$AF:$AF),"")</f>
        <v>0.995</v>
      </c>
      <c r="AI172" s="177" t="str">
        <f>IFERROR(_xlfn.XLOOKUP($A172,Input_Raw!$A:$A,Input_Raw!$BQ:$BQ),"")</f>
        <v/>
      </c>
      <c r="AJ172" s="167"/>
      <c r="AK172" s="167"/>
      <c r="AL172" s="167"/>
      <c r="AM172" s="167"/>
      <c r="AN172" s="175" t="str">
        <f>IFERROR(_xlfn.XLOOKUP($A172,Input_Raw!$A:$A,Input_Raw!$BN:$BN),"")</f>
        <v/>
      </c>
      <c r="AO172" s="174" t="str">
        <f>IFERROR((_xlfn.XLOOKUP($A172,'WTG Reactive Power'!$A:$A,'WTG Reactive Power'!$AE:$AE))/Table13[[#This Row],[Gen_Exp (kWh)]],"")</f>
        <v/>
      </c>
      <c r="AP172" s="174">
        <f>IFERROR(_xlfn.XLOOKUP($D172,'Modelling New'!$D:$D,'Modelling New'!$AK:$AK),"")</f>
        <v>0.05</v>
      </c>
      <c r="AQ172" s="174">
        <f>IFERROR(_xlfn.XLOOKUP($D172,'Modelling New'!$D:$D,'Modelling New'!$AL:$AL),"")</f>
        <v>0.05</v>
      </c>
      <c r="AR172" s="276">
        <f>IFERROR(_xlfn.XLOOKUP($D172,'Modelling New'!$D:$D,'Modelling New'!$N:$N),"")</f>
        <v>70.2</v>
      </c>
      <c r="AS172" s="276"/>
    </row>
    <row r="173" spans="1:45">
      <c r="A173" s="165">
        <f t="shared" si="15"/>
        <v>45916</v>
      </c>
      <c r="B173" s="166">
        <f>YEAR(Table13[[#This Row],[Date]])+IF(MONTH(Table13[[#This Row],[Date]])&gt;=4,1,0)</f>
        <v>2026</v>
      </c>
      <c r="C173" s="167">
        <f>YEAR(Table13[[#This Row],[Date]])</f>
        <v>2025</v>
      </c>
      <c r="D173" s="168">
        <f>Table13[[#This Row],[Date]]-DAY(Table13[[#This Row],[Date]])+1</f>
        <v>45901</v>
      </c>
      <c r="E173" s="167">
        <f t="shared" si="12"/>
        <v>30</v>
      </c>
      <c r="F173" s="169"/>
      <c r="G173" s="176"/>
      <c r="H173" s="176"/>
      <c r="I173" s="176"/>
      <c r="J173" s="176"/>
      <c r="K173" s="171"/>
      <c r="L173" s="170"/>
      <c r="M173" s="170" t="str">
        <f>IFERROR(_xlfn.XLOOKUP($A173,Input_Raw!$A:$A,Input_Raw!BG:BG),"")</f>
        <v/>
      </c>
      <c r="N173" s="170" t="str">
        <f>IFERROR(_xlfn.XLOOKUP($A173,Input_Raw!$A:$A,Input_Raw!BH:BH),"")</f>
        <v/>
      </c>
      <c r="O173" s="173" t="str">
        <f t="shared" si="13"/>
        <v/>
      </c>
      <c r="P173" s="173" t="str">
        <f>IFERROR(1-SUMIF(WTG_BD!$F:$F,$A173,WTG_BD!$AA:$AA)/($AA173+SUMIF(WTG_BD!$F:$F,$A173,WTG_BD!$AA:$AA)),"")</f>
        <v/>
      </c>
      <c r="Q173" s="173" t="str">
        <f>IFERROR(1-SUMIF(IGA_BD!$F:$F,$A173,IGA_BD!$X:$X)/($AA173+SUMIF(IGA_BD!$F:$F,$A173,IGA_BD!$X:$X)),"")</f>
        <v/>
      </c>
      <c r="R173" s="173" t="str">
        <f>IFERROR(1-SUMIF(Grid_BD!$F:$F,$A173,Grid_BD!$Y:$Y)/($AA173+SUMIF(Grid_BD!$F:$F,$A173,Grid_BD!$Y:$Y)),"")</f>
        <v/>
      </c>
      <c r="S173" s="167"/>
      <c r="T173" s="172"/>
      <c r="U173" s="173"/>
      <c r="V173" s="167"/>
      <c r="W173" s="174" t="str">
        <f t="shared" si="14"/>
        <v/>
      </c>
      <c r="X173" s="167" t="str">
        <f>IFERROR(_xlfn.XLOOKUP($A173,Input_Raw!$A:$A,Input_Raw!$BF:$BF),"")</f>
        <v/>
      </c>
      <c r="Y173" s="167" t="str">
        <f>IFERROR(_xlfn.XLOOKUP($A173,Input_Raw!$A:$A,Input_Raw!BJ:BJ),"")</f>
        <v/>
      </c>
      <c r="Z173" s="167" t="str">
        <f>IFERROR(_xlfn.XLOOKUP($A173,Input_Raw!$A:$A,Input_Raw!BK:BK),"")</f>
        <v/>
      </c>
      <c r="AA173" s="167" t="str">
        <f>IFERROR(_xlfn.XLOOKUP($A173,Input_Raw!$A:$A,Input_Raw!BL:BL),"")</f>
        <v/>
      </c>
      <c r="AB173" s="167" t="str">
        <f>IFERROR(_xlfn.XLOOKUP($A173,Input_Raw!$A:$A,Input_Raw!$BO:$BO),"")</f>
        <v/>
      </c>
      <c r="AC173" s="176">
        <f>IFERROR(_xlfn.XLOOKUP($D173,'Modelling New'!$D:$D,'Modelling New'!$J:$J),"")</f>
        <v>8.16</v>
      </c>
      <c r="AD173" s="166">
        <f>IFERROR(_xlfn.XLOOKUP($D173,'Modelling New'!$D:$D,'Modelling New'!$T:$T)*1000,"")</f>
        <v>528999.85312315286</v>
      </c>
      <c r="AE173" s="174"/>
      <c r="AF173" s="174">
        <f>IFERROR(_xlfn.XLOOKUP($D173,'Modelling New'!$D:$D,'Modelling New'!$W:$W),"")</f>
        <v>0.31398376847290649</v>
      </c>
      <c r="AG173" s="174">
        <f>IFERROR(_xlfn.XLOOKUP($D173,'Modelling New'!$D:$D,'Modelling New'!$AE:$AE),"")</f>
        <v>0.96029999999999993</v>
      </c>
      <c r="AH173" s="174">
        <f>IFERROR(_xlfn.XLOOKUP($D173,'Modelling New'!$D:$D,'Modelling New'!$AF:$AF),"")</f>
        <v>0.995</v>
      </c>
      <c r="AI173" s="177" t="str">
        <f>IFERROR(_xlfn.XLOOKUP($A173,Input_Raw!$A:$A,Input_Raw!$BQ:$BQ),"")</f>
        <v/>
      </c>
      <c r="AJ173" s="167"/>
      <c r="AK173" s="167"/>
      <c r="AL173" s="167"/>
      <c r="AM173" s="167"/>
      <c r="AN173" s="175" t="str">
        <f>IFERROR(_xlfn.XLOOKUP($A173,Input_Raw!$A:$A,Input_Raw!$BN:$BN),"")</f>
        <v/>
      </c>
      <c r="AO173" s="174" t="str">
        <f>IFERROR((_xlfn.XLOOKUP($A173,'WTG Reactive Power'!$A:$A,'WTG Reactive Power'!$AE:$AE))/Table13[[#This Row],[Gen_Exp (kWh)]],"")</f>
        <v/>
      </c>
      <c r="AP173" s="174">
        <f>IFERROR(_xlfn.XLOOKUP($D173,'Modelling New'!$D:$D,'Modelling New'!$AK:$AK),"")</f>
        <v>0.05</v>
      </c>
      <c r="AQ173" s="174">
        <f>IFERROR(_xlfn.XLOOKUP($D173,'Modelling New'!$D:$D,'Modelling New'!$AL:$AL),"")</f>
        <v>0.05</v>
      </c>
      <c r="AR173" s="276">
        <f>IFERROR(_xlfn.XLOOKUP($D173,'Modelling New'!$D:$D,'Modelling New'!$N:$N),"")</f>
        <v>70.2</v>
      </c>
      <c r="AS173" s="276"/>
    </row>
    <row r="174" spans="1:45">
      <c r="A174" s="165">
        <f t="shared" si="15"/>
        <v>45917</v>
      </c>
      <c r="B174" s="166">
        <f>YEAR(Table13[[#This Row],[Date]])+IF(MONTH(Table13[[#This Row],[Date]])&gt;=4,1,0)</f>
        <v>2026</v>
      </c>
      <c r="C174" s="167">
        <f>YEAR(Table13[[#This Row],[Date]])</f>
        <v>2025</v>
      </c>
      <c r="D174" s="168">
        <f>Table13[[#This Row],[Date]]-DAY(Table13[[#This Row],[Date]])+1</f>
        <v>45901</v>
      </c>
      <c r="E174" s="167">
        <f t="shared" si="12"/>
        <v>30</v>
      </c>
      <c r="F174" s="169"/>
      <c r="G174" s="170"/>
      <c r="H174" s="170"/>
      <c r="I174" s="170"/>
      <c r="J174" s="170"/>
      <c r="K174" s="171"/>
      <c r="L174" s="170"/>
      <c r="M174" s="170" t="str">
        <f>IFERROR(_xlfn.XLOOKUP($A174,Input_Raw!$A:$A,Input_Raw!BG:BG),"")</f>
        <v/>
      </c>
      <c r="N174" s="170" t="str">
        <f>IFERROR(_xlfn.XLOOKUP($A174,Input_Raw!$A:$A,Input_Raw!BH:BH),"")</f>
        <v/>
      </c>
      <c r="O174" s="173" t="str">
        <f t="shared" si="13"/>
        <v/>
      </c>
      <c r="P174" s="173" t="str">
        <f>IFERROR(1-SUMIF(WTG_BD!$F:$F,$A174,WTG_BD!$AA:$AA)/($AA174+SUMIF(WTG_BD!$F:$F,$A174,WTG_BD!$AA:$AA)),"")</f>
        <v/>
      </c>
      <c r="Q174" s="173" t="str">
        <f>IFERROR(1-SUMIF(IGA_BD!$F:$F,$A174,IGA_BD!$X:$X)/($AA174+SUMIF(IGA_BD!$F:$F,$A174,IGA_BD!$X:$X)),"")</f>
        <v/>
      </c>
      <c r="R174" s="173" t="str">
        <f>IFERROR(1-SUMIF(Grid_BD!$F:$F,$A174,Grid_BD!$Y:$Y)/($AA174+SUMIF(Grid_BD!$F:$F,$A174,Grid_BD!$Y:$Y)),"")</f>
        <v/>
      </c>
      <c r="S174" s="167"/>
      <c r="T174" s="172"/>
      <c r="U174" s="173"/>
      <c r="V174" s="167"/>
      <c r="W174" s="174" t="str">
        <f t="shared" si="14"/>
        <v/>
      </c>
      <c r="X174" s="167" t="str">
        <f>IFERROR(_xlfn.XLOOKUP($A174,Input_Raw!$A:$A,Input_Raw!$BF:$BF),"")</f>
        <v/>
      </c>
      <c r="Y174" s="167" t="str">
        <f>IFERROR(_xlfn.XLOOKUP($A174,Input_Raw!$A:$A,Input_Raw!BJ:BJ),"")</f>
        <v/>
      </c>
      <c r="Z174" s="167" t="str">
        <f>IFERROR(_xlfn.XLOOKUP($A174,Input_Raw!$A:$A,Input_Raw!BK:BK),"")</f>
        <v/>
      </c>
      <c r="AA174" s="167" t="str">
        <f>IFERROR(_xlfn.XLOOKUP($A174,Input_Raw!$A:$A,Input_Raw!BL:BL),"")</f>
        <v/>
      </c>
      <c r="AB174" s="167" t="str">
        <f>IFERROR(_xlfn.XLOOKUP($A174,Input_Raw!$A:$A,Input_Raw!$BO:$BO),"")</f>
        <v/>
      </c>
      <c r="AC174" s="176">
        <f>IFERROR(_xlfn.XLOOKUP($D174,'Modelling New'!$D:$D,'Modelling New'!$J:$J),"")</f>
        <v>8.16</v>
      </c>
      <c r="AD174" s="166">
        <f>IFERROR(_xlfn.XLOOKUP($D174,'Modelling New'!$D:$D,'Modelling New'!$T:$T)*1000,"")</f>
        <v>528999.85312315286</v>
      </c>
      <c r="AE174" s="174"/>
      <c r="AF174" s="174">
        <f>IFERROR(_xlfn.XLOOKUP($D174,'Modelling New'!$D:$D,'Modelling New'!$W:$W),"")</f>
        <v>0.31398376847290649</v>
      </c>
      <c r="AG174" s="174">
        <f>IFERROR(_xlfn.XLOOKUP($D174,'Modelling New'!$D:$D,'Modelling New'!$AE:$AE),"")</f>
        <v>0.96029999999999993</v>
      </c>
      <c r="AH174" s="174">
        <f>IFERROR(_xlfn.XLOOKUP($D174,'Modelling New'!$D:$D,'Modelling New'!$AF:$AF),"")</f>
        <v>0.995</v>
      </c>
      <c r="AI174" s="177" t="str">
        <f>IFERROR(_xlfn.XLOOKUP($A174,Input_Raw!$A:$A,Input_Raw!$BQ:$BQ),"")</f>
        <v/>
      </c>
      <c r="AJ174" s="167"/>
      <c r="AK174" s="167"/>
      <c r="AL174" s="167"/>
      <c r="AM174" s="167"/>
      <c r="AN174" s="175" t="str">
        <f>IFERROR(_xlfn.XLOOKUP($A174,Input_Raw!$A:$A,Input_Raw!$BN:$BN),"")</f>
        <v/>
      </c>
      <c r="AO174" s="174" t="str">
        <f>IFERROR((_xlfn.XLOOKUP($A174,'WTG Reactive Power'!$A:$A,'WTG Reactive Power'!$AE:$AE))/Table13[[#This Row],[Gen_Exp (kWh)]],"")</f>
        <v/>
      </c>
      <c r="AP174" s="174">
        <f>IFERROR(_xlfn.XLOOKUP($D174,'Modelling New'!$D:$D,'Modelling New'!$AK:$AK),"")</f>
        <v>0.05</v>
      </c>
      <c r="AQ174" s="174">
        <f>IFERROR(_xlfn.XLOOKUP($D174,'Modelling New'!$D:$D,'Modelling New'!$AL:$AL),"")</f>
        <v>0.05</v>
      </c>
      <c r="AR174" s="276">
        <f>IFERROR(_xlfn.XLOOKUP($D174,'Modelling New'!$D:$D,'Modelling New'!$N:$N),"")</f>
        <v>70.2</v>
      </c>
      <c r="AS174" s="276"/>
    </row>
    <row r="175" spans="1:45">
      <c r="A175" s="165">
        <f t="shared" si="15"/>
        <v>45918</v>
      </c>
      <c r="B175" s="166">
        <f>YEAR(Table13[[#This Row],[Date]])+IF(MONTH(Table13[[#This Row],[Date]])&gt;=4,1,0)</f>
        <v>2026</v>
      </c>
      <c r="C175" s="167">
        <f>YEAR(Table13[[#This Row],[Date]])</f>
        <v>2025</v>
      </c>
      <c r="D175" s="168">
        <f>Table13[[#This Row],[Date]]-DAY(Table13[[#This Row],[Date]])+1</f>
        <v>45901</v>
      </c>
      <c r="E175" s="167">
        <f t="shared" si="12"/>
        <v>30</v>
      </c>
      <c r="F175" s="169"/>
      <c r="G175" s="176"/>
      <c r="H175" s="176"/>
      <c r="I175" s="176"/>
      <c r="J175" s="176"/>
      <c r="K175" s="171"/>
      <c r="L175" s="170"/>
      <c r="M175" s="170" t="str">
        <f>IFERROR(_xlfn.XLOOKUP($A175,Input_Raw!$A:$A,Input_Raw!BG:BG),"")</f>
        <v/>
      </c>
      <c r="N175" s="170" t="str">
        <f>IFERROR(_xlfn.XLOOKUP($A175,Input_Raw!$A:$A,Input_Raw!BH:BH),"")</f>
        <v/>
      </c>
      <c r="O175" s="173" t="str">
        <f t="shared" si="13"/>
        <v/>
      </c>
      <c r="P175" s="173" t="str">
        <f>IFERROR(1-SUMIF(WTG_BD!$F:$F,$A175,WTG_BD!$AA:$AA)/($AA175+SUMIF(WTG_BD!$F:$F,$A175,WTG_BD!$AA:$AA)),"")</f>
        <v/>
      </c>
      <c r="Q175" s="173" t="str">
        <f>IFERROR(1-SUMIF(IGA_BD!$F:$F,$A175,IGA_BD!$X:$X)/($AA175+SUMIF(IGA_BD!$F:$F,$A175,IGA_BD!$X:$X)),"")</f>
        <v/>
      </c>
      <c r="R175" s="173" t="str">
        <f>IFERROR(1-SUMIF(Grid_BD!$F:$F,$A175,Grid_BD!$Y:$Y)/($AA175+SUMIF(Grid_BD!$F:$F,$A175,Grid_BD!$Y:$Y)),"")</f>
        <v/>
      </c>
      <c r="S175" s="167"/>
      <c r="T175" s="172"/>
      <c r="U175" s="173"/>
      <c r="V175" s="167"/>
      <c r="W175" s="174" t="str">
        <f t="shared" si="14"/>
        <v/>
      </c>
      <c r="X175" s="167" t="str">
        <f>IFERROR(_xlfn.XLOOKUP($A175,Input_Raw!$A:$A,Input_Raw!$BF:$BF),"")</f>
        <v/>
      </c>
      <c r="Y175" s="167" t="str">
        <f>IFERROR(_xlfn.XLOOKUP($A175,Input_Raw!$A:$A,Input_Raw!BJ:BJ),"")</f>
        <v/>
      </c>
      <c r="Z175" s="167" t="str">
        <f>IFERROR(_xlfn.XLOOKUP($A175,Input_Raw!$A:$A,Input_Raw!BK:BK),"")</f>
        <v/>
      </c>
      <c r="AA175" s="167" t="str">
        <f>IFERROR(_xlfn.XLOOKUP($A175,Input_Raw!$A:$A,Input_Raw!BL:BL),"")</f>
        <v/>
      </c>
      <c r="AB175" s="167" t="str">
        <f>IFERROR(_xlfn.XLOOKUP($A175,Input_Raw!$A:$A,Input_Raw!$BO:$BO),"")</f>
        <v/>
      </c>
      <c r="AC175" s="176">
        <f>IFERROR(_xlfn.XLOOKUP($D175,'Modelling New'!$D:$D,'Modelling New'!$J:$J),"")</f>
        <v>8.16</v>
      </c>
      <c r="AD175" s="166">
        <f>IFERROR(_xlfn.XLOOKUP($D175,'Modelling New'!$D:$D,'Modelling New'!$T:$T)*1000,"")</f>
        <v>528999.85312315286</v>
      </c>
      <c r="AE175" s="174"/>
      <c r="AF175" s="174">
        <f>IFERROR(_xlfn.XLOOKUP($D175,'Modelling New'!$D:$D,'Modelling New'!$W:$W),"")</f>
        <v>0.31398376847290649</v>
      </c>
      <c r="AG175" s="174">
        <f>IFERROR(_xlfn.XLOOKUP($D175,'Modelling New'!$D:$D,'Modelling New'!$AE:$AE),"")</f>
        <v>0.96029999999999993</v>
      </c>
      <c r="AH175" s="174">
        <f>IFERROR(_xlfn.XLOOKUP($D175,'Modelling New'!$D:$D,'Modelling New'!$AF:$AF),"")</f>
        <v>0.995</v>
      </c>
      <c r="AI175" s="177" t="str">
        <f>IFERROR(_xlfn.XLOOKUP($A175,Input_Raw!$A:$A,Input_Raw!$BQ:$BQ),"")</f>
        <v/>
      </c>
      <c r="AJ175" s="167"/>
      <c r="AK175" s="167"/>
      <c r="AL175" s="167"/>
      <c r="AM175" s="167"/>
      <c r="AN175" s="175" t="str">
        <f>IFERROR(_xlfn.XLOOKUP($A175,Input_Raw!$A:$A,Input_Raw!$BN:$BN),"")</f>
        <v/>
      </c>
      <c r="AO175" s="174" t="str">
        <f>IFERROR((_xlfn.XLOOKUP($A175,'WTG Reactive Power'!$A:$A,'WTG Reactive Power'!$AE:$AE))/Table13[[#This Row],[Gen_Exp (kWh)]],"")</f>
        <v/>
      </c>
      <c r="AP175" s="174">
        <f>IFERROR(_xlfn.XLOOKUP($D175,'Modelling New'!$D:$D,'Modelling New'!$AK:$AK),"")</f>
        <v>0.05</v>
      </c>
      <c r="AQ175" s="174">
        <f>IFERROR(_xlfn.XLOOKUP($D175,'Modelling New'!$D:$D,'Modelling New'!$AL:$AL),"")</f>
        <v>0.05</v>
      </c>
      <c r="AR175" s="276">
        <f>IFERROR(_xlfn.XLOOKUP($D175,'Modelling New'!$D:$D,'Modelling New'!$N:$N),"")</f>
        <v>70.2</v>
      </c>
      <c r="AS175" s="276"/>
    </row>
    <row r="176" spans="1:45">
      <c r="A176" s="165">
        <f t="shared" si="15"/>
        <v>45919</v>
      </c>
      <c r="B176" s="166">
        <f>YEAR(Table13[[#This Row],[Date]])+IF(MONTH(Table13[[#This Row],[Date]])&gt;=4,1,0)</f>
        <v>2026</v>
      </c>
      <c r="C176" s="167">
        <f>YEAR(Table13[[#This Row],[Date]])</f>
        <v>2025</v>
      </c>
      <c r="D176" s="168">
        <f>Table13[[#This Row],[Date]]-DAY(Table13[[#This Row],[Date]])+1</f>
        <v>45901</v>
      </c>
      <c r="E176" s="167">
        <f t="shared" si="12"/>
        <v>30</v>
      </c>
      <c r="F176" s="169"/>
      <c r="G176" s="170"/>
      <c r="H176" s="170"/>
      <c r="I176" s="170"/>
      <c r="J176" s="170"/>
      <c r="K176" s="171"/>
      <c r="L176" s="170"/>
      <c r="M176" s="170" t="str">
        <f>IFERROR(_xlfn.XLOOKUP($A176,Input_Raw!$A:$A,Input_Raw!BG:BG),"")</f>
        <v/>
      </c>
      <c r="N176" s="170" t="str">
        <f>IFERROR(_xlfn.XLOOKUP($A176,Input_Raw!$A:$A,Input_Raw!BH:BH),"")</f>
        <v/>
      </c>
      <c r="O176" s="173" t="str">
        <f t="shared" si="13"/>
        <v/>
      </c>
      <c r="P176" s="173" t="str">
        <f>IFERROR(1-SUMIF(WTG_BD!$F:$F,$A176,WTG_BD!$AA:$AA)/($AA176+SUMIF(WTG_BD!$F:$F,$A176,WTG_BD!$AA:$AA)),"")</f>
        <v/>
      </c>
      <c r="Q176" s="173" t="str">
        <f>IFERROR(1-SUMIF(IGA_BD!$F:$F,$A176,IGA_BD!$X:$X)/($AA176+SUMIF(IGA_BD!$F:$F,$A176,IGA_BD!$X:$X)),"")</f>
        <v/>
      </c>
      <c r="R176" s="173" t="str">
        <f>IFERROR(1-SUMIF(Grid_BD!$F:$F,$A176,Grid_BD!$Y:$Y)/($AA176+SUMIF(Grid_BD!$F:$F,$A176,Grid_BD!$Y:$Y)),"")</f>
        <v/>
      </c>
      <c r="S176" s="167"/>
      <c r="T176" s="172"/>
      <c r="U176" s="173"/>
      <c r="V176" s="167"/>
      <c r="W176" s="174" t="str">
        <f t="shared" si="14"/>
        <v/>
      </c>
      <c r="X176" s="167" t="str">
        <f>IFERROR(_xlfn.XLOOKUP($A176,Input_Raw!$A:$A,Input_Raw!$BF:$BF),"")</f>
        <v/>
      </c>
      <c r="Y176" s="167" t="str">
        <f>IFERROR(_xlfn.XLOOKUP($A176,Input_Raw!$A:$A,Input_Raw!BJ:BJ),"")</f>
        <v/>
      </c>
      <c r="Z176" s="167" t="str">
        <f>IFERROR(_xlfn.XLOOKUP($A176,Input_Raw!$A:$A,Input_Raw!BK:BK),"")</f>
        <v/>
      </c>
      <c r="AA176" s="167" t="str">
        <f>IFERROR(_xlfn.XLOOKUP($A176,Input_Raw!$A:$A,Input_Raw!BL:BL),"")</f>
        <v/>
      </c>
      <c r="AB176" s="167" t="str">
        <f>IFERROR(_xlfn.XLOOKUP($A176,Input_Raw!$A:$A,Input_Raw!$BO:$BO),"")</f>
        <v/>
      </c>
      <c r="AC176" s="176">
        <f>IFERROR(_xlfn.XLOOKUP($D176,'Modelling New'!$D:$D,'Modelling New'!$J:$J),"")</f>
        <v>8.16</v>
      </c>
      <c r="AD176" s="166">
        <f>IFERROR(_xlfn.XLOOKUP($D176,'Modelling New'!$D:$D,'Modelling New'!$T:$T)*1000,"")</f>
        <v>528999.85312315286</v>
      </c>
      <c r="AE176" s="174"/>
      <c r="AF176" s="174">
        <f>IFERROR(_xlfn.XLOOKUP($D176,'Modelling New'!$D:$D,'Modelling New'!$W:$W),"")</f>
        <v>0.31398376847290649</v>
      </c>
      <c r="AG176" s="174">
        <f>IFERROR(_xlfn.XLOOKUP($D176,'Modelling New'!$D:$D,'Modelling New'!$AE:$AE),"")</f>
        <v>0.96029999999999993</v>
      </c>
      <c r="AH176" s="174">
        <f>IFERROR(_xlfn.XLOOKUP($D176,'Modelling New'!$D:$D,'Modelling New'!$AF:$AF),"")</f>
        <v>0.995</v>
      </c>
      <c r="AI176" s="177" t="str">
        <f>IFERROR(_xlfn.XLOOKUP($A176,Input_Raw!$A:$A,Input_Raw!$BQ:$BQ),"")</f>
        <v/>
      </c>
      <c r="AJ176" s="167"/>
      <c r="AK176" s="167"/>
      <c r="AL176" s="167"/>
      <c r="AM176" s="167"/>
      <c r="AN176" s="175" t="str">
        <f>IFERROR(_xlfn.XLOOKUP($A176,Input_Raw!$A:$A,Input_Raw!$BN:$BN),"")</f>
        <v/>
      </c>
      <c r="AO176" s="174" t="str">
        <f>IFERROR((_xlfn.XLOOKUP($A176,'WTG Reactive Power'!$A:$A,'WTG Reactive Power'!$AE:$AE))/Table13[[#This Row],[Gen_Exp (kWh)]],"")</f>
        <v/>
      </c>
      <c r="AP176" s="174">
        <f>IFERROR(_xlfn.XLOOKUP($D176,'Modelling New'!$D:$D,'Modelling New'!$AK:$AK),"")</f>
        <v>0.05</v>
      </c>
      <c r="AQ176" s="174">
        <f>IFERROR(_xlfn.XLOOKUP($D176,'Modelling New'!$D:$D,'Modelling New'!$AL:$AL),"")</f>
        <v>0.05</v>
      </c>
      <c r="AR176" s="276">
        <f>IFERROR(_xlfn.XLOOKUP($D176,'Modelling New'!$D:$D,'Modelling New'!$N:$N),"")</f>
        <v>70.2</v>
      </c>
      <c r="AS176" s="276"/>
    </row>
    <row r="177" spans="1:45">
      <c r="A177" s="165">
        <f t="shared" si="15"/>
        <v>45920</v>
      </c>
      <c r="B177" s="166">
        <f>YEAR(Table13[[#This Row],[Date]])+IF(MONTH(Table13[[#This Row],[Date]])&gt;=4,1,0)</f>
        <v>2026</v>
      </c>
      <c r="C177" s="167">
        <f>YEAR(Table13[[#This Row],[Date]])</f>
        <v>2025</v>
      </c>
      <c r="D177" s="168">
        <f>Table13[[#This Row],[Date]]-DAY(Table13[[#This Row],[Date]])+1</f>
        <v>45901</v>
      </c>
      <c r="E177" s="167">
        <f t="shared" si="12"/>
        <v>30</v>
      </c>
      <c r="F177" s="169"/>
      <c r="G177" s="176"/>
      <c r="H177" s="176"/>
      <c r="I177" s="176"/>
      <c r="J177" s="176"/>
      <c r="K177" s="171"/>
      <c r="L177" s="170"/>
      <c r="M177" s="170" t="str">
        <f>IFERROR(_xlfn.XLOOKUP($A177,Input_Raw!$A:$A,Input_Raw!BG:BG),"")</f>
        <v/>
      </c>
      <c r="N177" s="170" t="str">
        <f>IFERROR(_xlfn.XLOOKUP($A177,Input_Raw!$A:$A,Input_Raw!BH:BH),"")</f>
        <v/>
      </c>
      <c r="O177" s="173" t="str">
        <f t="shared" si="13"/>
        <v/>
      </c>
      <c r="P177" s="173" t="str">
        <f>IFERROR(1-SUMIF(WTG_BD!$F:$F,$A177,WTG_BD!$AA:$AA)/($AA177+SUMIF(WTG_BD!$F:$F,$A177,WTG_BD!$AA:$AA)),"")</f>
        <v/>
      </c>
      <c r="Q177" s="173" t="str">
        <f>IFERROR(1-SUMIF(IGA_BD!$F:$F,$A177,IGA_BD!$X:$X)/($AA177+SUMIF(IGA_BD!$F:$F,$A177,IGA_BD!$X:$X)),"")</f>
        <v/>
      </c>
      <c r="R177" s="173" t="str">
        <f>IFERROR(1-SUMIF(Grid_BD!$F:$F,$A177,Grid_BD!$Y:$Y)/($AA177+SUMIF(Grid_BD!$F:$F,$A177,Grid_BD!$Y:$Y)),"")</f>
        <v/>
      </c>
      <c r="S177" s="167"/>
      <c r="T177" s="172"/>
      <c r="U177" s="173"/>
      <c r="V177" s="167"/>
      <c r="W177" s="174" t="str">
        <f t="shared" si="14"/>
        <v/>
      </c>
      <c r="X177" s="167" t="str">
        <f>IFERROR(_xlfn.XLOOKUP($A177,Input_Raw!$A:$A,Input_Raw!$BF:$BF),"")</f>
        <v/>
      </c>
      <c r="Y177" s="167" t="str">
        <f>IFERROR(_xlfn.XLOOKUP($A177,Input_Raw!$A:$A,Input_Raw!BJ:BJ),"")</f>
        <v/>
      </c>
      <c r="Z177" s="167" t="str">
        <f>IFERROR(_xlfn.XLOOKUP($A177,Input_Raw!$A:$A,Input_Raw!BK:BK),"")</f>
        <v/>
      </c>
      <c r="AA177" s="167" t="str">
        <f>IFERROR(_xlfn.XLOOKUP($A177,Input_Raw!$A:$A,Input_Raw!BL:BL),"")</f>
        <v/>
      </c>
      <c r="AB177" s="167" t="str">
        <f>IFERROR(_xlfn.XLOOKUP($A177,Input_Raw!$A:$A,Input_Raw!$BO:$BO),"")</f>
        <v/>
      </c>
      <c r="AC177" s="176">
        <f>IFERROR(_xlfn.XLOOKUP($D177,'Modelling New'!$D:$D,'Modelling New'!$J:$J),"")</f>
        <v>8.16</v>
      </c>
      <c r="AD177" s="166">
        <f>IFERROR(_xlfn.XLOOKUP($D177,'Modelling New'!$D:$D,'Modelling New'!$T:$T)*1000,"")</f>
        <v>528999.85312315286</v>
      </c>
      <c r="AE177" s="174"/>
      <c r="AF177" s="174">
        <f>IFERROR(_xlfn.XLOOKUP($D177,'Modelling New'!$D:$D,'Modelling New'!$W:$W),"")</f>
        <v>0.31398376847290649</v>
      </c>
      <c r="AG177" s="174">
        <f>IFERROR(_xlfn.XLOOKUP($D177,'Modelling New'!$D:$D,'Modelling New'!$AE:$AE),"")</f>
        <v>0.96029999999999993</v>
      </c>
      <c r="AH177" s="174">
        <f>IFERROR(_xlfn.XLOOKUP($D177,'Modelling New'!$D:$D,'Modelling New'!$AF:$AF),"")</f>
        <v>0.995</v>
      </c>
      <c r="AI177" s="177" t="str">
        <f>IFERROR(_xlfn.XLOOKUP($A177,Input_Raw!$A:$A,Input_Raw!$BQ:$BQ),"")</f>
        <v/>
      </c>
      <c r="AJ177" s="167"/>
      <c r="AK177" s="167"/>
      <c r="AL177" s="167"/>
      <c r="AM177" s="167"/>
      <c r="AN177" s="175" t="str">
        <f>IFERROR(_xlfn.XLOOKUP($A177,Input_Raw!$A:$A,Input_Raw!$BN:$BN),"")</f>
        <v/>
      </c>
      <c r="AO177" s="174" t="str">
        <f>IFERROR((_xlfn.XLOOKUP($A177,'WTG Reactive Power'!$A:$A,'WTG Reactive Power'!$AE:$AE))/Table13[[#This Row],[Gen_Exp (kWh)]],"")</f>
        <v/>
      </c>
      <c r="AP177" s="174">
        <f>IFERROR(_xlfn.XLOOKUP($D177,'Modelling New'!$D:$D,'Modelling New'!$AK:$AK),"")</f>
        <v>0.05</v>
      </c>
      <c r="AQ177" s="174">
        <f>IFERROR(_xlfn.XLOOKUP($D177,'Modelling New'!$D:$D,'Modelling New'!$AL:$AL),"")</f>
        <v>0.05</v>
      </c>
      <c r="AR177" s="276">
        <f>IFERROR(_xlfn.XLOOKUP($D177,'Modelling New'!$D:$D,'Modelling New'!$N:$N),"")</f>
        <v>70.2</v>
      </c>
      <c r="AS177" s="276"/>
    </row>
    <row r="178" spans="1:45">
      <c r="A178" s="165">
        <f t="shared" si="15"/>
        <v>45921</v>
      </c>
      <c r="B178" s="166">
        <f>YEAR(Table13[[#This Row],[Date]])+IF(MONTH(Table13[[#This Row],[Date]])&gt;=4,1,0)</f>
        <v>2026</v>
      </c>
      <c r="C178" s="167">
        <f>YEAR(Table13[[#This Row],[Date]])</f>
        <v>2025</v>
      </c>
      <c r="D178" s="168">
        <f>Table13[[#This Row],[Date]]-DAY(Table13[[#This Row],[Date]])+1</f>
        <v>45901</v>
      </c>
      <c r="E178" s="167">
        <f t="shared" si="12"/>
        <v>30</v>
      </c>
      <c r="F178" s="169"/>
      <c r="G178" s="170"/>
      <c r="H178" s="170"/>
      <c r="I178" s="170"/>
      <c r="J178" s="170"/>
      <c r="K178" s="171"/>
      <c r="L178" s="170"/>
      <c r="M178" s="170" t="str">
        <f>IFERROR(_xlfn.XLOOKUP($A178,Input_Raw!$A:$A,Input_Raw!BG:BG),"")</f>
        <v/>
      </c>
      <c r="N178" s="170" t="str">
        <f>IFERROR(_xlfn.XLOOKUP($A178,Input_Raw!$A:$A,Input_Raw!BH:BH),"")</f>
        <v/>
      </c>
      <c r="O178" s="173" t="str">
        <f t="shared" si="13"/>
        <v/>
      </c>
      <c r="P178" s="173" t="str">
        <f>IFERROR(1-SUMIF(WTG_BD!$F:$F,$A178,WTG_BD!$AA:$AA)/($AA178+SUMIF(WTG_BD!$F:$F,$A178,WTG_BD!$AA:$AA)),"")</f>
        <v/>
      </c>
      <c r="Q178" s="173" t="str">
        <f>IFERROR(1-SUMIF(IGA_BD!$F:$F,$A178,IGA_BD!$X:$X)/($AA178+SUMIF(IGA_BD!$F:$F,$A178,IGA_BD!$X:$X)),"")</f>
        <v/>
      </c>
      <c r="R178" s="173" t="str">
        <f>IFERROR(1-SUMIF(Grid_BD!$F:$F,$A178,Grid_BD!$Y:$Y)/($AA178+SUMIF(Grid_BD!$F:$F,$A178,Grid_BD!$Y:$Y)),"")</f>
        <v/>
      </c>
      <c r="S178" s="167"/>
      <c r="T178" s="172"/>
      <c r="U178" s="173"/>
      <c r="V178" s="167"/>
      <c r="W178" s="174" t="str">
        <f t="shared" si="14"/>
        <v/>
      </c>
      <c r="X178" s="167" t="str">
        <f>IFERROR(_xlfn.XLOOKUP($A178,Input_Raw!$A:$A,Input_Raw!$BF:$BF),"")</f>
        <v/>
      </c>
      <c r="Y178" s="167" t="str">
        <f>IFERROR(_xlfn.XLOOKUP($A178,Input_Raw!$A:$A,Input_Raw!BJ:BJ),"")</f>
        <v/>
      </c>
      <c r="Z178" s="167" t="str">
        <f>IFERROR(_xlfn.XLOOKUP($A178,Input_Raw!$A:$A,Input_Raw!BK:BK),"")</f>
        <v/>
      </c>
      <c r="AA178" s="167" t="str">
        <f>IFERROR(_xlfn.XLOOKUP($A178,Input_Raw!$A:$A,Input_Raw!BL:BL),"")</f>
        <v/>
      </c>
      <c r="AB178" s="167" t="str">
        <f>IFERROR(_xlfn.XLOOKUP($A178,Input_Raw!$A:$A,Input_Raw!$BO:$BO),"")</f>
        <v/>
      </c>
      <c r="AC178" s="176">
        <f>IFERROR(_xlfn.XLOOKUP($D178,'Modelling New'!$D:$D,'Modelling New'!$J:$J),"")</f>
        <v>8.16</v>
      </c>
      <c r="AD178" s="166">
        <f>IFERROR(_xlfn.XLOOKUP($D178,'Modelling New'!$D:$D,'Modelling New'!$T:$T)*1000,"")</f>
        <v>528999.85312315286</v>
      </c>
      <c r="AE178" s="174"/>
      <c r="AF178" s="174">
        <f>IFERROR(_xlfn.XLOOKUP($D178,'Modelling New'!$D:$D,'Modelling New'!$W:$W),"")</f>
        <v>0.31398376847290649</v>
      </c>
      <c r="AG178" s="174">
        <f>IFERROR(_xlfn.XLOOKUP($D178,'Modelling New'!$D:$D,'Modelling New'!$AE:$AE),"")</f>
        <v>0.96029999999999993</v>
      </c>
      <c r="AH178" s="174">
        <f>IFERROR(_xlfn.XLOOKUP($D178,'Modelling New'!$D:$D,'Modelling New'!$AF:$AF),"")</f>
        <v>0.995</v>
      </c>
      <c r="AI178" s="177" t="str">
        <f>IFERROR(_xlfn.XLOOKUP($A178,Input_Raw!$A:$A,Input_Raw!$BQ:$BQ),"")</f>
        <v/>
      </c>
      <c r="AJ178" s="167"/>
      <c r="AK178" s="167"/>
      <c r="AL178" s="167"/>
      <c r="AM178" s="167"/>
      <c r="AN178" s="175" t="str">
        <f>IFERROR(_xlfn.XLOOKUP($A178,Input_Raw!$A:$A,Input_Raw!$BN:$BN),"")</f>
        <v/>
      </c>
      <c r="AO178" s="174" t="str">
        <f>IFERROR((_xlfn.XLOOKUP($A178,'WTG Reactive Power'!$A:$A,'WTG Reactive Power'!$AE:$AE))/Table13[[#This Row],[Gen_Exp (kWh)]],"")</f>
        <v/>
      </c>
      <c r="AP178" s="174">
        <f>IFERROR(_xlfn.XLOOKUP($D178,'Modelling New'!$D:$D,'Modelling New'!$AK:$AK),"")</f>
        <v>0.05</v>
      </c>
      <c r="AQ178" s="174">
        <f>IFERROR(_xlfn.XLOOKUP($D178,'Modelling New'!$D:$D,'Modelling New'!$AL:$AL),"")</f>
        <v>0.05</v>
      </c>
      <c r="AR178" s="276">
        <f>IFERROR(_xlfn.XLOOKUP($D178,'Modelling New'!$D:$D,'Modelling New'!$N:$N),"")</f>
        <v>70.2</v>
      </c>
      <c r="AS178" s="276"/>
    </row>
    <row r="179" spans="1:45">
      <c r="A179" s="165">
        <f t="shared" si="15"/>
        <v>45922</v>
      </c>
      <c r="B179" s="166">
        <f>YEAR(Table13[[#This Row],[Date]])+IF(MONTH(Table13[[#This Row],[Date]])&gt;=4,1,0)</f>
        <v>2026</v>
      </c>
      <c r="C179" s="167">
        <f>YEAR(Table13[[#This Row],[Date]])</f>
        <v>2025</v>
      </c>
      <c r="D179" s="168">
        <f>Table13[[#This Row],[Date]]-DAY(Table13[[#This Row],[Date]])+1</f>
        <v>45901</v>
      </c>
      <c r="E179" s="167">
        <f t="shared" si="12"/>
        <v>30</v>
      </c>
      <c r="F179" s="169"/>
      <c r="G179" s="176"/>
      <c r="H179" s="176"/>
      <c r="I179" s="176"/>
      <c r="J179" s="176"/>
      <c r="K179" s="171"/>
      <c r="L179" s="170"/>
      <c r="M179" s="170" t="str">
        <f>IFERROR(_xlfn.XLOOKUP($A179,Input_Raw!$A:$A,Input_Raw!BG:BG),"")</f>
        <v/>
      </c>
      <c r="N179" s="170" t="str">
        <f>IFERROR(_xlfn.XLOOKUP($A179,Input_Raw!$A:$A,Input_Raw!BH:BH),"")</f>
        <v/>
      </c>
      <c r="O179" s="173" t="str">
        <f t="shared" si="13"/>
        <v/>
      </c>
      <c r="P179" s="173" t="str">
        <f>IFERROR(1-SUMIF(WTG_BD!$F:$F,$A179,WTG_BD!$AA:$AA)/($AA179+SUMIF(WTG_BD!$F:$F,$A179,WTG_BD!$AA:$AA)),"")</f>
        <v/>
      </c>
      <c r="Q179" s="173" t="str">
        <f>IFERROR(1-SUMIF(IGA_BD!$F:$F,$A179,IGA_BD!$X:$X)/($AA179+SUMIF(IGA_BD!$F:$F,$A179,IGA_BD!$X:$X)),"")</f>
        <v/>
      </c>
      <c r="R179" s="173" t="str">
        <f>IFERROR(1-SUMIF(Grid_BD!$F:$F,$A179,Grid_BD!$Y:$Y)/($AA179+SUMIF(Grid_BD!$F:$F,$A179,Grid_BD!$Y:$Y)),"")</f>
        <v/>
      </c>
      <c r="S179" s="167"/>
      <c r="T179" s="172"/>
      <c r="U179" s="173"/>
      <c r="V179" s="167"/>
      <c r="W179" s="174" t="str">
        <f t="shared" si="14"/>
        <v/>
      </c>
      <c r="X179" s="167" t="str">
        <f>IFERROR(_xlfn.XLOOKUP($A179,Input_Raw!$A:$A,Input_Raw!$BF:$BF),"")</f>
        <v/>
      </c>
      <c r="Y179" s="167" t="str">
        <f>IFERROR(_xlfn.XLOOKUP($A179,Input_Raw!$A:$A,Input_Raw!BJ:BJ),"")</f>
        <v/>
      </c>
      <c r="Z179" s="167" t="str">
        <f>IFERROR(_xlfn.XLOOKUP($A179,Input_Raw!$A:$A,Input_Raw!BK:BK),"")</f>
        <v/>
      </c>
      <c r="AA179" s="167" t="str">
        <f>IFERROR(_xlfn.XLOOKUP($A179,Input_Raw!$A:$A,Input_Raw!BL:BL),"")</f>
        <v/>
      </c>
      <c r="AB179" s="167" t="str">
        <f>IFERROR(_xlfn.XLOOKUP($A179,Input_Raw!$A:$A,Input_Raw!$BO:$BO),"")</f>
        <v/>
      </c>
      <c r="AC179" s="176">
        <f>IFERROR(_xlfn.XLOOKUP($D179,'Modelling New'!$D:$D,'Modelling New'!$J:$J),"")</f>
        <v>8.16</v>
      </c>
      <c r="AD179" s="166">
        <f>IFERROR(_xlfn.XLOOKUP($D179,'Modelling New'!$D:$D,'Modelling New'!$T:$T)*1000,"")</f>
        <v>528999.85312315286</v>
      </c>
      <c r="AE179" s="174"/>
      <c r="AF179" s="174">
        <f>IFERROR(_xlfn.XLOOKUP($D179,'Modelling New'!$D:$D,'Modelling New'!$W:$W),"")</f>
        <v>0.31398376847290649</v>
      </c>
      <c r="AG179" s="174">
        <f>IFERROR(_xlfn.XLOOKUP($D179,'Modelling New'!$D:$D,'Modelling New'!$AE:$AE),"")</f>
        <v>0.96029999999999993</v>
      </c>
      <c r="AH179" s="174">
        <f>IFERROR(_xlfn.XLOOKUP($D179,'Modelling New'!$D:$D,'Modelling New'!$AF:$AF),"")</f>
        <v>0.995</v>
      </c>
      <c r="AI179" s="177" t="str">
        <f>IFERROR(_xlfn.XLOOKUP($A179,Input_Raw!$A:$A,Input_Raw!$BQ:$BQ),"")</f>
        <v/>
      </c>
      <c r="AJ179" s="167"/>
      <c r="AK179" s="167"/>
      <c r="AL179" s="167"/>
      <c r="AM179" s="167"/>
      <c r="AN179" s="175" t="str">
        <f>IFERROR(_xlfn.XLOOKUP($A179,Input_Raw!$A:$A,Input_Raw!$BN:$BN),"")</f>
        <v/>
      </c>
      <c r="AO179" s="174" t="str">
        <f>IFERROR((_xlfn.XLOOKUP($A179,'WTG Reactive Power'!$A:$A,'WTG Reactive Power'!$AE:$AE))/Table13[[#This Row],[Gen_Exp (kWh)]],"")</f>
        <v/>
      </c>
      <c r="AP179" s="174">
        <f>IFERROR(_xlfn.XLOOKUP($D179,'Modelling New'!$D:$D,'Modelling New'!$AK:$AK),"")</f>
        <v>0.05</v>
      </c>
      <c r="AQ179" s="174">
        <f>IFERROR(_xlfn.XLOOKUP($D179,'Modelling New'!$D:$D,'Modelling New'!$AL:$AL),"")</f>
        <v>0.05</v>
      </c>
      <c r="AR179" s="276">
        <f>IFERROR(_xlfn.XLOOKUP($D179,'Modelling New'!$D:$D,'Modelling New'!$N:$N),"")</f>
        <v>70.2</v>
      </c>
      <c r="AS179" s="276"/>
    </row>
    <row r="180" spans="1:45">
      <c r="A180" s="165">
        <f t="shared" si="15"/>
        <v>45923</v>
      </c>
      <c r="B180" s="166">
        <f>YEAR(Table13[[#This Row],[Date]])+IF(MONTH(Table13[[#This Row],[Date]])&gt;=4,1,0)</f>
        <v>2026</v>
      </c>
      <c r="C180" s="167">
        <f>YEAR(Table13[[#This Row],[Date]])</f>
        <v>2025</v>
      </c>
      <c r="D180" s="168">
        <f>Table13[[#This Row],[Date]]-DAY(Table13[[#This Row],[Date]])+1</f>
        <v>45901</v>
      </c>
      <c r="E180" s="167">
        <f t="shared" si="12"/>
        <v>30</v>
      </c>
      <c r="F180" s="169"/>
      <c r="G180" s="170"/>
      <c r="H180" s="170"/>
      <c r="I180" s="170"/>
      <c r="J180" s="170"/>
      <c r="K180" s="171"/>
      <c r="L180" s="170"/>
      <c r="M180" s="170" t="str">
        <f>IFERROR(_xlfn.XLOOKUP($A180,Input_Raw!$A:$A,Input_Raw!BG:BG),"")</f>
        <v/>
      </c>
      <c r="N180" s="170" t="str">
        <f>IFERROR(_xlfn.XLOOKUP($A180,Input_Raw!$A:$A,Input_Raw!BH:BH),"")</f>
        <v/>
      </c>
      <c r="O180" s="173" t="str">
        <f t="shared" si="13"/>
        <v/>
      </c>
      <c r="P180" s="173" t="str">
        <f>IFERROR(1-SUMIF(WTG_BD!$F:$F,$A180,WTG_BD!$AA:$AA)/($AA180+SUMIF(WTG_BD!$F:$F,$A180,WTG_BD!$AA:$AA)),"")</f>
        <v/>
      </c>
      <c r="Q180" s="173" t="str">
        <f>IFERROR(1-SUMIF(IGA_BD!$F:$F,$A180,IGA_BD!$X:$X)/($AA180+SUMIF(IGA_BD!$F:$F,$A180,IGA_BD!$X:$X)),"")</f>
        <v/>
      </c>
      <c r="R180" s="173" t="str">
        <f>IFERROR(1-SUMIF(Grid_BD!$F:$F,$A180,Grid_BD!$Y:$Y)/($AA180+SUMIF(Grid_BD!$F:$F,$A180,Grid_BD!$Y:$Y)),"")</f>
        <v/>
      </c>
      <c r="S180" s="167"/>
      <c r="T180" s="172"/>
      <c r="U180" s="173"/>
      <c r="V180" s="167"/>
      <c r="W180" s="174" t="str">
        <f t="shared" si="14"/>
        <v/>
      </c>
      <c r="X180" s="167" t="str">
        <f>IFERROR(_xlfn.XLOOKUP($A180,Input_Raw!$A:$A,Input_Raw!$BF:$BF),"")</f>
        <v/>
      </c>
      <c r="Y180" s="167" t="str">
        <f>IFERROR(_xlfn.XLOOKUP($A180,Input_Raw!$A:$A,Input_Raw!BJ:BJ),"")</f>
        <v/>
      </c>
      <c r="Z180" s="167" t="str">
        <f>IFERROR(_xlfn.XLOOKUP($A180,Input_Raw!$A:$A,Input_Raw!BK:BK),"")</f>
        <v/>
      </c>
      <c r="AA180" s="167" t="str">
        <f>IFERROR(_xlfn.XLOOKUP($A180,Input_Raw!$A:$A,Input_Raw!BL:BL),"")</f>
        <v/>
      </c>
      <c r="AB180" s="167" t="str">
        <f>IFERROR(_xlfn.XLOOKUP($A180,Input_Raw!$A:$A,Input_Raw!$BO:$BO),"")</f>
        <v/>
      </c>
      <c r="AC180" s="176">
        <f>IFERROR(_xlfn.XLOOKUP($D180,'Modelling New'!$D:$D,'Modelling New'!$J:$J),"")</f>
        <v>8.16</v>
      </c>
      <c r="AD180" s="166">
        <f>IFERROR(_xlfn.XLOOKUP($D180,'Modelling New'!$D:$D,'Modelling New'!$T:$T)*1000,"")</f>
        <v>528999.85312315286</v>
      </c>
      <c r="AE180" s="174"/>
      <c r="AF180" s="174">
        <f>IFERROR(_xlfn.XLOOKUP($D180,'Modelling New'!$D:$D,'Modelling New'!$W:$W),"")</f>
        <v>0.31398376847290649</v>
      </c>
      <c r="AG180" s="174">
        <f>IFERROR(_xlfn.XLOOKUP($D180,'Modelling New'!$D:$D,'Modelling New'!$AE:$AE),"")</f>
        <v>0.96029999999999993</v>
      </c>
      <c r="AH180" s="174">
        <f>IFERROR(_xlfn.XLOOKUP($D180,'Modelling New'!$D:$D,'Modelling New'!$AF:$AF),"")</f>
        <v>0.995</v>
      </c>
      <c r="AI180" s="177" t="str">
        <f>IFERROR(_xlfn.XLOOKUP($A180,Input_Raw!$A:$A,Input_Raw!$BQ:$BQ),"")</f>
        <v/>
      </c>
      <c r="AJ180" s="167"/>
      <c r="AK180" s="167"/>
      <c r="AL180" s="167"/>
      <c r="AM180" s="167"/>
      <c r="AN180" s="175" t="str">
        <f>IFERROR(_xlfn.XLOOKUP($A180,Input_Raw!$A:$A,Input_Raw!$BN:$BN),"")</f>
        <v/>
      </c>
      <c r="AO180" s="174" t="str">
        <f>IFERROR((_xlfn.XLOOKUP($A180,'WTG Reactive Power'!$A:$A,'WTG Reactive Power'!$AE:$AE))/Table13[[#This Row],[Gen_Exp (kWh)]],"")</f>
        <v/>
      </c>
      <c r="AP180" s="174">
        <f>IFERROR(_xlfn.XLOOKUP($D180,'Modelling New'!$D:$D,'Modelling New'!$AK:$AK),"")</f>
        <v>0.05</v>
      </c>
      <c r="AQ180" s="174">
        <f>IFERROR(_xlfn.XLOOKUP($D180,'Modelling New'!$D:$D,'Modelling New'!$AL:$AL),"")</f>
        <v>0.05</v>
      </c>
      <c r="AR180" s="276">
        <f>IFERROR(_xlfn.XLOOKUP($D180,'Modelling New'!$D:$D,'Modelling New'!$N:$N),"")</f>
        <v>70.2</v>
      </c>
      <c r="AS180" s="276"/>
    </row>
    <row r="181" spans="1:45">
      <c r="A181" s="165">
        <f t="shared" si="15"/>
        <v>45924</v>
      </c>
      <c r="B181" s="166">
        <f>YEAR(Table13[[#This Row],[Date]])+IF(MONTH(Table13[[#This Row],[Date]])&gt;=4,1,0)</f>
        <v>2026</v>
      </c>
      <c r="C181" s="167">
        <f>YEAR(Table13[[#This Row],[Date]])</f>
        <v>2025</v>
      </c>
      <c r="D181" s="168">
        <f>Table13[[#This Row],[Date]]-DAY(Table13[[#This Row],[Date]])+1</f>
        <v>45901</v>
      </c>
      <c r="E181" s="167">
        <f t="shared" si="12"/>
        <v>30</v>
      </c>
      <c r="F181" s="169"/>
      <c r="G181" s="176"/>
      <c r="H181" s="176"/>
      <c r="I181" s="176"/>
      <c r="J181" s="176"/>
      <c r="K181" s="171"/>
      <c r="L181" s="170"/>
      <c r="M181" s="170" t="str">
        <f>IFERROR(_xlfn.XLOOKUP($A181,Input_Raw!$A:$A,Input_Raw!BG:BG),"")</f>
        <v/>
      </c>
      <c r="N181" s="170" t="str">
        <f>IFERROR(_xlfn.XLOOKUP($A181,Input_Raw!$A:$A,Input_Raw!BH:BH),"")</f>
        <v/>
      </c>
      <c r="O181" s="173" t="str">
        <f t="shared" si="13"/>
        <v/>
      </c>
      <c r="P181" s="173" t="str">
        <f>IFERROR(1-SUMIF(WTG_BD!$F:$F,$A181,WTG_BD!$AA:$AA)/($AA181+SUMIF(WTG_BD!$F:$F,$A181,WTG_BD!$AA:$AA)),"")</f>
        <v/>
      </c>
      <c r="Q181" s="173" t="str">
        <f>IFERROR(1-SUMIF(IGA_BD!$F:$F,$A181,IGA_BD!$X:$X)/($AA181+SUMIF(IGA_BD!$F:$F,$A181,IGA_BD!$X:$X)),"")</f>
        <v/>
      </c>
      <c r="R181" s="173" t="str">
        <f>IFERROR(1-SUMIF(Grid_BD!$F:$F,$A181,Grid_BD!$Y:$Y)/($AA181+SUMIF(Grid_BD!$F:$F,$A181,Grid_BD!$Y:$Y)),"")</f>
        <v/>
      </c>
      <c r="S181" s="167"/>
      <c r="T181" s="172"/>
      <c r="U181" s="173"/>
      <c r="V181" s="167"/>
      <c r="W181" s="174" t="str">
        <f t="shared" si="14"/>
        <v/>
      </c>
      <c r="X181" s="167" t="str">
        <f>IFERROR(_xlfn.XLOOKUP($A181,Input_Raw!$A:$A,Input_Raw!$BF:$BF),"")</f>
        <v/>
      </c>
      <c r="Y181" s="167" t="str">
        <f>IFERROR(_xlfn.XLOOKUP($A181,Input_Raw!$A:$A,Input_Raw!BJ:BJ),"")</f>
        <v/>
      </c>
      <c r="Z181" s="167" t="str">
        <f>IFERROR(_xlfn.XLOOKUP($A181,Input_Raw!$A:$A,Input_Raw!BK:BK),"")</f>
        <v/>
      </c>
      <c r="AA181" s="167" t="str">
        <f>IFERROR(_xlfn.XLOOKUP($A181,Input_Raw!$A:$A,Input_Raw!BL:BL),"")</f>
        <v/>
      </c>
      <c r="AB181" s="167" t="str">
        <f>IFERROR(_xlfn.XLOOKUP($A181,Input_Raw!$A:$A,Input_Raw!$BO:$BO),"")</f>
        <v/>
      </c>
      <c r="AC181" s="176">
        <f>IFERROR(_xlfn.XLOOKUP($D181,'Modelling New'!$D:$D,'Modelling New'!$J:$J),"")</f>
        <v>8.16</v>
      </c>
      <c r="AD181" s="166">
        <f>IFERROR(_xlfn.XLOOKUP($D181,'Modelling New'!$D:$D,'Modelling New'!$T:$T)*1000,"")</f>
        <v>528999.85312315286</v>
      </c>
      <c r="AE181" s="174"/>
      <c r="AF181" s="174">
        <f>IFERROR(_xlfn.XLOOKUP($D181,'Modelling New'!$D:$D,'Modelling New'!$W:$W),"")</f>
        <v>0.31398376847290649</v>
      </c>
      <c r="AG181" s="174">
        <f>IFERROR(_xlfn.XLOOKUP($D181,'Modelling New'!$D:$D,'Modelling New'!$AE:$AE),"")</f>
        <v>0.96029999999999993</v>
      </c>
      <c r="AH181" s="174">
        <f>IFERROR(_xlfn.XLOOKUP($D181,'Modelling New'!$D:$D,'Modelling New'!$AF:$AF),"")</f>
        <v>0.995</v>
      </c>
      <c r="AI181" s="177" t="str">
        <f>IFERROR(_xlfn.XLOOKUP($A181,Input_Raw!$A:$A,Input_Raw!$BQ:$BQ),"")</f>
        <v/>
      </c>
      <c r="AJ181" s="167"/>
      <c r="AK181" s="167"/>
      <c r="AL181" s="167"/>
      <c r="AM181" s="167"/>
      <c r="AN181" s="175" t="str">
        <f>IFERROR(_xlfn.XLOOKUP($A181,Input_Raw!$A:$A,Input_Raw!$BN:$BN),"")</f>
        <v/>
      </c>
      <c r="AO181" s="174" t="str">
        <f>IFERROR((_xlfn.XLOOKUP($A181,'WTG Reactive Power'!$A:$A,'WTG Reactive Power'!$AE:$AE))/Table13[[#This Row],[Gen_Exp (kWh)]],"")</f>
        <v/>
      </c>
      <c r="AP181" s="174">
        <f>IFERROR(_xlfn.XLOOKUP($D181,'Modelling New'!$D:$D,'Modelling New'!$AK:$AK),"")</f>
        <v>0.05</v>
      </c>
      <c r="AQ181" s="174">
        <f>IFERROR(_xlfn.XLOOKUP($D181,'Modelling New'!$D:$D,'Modelling New'!$AL:$AL),"")</f>
        <v>0.05</v>
      </c>
      <c r="AR181" s="276">
        <f>IFERROR(_xlfn.XLOOKUP($D181,'Modelling New'!$D:$D,'Modelling New'!$N:$N),"")</f>
        <v>70.2</v>
      </c>
      <c r="AS181" s="276"/>
    </row>
    <row r="182" spans="1:45">
      <c r="A182" s="165">
        <f t="shared" si="15"/>
        <v>45925</v>
      </c>
      <c r="B182" s="166">
        <f>YEAR(Table13[[#This Row],[Date]])+IF(MONTH(Table13[[#This Row],[Date]])&gt;=4,1,0)</f>
        <v>2026</v>
      </c>
      <c r="C182" s="167">
        <f>YEAR(Table13[[#This Row],[Date]])</f>
        <v>2025</v>
      </c>
      <c r="D182" s="168">
        <f>Table13[[#This Row],[Date]]-DAY(Table13[[#This Row],[Date]])+1</f>
        <v>45901</v>
      </c>
      <c r="E182" s="167">
        <f t="shared" si="12"/>
        <v>30</v>
      </c>
      <c r="F182" s="169"/>
      <c r="G182" s="170"/>
      <c r="H182" s="170"/>
      <c r="I182" s="170"/>
      <c r="J182" s="170"/>
      <c r="K182" s="171"/>
      <c r="L182" s="170"/>
      <c r="M182" s="170" t="str">
        <f>IFERROR(_xlfn.XLOOKUP($A182,Input_Raw!$A:$A,Input_Raw!BG:BG),"")</f>
        <v/>
      </c>
      <c r="N182" s="170" t="str">
        <f>IFERROR(_xlfn.XLOOKUP($A182,Input_Raw!$A:$A,Input_Raw!BH:BH),"")</f>
        <v/>
      </c>
      <c r="O182" s="173" t="str">
        <f t="shared" si="13"/>
        <v/>
      </c>
      <c r="P182" s="173" t="str">
        <f>IFERROR(1-SUMIF(WTG_BD!$F:$F,$A182,WTG_BD!$AA:$AA)/($AA182+SUMIF(WTG_BD!$F:$F,$A182,WTG_BD!$AA:$AA)),"")</f>
        <v/>
      </c>
      <c r="Q182" s="173" t="str">
        <f>IFERROR(1-SUMIF(IGA_BD!$F:$F,$A182,IGA_BD!$X:$X)/($AA182+SUMIF(IGA_BD!$F:$F,$A182,IGA_BD!$X:$X)),"")</f>
        <v/>
      </c>
      <c r="R182" s="173" t="str">
        <f>IFERROR(1-SUMIF(Grid_BD!$F:$F,$A182,Grid_BD!$Y:$Y)/($AA182+SUMIF(Grid_BD!$F:$F,$A182,Grid_BD!$Y:$Y)),"")</f>
        <v/>
      </c>
      <c r="S182" s="167"/>
      <c r="T182" s="172"/>
      <c r="U182" s="173"/>
      <c r="V182" s="167"/>
      <c r="W182" s="174" t="str">
        <f t="shared" si="14"/>
        <v/>
      </c>
      <c r="X182" s="167" t="str">
        <f>IFERROR(_xlfn.XLOOKUP($A182,Input_Raw!$A:$A,Input_Raw!$BF:$BF),"")</f>
        <v/>
      </c>
      <c r="Y182" s="167" t="str">
        <f>IFERROR(_xlfn.XLOOKUP($A182,Input_Raw!$A:$A,Input_Raw!BJ:BJ),"")</f>
        <v/>
      </c>
      <c r="Z182" s="167" t="str">
        <f>IFERROR(_xlfn.XLOOKUP($A182,Input_Raw!$A:$A,Input_Raw!BK:BK),"")</f>
        <v/>
      </c>
      <c r="AA182" s="167" t="str">
        <f>IFERROR(_xlfn.XLOOKUP($A182,Input_Raw!$A:$A,Input_Raw!BL:BL),"")</f>
        <v/>
      </c>
      <c r="AB182" s="167" t="str">
        <f>IFERROR(_xlfn.XLOOKUP($A182,Input_Raw!$A:$A,Input_Raw!$BO:$BO),"")</f>
        <v/>
      </c>
      <c r="AC182" s="176">
        <f>IFERROR(_xlfn.XLOOKUP($D182,'Modelling New'!$D:$D,'Modelling New'!$J:$J),"")</f>
        <v>8.16</v>
      </c>
      <c r="AD182" s="166">
        <f>IFERROR(_xlfn.XLOOKUP($D182,'Modelling New'!$D:$D,'Modelling New'!$T:$T)*1000,"")</f>
        <v>528999.85312315286</v>
      </c>
      <c r="AE182" s="174"/>
      <c r="AF182" s="174">
        <f>IFERROR(_xlfn.XLOOKUP($D182,'Modelling New'!$D:$D,'Modelling New'!$W:$W),"")</f>
        <v>0.31398376847290649</v>
      </c>
      <c r="AG182" s="174">
        <f>IFERROR(_xlfn.XLOOKUP($D182,'Modelling New'!$D:$D,'Modelling New'!$AE:$AE),"")</f>
        <v>0.96029999999999993</v>
      </c>
      <c r="AH182" s="174">
        <f>IFERROR(_xlfn.XLOOKUP($D182,'Modelling New'!$D:$D,'Modelling New'!$AF:$AF),"")</f>
        <v>0.995</v>
      </c>
      <c r="AI182" s="177" t="str">
        <f>IFERROR(_xlfn.XLOOKUP($A182,Input_Raw!$A:$A,Input_Raw!$BQ:$BQ),"")</f>
        <v/>
      </c>
      <c r="AJ182" s="167"/>
      <c r="AK182" s="167"/>
      <c r="AL182" s="167"/>
      <c r="AM182" s="167"/>
      <c r="AN182" s="175" t="str">
        <f>IFERROR(_xlfn.XLOOKUP($A182,Input_Raw!$A:$A,Input_Raw!$BN:$BN),"")</f>
        <v/>
      </c>
      <c r="AO182" s="174" t="str">
        <f>IFERROR((_xlfn.XLOOKUP($A182,'WTG Reactive Power'!$A:$A,'WTG Reactive Power'!$AE:$AE))/Table13[[#This Row],[Gen_Exp (kWh)]],"")</f>
        <v/>
      </c>
      <c r="AP182" s="174">
        <f>IFERROR(_xlfn.XLOOKUP($D182,'Modelling New'!$D:$D,'Modelling New'!$AK:$AK),"")</f>
        <v>0.05</v>
      </c>
      <c r="AQ182" s="174">
        <f>IFERROR(_xlfn.XLOOKUP($D182,'Modelling New'!$D:$D,'Modelling New'!$AL:$AL),"")</f>
        <v>0.05</v>
      </c>
      <c r="AR182" s="276">
        <f>IFERROR(_xlfn.XLOOKUP($D182,'Modelling New'!$D:$D,'Modelling New'!$N:$N),"")</f>
        <v>70.2</v>
      </c>
      <c r="AS182" s="276"/>
    </row>
    <row r="183" spans="1:45">
      <c r="A183" s="165">
        <f t="shared" si="15"/>
        <v>45926</v>
      </c>
      <c r="B183" s="166">
        <f>YEAR(Table13[[#This Row],[Date]])+IF(MONTH(Table13[[#This Row],[Date]])&gt;=4,1,0)</f>
        <v>2026</v>
      </c>
      <c r="C183" s="167">
        <f>YEAR(Table13[[#This Row],[Date]])</f>
        <v>2025</v>
      </c>
      <c r="D183" s="168">
        <f>Table13[[#This Row],[Date]]-DAY(Table13[[#This Row],[Date]])+1</f>
        <v>45901</v>
      </c>
      <c r="E183" s="167">
        <f t="shared" si="12"/>
        <v>30</v>
      </c>
      <c r="F183" s="169"/>
      <c r="G183" s="176"/>
      <c r="H183" s="176"/>
      <c r="I183" s="176"/>
      <c r="J183" s="176"/>
      <c r="K183" s="171"/>
      <c r="L183" s="170"/>
      <c r="M183" s="170" t="str">
        <f>IFERROR(_xlfn.XLOOKUP($A183,Input_Raw!$A:$A,Input_Raw!BG:BG),"")</f>
        <v/>
      </c>
      <c r="N183" s="170" t="str">
        <f>IFERROR(_xlfn.XLOOKUP($A183,Input_Raw!$A:$A,Input_Raw!BH:BH),"")</f>
        <v/>
      </c>
      <c r="O183" s="173" t="str">
        <f t="shared" si="13"/>
        <v/>
      </c>
      <c r="P183" s="173" t="str">
        <f>IFERROR(1-SUMIF(WTG_BD!$F:$F,$A183,WTG_BD!$AA:$AA)/($AA183+SUMIF(WTG_BD!$F:$F,$A183,WTG_BD!$AA:$AA)),"")</f>
        <v/>
      </c>
      <c r="Q183" s="173" t="str">
        <f>IFERROR(1-SUMIF(IGA_BD!$F:$F,$A183,IGA_BD!$X:$X)/($AA183+SUMIF(IGA_BD!$F:$F,$A183,IGA_BD!$X:$X)),"")</f>
        <v/>
      </c>
      <c r="R183" s="173" t="str">
        <f>IFERROR(1-SUMIF(Grid_BD!$F:$F,$A183,Grid_BD!$Y:$Y)/($AA183+SUMIF(Grid_BD!$F:$F,$A183,Grid_BD!$Y:$Y)),"")</f>
        <v/>
      </c>
      <c r="S183" s="167"/>
      <c r="T183" s="172"/>
      <c r="U183" s="173"/>
      <c r="V183" s="167"/>
      <c r="W183" s="174" t="str">
        <f t="shared" si="14"/>
        <v/>
      </c>
      <c r="X183" s="167" t="str">
        <f>IFERROR(_xlfn.XLOOKUP($A183,Input_Raw!$A:$A,Input_Raw!$BF:$BF),"")</f>
        <v/>
      </c>
      <c r="Y183" s="167" t="str">
        <f>IFERROR(_xlfn.XLOOKUP($A183,Input_Raw!$A:$A,Input_Raw!BJ:BJ),"")</f>
        <v/>
      </c>
      <c r="Z183" s="167" t="str">
        <f>IFERROR(_xlfn.XLOOKUP($A183,Input_Raw!$A:$A,Input_Raw!BK:BK),"")</f>
        <v/>
      </c>
      <c r="AA183" s="167" t="str">
        <f>IFERROR(_xlfn.XLOOKUP($A183,Input_Raw!$A:$A,Input_Raw!BL:BL),"")</f>
        <v/>
      </c>
      <c r="AB183" s="167" t="str">
        <f>IFERROR(_xlfn.XLOOKUP($A183,Input_Raw!$A:$A,Input_Raw!$BO:$BO),"")</f>
        <v/>
      </c>
      <c r="AC183" s="176">
        <f>IFERROR(_xlfn.XLOOKUP($D183,'Modelling New'!$D:$D,'Modelling New'!$J:$J),"")</f>
        <v>8.16</v>
      </c>
      <c r="AD183" s="166">
        <f>IFERROR(_xlfn.XLOOKUP($D183,'Modelling New'!$D:$D,'Modelling New'!$T:$T)*1000,"")</f>
        <v>528999.85312315286</v>
      </c>
      <c r="AE183" s="174"/>
      <c r="AF183" s="174">
        <f>IFERROR(_xlfn.XLOOKUP($D183,'Modelling New'!$D:$D,'Modelling New'!$W:$W),"")</f>
        <v>0.31398376847290649</v>
      </c>
      <c r="AG183" s="174">
        <f>IFERROR(_xlfn.XLOOKUP($D183,'Modelling New'!$D:$D,'Modelling New'!$AE:$AE),"")</f>
        <v>0.96029999999999993</v>
      </c>
      <c r="AH183" s="174">
        <f>IFERROR(_xlfn.XLOOKUP($D183,'Modelling New'!$D:$D,'Modelling New'!$AF:$AF),"")</f>
        <v>0.995</v>
      </c>
      <c r="AI183" s="177" t="str">
        <f>IFERROR(_xlfn.XLOOKUP($A183,Input_Raw!$A:$A,Input_Raw!$BQ:$BQ),"")</f>
        <v/>
      </c>
      <c r="AJ183" s="167"/>
      <c r="AK183" s="167"/>
      <c r="AL183" s="167"/>
      <c r="AM183" s="167"/>
      <c r="AN183" s="175" t="str">
        <f>IFERROR(_xlfn.XLOOKUP($A183,Input_Raw!$A:$A,Input_Raw!$BN:$BN),"")</f>
        <v/>
      </c>
      <c r="AO183" s="174" t="str">
        <f>IFERROR((_xlfn.XLOOKUP($A183,'WTG Reactive Power'!$A:$A,'WTG Reactive Power'!$AE:$AE))/Table13[[#This Row],[Gen_Exp (kWh)]],"")</f>
        <v/>
      </c>
      <c r="AP183" s="174">
        <f>IFERROR(_xlfn.XLOOKUP($D183,'Modelling New'!$D:$D,'Modelling New'!$AK:$AK),"")</f>
        <v>0.05</v>
      </c>
      <c r="AQ183" s="174">
        <f>IFERROR(_xlfn.XLOOKUP($D183,'Modelling New'!$D:$D,'Modelling New'!$AL:$AL),"")</f>
        <v>0.05</v>
      </c>
      <c r="AR183" s="276">
        <f>IFERROR(_xlfn.XLOOKUP($D183,'Modelling New'!$D:$D,'Modelling New'!$N:$N),"")</f>
        <v>70.2</v>
      </c>
      <c r="AS183" s="276"/>
    </row>
    <row r="184" spans="1:45">
      <c r="A184" s="165">
        <f t="shared" si="15"/>
        <v>45927</v>
      </c>
      <c r="B184" s="166">
        <f>YEAR(Table13[[#This Row],[Date]])+IF(MONTH(Table13[[#This Row],[Date]])&gt;=4,1,0)</f>
        <v>2026</v>
      </c>
      <c r="C184" s="167">
        <f>YEAR(Table13[[#This Row],[Date]])</f>
        <v>2025</v>
      </c>
      <c r="D184" s="168">
        <f>Table13[[#This Row],[Date]]-DAY(Table13[[#This Row],[Date]])+1</f>
        <v>45901</v>
      </c>
      <c r="E184" s="167">
        <f t="shared" si="12"/>
        <v>30</v>
      </c>
      <c r="F184" s="169"/>
      <c r="G184" s="170"/>
      <c r="H184" s="170"/>
      <c r="I184" s="170"/>
      <c r="J184" s="170"/>
      <c r="K184" s="171"/>
      <c r="L184" s="170"/>
      <c r="M184" s="170" t="str">
        <f>IFERROR(_xlfn.XLOOKUP($A184,Input_Raw!$A:$A,Input_Raw!BG:BG),"")</f>
        <v/>
      </c>
      <c r="N184" s="170" t="str">
        <f>IFERROR(_xlfn.XLOOKUP($A184,Input_Raw!$A:$A,Input_Raw!BH:BH),"")</f>
        <v/>
      </c>
      <c r="O184" s="173" t="str">
        <f t="shared" si="13"/>
        <v/>
      </c>
      <c r="P184" s="173" t="str">
        <f>IFERROR(1-SUMIF(WTG_BD!$F:$F,$A184,WTG_BD!$AA:$AA)/($AA184+SUMIF(WTG_BD!$F:$F,$A184,WTG_BD!$AA:$AA)),"")</f>
        <v/>
      </c>
      <c r="Q184" s="173" t="str">
        <f>IFERROR(1-SUMIF(IGA_BD!$F:$F,$A184,IGA_BD!$X:$X)/($AA184+SUMIF(IGA_BD!$F:$F,$A184,IGA_BD!$X:$X)),"")</f>
        <v/>
      </c>
      <c r="R184" s="173" t="str">
        <f>IFERROR(1-SUMIF(Grid_BD!$F:$F,$A184,Grid_BD!$Y:$Y)/($AA184+SUMIF(Grid_BD!$F:$F,$A184,Grid_BD!$Y:$Y)),"")</f>
        <v/>
      </c>
      <c r="S184" s="167"/>
      <c r="T184" s="172"/>
      <c r="U184" s="173"/>
      <c r="V184" s="167"/>
      <c r="W184" s="174" t="str">
        <f t="shared" si="14"/>
        <v/>
      </c>
      <c r="X184" s="167" t="str">
        <f>IFERROR(_xlfn.XLOOKUP($A184,Input_Raw!$A:$A,Input_Raw!$BF:$BF),"")</f>
        <v/>
      </c>
      <c r="Y184" s="167" t="str">
        <f>IFERROR(_xlfn.XLOOKUP($A184,Input_Raw!$A:$A,Input_Raw!BJ:BJ),"")</f>
        <v/>
      </c>
      <c r="Z184" s="167" t="str">
        <f>IFERROR(_xlfn.XLOOKUP($A184,Input_Raw!$A:$A,Input_Raw!BK:BK),"")</f>
        <v/>
      </c>
      <c r="AA184" s="167" t="str">
        <f>IFERROR(_xlfn.XLOOKUP($A184,Input_Raw!$A:$A,Input_Raw!BL:BL),"")</f>
        <v/>
      </c>
      <c r="AB184" s="167" t="str">
        <f>IFERROR(_xlfn.XLOOKUP($A184,Input_Raw!$A:$A,Input_Raw!$BO:$BO),"")</f>
        <v/>
      </c>
      <c r="AC184" s="176">
        <f>IFERROR(_xlfn.XLOOKUP($D184,'Modelling New'!$D:$D,'Modelling New'!$J:$J),"")</f>
        <v>8.16</v>
      </c>
      <c r="AD184" s="166">
        <f>IFERROR(_xlfn.XLOOKUP($D184,'Modelling New'!$D:$D,'Modelling New'!$T:$T)*1000,"")</f>
        <v>528999.85312315286</v>
      </c>
      <c r="AE184" s="174"/>
      <c r="AF184" s="174">
        <f>IFERROR(_xlfn.XLOOKUP($D184,'Modelling New'!$D:$D,'Modelling New'!$W:$W),"")</f>
        <v>0.31398376847290649</v>
      </c>
      <c r="AG184" s="174">
        <f>IFERROR(_xlfn.XLOOKUP($D184,'Modelling New'!$D:$D,'Modelling New'!$AE:$AE),"")</f>
        <v>0.96029999999999993</v>
      </c>
      <c r="AH184" s="174">
        <f>IFERROR(_xlfn.XLOOKUP($D184,'Modelling New'!$D:$D,'Modelling New'!$AF:$AF),"")</f>
        <v>0.995</v>
      </c>
      <c r="AI184" s="177" t="str">
        <f>IFERROR(_xlfn.XLOOKUP($A184,Input_Raw!$A:$A,Input_Raw!$BQ:$BQ),"")</f>
        <v/>
      </c>
      <c r="AJ184" s="167"/>
      <c r="AK184" s="167"/>
      <c r="AL184" s="167"/>
      <c r="AM184" s="167"/>
      <c r="AN184" s="175" t="str">
        <f>IFERROR(_xlfn.XLOOKUP($A184,Input_Raw!$A:$A,Input_Raw!$BN:$BN),"")</f>
        <v/>
      </c>
      <c r="AO184" s="174" t="str">
        <f>IFERROR((_xlfn.XLOOKUP($A184,'WTG Reactive Power'!$A:$A,'WTG Reactive Power'!$AE:$AE))/Table13[[#This Row],[Gen_Exp (kWh)]],"")</f>
        <v/>
      </c>
      <c r="AP184" s="174">
        <f>IFERROR(_xlfn.XLOOKUP($D184,'Modelling New'!$D:$D,'Modelling New'!$AK:$AK),"")</f>
        <v>0.05</v>
      </c>
      <c r="AQ184" s="174">
        <f>IFERROR(_xlfn.XLOOKUP($D184,'Modelling New'!$D:$D,'Modelling New'!$AL:$AL),"")</f>
        <v>0.05</v>
      </c>
      <c r="AR184" s="276">
        <f>IFERROR(_xlfn.XLOOKUP($D184,'Modelling New'!$D:$D,'Modelling New'!$N:$N),"")</f>
        <v>70.2</v>
      </c>
      <c r="AS184" s="276"/>
    </row>
    <row r="185" spans="1:45">
      <c r="A185" s="165">
        <f t="shared" si="15"/>
        <v>45928</v>
      </c>
      <c r="B185" s="166">
        <f>YEAR(Table13[[#This Row],[Date]])+IF(MONTH(Table13[[#This Row],[Date]])&gt;=4,1,0)</f>
        <v>2026</v>
      </c>
      <c r="C185" s="167">
        <f>YEAR(Table13[[#This Row],[Date]])</f>
        <v>2025</v>
      </c>
      <c r="D185" s="168">
        <f>Table13[[#This Row],[Date]]-DAY(Table13[[#This Row],[Date]])+1</f>
        <v>45901</v>
      </c>
      <c r="E185" s="167">
        <f t="shared" si="12"/>
        <v>30</v>
      </c>
      <c r="F185" s="169"/>
      <c r="G185" s="176"/>
      <c r="H185" s="176"/>
      <c r="I185" s="176"/>
      <c r="J185" s="176"/>
      <c r="K185" s="171"/>
      <c r="L185" s="170"/>
      <c r="M185" s="170" t="str">
        <f>IFERROR(_xlfn.XLOOKUP($A185,Input_Raw!$A:$A,Input_Raw!BG:BG),"")</f>
        <v/>
      </c>
      <c r="N185" s="170" t="str">
        <f>IFERROR(_xlfn.XLOOKUP($A185,Input_Raw!$A:$A,Input_Raw!BH:BH),"")</f>
        <v/>
      </c>
      <c r="O185" s="173" t="str">
        <f t="shared" si="13"/>
        <v/>
      </c>
      <c r="P185" s="173" t="str">
        <f>IFERROR(1-SUMIF(WTG_BD!$F:$F,$A185,WTG_BD!$AA:$AA)/($AA185+SUMIF(WTG_BD!$F:$F,$A185,WTG_BD!$AA:$AA)),"")</f>
        <v/>
      </c>
      <c r="Q185" s="173" t="str">
        <f>IFERROR(1-SUMIF(IGA_BD!$F:$F,$A185,IGA_BD!$X:$X)/($AA185+SUMIF(IGA_BD!$F:$F,$A185,IGA_BD!$X:$X)),"")</f>
        <v/>
      </c>
      <c r="R185" s="173" t="str">
        <f>IFERROR(1-SUMIF(Grid_BD!$F:$F,$A185,Grid_BD!$Y:$Y)/($AA185+SUMIF(Grid_BD!$F:$F,$A185,Grid_BD!$Y:$Y)),"")</f>
        <v/>
      </c>
      <c r="S185" s="167"/>
      <c r="T185" s="172"/>
      <c r="U185" s="173"/>
      <c r="V185" s="167"/>
      <c r="W185" s="174" t="str">
        <f t="shared" si="14"/>
        <v/>
      </c>
      <c r="X185" s="167" t="str">
        <f>IFERROR(_xlfn.XLOOKUP($A185,Input_Raw!$A:$A,Input_Raw!$BF:$BF),"")</f>
        <v/>
      </c>
      <c r="Y185" s="167" t="str">
        <f>IFERROR(_xlfn.XLOOKUP($A185,Input_Raw!$A:$A,Input_Raw!BJ:BJ),"")</f>
        <v/>
      </c>
      <c r="Z185" s="167" t="str">
        <f>IFERROR(_xlfn.XLOOKUP($A185,Input_Raw!$A:$A,Input_Raw!BK:BK),"")</f>
        <v/>
      </c>
      <c r="AA185" s="167" t="str">
        <f>IFERROR(_xlfn.XLOOKUP($A185,Input_Raw!$A:$A,Input_Raw!BL:BL),"")</f>
        <v/>
      </c>
      <c r="AB185" s="167" t="str">
        <f>IFERROR(_xlfn.XLOOKUP($A185,Input_Raw!$A:$A,Input_Raw!$BO:$BO),"")</f>
        <v/>
      </c>
      <c r="AC185" s="176">
        <f>IFERROR(_xlfn.XLOOKUP($D185,'Modelling New'!$D:$D,'Modelling New'!$J:$J),"")</f>
        <v>8.16</v>
      </c>
      <c r="AD185" s="166">
        <f>IFERROR(_xlfn.XLOOKUP($D185,'Modelling New'!$D:$D,'Modelling New'!$T:$T)*1000,"")</f>
        <v>528999.85312315286</v>
      </c>
      <c r="AE185" s="174"/>
      <c r="AF185" s="174">
        <f>IFERROR(_xlfn.XLOOKUP($D185,'Modelling New'!$D:$D,'Modelling New'!$W:$W),"")</f>
        <v>0.31398376847290649</v>
      </c>
      <c r="AG185" s="174">
        <f>IFERROR(_xlfn.XLOOKUP($D185,'Modelling New'!$D:$D,'Modelling New'!$AE:$AE),"")</f>
        <v>0.96029999999999993</v>
      </c>
      <c r="AH185" s="174">
        <f>IFERROR(_xlfn.XLOOKUP($D185,'Modelling New'!$D:$D,'Modelling New'!$AF:$AF),"")</f>
        <v>0.995</v>
      </c>
      <c r="AI185" s="177" t="str">
        <f>IFERROR(_xlfn.XLOOKUP($A185,Input_Raw!$A:$A,Input_Raw!$BQ:$BQ),"")</f>
        <v/>
      </c>
      <c r="AJ185" s="167"/>
      <c r="AK185" s="167"/>
      <c r="AL185" s="167"/>
      <c r="AM185" s="167"/>
      <c r="AN185" s="175" t="str">
        <f>IFERROR(_xlfn.XLOOKUP($A185,Input_Raw!$A:$A,Input_Raw!$BN:$BN),"")</f>
        <v/>
      </c>
      <c r="AO185" s="174" t="str">
        <f>IFERROR((_xlfn.XLOOKUP($A185,'WTG Reactive Power'!$A:$A,'WTG Reactive Power'!$AE:$AE))/Table13[[#This Row],[Gen_Exp (kWh)]],"")</f>
        <v/>
      </c>
      <c r="AP185" s="174">
        <f>IFERROR(_xlfn.XLOOKUP($D185,'Modelling New'!$D:$D,'Modelling New'!$AK:$AK),"")</f>
        <v>0.05</v>
      </c>
      <c r="AQ185" s="174">
        <f>IFERROR(_xlfn.XLOOKUP($D185,'Modelling New'!$D:$D,'Modelling New'!$AL:$AL),"")</f>
        <v>0.05</v>
      </c>
      <c r="AR185" s="276">
        <f>IFERROR(_xlfn.XLOOKUP($D185,'Modelling New'!$D:$D,'Modelling New'!$N:$N),"")</f>
        <v>70.2</v>
      </c>
      <c r="AS185" s="276"/>
    </row>
    <row r="186" spans="1:45">
      <c r="A186" s="165">
        <f t="shared" si="15"/>
        <v>45929</v>
      </c>
      <c r="B186" s="166">
        <f>YEAR(Table13[[#This Row],[Date]])+IF(MONTH(Table13[[#This Row],[Date]])&gt;=4,1,0)</f>
        <v>2026</v>
      </c>
      <c r="C186" s="167">
        <f>YEAR(Table13[[#This Row],[Date]])</f>
        <v>2025</v>
      </c>
      <c r="D186" s="168">
        <f>Table13[[#This Row],[Date]]-DAY(Table13[[#This Row],[Date]])+1</f>
        <v>45901</v>
      </c>
      <c r="E186" s="167">
        <f t="shared" si="12"/>
        <v>30</v>
      </c>
      <c r="F186" s="169"/>
      <c r="G186" s="170"/>
      <c r="H186" s="170"/>
      <c r="I186" s="170"/>
      <c r="J186" s="170"/>
      <c r="K186" s="171"/>
      <c r="L186" s="170"/>
      <c r="M186" s="170" t="str">
        <f>IFERROR(_xlfn.XLOOKUP($A186,Input_Raw!$A:$A,Input_Raw!BG:BG),"")</f>
        <v/>
      </c>
      <c r="N186" s="170" t="str">
        <f>IFERROR(_xlfn.XLOOKUP($A186,Input_Raw!$A:$A,Input_Raw!BH:BH),"")</f>
        <v/>
      </c>
      <c r="O186" s="173" t="str">
        <f t="shared" si="13"/>
        <v/>
      </c>
      <c r="P186" s="173" t="str">
        <f>IFERROR(1-SUMIF(WTG_BD!$F:$F,$A186,WTG_BD!$AA:$AA)/($AA186+SUMIF(WTG_BD!$F:$F,$A186,WTG_BD!$AA:$AA)),"")</f>
        <v/>
      </c>
      <c r="Q186" s="173" t="str">
        <f>IFERROR(1-SUMIF(IGA_BD!$F:$F,$A186,IGA_BD!$X:$X)/($AA186+SUMIF(IGA_BD!$F:$F,$A186,IGA_BD!$X:$X)),"")</f>
        <v/>
      </c>
      <c r="R186" s="173" t="str">
        <f>IFERROR(1-SUMIF(Grid_BD!$F:$F,$A186,Grid_BD!$Y:$Y)/($AA186+SUMIF(Grid_BD!$F:$F,$A186,Grid_BD!$Y:$Y)),"")</f>
        <v/>
      </c>
      <c r="S186" s="167"/>
      <c r="T186" s="172"/>
      <c r="U186" s="173"/>
      <c r="V186" s="167"/>
      <c r="W186" s="174" t="str">
        <f t="shared" si="14"/>
        <v/>
      </c>
      <c r="X186" s="167" t="str">
        <f>IFERROR(_xlfn.XLOOKUP($A186,Input_Raw!$A:$A,Input_Raw!$BF:$BF),"")</f>
        <v/>
      </c>
      <c r="Y186" s="167" t="str">
        <f>IFERROR(_xlfn.XLOOKUP($A186,Input_Raw!$A:$A,Input_Raw!BJ:BJ),"")</f>
        <v/>
      </c>
      <c r="Z186" s="167" t="str">
        <f>IFERROR(_xlfn.XLOOKUP($A186,Input_Raw!$A:$A,Input_Raw!BK:BK),"")</f>
        <v/>
      </c>
      <c r="AA186" s="167" t="str">
        <f>IFERROR(_xlfn.XLOOKUP($A186,Input_Raw!$A:$A,Input_Raw!BL:BL),"")</f>
        <v/>
      </c>
      <c r="AB186" s="167" t="str">
        <f>IFERROR(_xlfn.XLOOKUP($A186,Input_Raw!$A:$A,Input_Raw!$BO:$BO),"")</f>
        <v/>
      </c>
      <c r="AC186" s="176">
        <f>IFERROR(_xlfn.XLOOKUP($D186,'Modelling New'!$D:$D,'Modelling New'!$J:$J),"")</f>
        <v>8.16</v>
      </c>
      <c r="AD186" s="166">
        <f>IFERROR(_xlfn.XLOOKUP($D186,'Modelling New'!$D:$D,'Modelling New'!$T:$T)*1000,"")</f>
        <v>528999.85312315286</v>
      </c>
      <c r="AE186" s="174"/>
      <c r="AF186" s="174">
        <f>IFERROR(_xlfn.XLOOKUP($D186,'Modelling New'!$D:$D,'Modelling New'!$W:$W),"")</f>
        <v>0.31398376847290649</v>
      </c>
      <c r="AG186" s="174">
        <f>IFERROR(_xlfn.XLOOKUP($D186,'Modelling New'!$D:$D,'Modelling New'!$AE:$AE),"")</f>
        <v>0.96029999999999993</v>
      </c>
      <c r="AH186" s="174">
        <f>IFERROR(_xlfn.XLOOKUP($D186,'Modelling New'!$D:$D,'Modelling New'!$AF:$AF),"")</f>
        <v>0.995</v>
      </c>
      <c r="AI186" s="177" t="str">
        <f>IFERROR(_xlfn.XLOOKUP($A186,Input_Raw!$A:$A,Input_Raw!$BQ:$BQ),"")</f>
        <v/>
      </c>
      <c r="AJ186" s="167"/>
      <c r="AK186" s="167"/>
      <c r="AL186" s="167"/>
      <c r="AM186" s="167"/>
      <c r="AN186" s="175" t="str">
        <f>IFERROR(_xlfn.XLOOKUP($A186,Input_Raw!$A:$A,Input_Raw!$BN:$BN),"")</f>
        <v/>
      </c>
      <c r="AO186" s="174" t="str">
        <f>IFERROR((_xlfn.XLOOKUP($A186,'WTG Reactive Power'!$A:$A,'WTG Reactive Power'!$AE:$AE))/Table13[[#This Row],[Gen_Exp (kWh)]],"")</f>
        <v/>
      </c>
      <c r="AP186" s="174">
        <f>IFERROR(_xlfn.XLOOKUP($D186,'Modelling New'!$D:$D,'Modelling New'!$AK:$AK),"")</f>
        <v>0.05</v>
      </c>
      <c r="AQ186" s="174">
        <f>IFERROR(_xlfn.XLOOKUP($D186,'Modelling New'!$D:$D,'Modelling New'!$AL:$AL),"")</f>
        <v>0.05</v>
      </c>
      <c r="AR186" s="276">
        <f>IFERROR(_xlfn.XLOOKUP($D186,'Modelling New'!$D:$D,'Modelling New'!$N:$N),"")</f>
        <v>70.2</v>
      </c>
      <c r="AS186" s="276"/>
    </row>
    <row r="187" spans="1:45">
      <c r="A187" s="165">
        <f t="shared" si="15"/>
        <v>45930</v>
      </c>
      <c r="B187" s="166">
        <f>YEAR(Table13[[#This Row],[Date]])+IF(MONTH(Table13[[#This Row],[Date]])&gt;=4,1,0)</f>
        <v>2026</v>
      </c>
      <c r="C187" s="167">
        <f>YEAR(Table13[[#This Row],[Date]])</f>
        <v>2025</v>
      </c>
      <c r="D187" s="168">
        <f>Table13[[#This Row],[Date]]-DAY(Table13[[#This Row],[Date]])+1</f>
        <v>45901</v>
      </c>
      <c r="E187" s="167">
        <f t="shared" si="12"/>
        <v>30</v>
      </c>
      <c r="F187" s="169"/>
      <c r="G187" s="176"/>
      <c r="H187" s="176"/>
      <c r="I187" s="176"/>
      <c r="J187" s="176"/>
      <c r="K187" s="171"/>
      <c r="L187" s="170"/>
      <c r="M187" s="170" t="str">
        <f>IFERROR(_xlfn.XLOOKUP($A187,Input_Raw!$A:$A,Input_Raw!BG:BG),"")</f>
        <v/>
      </c>
      <c r="N187" s="170" t="str">
        <f>IFERROR(_xlfn.XLOOKUP($A187,Input_Raw!$A:$A,Input_Raw!BH:BH),"")</f>
        <v/>
      </c>
      <c r="O187" s="173" t="str">
        <f t="shared" si="13"/>
        <v/>
      </c>
      <c r="P187" s="173" t="str">
        <f>IFERROR(1-SUMIF(WTG_BD!$F:$F,$A187,WTG_BD!$AA:$AA)/($AA187+SUMIF(WTG_BD!$F:$F,$A187,WTG_BD!$AA:$AA)),"")</f>
        <v/>
      </c>
      <c r="Q187" s="173" t="str">
        <f>IFERROR(1-SUMIF(IGA_BD!$F:$F,$A187,IGA_BD!$X:$X)/($AA187+SUMIF(IGA_BD!$F:$F,$A187,IGA_BD!$X:$X)),"")</f>
        <v/>
      </c>
      <c r="R187" s="173" t="str">
        <f>IFERROR(1-SUMIF(Grid_BD!$F:$F,$A187,Grid_BD!$Y:$Y)/($AA187+SUMIF(Grid_BD!$F:$F,$A187,Grid_BD!$Y:$Y)),"")</f>
        <v/>
      </c>
      <c r="S187" s="167"/>
      <c r="T187" s="172"/>
      <c r="U187" s="173"/>
      <c r="V187" s="167"/>
      <c r="W187" s="174" t="str">
        <f t="shared" si="14"/>
        <v/>
      </c>
      <c r="X187" s="167" t="str">
        <f>IFERROR(_xlfn.XLOOKUP($A187,Input_Raw!$A:$A,Input_Raw!$BF:$BF),"")</f>
        <v/>
      </c>
      <c r="Y187" s="167" t="str">
        <f>IFERROR(_xlfn.XLOOKUP($A187,Input_Raw!$A:$A,Input_Raw!BJ:BJ),"")</f>
        <v/>
      </c>
      <c r="Z187" s="167" t="str">
        <f>IFERROR(_xlfn.XLOOKUP($A187,Input_Raw!$A:$A,Input_Raw!BK:BK),"")</f>
        <v/>
      </c>
      <c r="AA187" s="167" t="str">
        <f>IFERROR(_xlfn.XLOOKUP($A187,Input_Raw!$A:$A,Input_Raw!BL:BL),"")</f>
        <v/>
      </c>
      <c r="AB187" s="167" t="str">
        <f>IFERROR(_xlfn.XLOOKUP($A187,Input_Raw!$A:$A,Input_Raw!$BO:$BO),"")</f>
        <v/>
      </c>
      <c r="AC187" s="176">
        <f>IFERROR(_xlfn.XLOOKUP($D187,'Modelling New'!$D:$D,'Modelling New'!$J:$J),"")</f>
        <v>8.16</v>
      </c>
      <c r="AD187" s="166">
        <f>IFERROR(_xlfn.XLOOKUP($D187,'Modelling New'!$D:$D,'Modelling New'!$T:$T)*1000,"")</f>
        <v>528999.85312315286</v>
      </c>
      <c r="AE187" s="174"/>
      <c r="AF187" s="174">
        <f>IFERROR(_xlfn.XLOOKUP($D187,'Modelling New'!$D:$D,'Modelling New'!$W:$W),"")</f>
        <v>0.31398376847290649</v>
      </c>
      <c r="AG187" s="174">
        <f>IFERROR(_xlfn.XLOOKUP($D187,'Modelling New'!$D:$D,'Modelling New'!$AE:$AE),"")</f>
        <v>0.96029999999999993</v>
      </c>
      <c r="AH187" s="174">
        <f>IFERROR(_xlfn.XLOOKUP($D187,'Modelling New'!$D:$D,'Modelling New'!$AF:$AF),"")</f>
        <v>0.995</v>
      </c>
      <c r="AI187" s="177" t="str">
        <f>IFERROR(_xlfn.XLOOKUP($A187,Input_Raw!$A:$A,Input_Raw!$BQ:$BQ),"")</f>
        <v/>
      </c>
      <c r="AJ187" s="167"/>
      <c r="AK187" s="167"/>
      <c r="AL187" s="167"/>
      <c r="AM187" s="167"/>
      <c r="AN187" s="175" t="str">
        <f>IFERROR(_xlfn.XLOOKUP($A187,Input_Raw!$A:$A,Input_Raw!$BN:$BN),"")</f>
        <v/>
      </c>
      <c r="AO187" s="174" t="str">
        <f>IFERROR((_xlfn.XLOOKUP($A187,'WTG Reactive Power'!$A:$A,'WTG Reactive Power'!$AE:$AE))/Table13[[#This Row],[Gen_Exp (kWh)]],"")</f>
        <v/>
      </c>
      <c r="AP187" s="174">
        <f>IFERROR(_xlfn.XLOOKUP($D187,'Modelling New'!$D:$D,'Modelling New'!$AK:$AK),"")</f>
        <v>0.05</v>
      </c>
      <c r="AQ187" s="174">
        <f>IFERROR(_xlfn.XLOOKUP($D187,'Modelling New'!$D:$D,'Modelling New'!$AL:$AL),"")</f>
        <v>0.05</v>
      </c>
      <c r="AR187" s="276">
        <f>IFERROR(_xlfn.XLOOKUP($D187,'Modelling New'!$D:$D,'Modelling New'!$N:$N),"")</f>
        <v>70.2</v>
      </c>
      <c r="AS187" s="276"/>
    </row>
    <row r="188" spans="1:45">
      <c r="A188" s="165">
        <f t="shared" si="15"/>
        <v>45931</v>
      </c>
      <c r="B188" s="166">
        <f>YEAR(Table13[[#This Row],[Date]])+IF(MONTH(Table13[[#This Row],[Date]])&gt;=4,1,0)</f>
        <v>2026</v>
      </c>
      <c r="C188" s="167">
        <f>YEAR(Table13[[#This Row],[Date]])</f>
        <v>2025</v>
      </c>
      <c r="D188" s="168">
        <f>Table13[[#This Row],[Date]]-DAY(Table13[[#This Row],[Date]])+1</f>
        <v>45931</v>
      </c>
      <c r="E188" s="167">
        <f t="shared" si="12"/>
        <v>31</v>
      </c>
      <c r="F188" s="169"/>
      <c r="G188" s="170"/>
      <c r="H188" s="170"/>
      <c r="I188" s="170"/>
      <c r="J188" s="170"/>
      <c r="K188" s="171"/>
      <c r="L188" s="170"/>
      <c r="M188" s="170" t="str">
        <f>IFERROR(_xlfn.XLOOKUP($A188,Input_Raw!$A:$A,Input_Raw!BG:BG),"")</f>
        <v/>
      </c>
      <c r="N188" s="170" t="str">
        <f>IFERROR(_xlfn.XLOOKUP($A188,Input_Raw!$A:$A,Input_Raw!BH:BH),"")</f>
        <v/>
      </c>
      <c r="O188" s="173" t="str">
        <f t="shared" si="13"/>
        <v/>
      </c>
      <c r="P188" s="173" t="str">
        <f>IFERROR(1-SUMIF(WTG_BD!$F:$F,$A188,WTG_BD!$AA:$AA)/($AA188+SUMIF(WTG_BD!$F:$F,$A188,WTG_BD!$AA:$AA)),"")</f>
        <v/>
      </c>
      <c r="Q188" s="173" t="str">
        <f>IFERROR(1-SUMIF(IGA_BD!$F:$F,$A188,IGA_BD!$X:$X)/($AA188+SUMIF(IGA_BD!$F:$F,$A188,IGA_BD!$X:$X)),"")</f>
        <v/>
      </c>
      <c r="R188" s="173" t="str">
        <f>IFERROR(1-SUMIF(Grid_BD!$F:$F,$A188,Grid_BD!$Y:$Y)/($AA188+SUMIF(Grid_BD!$F:$F,$A188,Grid_BD!$Y:$Y)),"")</f>
        <v/>
      </c>
      <c r="S188" s="167"/>
      <c r="T188" s="172"/>
      <c r="U188" s="173"/>
      <c r="V188" s="167"/>
      <c r="W188" s="174" t="str">
        <f t="shared" si="14"/>
        <v/>
      </c>
      <c r="X188" s="167" t="str">
        <f>IFERROR(_xlfn.XLOOKUP($A188,Input_Raw!$A:$A,Input_Raw!$BF:$BF),"")</f>
        <v/>
      </c>
      <c r="Y188" s="167" t="str">
        <f>IFERROR(_xlfn.XLOOKUP($A188,Input_Raw!$A:$A,Input_Raw!BJ:BJ),"")</f>
        <v/>
      </c>
      <c r="Z188" s="167" t="str">
        <f>IFERROR(_xlfn.XLOOKUP($A188,Input_Raw!$A:$A,Input_Raw!BK:BK),"")</f>
        <v/>
      </c>
      <c r="AA188" s="167" t="str">
        <f>IFERROR(_xlfn.XLOOKUP($A188,Input_Raw!$A:$A,Input_Raw!BL:BL),"")</f>
        <v/>
      </c>
      <c r="AB188" s="167" t="str">
        <f>IFERROR(_xlfn.XLOOKUP($A188,Input_Raw!$A:$A,Input_Raw!$BO:$BO),"")</f>
        <v/>
      </c>
      <c r="AC188" s="176">
        <f>IFERROR(_xlfn.XLOOKUP($D188,'Modelling New'!$D:$D,'Modelling New'!$J:$J),"")</f>
        <v>9.2100000000000009</v>
      </c>
      <c r="AD188" s="166">
        <f>IFERROR(_xlfn.XLOOKUP($D188,'Modelling New'!$D:$D,'Modelling New'!$T:$T)*1000,"")</f>
        <v>363484.56165517244</v>
      </c>
      <c r="AE188" s="174"/>
      <c r="AF188" s="174">
        <f>IFERROR(_xlfn.XLOOKUP($D188,'Modelling New'!$D:$D,'Modelling New'!$W:$W),"")</f>
        <v>0.21574344827586206</v>
      </c>
      <c r="AG188" s="174">
        <f>IFERROR(_xlfn.XLOOKUP($D188,'Modelling New'!$D:$D,'Modelling New'!$AE:$AE),"")</f>
        <v>0.96029999999999993</v>
      </c>
      <c r="AH188" s="174">
        <f>IFERROR(_xlfn.XLOOKUP($D188,'Modelling New'!$D:$D,'Modelling New'!$AF:$AF),"")</f>
        <v>0.995</v>
      </c>
      <c r="AI188" s="177" t="str">
        <f>IFERROR(_xlfn.XLOOKUP($A188,Input_Raw!$A:$A,Input_Raw!$BQ:$BQ),"")</f>
        <v/>
      </c>
      <c r="AJ188" s="167"/>
      <c r="AK188" s="167"/>
      <c r="AL188" s="167"/>
      <c r="AM188" s="167"/>
      <c r="AN188" s="175" t="str">
        <f>IFERROR(_xlfn.XLOOKUP($A188,Input_Raw!$A:$A,Input_Raw!$BN:$BN),"")</f>
        <v/>
      </c>
      <c r="AO188" s="174" t="str">
        <f>IFERROR((_xlfn.XLOOKUP($A188,'WTG Reactive Power'!$A:$A,'WTG Reactive Power'!$AE:$AE))/Table13[[#This Row],[Gen_Exp (kWh)]],"")</f>
        <v/>
      </c>
      <c r="AP188" s="174">
        <f>IFERROR(_xlfn.XLOOKUP($D188,'Modelling New'!$D:$D,'Modelling New'!$AK:$AK),"")</f>
        <v>0.05</v>
      </c>
      <c r="AQ188" s="174">
        <f>IFERROR(_xlfn.XLOOKUP($D188,'Modelling New'!$D:$D,'Modelling New'!$AL:$AL),"")</f>
        <v>0.05</v>
      </c>
      <c r="AR188" s="276">
        <f>IFERROR(_xlfn.XLOOKUP($D188,'Modelling New'!$D:$D,'Modelling New'!$N:$N),"")</f>
        <v>70.2</v>
      </c>
      <c r="AS188" s="276"/>
    </row>
    <row r="189" spans="1:45">
      <c r="A189" s="165">
        <f t="shared" si="15"/>
        <v>45932</v>
      </c>
      <c r="B189" s="166">
        <f>YEAR(Table13[[#This Row],[Date]])+IF(MONTH(Table13[[#This Row],[Date]])&gt;=4,1,0)</f>
        <v>2026</v>
      </c>
      <c r="C189" s="167">
        <f>YEAR(Table13[[#This Row],[Date]])</f>
        <v>2025</v>
      </c>
      <c r="D189" s="168">
        <f>Table13[[#This Row],[Date]]-DAY(Table13[[#This Row],[Date]])+1</f>
        <v>45931</v>
      </c>
      <c r="E189" s="167">
        <f t="shared" si="12"/>
        <v>31</v>
      </c>
      <c r="F189" s="169"/>
      <c r="G189" s="176"/>
      <c r="H189" s="176"/>
      <c r="I189" s="176"/>
      <c r="J189" s="176"/>
      <c r="K189" s="171"/>
      <c r="L189" s="170"/>
      <c r="M189" s="170" t="str">
        <f>IFERROR(_xlfn.XLOOKUP($A189,Input_Raw!$A:$A,Input_Raw!BG:BG),"")</f>
        <v/>
      </c>
      <c r="N189" s="170" t="str">
        <f>IFERROR(_xlfn.XLOOKUP($A189,Input_Raw!$A:$A,Input_Raw!BH:BH),"")</f>
        <v/>
      </c>
      <c r="O189" s="173" t="str">
        <f t="shared" si="13"/>
        <v/>
      </c>
      <c r="P189" s="173" t="str">
        <f>IFERROR(1-SUMIF(WTG_BD!$F:$F,$A189,WTG_BD!$AA:$AA)/($AA189+SUMIF(WTG_BD!$F:$F,$A189,WTG_BD!$AA:$AA)),"")</f>
        <v/>
      </c>
      <c r="Q189" s="173" t="str">
        <f>IFERROR(1-SUMIF(IGA_BD!$F:$F,$A189,IGA_BD!$X:$X)/($AA189+SUMIF(IGA_BD!$F:$F,$A189,IGA_BD!$X:$X)),"")</f>
        <v/>
      </c>
      <c r="R189" s="173" t="str">
        <f>IFERROR(1-SUMIF(Grid_BD!$F:$F,$A189,Grid_BD!$Y:$Y)/($AA189+SUMIF(Grid_BD!$F:$F,$A189,Grid_BD!$Y:$Y)),"")</f>
        <v/>
      </c>
      <c r="S189" s="167"/>
      <c r="T189" s="172"/>
      <c r="U189" s="173"/>
      <c r="V189" s="167"/>
      <c r="W189" s="174" t="str">
        <f t="shared" si="14"/>
        <v/>
      </c>
      <c r="X189" s="167" t="str">
        <f>IFERROR(_xlfn.XLOOKUP($A189,Input_Raw!$A:$A,Input_Raw!$BF:$BF),"")</f>
        <v/>
      </c>
      <c r="Y189" s="167" t="str">
        <f>IFERROR(_xlfn.XLOOKUP($A189,Input_Raw!$A:$A,Input_Raw!BJ:BJ),"")</f>
        <v/>
      </c>
      <c r="Z189" s="167" t="str">
        <f>IFERROR(_xlfn.XLOOKUP($A189,Input_Raw!$A:$A,Input_Raw!BK:BK),"")</f>
        <v/>
      </c>
      <c r="AA189" s="167" t="str">
        <f>IFERROR(_xlfn.XLOOKUP($A189,Input_Raw!$A:$A,Input_Raw!BL:BL),"")</f>
        <v/>
      </c>
      <c r="AB189" s="167" t="str">
        <f>IFERROR(_xlfn.XLOOKUP($A189,Input_Raw!$A:$A,Input_Raw!$BO:$BO),"")</f>
        <v/>
      </c>
      <c r="AC189" s="176">
        <f>IFERROR(_xlfn.XLOOKUP($D189,'Modelling New'!$D:$D,'Modelling New'!$J:$J),"")</f>
        <v>9.2100000000000009</v>
      </c>
      <c r="AD189" s="166">
        <f>IFERROR(_xlfn.XLOOKUP($D189,'Modelling New'!$D:$D,'Modelling New'!$T:$T)*1000,"")</f>
        <v>363484.56165517244</v>
      </c>
      <c r="AE189" s="174"/>
      <c r="AF189" s="174">
        <f>IFERROR(_xlfn.XLOOKUP($D189,'Modelling New'!$D:$D,'Modelling New'!$W:$W),"")</f>
        <v>0.21574344827586206</v>
      </c>
      <c r="AG189" s="174">
        <f>IFERROR(_xlfn.XLOOKUP($D189,'Modelling New'!$D:$D,'Modelling New'!$AE:$AE),"")</f>
        <v>0.96029999999999993</v>
      </c>
      <c r="AH189" s="174">
        <f>IFERROR(_xlfn.XLOOKUP($D189,'Modelling New'!$D:$D,'Modelling New'!$AF:$AF),"")</f>
        <v>0.995</v>
      </c>
      <c r="AI189" s="177" t="str">
        <f>IFERROR(_xlfn.XLOOKUP($A189,Input_Raw!$A:$A,Input_Raw!$BQ:$BQ),"")</f>
        <v/>
      </c>
      <c r="AJ189" s="167"/>
      <c r="AK189" s="167"/>
      <c r="AL189" s="167"/>
      <c r="AM189" s="167"/>
      <c r="AN189" s="175" t="str">
        <f>IFERROR(_xlfn.XLOOKUP($A189,Input_Raw!$A:$A,Input_Raw!$BN:$BN),"")</f>
        <v/>
      </c>
      <c r="AO189" s="174" t="str">
        <f>IFERROR((_xlfn.XLOOKUP($A189,'WTG Reactive Power'!$A:$A,'WTG Reactive Power'!$AE:$AE))/Table13[[#This Row],[Gen_Exp (kWh)]],"")</f>
        <v/>
      </c>
      <c r="AP189" s="174">
        <f>IFERROR(_xlfn.XLOOKUP($D189,'Modelling New'!$D:$D,'Modelling New'!$AK:$AK),"")</f>
        <v>0.05</v>
      </c>
      <c r="AQ189" s="174">
        <f>IFERROR(_xlfn.XLOOKUP($D189,'Modelling New'!$D:$D,'Modelling New'!$AL:$AL),"")</f>
        <v>0.05</v>
      </c>
      <c r="AR189" s="276">
        <f>IFERROR(_xlfn.XLOOKUP($D189,'Modelling New'!$D:$D,'Modelling New'!$N:$N),"")</f>
        <v>70.2</v>
      </c>
      <c r="AS189" s="276"/>
    </row>
    <row r="190" spans="1:45">
      <c r="A190" s="165">
        <f t="shared" si="15"/>
        <v>45933</v>
      </c>
      <c r="B190" s="166">
        <f>YEAR(Table13[[#This Row],[Date]])+IF(MONTH(Table13[[#This Row],[Date]])&gt;=4,1,0)</f>
        <v>2026</v>
      </c>
      <c r="C190" s="167">
        <f>YEAR(Table13[[#This Row],[Date]])</f>
        <v>2025</v>
      </c>
      <c r="D190" s="168">
        <f>Table13[[#This Row],[Date]]-DAY(Table13[[#This Row],[Date]])+1</f>
        <v>45931</v>
      </c>
      <c r="E190" s="167">
        <f t="shared" si="12"/>
        <v>31</v>
      </c>
      <c r="F190" s="169"/>
      <c r="G190" s="170"/>
      <c r="H190" s="170"/>
      <c r="I190" s="170"/>
      <c r="J190" s="170"/>
      <c r="K190" s="171"/>
      <c r="L190" s="170"/>
      <c r="M190" s="170" t="str">
        <f>IFERROR(_xlfn.XLOOKUP($A190,Input_Raw!$A:$A,Input_Raw!BG:BG),"")</f>
        <v/>
      </c>
      <c r="N190" s="170" t="str">
        <f>IFERROR(_xlfn.XLOOKUP($A190,Input_Raw!$A:$A,Input_Raw!BH:BH),"")</f>
        <v/>
      </c>
      <c r="O190" s="173" t="str">
        <f t="shared" si="13"/>
        <v/>
      </c>
      <c r="P190" s="173" t="str">
        <f>IFERROR(1-SUMIF(WTG_BD!$F:$F,$A190,WTG_BD!$AA:$AA)/($AA190+SUMIF(WTG_BD!$F:$F,$A190,WTG_BD!$AA:$AA)),"")</f>
        <v/>
      </c>
      <c r="Q190" s="173" t="str">
        <f>IFERROR(1-SUMIF(IGA_BD!$F:$F,$A190,IGA_BD!$X:$X)/($AA190+SUMIF(IGA_BD!$F:$F,$A190,IGA_BD!$X:$X)),"")</f>
        <v/>
      </c>
      <c r="R190" s="173" t="str">
        <f>IFERROR(1-SUMIF(Grid_BD!$F:$F,$A190,Grid_BD!$Y:$Y)/($AA190+SUMIF(Grid_BD!$F:$F,$A190,Grid_BD!$Y:$Y)),"")</f>
        <v/>
      </c>
      <c r="S190" s="167"/>
      <c r="T190" s="172"/>
      <c r="U190" s="173"/>
      <c r="V190" s="167"/>
      <c r="W190" s="174" t="str">
        <f t="shared" si="14"/>
        <v/>
      </c>
      <c r="X190" s="167" t="str">
        <f>IFERROR(_xlfn.XLOOKUP($A190,Input_Raw!$A:$A,Input_Raw!$BF:$BF),"")</f>
        <v/>
      </c>
      <c r="Y190" s="167" t="str">
        <f>IFERROR(_xlfn.XLOOKUP($A190,Input_Raw!$A:$A,Input_Raw!BJ:BJ),"")</f>
        <v/>
      </c>
      <c r="Z190" s="167" t="str">
        <f>IFERROR(_xlfn.XLOOKUP($A190,Input_Raw!$A:$A,Input_Raw!BK:BK),"")</f>
        <v/>
      </c>
      <c r="AA190" s="167" t="str">
        <f>IFERROR(_xlfn.XLOOKUP($A190,Input_Raw!$A:$A,Input_Raw!BL:BL),"")</f>
        <v/>
      </c>
      <c r="AB190" s="167" t="str">
        <f>IFERROR(_xlfn.XLOOKUP($A190,Input_Raw!$A:$A,Input_Raw!$BO:$BO),"")</f>
        <v/>
      </c>
      <c r="AC190" s="176">
        <f>IFERROR(_xlfn.XLOOKUP($D190,'Modelling New'!$D:$D,'Modelling New'!$J:$J),"")</f>
        <v>9.2100000000000009</v>
      </c>
      <c r="AD190" s="166">
        <f>IFERROR(_xlfn.XLOOKUP($D190,'Modelling New'!$D:$D,'Modelling New'!$T:$T)*1000,"")</f>
        <v>363484.56165517244</v>
      </c>
      <c r="AE190" s="174"/>
      <c r="AF190" s="174">
        <f>IFERROR(_xlfn.XLOOKUP($D190,'Modelling New'!$D:$D,'Modelling New'!$W:$W),"")</f>
        <v>0.21574344827586206</v>
      </c>
      <c r="AG190" s="174">
        <f>IFERROR(_xlfn.XLOOKUP($D190,'Modelling New'!$D:$D,'Modelling New'!$AE:$AE),"")</f>
        <v>0.96029999999999993</v>
      </c>
      <c r="AH190" s="174">
        <f>IFERROR(_xlfn.XLOOKUP($D190,'Modelling New'!$D:$D,'Modelling New'!$AF:$AF),"")</f>
        <v>0.995</v>
      </c>
      <c r="AI190" s="177" t="str">
        <f>IFERROR(_xlfn.XLOOKUP($A190,Input_Raw!$A:$A,Input_Raw!$BQ:$BQ),"")</f>
        <v/>
      </c>
      <c r="AJ190" s="167"/>
      <c r="AK190" s="167"/>
      <c r="AL190" s="167"/>
      <c r="AM190" s="167"/>
      <c r="AN190" s="175" t="str">
        <f>IFERROR(_xlfn.XLOOKUP($A190,Input_Raw!$A:$A,Input_Raw!$BN:$BN),"")</f>
        <v/>
      </c>
      <c r="AO190" s="174" t="str">
        <f>IFERROR((_xlfn.XLOOKUP($A190,'WTG Reactive Power'!$A:$A,'WTG Reactive Power'!$AE:$AE))/Table13[[#This Row],[Gen_Exp (kWh)]],"")</f>
        <v/>
      </c>
      <c r="AP190" s="174">
        <f>IFERROR(_xlfn.XLOOKUP($D190,'Modelling New'!$D:$D,'Modelling New'!$AK:$AK),"")</f>
        <v>0.05</v>
      </c>
      <c r="AQ190" s="174">
        <f>IFERROR(_xlfn.XLOOKUP($D190,'Modelling New'!$D:$D,'Modelling New'!$AL:$AL),"")</f>
        <v>0.05</v>
      </c>
      <c r="AR190" s="276">
        <f>IFERROR(_xlfn.XLOOKUP($D190,'Modelling New'!$D:$D,'Modelling New'!$N:$N),"")</f>
        <v>70.2</v>
      </c>
      <c r="AS190" s="276"/>
    </row>
    <row r="191" spans="1:45">
      <c r="A191" s="165">
        <f t="shared" si="15"/>
        <v>45934</v>
      </c>
      <c r="B191" s="166">
        <f>YEAR(Table13[[#This Row],[Date]])+IF(MONTH(Table13[[#This Row],[Date]])&gt;=4,1,0)</f>
        <v>2026</v>
      </c>
      <c r="C191" s="167">
        <f>YEAR(Table13[[#This Row],[Date]])</f>
        <v>2025</v>
      </c>
      <c r="D191" s="168">
        <f>Table13[[#This Row],[Date]]-DAY(Table13[[#This Row],[Date]])+1</f>
        <v>45931</v>
      </c>
      <c r="E191" s="167">
        <f t="shared" si="12"/>
        <v>31</v>
      </c>
      <c r="F191" s="169"/>
      <c r="G191" s="176"/>
      <c r="H191" s="176"/>
      <c r="I191" s="176"/>
      <c r="J191" s="176"/>
      <c r="K191" s="171"/>
      <c r="L191" s="170"/>
      <c r="M191" s="170" t="str">
        <f>IFERROR(_xlfn.XLOOKUP($A191,Input_Raw!$A:$A,Input_Raw!BG:BG),"")</f>
        <v/>
      </c>
      <c r="N191" s="170" t="str">
        <f>IFERROR(_xlfn.XLOOKUP($A191,Input_Raw!$A:$A,Input_Raw!BH:BH),"")</f>
        <v/>
      </c>
      <c r="O191" s="173" t="str">
        <f t="shared" si="13"/>
        <v/>
      </c>
      <c r="P191" s="173" t="str">
        <f>IFERROR(1-SUMIF(WTG_BD!$F:$F,$A191,WTG_BD!$AA:$AA)/($AA191+SUMIF(WTG_BD!$F:$F,$A191,WTG_BD!$AA:$AA)),"")</f>
        <v/>
      </c>
      <c r="Q191" s="173" t="str">
        <f>IFERROR(1-SUMIF(IGA_BD!$F:$F,$A191,IGA_BD!$X:$X)/($AA191+SUMIF(IGA_BD!$F:$F,$A191,IGA_BD!$X:$X)),"")</f>
        <v/>
      </c>
      <c r="R191" s="173" t="str">
        <f>IFERROR(1-SUMIF(Grid_BD!$F:$F,$A191,Grid_BD!$Y:$Y)/($AA191+SUMIF(Grid_BD!$F:$F,$A191,Grid_BD!$Y:$Y)),"")</f>
        <v/>
      </c>
      <c r="S191" s="167"/>
      <c r="T191" s="172"/>
      <c r="U191" s="173"/>
      <c r="V191" s="167"/>
      <c r="W191" s="174" t="str">
        <f t="shared" si="14"/>
        <v/>
      </c>
      <c r="X191" s="167" t="str">
        <f>IFERROR(_xlfn.XLOOKUP($A191,Input_Raw!$A:$A,Input_Raw!$BF:$BF),"")</f>
        <v/>
      </c>
      <c r="Y191" s="167" t="str">
        <f>IFERROR(_xlfn.XLOOKUP($A191,Input_Raw!$A:$A,Input_Raw!BJ:BJ),"")</f>
        <v/>
      </c>
      <c r="Z191" s="167" t="str">
        <f>IFERROR(_xlfn.XLOOKUP($A191,Input_Raw!$A:$A,Input_Raw!BK:BK),"")</f>
        <v/>
      </c>
      <c r="AA191" s="167" t="str">
        <f>IFERROR(_xlfn.XLOOKUP($A191,Input_Raw!$A:$A,Input_Raw!BL:BL),"")</f>
        <v/>
      </c>
      <c r="AB191" s="167" t="str">
        <f>IFERROR(_xlfn.XLOOKUP($A191,Input_Raw!$A:$A,Input_Raw!$BO:$BO),"")</f>
        <v/>
      </c>
      <c r="AC191" s="176">
        <f>IFERROR(_xlfn.XLOOKUP($D191,'Modelling New'!$D:$D,'Modelling New'!$J:$J),"")</f>
        <v>9.2100000000000009</v>
      </c>
      <c r="AD191" s="166">
        <f>IFERROR(_xlfn.XLOOKUP($D191,'Modelling New'!$D:$D,'Modelling New'!$T:$T)*1000,"")</f>
        <v>363484.56165517244</v>
      </c>
      <c r="AE191" s="174"/>
      <c r="AF191" s="174">
        <f>IFERROR(_xlfn.XLOOKUP($D191,'Modelling New'!$D:$D,'Modelling New'!$W:$W),"")</f>
        <v>0.21574344827586206</v>
      </c>
      <c r="AG191" s="174">
        <f>IFERROR(_xlfn.XLOOKUP($D191,'Modelling New'!$D:$D,'Modelling New'!$AE:$AE),"")</f>
        <v>0.96029999999999993</v>
      </c>
      <c r="AH191" s="174">
        <f>IFERROR(_xlfn.XLOOKUP($D191,'Modelling New'!$D:$D,'Modelling New'!$AF:$AF),"")</f>
        <v>0.995</v>
      </c>
      <c r="AI191" s="177" t="str">
        <f>IFERROR(_xlfn.XLOOKUP($A191,Input_Raw!$A:$A,Input_Raw!$BQ:$BQ),"")</f>
        <v/>
      </c>
      <c r="AJ191" s="167"/>
      <c r="AK191" s="167"/>
      <c r="AL191" s="167"/>
      <c r="AM191" s="167"/>
      <c r="AN191" s="175" t="str">
        <f>IFERROR(_xlfn.XLOOKUP($A191,Input_Raw!$A:$A,Input_Raw!$BN:$BN),"")</f>
        <v/>
      </c>
      <c r="AO191" s="174" t="str">
        <f>IFERROR((_xlfn.XLOOKUP($A191,'WTG Reactive Power'!$A:$A,'WTG Reactive Power'!$AE:$AE))/Table13[[#This Row],[Gen_Exp (kWh)]],"")</f>
        <v/>
      </c>
      <c r="AP191" s="174">
        <f>IFERROR(_xlfn.XLOOKUP($D191,'Modelling New'!$D:$D,'Modelling New'!$AK:$AK),"")</f>
        <v>0.05</v>
      </c>
      <c r="AQ191" s="174">
        <f>IFERROR(_xlfn.XLOOKUP($D191,'Modelling New'!$D:$D,'Modelling New'!$AL:$AL),"")</f>
        <v>0.05</v>
      </c>
      <c r="AR191" s="276">
        <f>IFERROR(_xlfn.XLOOKUP($D191,'Modelling New'!$D:$D,'Modelling New'!$N:$N),"")</f>
        <v>70.2</v>
      </c>
      <c r="AS191" s="276"/>
    </row>
    <row r="192" spans="1:45">
      <c r="A192" s="165">
        <f t="shared" si="15"/>
        <v>45935</v>
      </c>
      <c r="B192" s="166">
        <f>YEAR(Table13[[#This Row],[Date]])+IF(MONTH(Table13[[#This Row],[Date]])&gt;=4,1,0)</f>
        <v>2026</v>
      </c>
      <c r="C192" s="167">
        <f>YEAR(Table13[[#This Row],[Date]])</f>
        <v>2025</v>
      </c>
      <c r="D192" s="168">
        <f>Table13[[#This Row],[Date]]-DAY(Table13[[#This Row],[Date]])+1</f>
        <v>45931</v>
      </c>
      <c r="E192" s="167">
        <f t="shared" si="12"/>
        <v>31</v>
      </c>
      <c r="F192" s="169"/>
      <c r="G192" s="170"/>
      <c r="H192" s="170"/>
      <c r="I192" s="170"/>
      <c r="J192" s="170"/>
      <c r="K192" s="171"/>
      <c r="L192" s="170"/>
      <c r="M192" s="170" t="str">
        <f>IFERROR(_xlfn.XLOOKUP($A192,Input_Raw!$A:$A,Input_Raw!BG:BG),"")</f>
        <v/>
      </c>
      <c r="N192" s="170" t="str">
        <f>IFERROR(_xlfn.XLOOKUP($A192,Input_Raw!$A:$A,Input_Raw!BH:BH),"")</f>
        <v/>
      </c>
      <c r="O192" s="173" t="str">
        <f t="shared" si="13"/>
        <v/>
      </c>
      <c r="P192" s="173" t="str">
        <f>IFERROR(1-SUMIF(WTG_BD!$F:$F,$A192,WTG_BD!$AA:$AA)/($AA192+SUMIF(WTG_BD!$F:$F,$A192,WTG_BD!$AA:$AA)),"")</f>
        <v/>
      </c>
      <c r="Q192" s="173" t="str">
        <f>IFERROR(1-SUMIF(IGA_BD!$F:$F,$A192,IGA_BD!$X:$X)/($AA192+SUMIF(IGA_BD!$F:$F,$A192,IGA_BD!$X:$X)),"")</f>
        <v/>
      </c>
      <c r="R192" s="173" t="str">
        <f>IFERROR(1-SUMIF(Grid_BD!$F:$F,$A192,Grid_BD!$Y:$Y)/($AA192+SUMIF(Grid_BD!$F:$F,$A192,Grid_BD!$Y:$Y)),"")</f>
        <v/>
      </c>
      <c r="S192" s="167"/>
      <c r="T192" s="172"/>
      <c r="U192" s="173"/>
      <c r="V192" s="167"/>
      <c r="W192" s="174" t="str">
        <f t="shared" si="14"/>
        <v/>
      </c>
      <c r="X192" s="167" t="str">
        <f>IFERROR(_xlfn.XLOOKUP($A192,Input_Raw!$A:$A,Input_Raw!$BF:$BF),"")</f>
        <v/>
      </c>
      <c r="Y192" s="167" t="str">
        <f>IFERROR(_xlfn.XLOOKUP($A192,Input_Raw!$A:$A,Input_Raw!BJ:BJ),"")</f>
        <v/>
      </c>
      <c r="Z192" s="167" t="str">
        <f>IFERROR(_xlfn.XLOOKUP($A192,Input_Raw!$A:$A,Input_Raw!BK:BK),"")</f>
        <v/>
      </c>
      <c r="AA192" s="167" t="str">
        <f>IFERROR(_xlfn.XLOOKUP($A192,Input_Raw!$A:$A,Input_Raw!BL:BL),"")</f>
        <v/>
      </c>
      <c r="AB192" s="167" t="str">
        <f>IFERROR(_xlfn.XLOOKUP($A192,Input_Raw!$A:$A,Input_Raw!$BO:$BO),"")</f>
        <v/>
      </c>
      <c r="AC192" s="176">
        <f>IFERROR(_xlfn.XLOOKUP($D192,'Modelling New'!$D:$D,'Modelling New'!$J:$J),"")</f>
        <v>9.2100000000000009</v>
      </c>
      <c r="AD192" s="166">
        <f>IFERROR(_xlfn.XLOOKUP($D192,'Modelling New'!$D:$D,'Modelling New'!$T:$T)*1000,"")</f>
        <v>363484.56165517244</v>
      </c>
      <c r="AE192" s="174"/>
      <c r="AF192" s="174">
        <f>IFERROR(_xlfn.XLOOKUP($D192,'Modelling New'!$D:$D,'Modelling New'!$W:$W),"")</f>
        <v>0.21574344827586206</v>
      </c>
      <c r="AG192" s="174">
        <f>IFERROR(_xlfn.XLOOKUP($D192,'Modelling New'!$D:$D,'Modelling New'!$AE:$AE),"")</f>
        <v>0.96029999999999993</v>
      </c>
      <c r="AH192" s="174">
        <f>IFERROR(_xlfn.XLOOKUP($D192,'Modelling New'!$D:$D,'Modelling New'!$AF:$AF),"")</f>
        <v>0.995</v>
      </c>
      <c r="AI192" s="177" t="str">
        <f>IFERROR(_xlfn.XLOOKUP($A192,Input_Raw!$A:$A,Input_Raw!$BQ:$BQ),"")</f>
        <v/>
      </c>
      <c r="AJ192" s="167"/>
      <c r="AK192" s="167"/>
      <c r="AL192" s="167"/>
      <c r="AM192" s="167"/>
      <c r="AN192" s="175" t="str">
        <f>IFERROR(_xlfn.XLOOKUP($A192,Input_Raw!$A:$A,Input_Raw!$BN:$BN),"")</f>
        <v/>
      </c>
      <c r="AO192" s="174" t="str">
        <f>IFERROR((_xlfn.XLOOKUP($A192,'WTG Reactive Power'!$A:$A,'WTG Reactive Power'!$AE:$AE))/Table13[[#This Row],[Gen_Exp (kWh)]],"")</f>
        <v/>
      </c>
      <c r="AP192" s="174">
        <f>IFERROR(_xlfn.XLOOKUP($D192,'Modelling New'!$D:$D,'Modelling New'!$AK:$AK),"")</f>
        <v>0.05</v>
      </c>
      <c r="AQ192" s="174">
        <f>IFERROR(_xlfn.XLOOKUP($D192,'Modelling New'!$D:$D,'Modelling New'!$AL:$AL),"")</f>
        <v>0.05</v>
      </c>
      <c r="AR192" s="276">
        <f>IFERROR(_xlfn.XLOOKUP($D192,'Modelling New'!$D:$D,'Modelling New'!$N:$N),"")</f>
        <v>70.2</v>
      </c>
      <c r="AS192" s="276"/>
    </row>
    <row r="193" spans="1:45">
      <c r="A193" s="165">
        <f t="shared" si="15"/>
        <v>45936</v>
      </c>
      <c r="B193" s="166">
        <f>YEAR(Table13[[#This Row],[Date]])+IF(MONTH(Table13[[#This Row],[Date]])&gt;=4,1,0)</f>
        <v>2026</v>
      </c>
      <c r="C193" s="167">
        <f>YEAR(Table13[[#This Row],[Date]])</f>
        <v>2025</v>
      </c>
      <c r="D193" s="168">
        <f>Table13[[#This Row],[Date]]-DAY(Table13[[#This Row],[Date]])+1</f>
        <v>45931</v>
      </c>
      <c r="E193" s="167">
        <f t="shared" si="12"/>
        <v>31</v>
      </c>
      <c r="F193" s="169"/>
      <c r="G193" s="176"/>
      <c r="H193" s="176"/>
      <c r="I193" s="176"/>
      <c r="J193" s="176"/>
      <c r="K193" s="171"/>
      <c r="L193" s="170"/>
      <c r="M193" s="170" t="str">
        <f>IFERROR(_xlfn.XLOOKUP($A193,Input_Raw!$A:$A,Input_Raw!BG:BG),"")</f>
        <v/>
      </c>
      <c r="N193" s="170" t="str">
        <f>IFERROR(_xlfn.XLOOKUP($A193,Input_Raw!$A:$A,Input_Raw!BH:BH),"")</f>
        <v/>
      </c>
      <c r="O193" s="173" t="str">
        <f t="shared" si="13"/>
        <v/>
      </c>
      <c r="P193" s="173" t="str">
        <f>IFERROR(1-SUMIF(WTG_BD!$F:$F,$A193,WTG_BD!$AA:$AA)/($AA193+SUMIF(WTG_BD!$F:$F,$A193,WTG_BD!$AA:$AA)),"")</f>
        <v/>
      </c>
      <c r="Q193" s="173" t="str">
        <f>IFERROR(1-SUMIF(IGA_BD!$F:$F,$A193,IGA_BD!$X:$X)/($AA193+SUMIF(IGA_BD!$F:$F,$A193,IGA_BD!$X:$X)),"")</f>
        <v/>
      </c>
      <c r="R193" s="173" t="str">
        <f>IFERROR(1-SUMIF(Grid_BD!$F:$F,$A193,Grid_BD!$Y:$Y)/($AA193+SUMIF(Grid_BD!$F:$F,$A193,Grid_BD!$Y:$Y)),"")</f>
        <v/>
      </c>
      <c r="S193" s="167"/>
      <c r="T193" s="172"/>
      <c r="U193" s="173"/>
      <c r="V193" s="167"/>
      <c r="W193" s="174" t="str">
        <f t="shared" si="14"/>
        <v/>
      </c>
      <c r="X193" s="167" t="str">
        <f>IFERROR(_xlfn.XLOOKUP($A193,Input_Raw!$A:$A,Input_Raw!$BF:$BF),"")</f>
        <v/>
      </c>
      <c r="Y193" s="167" t="str">
        <f>IFERROR(_xlfn.XLOOKUP($A193,Input_Raw!$A:$A,Input_Raw!BJ:BJ),"")</f>
        <v/>
      </c>
      <c r="Z193" s="167" t="str">
        <f>IFERROR(_xlfn.XLOOKUP($A193,Input_Raw!$A:$A,Input_Raw!BK:BK),"")</f>
        <v/>
      </c>
      <c r="AA193" s="167" t="str">
        <f>IFERROR(_xlfn.XLOOKUP($A193,Input_Raw!$A:$A,Input_Raw!BL:BL),"")</f>
        <v/>
      </c>
      <c r="AB193" s="167" t="str">
        <f>IFERROR(_xlfn.XLOOKUP($A193,Input_Raw!$A:$A,Input_Raw!$BO:$BO),"")</f>
        <v/>
      </c>
      <c r="AC193" s="176">
        <f>IFERROR(_xlfn.XLOOKUP($D193,'Modelling New'!$D:$D,'Modelling New'!$J:$J),"")</f>
        <v>9.2100000000000009</v>
      </c>
      <c r="AD193" s="166">
        <f>IFERROR(_xlfn.XLOOKUP($D193,'Modelling New'!$D:$D,'Modelling New'!$T:$T)*1000,"")</f>
        <v>363484.56165517244</v>
      </c>
      <c r="AE193" s="174"/>
      <c r="AF193" s="174">
        <f>IFERROR(_xlfn.XLOOKUP($D193,'Modelling New'!$D:$D,'Modelling New'!$W:$W),"")</f>
        <v>0.21574344827586206</v>
      </c>
      <c r="AG193" s="174">
        <f>IFERROR(_xlfn.XLOOKUP($D193,'Modelling New'!$D:$D,'Modelling New'!$AE:$AE),"")</f>
        <v>0.96029999999999993</v>
      </c>
      <c r="AH193" s="174">
        <f>IFERROR(_xlfn.XLOOKUP($D193,'Modelling New'!$D:$D,'Modelling New'!$AF:$AF),"")</f>
        <v>0.995</v>
      </c>
      <c r="AI193" s="177" t="str">
        <f>IFERROR(_xlfn.XLOOKUP($A193,Input_Raw!$A:$A,Input_Raw!$BQ:$BQ),"")</f>
        <v/>
      </c>
      <c r="AJ193" s="167"/>
      <c r="AK193" s="167"/>
      <c r="AL193" s="167"/>
      <c r="AM193" s="167"/>
      <c r="AN193" s="175" t="str">
        <f>IFERROR(_xlfn.XLOOKUP($A193,Input_Raw!$A:$A,Input_Raw!$BN:$BN),"")</f>
        <v/>
      </c>
      <c r="AO193" s="174" t="str">
        <f>IFERROR((_xlfn.XLOOKUP($A193,'WTG Reactive Power'!$A:$A,'WTG Reactive Power'!$AE:$AE))/Table13[[#This Row],[Gen_Exp (kWh)]],"")</f>
        <v/>
      </c>
      <c r="AP193" s="174">
        <f>IFERROR(_xlfn.XLOOKUP($D193,'Modelling New'!$D:$D,'Modelling New'!$AK:$AK),"")</f>
        <v>0.05</v>
      </c>
      <c r="AQ193" s="174">
        <f>IFERROR(_xlfn.XLOOKUP($D193,'Modelling New'!$D:$D,'Modelling New'!$AL:$AL),"")</f>
        <v>0.05</v>
      </c>
      <c r="AR193" s="276">
        <f>IFERROR(_xlfn.XLOOKUP($D193,'Modelling New'!$D:$D,'Modelling New'!$N:$N),"")</f>
        <v>70.2</v>
      </c>
      <c r="AS193" s="276"/>
    </row>
    <row r="194" spans="1:45">
      <c r="A194" s="165">
        <f t="shared" si="15"/>
        <v>45937</v>
      </c>
      <c r="B194" s="166">
        <f>YEAR(Table13[[#This Row],[Date]])+IF(MONTH(Table13[[#This Row],[Date]])&gt;=4,1,0)</f>
        <v>2026</v>
      </c>
      <c r="C194" s="167">
        <f>YEAR(Table13[[#This Row],[Date]])</f>
        <v>2025</v>
      </c>
      <c r="D194" s="168">
        <f>Table13[[#This Row],[Date]]-DAY(Table13[[#This Row],[Date]])+1</f>
        <v>45931</v>
      </c>
      <c r="E194" s="167">
        <f t="shared" si="12"/>
        <v>31</v>
      </c>
      <c r="F194" s="169"/>
      <c r="G194" s="170"/>
      <c r="H194" s="170"/>
      <c r="I194" s="170"/>
      <c r="J194" s="170"/>
      <c r="K194" s="171"/>
      <c r="L194" s="170"/>
      <c r="M194" s="170" t="str">
        <f>IFERROR(_xlfn.XLOOKUP($A194,Input_Raw!$A:$A,Input_Raw!BG:BG),"")</f>
        <v/>
      </c>
      <c r="N194" s="170" t="str">
        <f>IFERROR(_xlfn.XLOOKUP($A194,Input_Raw!$A:$A,Input_Raw!BH:BH),"")</f>
        <v/>
      </c>
      <c r="O194" s="173" t="str">
        <f t="shared" si="13"/>
        <v/>
      </c>
      <c r="P194" s="173" t="str">
        <f>IFERROR(1-SUMIF(WTG_BD!$F:$F,$A194,WTG_BD!$AA:$AA)/($AA194+SUMIF(WTG_BD!$F:$F,$A194,WTG_BD!$AA:$AA)),"")</f>
        <v/>
      </c>
      <c r="Q194" s="173" t="str">
        <f>IFERROR(1-SUMIF(IGA_BD!$F:$F,$A194,IGA_BD!$X:$X)/($AA194+SUMIF(IGA_BD!$F:$F,$A194,IGA_BD!$X:$X)),"")</f>
        <v/>
      </c>
      <c r="R194" s="173" t="str">
        <f>IFERROR(1-SUMIF(Grid_BD!$F:$F,$A194,Grid_BD!$Y:$Y)/($AA194+SUMIF(Grid_BD!$F:$F,$A194,Grid_BD!$Y:$Y)),"")</f>
        <v/>
      </c>
      <c r="S194" s="167"/>
      <c r="T194" s="172"/>
      <c r="U194" s="173"/>
      <c r="V194" s="167"/>
      <c r="W194" s="174" t="str">
        <f t="shared" si="14"/>
        <v/>
      </c>
      <c r="X194" s="167" t="str">
        <f>IFERROR(_xlfn.XLOOKUP($A194,Input_Raw!$A:$A,Input_Raw!$BF:$BF),"")</f>
        <v/>
      </c>
      <c r="Y194" s="167" t="str">
        <f>IFERROR(_xlfn.XLOOKUP($A194,Input_Raw!$A:$A,Input_Raw!BJ:BJ),"")</f>
        <v/>
      </c>
      <c r="Z194" s="167" t="str">
        <f>IFERROR(_xlfn.XLOOKUP($A194,Input_Raw!$A:$A,Input_Raw!BK:BK),"")</f>
        <v/>
      </c>
      <c r="AA194" s="167" t="str">
        <f>IFERROR(_xlfn.XLOOKUP($A194,Input_Raw!$A:$A,Input_Raw!BL:BL),"")</f>
        <v/>
      </c>
      <c r="AB194" s="167" t="str">
        <f>IFERROR(_xlfn.XLOOKUP($A194,Input_Raw!$A:$A,Input_Raw!$BO:$BO),"")</f>
        <v/>
      </c>
      <c r="AC194" s="176">
        <f>IFERROR(_xlfn.XLOOKUP($D194,'Modelling New'!$D:$D,'Modelling New'!$J:$J),"")</f>
        <v>9.2100000000000009</v>
      </c>
      <c r="AD194" s="166">
        <f>IFERROR(_xlfn.XLOOKUP($D194,'Modelling New'!$D:$D,'Modelling New'!$T:$T)*1000,"")</f>
        <v>363484.56165517244</v>
      </c>
      <c r="AE194" s="174"/>
      <c r="AF194" s="174">
        <f>IFERROR(_xlfn.XLOOKUP($D194,'Modelling New'!$D:$D,'Modelling New'!$W:$W),"")</f>
        <v>0.21574344827586206</v>
      </c>
      <c r="AG194" s="174">
        <f>IFERROR(_xlfn.XLOOKUP($D194,'Modelling New'!$D:$D,'Modelling New'!$AE:$AE),"")</f>
        <v>0.96029999999999993</v>
      </c>
      <c r="AH194" s="174">
        <f>IFERROR(_xlfn.XLOOKUP($D194,'Modelling New'!$D:$D,'Modelling New'!$AF:$AF),"")</f>
        <v>0.995</v>
      </c>
      <c r="AI194" s="177" t="str">
        <f>IFERROR(_xlfn.XLOOKUP($A194,Input_Raw!$A:$A,Input_Raw!$BQ:$BQ),"")</f>
        <v/>
      </c>
      <c r="AJ194" s="167"/>
      <c r="AK194" s="167"/>
      <c r="AL194" s="167"/>
      <c r="AM194" s="167"/>
      <c r="AN194" s="175" t="str">
        <f>IFERROR(_xlfn.XLOOKUP($A194,Input_Raw!$A:$A,Input_Raw!$BN:$BN),"")</f>
        <v/>
      </c>
      <c r="AO194" s="174" t="str">
        <f>IFERROR((_xlfn.XLOOKUP($A194,'WTG Reactive Power'!$A:$A,'WTG Reactive Power'!$AE:$AE))/Table13[[#This Row],[Gen_Exp (kWh)]],"")</f>
        <v/>
      </c>
      <c r="AP194" s="174">
        <f>IFERROR(_xlfn.XLOOKUP($D194,'Modelling New'!$D:$D,'Modelling New'!$AK:$AK),"")</f>
        <v>0.05</v>
      </c>
      <c r="AQ194" s="174">
        <f>IFERROR(_xlfn.XLOOKUP($D194,'Modelling New'!$D:$D,'Modelling New'!$AL:$AL),"")</f>
        <v>0.05</v>
      </c>
      <c r="AR194" s="276">
        <f>IFERROR(_xlfn.XLOOKUP($D194,'Modelling New'!$D:$D,'Modelling New'!$N:$N),"")</f>
        <v>70.2</v>
      </c>
      <c r="AS194" s="276"/>
    </row>
    <row r="195" spans="1:45">
      <c r="A195" s="165">
        <f t="shared" si="15"/>
        <v>45938</v>
      </c>
      <c r="B195" s="166">
        <f>YEAR(Table13[[#This Row],[Date]])+IF(MONTH(Table13[[#This Row],[Date]])&gt;=4,1,0)</f>
        <v>2026</v>
      </c>
      <c r="C195" s="167">
        <f>YEAR(Table13[[#This Row],[Date]])</f>
        <v>2025</v>
      </c>
      <c r="D195" s="168">
        <f>Table13[[#This Row],[Date]]-DAY(Table13[[#This Row],[Date]])+1</f>
        <v>45931</v>
      </c>
      <c r="E195" s="167">
        <f t="shared" si="12"/>
        <v>31</v>
      </c>
      <c r="F195" s="169"/>
      <c r="G195" s="176"/>
      <c r="H195" s="176"/>
      <c r="I195" s="176"/>
      <c r="J195" s="176"/>
      <c r="K195" s="171"/>
      <c r="L195" s="170"/>
      <c r="M195" s="170" t="str">
        <f>IFERROR(_xlfn.XLOOKUP($A195,Input_Raw!$A:$A,Input_Raw!BG:BG),"")</f>
        <v/>
      </c>
      <c r="N195" s="170" t="str">
        <f>IFERROR(_xlfn.XLOOKUP($A195,Input_Raw!$A:$A,Input_Raw!BH:BH),"")</f>
        <v/>
      </c>
      <c r="O195" s="173" t="str">
        <f t="shared" si="13"/>
        <v/>
      </c>
      <c r="P195" s="173" t="str">
        <f>IFERROR(1-SUMIF(WTG_BD!$F:$F,$A195,WTG_BD!$AA:$AA)/($AA195+SUMIF(WTG_BD!$F:$F,$A195,WTG_BD!$AA:$AA)),"")</f>
        <v/>
      </c>
      <c r="Q195" s="173" t="str">
        <f>IFERROR(1-SUMIF(IGA_BD!$F:$F,$A195,IGA_BD!$X:$X)/($AA195+SUMIF(IGA_BD!$F:$F,$A195,IGA_BD!$X:$X)),"")</f>
        <v/>
      </c>
      <c r="R195" s="173" t="str">
        <f>IFERROR(1-SUMIF(Grid_BD!$F:$F,$A195,Grid_BD!$Y:$Y)/($AA195+SUMIF(Grid_BD!$F:$F,$A195,Grid_BD!$Y:$Y)),"")</f>
        <v/>
      </c>
      <c r="S195" s="167"/>
      <c r="T195" s="172"/>
      <c r="U195" s="173"/>
      <c r="V195" s="167"/>
      <c r="W195" s="174" t="str">
        <f t="shared" si="14"/>
        <v/>
      </c>
      <c r="X195" s="167" t="str">
        <f>IFERROR(_xlfn.XLOOKUP($A195,Input_Raw!$A:$A,Input_Raw!$BF:$BF),"")</f>
        <v/>
      </c>
      <c r="Y195" s="167" t="str">
        <f>IFERROR(_xlfn.XLOOKUP($A195,Input_Raw!$A:$A,Input_Raw!BJ:BJ),"")</f>
        <v/>
      </c>
      <c r="Z195" s="167" t="str">
        <f>IFERROR(_xlfn.XLOOKUP($A195,Input_Raw!$A:$A,Input_Raw!BK:BK),"")</f>
        <v/>
      </c>
      <c r="AA195" s="167" t="str">
        <f>IFERROR(_xlfn.XLOOKUP($A195,Input_Raw!$A:$A,Input_Raw!BL:BL),"")</f>
        <v/>
      </c>
      <c r="AB195" s="167" t="str">
        <f>IFERROR(_xlfn.XLOOKUP($A195,Input_Raw!$A:$A,Input_Raw!$BO:$BO),"")</f>
        <v/>
      </c>
      <c r="AC195" s="176">
        <f>IFERROR(_xlfn.XLOOKUP($D195,'Modelling New'!$D:$D,'Modelling New'!$J:$J),"")</f>
        <v>9.2100000000000009</v>
      </c>
      <c r="AD195" s="166">
        <f>IFERROR(_xlfn.XLOOKUP($D195,'Modelling New'!$D:$D,'Modelling New'!$T:$T)*1000,"")</f>
        <v>363484.56165517244</v>
      </c>
      <c r="AE195" s="174"/>
      <c r="AF195" s="174">
        <f>IFERROR(_xlfn.XLOOKUP($D195,'Modelling New'!$D:$D,'Modelling New'!$W:$W),"")</f>
        <v>0.21574344827586206</v>
      </c>
      <c r="AG195" s="174">
        <f>IFERROR(_xlfn.XLOOKUP($D195,'Modelling New'!$D:$D,'Modelling New'!$AE:$AE),"")</f>
        <v>0.96029999999999993</v>
      </c>
      <c r="AH195" s="174">
        <f>IFERROR(_xlfn.XLOOKUP($D195,'Modelling New'!$D:$D,'Modelling New'!$AF:$AF),"")</f>
        <v>0.995</v>
      </c>
      <c r="AI195" s="177" t="str">
        <f>IFERROR(_xlfn.XLOOKUP($A195,Input_Raw!$A:$A,Input_Raw!$BQ:$BQ),"")</f>
        <v/>
      </c>
      <c r="AJ195" s="167"/>
      <c r="AK195" s="167"/>
      <c r="AL195" s="167"/>
      <c r="AM195" s="167"/>
      <c r="AN195" s="175" t="str">
        <f>IFERROR(_xlfn.XLOOKUP($A195,Input_Raw!$A:$A,Input_Raw!$BN:$BN),"")</f>
        <v/>
      </c>
      <c r="AO195" s="174" t="str">
        <f>IFERROR((_xlfn.XLOOKUP($A195,'WTG Reactive Power'!$A:$A,'WTG Reactive Power'!$AE:$AE))/Table13[[#This Row],[Gen_Exp (kWh)]],"")</f>
        <v/>
      </c>
      <c r="AP195" s="174">
        <f>IFERROR(_xlfn.XLOOKUP($D195,'Modelling New'!$D:$D,'Modelling New'!$AK:$AK),"")</f>
        <v>0.05</v>
      </c>
      <c r="AQ195" s="174">
        <f>IFERROR(_xlfn.XLOOKUP($D195,'Modelling New'!$D:$D,'Modelling New'!$AL:$AL),"")</f>
        <v>0.05</v>
      </c>
      <c r="AR195" s="276">
        <f>IFERROR(_xlfn.XLOOKUP($D195,'Modelling New'!$D:$D,'Modelling New'!$N:$N),"")</f>
        <v>70.2</v>
      </c>
      <c r="AS195" s="276"/>
    </row>
    <row r="196" spans="1:45">
      <c r="A196" s="165">
        <f t="shared" si="15"/>
        <v>45939</v>
      </c>
      <c r="B196" s="166">
        <f>YEAR(Table13[[#This Row],[Date]])+IF(MONTH(Table13[[#This Row],[Date]])&gt;=4,1,0)</f>
        <v>2026</v>
      </c>
      <c r="C196" s="167">
        <f>YEAR(Table13[[#This Row],[Date]])</f>
        <v>2025</v>
      </c>
      <c r="D196" s="168">
        <f>Table13[[#This Row],[Date]]-DAY(Table13[[#This Row],[Date]])+1</f>
        <v>45931</v>
      </c>
      <c r="E196" s="167">
        <f t="shared" si="12"/>
        <v>31</v>
      </c>
      <c r="F196" s="169"/>
      <c r="G196" s="170"/>
      <c r="H196" s="170"/>
      <c r="I196" s="170"/>
      <c r="J196" s="170"/>
      <c r="K196" s="171"/>
      <c r="L196" s="170"/>
      <c r="M196" s="170" t="str">
        <f>IFERROR(_xlfn.XLOOKUP($A196,Input_Raw!$A:$A,Input_Raw!BG:BG),"")</f>
        <v/>
      </c>
      <c r="N196" s="170" t="str">
        <f>IFERROR(_xlfn.XLOOKUP($A196,Input_Raw!$A:$A,Input_Raw!BH:BH),"")</f>
        <v/>
      </c>
      <c r="O196" s="173" t="str">
        <f t="shared" si="13"/>
        <v/>
      </c>
      <c r="P196" s="173" t="str">
        <f>IFERROR(1-SUMIF(WTG_BD!$F:$F,$A196,WTG_BD!$AA:$AA)/($AA196+SUMIF(WTG_BD!$F:$F,$A196,WTG_BD!$AA:$AA)),"")</f>
        <v/>
      </c>
      <c r="Q196" s="173" t="str">
        <f>IFERROR(1-SUMIF(IGA_BD!$F:$F,$A196,IGA_BD!$X:$X)/($AA196+SUMIF(IGA_BD!$F:$F,$A196,IGA_BD!$X:$X)),"")</f>
        <v/>
      </c>
      <c r="R196" s="173" t="str">
        <f>IFERROR(1-SUMIF(Grid_BD!$F:$F,$A196,Grid_BD!$Y:$Y)/($AA196+SUMIF(Grid_BD!$F:$F,$A196,Grid_BD!$Y:$Y)),"")</f>
        <v/>
      </c>
      <c r="S196" s="167"/>
      <c r="T196" s="172"/>
      <c r="U196" s="173"/>
      <c r="V196" s="167"/>
      <c r="W196" s="174" t="str">
        <f t="shared" si="14"/>
        <v/>
      </c>
      <c r="X196" s="167" t="str">
        <f>IFERROR(_xlfn.XLOOKUP($A196,Input_Raw!$A:$A,Input_Raw!$BF:$BF),"")</f>
        <v/>
      </c>
      <c r="Y196" s="167" t="str">
        <f>IFERROR(_xlfn.XLOOKUP($A196,Input_Raw!$A:$A,Input_Raw!BJ:BJ),"")</f>
        <v/>
      </c>
      <c r="Z196" s="167" t="str">
        <f>IFERROR(_xlfn.XLOOKUP($A196,Input_Raw!$A:$A,Input_Raw!BK:BK),"")</f>
        <v/>
      </c>
      <c r="AA196" s="167" t="str">
        <f>IFERROR(_xlfn.XLOOKUP($A196,Input_Raw!$A:$A,Input_Raw!BL:BL),"")</f>
        <v/>
      </c>
      <c r="AB196" s="167" t="str">
        <f>IFERROR(_xlfn.XLOOKUP($A196,Input_Raw!$A:$A,Input_Raw!$BO:$BO),"")</f>
        <v/>
      </c>
      <c r="AC196" s="176">
        <f>IFERROR(_xlfn.XLOOKUP($D196,'Modelling New'!$D:$D,'Modelling New'!$J:$J),"")</f>
        <v>9.2100000000000009</v>
      </c>
      <c r="AD196" s="166">
        <f>IFERROR(_xlfn.XLOOKUP($D196,'Modelling New'!$D:$D,'Modelling New'!$T:$T)*1000,"")</f>
        <v>363484.56165517244</v>
      </c>
      <c r="AE196" s="174"/>
      <c r="AF196" s="174">
        <f>IFERROR(_xlfn.XLOOKUP($D196,'Modelling New'!$D:$D,'Modelling New'!$W:$W),"")</f>
        <v>0.21574344827586206</v>
      </c>
      <c r="AG196" s="174">
        <f>IFERROR(_xlfn.XLOOKUP($D196,'Modelling New'!$D:$D,'Modelling New'!$AE:$AE),"")</f>
        <v>0.96029999999999993</v>
      </c>
      <c r="AH196" s="174">
        <f>IFERROR(_xlfn.XLOOKUP($D196,'Modelling New'!$D:$D,'Modelling New'!$AF:$AF),"")</f>
        <v>0.995</v>
      </c>
      <c r="AI196" s="177" t="str">
        <f>IFERROR(_xlfn.XLOOKUP($A196,Input_Raw!$A:$A,Input_Raw!$BQ:$BQ),"")</f>
        <v/>
      </c>
      <c r="AJ196" s="167"/>
      <c r="AK196" s="167"/>
      <c r="AL196" s="167"/>
      <c r="AM196" s="167"/>
      <c r="AN196" s="175" t="str">
        <f>IFERROR(_xlfn.XLOOKUP($A196,Input_Raw!$A:$A,Input_Raw!$BN:$BN),"")</f>
        <v/>
      </c>
      <c r="AO196" s="174" t="str">
        <f>IFERROR((_xlfn.XLOOKUP($A196,'WTG Reactive Power'!$A:$A,'WTG Reactive Power'!$AE:$AE))/Table13[[#This Row],[Gen_Exp (kWh)]],"")</f>
        <v/>
      </c>
      <c r="AP196" s="174">
        <f>IFERROR(_xlfn.XLOOKUP($D196,'Modelling New'!$D:$D,'Modelling New'!$AK:$AK),"")</f>
        <v>0.05</v>
      </c>
      <c r="AQ196" s="174">
        <f>IFERROR(_xlfn.XLOOKUP($D196,'Modelling New'!$D:$D,'Modelling New'!$AL:$AL),"")</f>
        <v>0.05</v>
      </c>
      <c r="AR196" s="276">
        <f>IFERROR(_xlfn.XLOOKUP($D196,'Modelling New'!$D:$D,'Modelling New'!$N:$N),"")</f>
        <v>70.2</v>
      </c>
      <c r="AS196" s="276"/>
    </row>
    <row r="197" spans="1:45">
      <c r="A197" s="165">
        <f t="shared" si="15"/>
        <v>45940</v>
      </c>
      <c r="B197" s="166">
        <f>YEAR(Table13[[#This Row],[Date]])+IF(MONTH(Table13[[#This Row],[Date]])&gt;=4,1,0)</f>
        <v>2026</v>
      </c>
      <c r="C197" s="167">
        <f>YEAR(Table13[[#This Row],[Date]])</f>
        <v>2025</v>
      </c>
      <c r="D197" s="168">
        <f>Table13[[#This Row],[Date]]-DAY(Table13[[#This Row],[Date]])+1</f>
        <v>45931</v>
      </c>
      <c r="E197" s="167">
        <f t="shared" si="12"/>
        <v>31</v>
      </c>
      <c r="F197" s="169"/>
      <c r="G197" s="176"/>
      <c r="H197" s="176"/>
      <c r="I197" s="176"/>
      <c r="J197" s="176"/>
      <c r="K197" s="171"/>
      <c r="L197" s="170"/>
      <c r="M197" s="170" t="str">
        <f>IFERROR(_xlfn.XLOOKUP($A197,Input_Raw!$A:$A,Input_Raw!BG:BG),"")</f>
        <v/>
      </c>
      <c r="N197" s="170" t="str">
        <f>IFERROR(_xlfn.XLOOKUP($A197,Input_Raw!$A:$A,Input_Raw!BH:BH),"")</f>
        <v/>
      </c>
      <c r="O197" s="173" t="str">
        <f t="shared" si="13"/>
        <v/>
      </c>
      <c r="P197" s="173" t="str">
        <f>IFERROR(1-SUMIF(WTG_BD!$F:$F,$A197,WTG_BD!$AA:$AA)/($AA197+SUMIF(WTG_BD!$F:$F,$A197,WTG_BD!$AA:$AA)),"")</f>
        <v/>
      </c>
      <c r="Q197" s="173" t="str">
        <f>IFERROR(1-SUMIF(IGA_BD!$F:$F,$A197,IGA_BD!$X:$X)/($AA197+SUMIF(IGA_BD!$F:$F,$A197,IGA_BD!$X:$X)),"")</f>
        <v/>
      </c>
      <c r="R197" s="173" t="str">
        <f>IFERROR(1-SUMIF(Grid_BD!$F:$F,$A197,Grid_BD!$Y:$Y)/($AA197+SUMIF(Grid_BD!$F:$F,$A197,Grid_BD!$Y:$Y)),"")</f>
        <v/>
      </c>
      <c r="S197" s="167"/>
      <c r="T197" s="172"/>
      <c r="U197" s="173"/>
      <c r="V197" s="167"/>
      <c r="W197" s="174" t="str">
        <f t="shared" si="14"/>
        <v/>
      </c>
      <c r="X197" s="167" t="str">
        <f>IFERROR(_xlfn.XLOOKUP($A197,Input_Raw!$A:$A,Input_Raw!$BF:$BF),"")</f>
        <v/>
      </c>
      <c r="Y197" s="167" t="str">
        <f>IFERROR(_xlfn.XLOOKUP($A197,Input_Raw!$A:$A,Input_Raw!BJ:BJ),"")</f>
        <v/>
      </c>
      <c r="Z197" s="167" t="str">
        <f>IFERROR(_xlfn.XLOOKUP($A197,Input_Raw!$A:$A,Input_Raw!BK:BK),"")</f>
        <v/>
      </c>
      <c r="AA197" s="167" t="str">
        <f>IFERROR(_xlfn.XLOOKUP($A197,Input_Raw!$A:$A,Input_Raw!BL:BL),"")</f>
        <v/>
      </c>
      <c r="AB197" s="167" t="str">
        <f>IFERROR(_xlfn.XLOOKUP($A197,Input_Raw!$A:$A,Input_Raw!$BO:$BO),"")</f>
        <v/>
      </c>
      <c r="AC197" s="176">
        <f>IFERROR(_xlfn.XLOOKUP($D197,'Modelling New'!$D:$D,'Modelling New'!$J:$J),"")</f>
        <v>9.2100000000000009</v>
      </c>
      <c r="AD197" s="166">
        <f>IFERROR(_xlfn.XLOOKUP($D197,'Modelling New'!$D:$D,'Modelling New'!$T:$T)*1000,"")</f>
        <v>363484.56165517244</v>
      </c>
      <c r="AE197" s="174"/>
      <c r="AF197" s="174">
        <f>IFERROR(_xlfn.XLOOKUP($D197,'Modelling New'!$D:$D,'Modelling New'!$W:$W),"")</f>
        <v>0.21574344827586206</v>
      </c>
      <c r="AG197" s="174">
        <f>IFERROR(_xlfn.XLOOKUP($D197,'Modelling New'!$D:$D,'Modelling New'!$AE:$AE),"")</f>
        <v>0.96029999999999993</v>
      </c>
      <c r="AH197" s="174">
        <f>IFERROR(_xlfn.XLOOKUP($D197,'Modelling New'!$D:$D,'Modelling New'!$AF:$AF),"")</f>
        <v>0.995</v>
      </c>
      <c r="AI197" s="177" t="str">
        <f>IFERROR(_xlfn.XLOOKUP($A197,Input_Raw!$A:$A,Input_Raw!$BQ:$BQ),"")</f>
        <v/>
      </c>
      <c r="AJ197" s="167"/>
      <c r="AK197" s="167"/>
      <c r="AL197" s="167"/>
      <c r="AM197" s="167"/>
      <c r="AN197" s="175" t="str">
        <f>IFERROR(_xlfn.XLOOKUP($A197,Input_Raw!$A:$A,Input_Raw!$BN:$BN),"")</f>
        <v/>
      </c>
      <c r="AO197" s="174" t="str">
        <f>IFERROR((_xlfn.XLOOKUP($A197,'WTG Reactive Power'!$A:$A,'WTG Reactive Power'!$AE:$AE))/Table13[[#This Row],[Gen_Exp (kWh)]],"")</f>
        <v/>
      </c>
      <c r="AP197" s="174">
        <f>IFERROR(_xlfn.XLOOKUP($D197,'Modelling New'!$D:$D,'Modelling New'!$AK:$AK),"")</f>
        <v>0.05</v>
      </c>
      <c r="AQ197" s="174">
        <f>IFERROR(_xlfn.XLOOKUP($D197,'Modelling New'!$D:$D,'Modelling New'!$AL:$AL),"")</f>
        <v>0.05</v>
      </c>
      <c r="AR197" s="276">
        <f>IFERROR(_xlfn.XLOOKUP($D197,'Modelling New'!$D:$D,'Modelling New'!$N:$N),"")</f>
        <v>70.2</v>
      </c>
      <c r="AS197" s="276"/>
    </row>
    <row r="198" spans="1:45">
      <c r="A198" s="165">
        <f t="shared" si="15"/>
        <v>45941</v>
      </c>
      <c r="B198" s="166">
        <f>YEAR(Table13[[#This Row],[Date]])+IF(MONTH(Table13[[#This Row],[Date]])&gt;=4,1,0)</f>
        <v>2026</v>
      </c>
      <c r="C198" s="167">
        <f>YEAR(Table13[[#This Row],[Date]])</f>
        <v>2025</v>
      </c>
      <c r="D198" s="168">
        <f>Table13[[#This Row],[Date]]-DAY(Table13[[#This Row],[Date]])+1</f>
        <v>45931</v>
      </c>
      <c r="E198" s="167">
        <f t="shared" si="12"/>
        <v>31</v>
      </c>
      <c r="F198" s="169"/>
      <c r="G198" s="170"/>
      <c r="H198" s="170"/>
      <c r="I198" s="170"/>
      <c r="J198" s="170"/>
      <c r="K198" s="171"/>
      <c r="L198" s="170"/>
      <c r="M198" s="170" t="str">
        <f>IFERROR(_xlfn.XLOOKUP($A198,Input_Raw!$A:$A,Input_Raw!BG:BG),"")</f>
        <v/>
      </c>
      <c r="N198" s="170" t="str">
        <f>IFERROR(_xlfn.XLOOKUP($A198,Input_Raw!$A:$A,Input_Raw!BH:BH),"")</f>
        <v/>
      </c>
      <c r="O198" s="173" t="str">
        <f t="shared" si="13"/>
        <v/>
      </c>
      <c r="P198" s="173" t="str">
        <f>IFERROR(1-SUMIF(WTG_BD!$F:$F,$A198,WTG_BD!$AA:$AA)/($AA198+SUMIF(WTG_BD!$F:$F,$A198,WTG_BD!$AA:$AA)),"")</f>
        <v/>
      </c>
      <c r="Q198" s="173" t="str">
        <f>IFERROR(1-SUMIF(IGA_BD!$F:$F,$A198,IGA_BD!$X:$X)/($AA198+SUMIF(IGA_BD!$F:$F,$A198,IGA_BD!$X:$X)),"")</f>
        <v/>
      </c>
      <c r="R198" s="173" t="str">
        <f>IFERROR(1-SUMIF(Grid_BD!$F:$F,$A198,Grid_BD!$Y:$Y)/($AA198+SUMIF(Grid_BD!$F:$F,$A198,Grid_BD!$Y:$Y)),"")</f>
        <v/>
      </c>
      <c r="S198" s="167"/>
      <c r="T198" s="172"/>
      <c r="U198" s="173"/>
      <c r="V198" s="167"/>
      <c r="W198" s="174" t="str">
        <f t="shared" si="14"/>
        <v/>
      </c>
      <c r="X198" s="167" t="str">
        <f>IFERROR(_xlfn.XLOOKUP($A198,Input_Raw!$A:$A,Input_Raw!$BF:$BF),"")</f>
        <v/>
      </c>
      <c r="Y198" s="167" t="str">
        <f>IFERROR(_xlfn.XLOOKUP($A198,Input_Raw!$A:$A,Input_Raw!BJ:BJ),"")</f>
        <v/>
      </c>
      <c r="Z198" s="167" t="str">
        <f>IFERROR(_xlfn.XLOOKUP($A198,Input_Raw!$A:$A,Input_Raw!BK:BK),"")</f>
        <v/>
      </c>
      <c r="AA198" s="167" t="str">
        <f>IFERROR(_xlfn.XLOOKUP($A198,Input_Raw!$A:$A,Input_Raw!BL:BL),"")</f>
        <v/>
      </c>
      <c r="AB198" s="167" t="str">
        <f>IFERROR(_xlfn.XLOOKUP($A198,Input_Raw!$A:$A,Input_Raw!$BO:$BO),"")</f>
        <v/>
      </c>
      <c r="AC198" s="176">
        <f>IFERROR(_xlfn.XLOOKUP($D198,'Modelling New'!$D:$D,'Modelling New'!$J:$J),"")</f>
        <v>9.2100000000000009</v>
      </c>
      <c r="AD198" s="166">
        <f>IFERROR(_xlfn.XLOOKUP($D198,'Modelling New'!$D:$D,'Modelling New'!$T:$T)*1000,"")</f>
        <v>363484.56165517244</v>
      </c>
      <c r="AE198" s="174"/>
      <c r="AF198" s="174">
        <f>IFERROR(_xlfn.XLOOKUP($D198,'Modelling New'!$D:$D,'Modelling New'!$W:$W),"")</f>
        <v>0.21574344827586206</v>
      </c>
      <c r="AG198" s="174">
        <f>IFERROR(_xlfn.XLOOKUP($D198,'Modelling New'!$D:$D,'Modelling New'!$AE:$AE),"")</f>
        <v>0.96029999999999993</v>
      </c>
      <c r="AH198" s="174">
        <f>IFERROR(_xlfn.XLOOKUP($D198,'Modelling New'!$D:$D,'Modelling New'!$AF:$AF),"")</f>
        <v>0.995</v>
      </c>
      <c r="AI198" s="177" t="str">
        <f>IFERROR(_xlfn.XLOOKUP($A198,Input_Raw!$A:$A,Input_Raw!$BQ:$BQ),"")</f>
        <v/>
      </c>
      <c r="AJ198" s="167"/>
      <c r="AK198" s="167"/>
      <c r="AL198" s="167"/>
      <c r="AM198" s="167"/>
      <c r="AN198" s="175" t="str">
        <f>IFERROR(_xlfn.XLOOKUP($A198,Input_Raw!$A:$A,Input_Raw!$BN:$BN),"")</f>
        <v/>
      </c>
      <c r="AO198" s="174" t="str">
        <f>IFERROR((_xlfn.XLOOKUP($A198,'WTG Reactive Power'!$A:$A,'WTG Reactive Power'!$AE:$AE))/Table13[[#This Row],[Gen_Exp (kWh)]],"")</f>
        <v/>
      </c>
      <c r="AP198" s="174">
        <f>IFERROR(_xlfn.XLOOKUP($D198,'Modelling New'!$D:$D,'Modelling New'!$AK:$AK),"")</f>
        <v>0.05</v>
      </c>
      <c r="AQ198" s="174">
        <f>IFERROR(_xlfn.XLOOKUP($D198,'Modelling New'!$D:$D,'Modelling New'!$AL:$AL),"")</f>
        <v>0.05</v>
      </c>
      <c r="AR198" s="276">
        <f>IFERROR(_xlfn.XLOOKUP($D198,'Modelling New'!$D:$D,'Modelling New'!$N:$N),"")</f>
        <v>70.2</v>
      </c>
      <c r="AS198" s="276"/>
    </row>
    <row r="199" spans="1:45">
      <c r="A199" s="165">
        <f t="shared" si="15"/>
        <v>45942</v>
      </c>
      <c r="B199" s="166">
        <f>YEAR(Table13[[#This Row],[Date]])+IF(MONTH(Table13[[#This Row],[Date]])&gt;=4,1,0)</f>
        <v>2026</v>
      </c>
      <c r="C199" s="167">
        <f>YEAR(Table13[[#This Row],[Date]])</f>
        <v>2025</v>
      </c>
      <c r="D199" s="168">
        <f>Table13[[#This Row],[Date]]-DAY(Table13[[#This Row],[Date]])+1</f>
        <v>45931</v>
      </c>
      <c r="E199" s="167">
        <f t="shared" si="12"/>
        <v>31</v>
      </c>
      <c r="F199" s="169"/>
      <c r="G199" s="176"/>
      <c r="H199" s="176"/>
      <c r="I199" s="176"/>
      <c r="J199" s="176"/>
      <c r="K199" s="171"/>
      <c r="L199" s="170"/>
      <c r="M199" s="170" t="str">
        <f>IFERROR(_xlfn.XLOOKUP($A199,Input_Raw!$A:$A,Input_Raw!BG:BG),"")</f>
        <v/>
      </c>
      <c r="N199" s="170" t="str">
        <f>IFERROR(_xlfn.XLOOKUP($A199,Input_Raw!$A:$A,Input_Raw!BH:BH),"")</f>
        <v/>
      </c>
      <c r="O199" s="173" t="str">
        <f t="shared" si="13"/>
        <v/>
      </c>
      <c r="P199" s="173" t="str">
        <f>IFERROR(1-SUMIF(WTG_BD!$F:$F,$A199,WTG_BD!$AA:$AA)/($AA199+SUMIF(WTG_BD!$F:$F,$A199,WTG_BD!$AA:$AA)),"")</f>
        <v/>
      </c>
      <c r="Q199" s="173" t="str">
        <f>IFERROR(1-SUMIF(IGA_BD!$F:$F,$A199,IGA_BD!$X:$X)/($AA199+SUMIF(IGA_BD!$F:$F,$A199,IGA_BD!$X:$X)),"")</f>
        <v/>
      </c>
      <c r="R199" s="173" t="str">
        <f>IFERROR(1-SUMIF(Grid_BD!$F:$F,$A199,Grid_BD!$Y:$Y)/($AA199+SUMIF(Grid_BD!$F:$F,$A199,Grid_BD!$Y:$Y)),"")</f>
        <v/>
      </c>
      <c r="S199" s="167"/>
      <c r="T199" s="172"/>
      <c r="U199" s="173"/>
      <c r="V199" s="167"/>
      <c r="W199" s="174" t="str">
        <f t="shared" si="14"/>
        <v/>
      </c>
      <c r="X199" s="167" t="str">
        <f>IFERROR(_xlfn.XLOOKUP($A199,Input_Raw!$A:$A,Input_Raw!$BF:$BF),"")</f>
        <v/>
      </c>
      <c r="Y199" s="167" t="str">
        <f>IFERROR(_xlfn.XLOOKUP($A199,Input_Raw!$A:$A,Input_Raw!BJ:BJ),"")</f>
        <v/>
      </c>
      <c r="Z199" s="167" t="str">
        <f>IFERROR(_xlfn.XLOOKUP($A199,Input_Raw!$A:$A,Input_Raw!BK:BK),"")</f>
        <v/>
      </c>
      <c r="AA199" s="167" t="str">
        <f>IFERROR(_xlfn.XLOOKUP($A199,Input_Raw!$A:$A,Input_Raw!BL:BL),"")</f>
        <v/>
      </c>
      <c r="AB199" s="167" t="str">
        <f>IFERROR(_xlfn.XLOOKUP($A199,Input_Raw!$A:$A,Input_Raw!$BO:$BO),"")</f>
        <v/>
      </c>
      <c r="AC199" s="176">
        <f>IFERROR(_xlfn.XLOOKUP($D199,'Modelling New'!$D:$D,'Modelling New'!$J:$J),"")</f>
        <v>9.2100000000000009</v>
      </c>
      <c r="AD199" s="166">
        <f>IFERROR(_xlfn.XLOOKUP($D199,'Modelling New'!$D:$D,'Modelling New'!$T:$T)*1000,"")</f>
        <v>363484.56165517244</v>
      </c>
      <c r="AE199" s="174"/>
      <c r="AF199" s="174">
        <f>IFERROR(_xlfn.XLOOKUP($D199,'Modelling New'!$D:$D,'Modelling New'!$W:$W),"")</f>
        <v>0.21574344827586206</v>
      </c>
      <c r="AG199" s="174">
        <f>IFERROR(_xlfn.XLOOKUP($D199,'Modelling New'!$D:$D,'Modelling New'!$AE:$AE),"")</f>
        <v>0.96029999999999993</v>
      </c>
      <c r="AH199" s="174">
        <f>IFERROR(_xlfn.XLOOKUP($D199,'Modelling New'!$D:$D,'Modelling New'!$AF:$AF),"")</f>
        <v>0.995</v>
      </c>
      <c r="AI199" s="177" t="str">
        <f>IFERROR(_xlfn.XLOOKUP($A199,Input_Raw!$A:$A,Input_Raw!$BQ:$BQ),"")</f>
        <v/>
      </c>
      <c r="AJ199" s="167"/>
      <c r="AK199" s="167"/>
      <c r="AL199" s="167"/>
      <c r="AM199" s="167"/>
      <c r="AN199" s="175" t="str">
        <f>IFERROR(_xlfn.XLOOKUP($A199,Input_Raw!$A:$A,Input_Raw!$BN:$BN),"")</f>
        <v/>
      </c>
      <c r="AO199" s="174" t="str">
        <f>IFERROR((_xlfn.XLOOKUP($A199,'WTG Reactive Power'!$A:$A,'WTG Reactive Power'!$AE:$AE))/Table13[[#This Row],[Gen_Exp (kWh)]],"")</f>
        <v/>
      </c>
      <c r="AP199" s="174">
        <f>IFERROR(_xlfn.XLOOKUP($D199,'Modelling New'!$D:$D,'Modelling New'!$AK:$AK),"")</f>
        <v>0.05</v>
      </c>
      <c r="AQ199" s="174">
        <f>IFERROR(_xlfn.XLOOKUP($D199,'Modelling New'!$D:$D,'Modelling New'!$AL:$AL),"")</f>
        <v>0.05</v>
      </c>
      <c r="AR199" s="276">
        <f>IFERROR(_xlfn.XLOOKUP($D199,'Modelling New'!$D:$D,'Modelling New'!$N:$N),"")</f>
        <v>70.2</v>
      </c>
      <c r="AS199" s="276"/>
    </row>
    <row r="200" spans="1:45">
      <c r="A200" s="165">
        <f t="shared" si="15"/>
        <v>45943</v>
      </c>
      <c r="B200" s="166">
        <f>YEAR(Table13[[#This Row],[Date]])+IF(MONTH(Table13[[#This Row],[Date]])&gt;=4,1,0)</f>
        <v>2026</v>
      </c>
      <c r="C200" s="167">
        <f>YEAR(Table13[[#This Row],[Date]])</f>
        <v>2025</v>
      </c>
      <c r="D200" s="168">
        <f>Table13[[#This Row],[Date]]-DAY(Table13[[#This Row],[Date]])+1</f>
        <v>45931</v>
      </c>
      <c r="E200" s="167">
        <f t="shared" si="12"/>
        <v>31</v>
      </c>
      <c r="F200" s="169"/>
      <c r="G200" s="170"/>
      <c r="H200" s="170"/>
      <c r="I200" s="170"/>
      <c r="J200" s="170"/>
      <c r="K200" s="171"/>
      <c r="L200" s="170"/>
      <c r="M200" s="170" t="str">
        <f>IFERROR(_xlfn.XLOOKUP($A200,Input_Raw!$A:$A,Input_Raw!BG:BG),"")</f>
        <v/>
      </c>
      <c r="N200" s="170" t="str">
        <f>IFERROR(_xlfn.XLOOKUP($A200,Input_Raw!$A:$A,Input_Raw!BH:BH),"")</f>
        <v/>
      </c>
      <c r="O200" s="173" t="str">
        <f t="shared" si="13"/>
        <v/>
      </c>
      <c r="P200" s="173" t="str">
        <f>IFERROR(1-SUMIF(WTG_BD!$F:$F,$A200,WTG_BD!$AA:$AA)/($AA200+SUMIF(WTG_BD!$F:$F,$A200,WTG_BD!$AA:$AA)),"")</f>
        <v/>
      </c>
      <c r="Q200" s="173" t="str">
        <f>IFERROR(1-SUMIF(IGA_BD!$F:$F,$A200,IGA_BD!$X:$X)/($AA200+SUMIF(IGA_BD!$F:$F,$A200,IGA_BD!$X:$X)),"")</f>
        <v/>
      </c>
      <c r="R200" s="173" t="str">
        <f>IFERROR(1-SUMIF(Grid_BD!$F:$F,$A200,Grid_BD!$Y:$Y)/($AA200+SUMIF(Grid_BD!$F:$F,$A200,Grid_BD!$Y:$Y)),"")</f>
        <v/>
      </c>
      <c r="S200" s="167"/>
      <c r="T200" s="172"/>
      <c r="U200" s="173"/>
      <c r="V200" s="167"/>
      <c r="W200" s="174" t="str">
        <f t="shared" si="14"/>
        <v/>
      </c>
      <c r="X200" s="167" t="str">
        <f>IFERROR(_xlfn.XLOOKUP($A200,Input_Raw!$A:$A,Input_Raw!$BF:$BF),"")</f>
        <v/>
      </c>
      <c r="Y200" s="167" t="str">
        <f>IFERROR(_xlfn.XLOOKUP($A200,Input_Raw!$A:$A,Input_Raw!BJ:BJ),"")</f>
        <v/>
      </c>
      <c r="Z200" s="167" t="str">
        <f>IFERROR(_xlfn.XLOOKUP($A200,Input_Raw!$A:$A,Input_Raw!BK:BK),"")</f>
        <v/>
      </c>
      <c r="AA200" s="167" t="str">
        <f>IFERROR(_xlfn.XLOOKUP($A200,Input_Raw!$A:$A,Input_Raw!BL:BL),"")</f>
        <v/>
      </c>
      <c r="AB200" s="167" t="str">
        <f>IFERROR(_xlfn.XLOOKUP($A200,Input_Raw!$A:$A,Input_Raw!$BO:$BO),"")</f>
        <v/>
      </c>
      <c r="AC200" s="176">
        <f>IFERROR(_xlfn.XLOOKUP($D200,'Modelling New'!$D:$D,'Modelling New'!$J:$J),"")</f>
        <v>9.2100000000000009</v>
      </c>
      <c r="AD200" s="166">
        <f>IFERROR(_xlfn.XLOOKUP($D200,'Modelling New'!$D:$D,'Modelling New'!$T:$T)*1000,"")</f>
        <v>363484.56165517244</v>
      </c>
      <c r="AE200" s="174"/>
      <c r="AF200" s="174">
        <f>IFERROR(_xlfn.XLOOKUP($D200,'Modelling New'!$D:$D,'Modelling New'!$W:$W),"")</f>
        <v>0.21574344827586206</v>
      </c>
      <c r="AG200" s="174">
        <f>IFERROR(_xlfn.XLOOKUP($D200,'Modelling New'!$D:$D,'Modelling New'!$AE:$AE),"")</f>
        <v>0.96029999999999993</v>
      </c>
      <c r="AH200" s="174">
        <f>IFERROR(_xlfn.XLOOKUP($D200,'Modelling New'!$D:$D,'Modelling New'!$AF:$AF),"")</f>
        <v>0.995</v>
      </c>
      <c r="AI200" s="177" t="str">
        <f>IFERROR(_xlfn.XLOOKUP($A200,Input_Raw!$A:$A,Input_Raw!$BQ:$BQ),"")</f>
        <v/>
      </c>
      <c r="AJ200" s="167"/>
      <c r="AK200" s="167"/>
      <c r="AL200" s="167"/>
      <c r="AM200" s="167"/>
      <c r="AN200" s="175" t="str">
        <f>IFERROR(_xlfn.XLOOKUP($A200,Input_Raw!$A:$A,Input_Raw!$BN:$BN),"")</f>
        <v/>
      </c>
      <c r="AO200" s="174" t="str">
        <f>IFERROR((_xlfn.XLOOKUP($A200,'WTG Reactive Power'!$A:$A,'WTG Reactive Power'!$AE:$AE))/Table13[[#This Row],[Gen_Exp (kWh)]],"")</f>
        <v/>
      </c>
      <c r="AP200" s="174">
        <f>IFERROR(_xlfn.XLOOKUP($D200,'Modelling New'!$D:$D,'Modelling New'!$AK:$AK),"")</f>
        <v>0.05</v>
      </c>
      <c r="AQ200" s="174">
        <f>IFERROR(_xlfn.XLOOKUP($D200,'Modelling New'!$D:$D,'Modelling New'!$AL:$AL),"")</f>
        <v>0.05</v>
      </c>
      <c r="AR200" s="276">
        <f>IFERROR(_xlfn.XLOOKUP($D200,'Modelling New'!$D:$D,'Modelling New'!$N:$N),"")</f>
        <v>70.2</v>
      </c>
      <c r="AS200" s="276"/>
    </row>
    <row r="201" spans="1:45">
      <c r="A201" s="165">
        <f t="shared" si="15"/>
        <v>45944</v>
      </c>
      <c r="B201" s="166">
        <f>YEAR(Table13[[#This Row],[Date]])+IF(MONTH(Table13[[#This Row],[Date]])&gt;=4,1,0)</f>
        <v>2026</v>
      </c>
      <c r="C201" s="167">
        <f>YEAR(Table13[[#This Row],[Date]])</f>
        <v>2025</v>
      </c>
      <c r="D201" s="168">
        <f>Table13[[#This Row],[Date]]-DAY(Table13[[#This Row],[Date]])+1</f>
        <v>45931</v>
      </c>
      <c r="E201" s="167">
        <f t="shared" si="12"/>
        <v>31</v>
      </c>
      <c r="F201" s="169"/>
      <c r="G201" s="176"/>
      <c r="H201" s="176"/>
      <c r="I201" s="176"/>
      <c r="J201" s="176"/>
      <c r="K201" s="171"/>
      <c r="L201" s="170"/>
      <c r="M201" s="170" t="str">
        <f>IFERROR(_xlfn.XLOOKUP($A201,Input_Raw!$A:$A,Input_Raw!BG:BG),"")</f>
        <v/>
      </c>
      <c r="N201" s="170" t="str">
        <f>IFERROR(_xlfn.XLOOKUP($A201,Input_Raw!$A:$A,Input_Raw!BH:BH),"")</f>
        <v/>
      </c>
      <c r="O201" s="173" t="str">
        <f t="shared" si="13"/>
        <v/>
      </c>
      <c r="P201" s="173" t="str">
        <f>IFERROR(1-SUMIF(WTG_BD!$F:$F,$A201,WTG_BD!$AA:$AA)/($AA201+SUMIF(WTG_BD!$F:$F,$A201,WTG_BD!$AA:$AA)),"")</f>
        <v/>
      </c>
      <c r="Q201" s="173" t="str">
        <f>IFERROR(1-SUMIF(IGA_BD!$F:$F,$A201,IGA_BD!$X:$X)/($AA201+SUMIF(IGA_BD!$F:$F,$A201,IGA_BD!$X:$X)),"")</f>
        <v/>
      </c>
      <c r="R201" s="173" t="str">
        <f>IFERROR(1-SUMIF(Grid_BD!$F:$F,$A201,Grid_BD!$Y:$Y)/($AA201+SUMIF(Grid_BD!$F:$F,$A201,Grid_BD!$Y:$Y)),"")</f>
        <v/>
      </c>
      <c r="S201" s="167"/>
      <c r="T201" s="172"/>
      <c r="U201" s="173"/>
      <c r="V201" s="167"/>
      <c r="W201" s="174" t="str">
        <f t="shared" si="14"/>
        <v/>
      </c>
      <c r="X201" s="167" t="str">
        <f>IFERROR(_xlfn.XLOOKUP($A201,Input_Raw!$A:$A,Input_Raw!$BF:$BF),"")</f>
        <v/>
      </c>
      <c r="Y201" s="167" t="str">
        <f>IFERROR(_xlfn.XLOOKUP($A201,Input_Raw!$A:$A,Input_Raw!BJ:BJ),"")</f>
        <v/>
      </c>
      <c r="Z201" s="167" t="str">
        <f>IFERROR(_xlfn.XLOOKUP($A201,Input_Raw!$A:$A,Input_Raw!BK:BK),"")</f>
        <v/>
      </c>
      <c r="AA201" s="167" t="str">
        <f>IFERROR(_xlfn.XLOOKUP($A201,Input_Raw!$A:$A,Input_Raw!BL:BL),"")</f>
        <v/>
      </c>
      <c r="AB201" s="167" t="str">
        <f>IFERROR(_xlfn.XLOOKUP($A201,Input_Raw!$A:$A,Input_Raw!$BO:$BO),"")</f>
        <v/>
      </c>
      <c r="AC201" s="176">
        <f>IFERROR(_xlfn.XLOOKUP($D201,'Modelling New'!$D:$D,'Modelling New'!$J:$J),"")</f>
        <v>9.2100000000000009</v>
      </c>
      <c r="AD201" s="166">
        <f>IFERROR(_xlfn.XLOOKUP($D201,'Modelling New'!$D:$D,'Modelling New'!$T:$T)*1000,"")</f>
        <v>363484.56165517244</v>
      </c>
      <c r="AE201" s="174"/>
      <c r="AF201" s="174">
        <f>IFERROR(_xlfn.XLOOKUP($D201,'Modelling New'!$D:$D,'Modelling New'!$W:$W),"")</f>
        <v>0.21574344827586206</v>
      </c>
      <c r="AG201" s="174">
        <f>IFERROR(_xlfn.XLOOKUP($D201,'Modelling New'!$D:$D,'Modelling New'!$AE:$AE),"")</f>
        <v>0.96029999999999993</v>
      </c>
      <c r="AH201" s="174">
        <f>IFERROR(_xlfn.XLOOKUP($D201,'Modelling New'!$D:$D,'Modelling New'!$AF:$AF),"")</f>
        <v>0.995</v>
      </c>
      <c r="AI201" s="177" t="str">
        <f>IFERROR(_xlfn.XLOOKUP($A201,Input_Raw!$A:$A,Input_Raw!$BQ:$BQ),"")</f>
        <v/>
      </c>
      <c r="AJ201" s="167"/>
      <c r="AK201" s="167"/>
      <c r="AL201" s="167"/>
      <c r="AM201" s="167"/>
      <c r="AN201" s="175" t="str">
        <f>IFERROR(_xlfn.XLOOKUP($A201,Input_Raw!$A:$A,Input_Raw!$BN:$BN),"")</f>
        <v/>
      </c>
      <c r="AO201" s="174" t="str">
        <f>IFERROR((_xlfn.XLOOKUP($A201,'WTG Reactive Power'!$A:$A,'WTG Reactive Power'!$AE:$AE))/Table13[[#This Row],[Gen_Exp (kWh)]],"")</f>
        <v/>
      </c>
      <c r="AP201" s="174">
        <f>IFERROR(_xlfn.XLOOKUP($D201,'Modelling New'!$D:$D,'Modelling New'!$AK:$AK),"")</f>
        <v>0.05</v>
      </c>
      <c r="AQ201" s="174">
        <f>IFERROR(_xlfn.XLOOKUP($D201,'Modelling New'!$D:$D,'Modelling New'!$AL:$AL),"")</f>
        <v>0.05</v>
      </c>
      <c r="AR201" s="276">
        <f>IFERROR(_xlfn.XLOOKUP($D201,'Modelling New'!$D:$D,'Modelling New'!$N:$N),"")</f>
        <v>70.2</v>
      </c>
      <c r="AS201" s="276"/>
    </row>
    <row r="202" spans="1:45">
      <c r="A202" s="165">
        <f t="shared" si="15"/>
        <v>45945</v>
      </c>
      <c r="B202" s="166">
        <f>YEAR(Table13[[#This Row],[Date]])+IF(MONTH(Table13[[#This Row],[Date]])&gt;=4,1,0)</f>
        <v>2026</v>
      </c>
      <c r="C202" s="167">
        <f>YEAR(Table13[[#This Row],[Date]])</f>
        <v>2025</v>
      </c>
      <c r="D202" s="168">
        <f>Table13[[#This Row],[Date]]-DAY(Table13[[#This Row],[Date]])+1</f>
        <v>45931</v>
      </c>
      <c r="E202" s="167">
        <f t="shared" si="12"/>
        <v>31</v>
      </c>
      <c r="F202" s="169"/>
      <c r="G202" s="170"/>
      <c r="H202" s="170"/>
      <c r="I202" s="170"/>
      <c r="J202" s="170"/>
      <c r="K202" s="171"/>
      <c r="L202" s="170"/>
      <c r="M202" s="170" t="str">
        <f>IFERROR(_xlfn.XLOOKUP($A202,Input_Raw!$A:$A,Input_Raw!BG:BG),"")</f>
        <v/>
      </c>
      <c r="N202" s="170" t="str">
        <f>IFERROR(_xlfn.XLOOKUP($A202,Input_Raw!$A:$A,Input_Raw!BH:BH),"")</f>
        <v/>
      </c>
      <c r="O202" s="173" t="str">
        <f t="shared" si="13"/>
        <v/>
      </c>
      <c r="P202" s="173" t="str">
        <f>IFERROR(1-SUMIF(WTG_BD!$F:$F,$A202,WTG_BD!$AA:$AA)/($AA202+SUMIF(WTG_BD!$F:$F,$A202,WTG_BD!$AA:$AA)),"")</f>
        <v/>
      </c>
      <c r="Q202" s="173" t="str">
        <f>IFERROR(1-SUMIF(IGA_BD!$F:$F,$A202,IGA_BD!$X:$X)/($AA202+SUMIF(IGA_BD!$F:$F,$A202,IGA_BD!$X:$X)),"")</f>
        <v/>
      </c>
      <c r="R202" s="173" t="str">
        <f>IFERROR(1-SUMIF(Grid_BD!$F:$F,$A202,Grid_BD!$Y:$Y)/($AA202+SUMIF(Grid_BD!$F:$F,$A202,Grid_BD!$Y:$Y)),"")</f>
        <v/>
      </c>
      <c r="S202" s="167"/>
      <c r="T202" s="172"/>
      <c r="U202" s="173"/>
      <c r="V202" s="167"/>
      <c r="W202" s="174" t="str">
        <f t="shared" si="14"/>
        <v/>
      </c>
      <c r="X202" s="167" t="str">
        <f>IFERROR(_xlfn.XLOOKUP($A202,Input_Raw!$A:$A,Input_Raw!$BF:$BF),"")</f>
        <v/>
      </c>
      <c r="Y202" s="167" t="str">
        <f>IFERROR(_xlfn.XLOOKUP($A202,Input_Raw!$A:$A,Input_Raw!BJ:BJ),"")</f>
        <v/>
      </c>
      <c r="Z202" s="167" t="str">
        <f>IFERROR(_xlfn.XLOOKUP($A202,Input_Raw!$A:$A,Input_Raw!BK:BK),"")</f>
        <v/>
      </c>
      <c r="AA202" s="167" t="str">
        <f>IFERROR(_xlfn.XLOOKUP($A202,Input_Raw!$A:$A,Input_Raw!BL:BL),"")</f>
        <v/>
      </c>
      <c r="AB202" s="167" t="str">
        <f>IFERROR(_xlfn.XLOOKUP($A202,Input_Raw!$A:$A,Input_Raw!$BO:$BO),"")</f>
        <v/>
      </c>
      <c r="AC202" s="176">
        <f>IFERROR(_xlfn.XLOOKUP($D202,'Modelling New'!$D:$D,'Modelling New'!$J:$J),"")</f>
        <v>9.2100000000000009</v>
      </c>
      <c r="AD202" s="166">
        <f>IFERROR(_xlfn.XLOOKUP($D202,'Modelling New'!$D:$D,'Modelling New'!$T:$T)*1000,"")</f>
        <v>363484.56165517244</v>
      </c>
      <c r="AE202" s="174"/>
      <c r="AF202" s="174">
        <f>IFERROR(_xlfn.XLOOKUP($D202,'Modelling New'!$D:$D,'Modelling New'!$W:$W),"")</f>
        <v>0.21574344827586206</v>
      </c>
      <c r="AG202" s="174">
        <f>IFERROR(_xlfn.XLOOKUP($D202,'Modelling New'!$D:$D,'Modelling New'!$AE:$AE),"")</f>
        <v>0.96029999999999993</v>
      </c>
      <c r="AH202" s="174">
        <f>IFERROR(_xlfn.XLOOKUP($D202,'Modelling New'!$D:$D,'Modelling New'!$AF:$AF),"")</f>
        <v>0.995</v>
      </c>
      <c r="AI202" s="177" t="str">
        <f>IFERROR(_xlfn.XLOOKUP($A202,Input_Raw!$A:$A,Input_Raw!$BQ:$BQ),"")</f>
        <v/>
      </c>
      <c r="AJ202" s="167"/>
      <c r="AK202" s="167"/>
      <c r="AL202" s="167"/>
      <c r="AM202" s="167"/>
      <c r="AN202" s="175" t="str">
        <f>IFERROR(_xlfn.XLOOKUP($A202,Input_Raw!$A:$A,Input_Raw!$BN:$BN),"")</f>
        <v/>
      </c>
      <c r="AO202" s="174" t="str">
        <f>IFERROR((_xlfn.XLOOKUP($A202,'WTG Reactive Power'!$A:$A,'WTG Reactive Power'!$AE:$AE))/Table13[[#This Row],[Gen_Exp (kWh)]],"")</f>
        <v/>
      </c>
      <c r="AP202" s="174">
        <f>IFERROR(_xlfn.XLOOKUP($D202,'Modelling New'!$D:$D,'Modelling New'!$AK:$AK),"")</f>
        <v>0.05</v>
      </c>
      <c r="AQ202" s="174">
        <f>IFERROR(_xlfn.XLOOKUP($D202,'Modelling New'!$D:$D,'Modelling New'!$AL:$AL),"")</f>
        <v>0.05</v>
      </c>
      <c r="AR202" s="276">
        <f>IFERROR(_xlfn.XLOOKUP($D202,'Modelling New'!$D:$D,'Modelling New'!$N:$N),"")</f>
        <v>70.2</v>
      </c>
      <c r="AS202" s="276"/>
    </row>
    <row r="203" spans="1:45">
      <c r="A203" s="165">
        <f t="shared" si="15"/>
        <v>45946</v>
      </c>
      <c r="B203" s="166">
        <f>YEAR(Table13[[#This Row],[Date]])+IF(MONTH(Table13[[#This Row],[Date]])&gt;=4,1,0)</f>
        <v>2026</v>
      </c>
      <c r="C203" s="167">
        <f>YEAR(Table13[[#This Row],[Date]])</f>
        <v>2025</v>
      </c>
      <c r="D203" s="168">
        <f>Table13[[#This Row],[Date]]-DAY(Table13[[#This Row],[Date]])+1</f>
        <v>45931</v>
      </c>
      <c r="E203" s="167">
        <f t="shared" si="12"/>
        <v>31</v>
      </c>
      <c r="F203" s="169"/>
      <c r="G203" s="176"/>
      <c r="H203" s="176"/>
      <c r="I203" s="176"/>
      <c r="J203" s="176"/>
      <c r="K203" s="171"/>
      <c r="L203" s="170"/>
      <c r="M203" s="170" t="str">
        <f>IFERROR(_xlfn.XLOOKUP($A203,Input_Raw!$A:$A,Input_Raw!BG:BG),"")</f>
        <v/>
      </c>
      <c r="N203" s="170" t="str">
        <f>IFERROR(_xlfn.XLOOKUP($A203,Input_Raw!$A:$A,Input_Raw!BH:BH),"")</f>
        <v/>
      </c>
      <c r="O203" s="173" t="str">
        <f t="shared" si="13"/>
        <v/>
      </c>
      <c r="P203" s="173" t="str">
        <f>IFERROR(1-SUMIF(WTG_BD!$F:$F,$A203,WTG_BD!$AA:$AA)/($AA203+SUMIF(WTG_BD!$F:$F,$A203,WTG_BD!$AA:$AA)),"")</f>
        <v/>
      </c>
      <c r="Q203" s="173" t="str">
        <f>IFERROR(1-SUMIF(IGA_BD!$F:$F,$A203,IGA_BD!$X:$X)/($AA203+SUMIF(IGA_BD!$F:$F,$A203,IGA_BD!$X:$X)),"")</f>
        <v/>
      </c>
      <c r="R203" s="173" t="str">
        <f>IFERROR(1-SUMIF(Grid_BD!$F:$F,$A203,Grid_BD!$Y:$Y)/($AA203+SUMIF(Grid_BD!$F:$F,$A203,Grid_BD!$Y:$Y)),"")</f>
        <v/>
      </c>
      <c r="S203" s="167"/>
      <c r="T203" s="172"/>
      <c r="U203" s="173"/>
      <c r="V203" s="167"/>
      <c r="W203" s="174" t="str">
        <f t="shared" si="14"/>
        <v/>
      </c>
      <c r="X203" s="167" t="str">
        <f>IFERROR(_xlfn.XLOOKUP($A203,Input_Raw!$A:$A,Input_Raw!$BF:$BF),"")</f>
        <v/>
      </c>
      <c r="Y203" s="167" t="str">
        <f>IFERROR(_xlfn.XLOOKUP($A203,Input_Raw!$A:$A,Input_Raw!BJ:BJ),"")</f>
        <v/>
      </c>
      <c r="Z203" s="167" t="str">
        <f>IFERROR(_xlfn.XLOOKUP($A203,Input_Raw!$A:$A,Input_Raw!BK:BK),"")</f>
        <v/>
      </c>
      <c r="AA203" s="167" t="str">
        <f>IFERROR(_xlfn.XLOOKUP($A203,Input_Raw!$A:$A,Input_Raw!BL:BL),"")</f>
        <v/>
      </c>
      <c r="AB203" s="167" t="str">
        <f>IFERROR(_xlfn.XLOOKUP($A203,Input_Raw!$A:$A,Input_Raw!$BO:$BO),"")</f>
        <v/>
      </c>
      <c r="AC203" s="176">
        <f>IFERROR(_xlfn.XLOOKUP($D203,'Modelling New'!$D:$D,'Modelling New'!$J:$J),"")</f>
        <v>9.2100000000000009</v>
      </c>
      <c r="AD203" s="166">
        <f>IFERROR(_xlfn.XLOOKUP($D203,'Modelling New'!$D:$D,'Modelling New'!$T:$T)*1000,"")</f>
        <v>363484.56165517244</v>
      </c>
      <c r="AE203" s="174"/>
      <c r="AF203" s="174">
        <f>IFERROR(_xlfn.XLOOKUP($D203,'Modelling New'!$D:$D,'Modelling New'!$W:$W),"")</f>
        <v>0.21574344827586206</v>
      </c>
      <c r="AG203" s="174">
        <f>IFERROR(_xlfn.XLOOKUP($D203,'Modelling New'!$D:$D,'Modelling New'!$AE:$AE),"")</f>
        <v>0.96029999999999993</v>
      </c>
      <c r="AH203" s="174">
        <f>IFERROR(_xlfn.XLOOKUP($D203,'Modelling New'!$D:$D,'Modelling New'!$AF:$AF),"")</f>
        <v>0.995</v>
      </c>
      <c r="AI203" s="177" t="str">
        <f>IFERROR(_xlfn.XLOOKUP($A203,Input_Raw!$A:$A,Input_Raw!$BQ:$BQ),"")</f>
        <v/>
      </c>
      <c r="AJ203" s="167"/>
      <c r="AK203" s="167"/>
      <c r="AL203" s="167"/>
      <c r="AM203" s="167"/>
      <c r="AN203" s="175" t="str">
        <f>IFERROR(_xlfn.XLOOKUP($A203,Input_Raw!$A:$A,Input_Raw!$BN:$BN),"")</f>
        <v/>
      </c>
      <c r="AO203" s="174" t="str">
        <f>IFERROR((_xlfn.XLOOKUP($A203,'WTG Reactive Power'!$A:$A,'WTG Reactive Power'!$AE:$AE))/Table13[[#This Row],[Gen_Exp (kWh)]],"")</f>
        <v/>
      </c>
      <c r="AP203" s="174">
        <f>IFERROR(_xlfn.XLOOKUP($D203,'Modelling New'!$D:$D,'Modelling New'!$AK:$AK),"")</f>
        <v>0.05</v>
      </c>
      <c r="AQ203" s="174">
        <f>IFERROR(_xlfn.XLOOKUP($D203,'Modelling New'!$D:$D,'Modelling New'!$AL:$AL),"")</f>
        <v>0.05</v>
      </c>
      <c r="AR203" s="276">
        <f>IFERROR(_xlfn.XLOOKUP($D203,'Modelling New'!$D:$D,'Modelling New'!$N:$N),"")</f>
        <v>70.2</v>
      </c>
      <c r="AS203" s="276"/>
    </row>
    <row r="204" spans="1:45">
      <c r="A204" s="165">
        <f t="shared" si="15"/>
        <v>45947</v>
      </c>
      <c r="B204" s="166">
        <f>YEAR(Table13[[#This Row],[Date]])+IF(MONTH(Table13[[#This Row],[Date]])&gt;=4,1,0)</f>
        <v>2026</v>
      </c>
      <c r="C204" s="167">
        <f>YEAR(Table13[[#This Row],[Date]])</f>
        <v>2025</v>
      </c>
      <c r="D204" s="168">
        <f>Table13[[#This Row],[Date]]-DAY(Table13[[#This Row],[Date]])+1</f>
        <v>45931</v>
      </c>
      <c r="E204" s="167">
        <f t="shared" si="12"/>
        <v>31</v>
      </c>
      <c r="F204" s="169"/>
      <c r="G204" s="170"/>
      <c r="H204" s="170"/>
      <c r="I204" s="170"/>
      <c r="J204" s="170"/>
      <c r="K204" s="171"/>
      <c r="L204" s="170"/>
      <c r="M204" s="170" t="str">
        <f>IFERROR(_xlfn.XLOOKUP($A204,Input_Raw!$A:$A,Input_Raw!BG:BG),"")</f>
        <v/>
      </c>
      <c r="N204" s="170" t="str">
        <f>IFERROR(_xlfn.XLOOKUP($A204,Input_Raw!$A:$A,Input_Raw!BH:BH),"")</f>
        <v/>
      </c>
      <c r="O204" s="173" t="str">
        <f t="shared" si="13"/>
        <v/>
      </c>
      <c r="P204" s="173" t="str">
        <f>IFERROR(1-SUMIF(WTG_BD!$F:$F,$A204,WTG_BD!$AA:$AA)/($AA204+SUMIF(WTG_BD!$F:$F,$A204,WTG_BD!$AA:$AA)),"")</f>
        <v/>
      </c>
      <c r="Q204" s="173" t="str">
        <f>IFERROR(1-SUMIF(IGA_BD!$F:$F,$A204,IGA_BD!$X:$X)/($AA204+SUMIF(IGA_BD!$F:$F,$A204,IGA_BD!$X:$X)),"")</f>
        <v/>
      </c>
      <c r="R204" s="173" t="str">
        <f>IFERROR(1-SUMIF(Grid_BD!$F:$F,$A204,Grid_BD!$Y:$Y)/($AA204+SUMIF(Grid_BD!$F:$F,$A204,Grid_BD!$Y:$Y)),"")</f>
        <v/>
      </c>
      <c r="S204" s="167"/>
      <c r="T204" s="172"/>
      <c r="U204" s="173"/>
      <c r="V204" s="167"/>
      <c r="W204" s="174" t="str">
        <f t="shared" si="14"/>
        <v/>
      </c>
      <c r="X204" s="167" t="str">
        <f>IFERROR(_xlfn.XLOOKUP($A204,Input_Raw!$A:$A,Input_Raw!$BF:$BF),"")</f>
        <v/>
      </c>
      <c r="Y204" s="167" t="str">
        <f>IFERROR(_xlfn.XLOOKUP($A204,Input_Raw!$A:$A,Input_Raw!BJ:BJ),"")</f>
        <v/>
      </c>
      <c r="Z204" s="167" t="str">
        <f>IFERROR(_xlfn.XLOOKUP($A204,Input_Raw!$A:$A,Input_Raw!BK:BK),"")</f>
        <v/>
      </c>
      <c r="AA204" s="167" t="str">
        <f>IFERROR(_xlfn.XLOOKUP($A204,Input_Raw!$A:$A,Input_Raw!BL:BL),"")</f>
        <v/>
      </c>
      <c r="AB204" s="167" t="str">
        <f>IFERROR(_xlfn.XLOOKUP($A204,Input_Raw!$A:$A,Input_Raw!$BO:$BO),"")</f>
        <v/>
      </c>
      <c r="AC204" s="176">
        <f>IFERROR(_xlfn.XLOOKUP($D204,'Modelling New'!$D:$D,'Modelling New'!$J:$J),"")</f>
        <v>9.2100000000000009</v>
      </c>
      <c r="AD204" s="166">
        <f>IFERROR(_xlfn.XLOOKUP($D204,'Modelling New'!$D:$D,'Modelling New'!$T:$T)*1000,"")</f>
        <v>363484.56165517244</v>
      </c>
      <c r="AE204" s="174"/>
      <c r="AF204" s="174">
        <f>IFERROR(_xlfn.XLOOKUP($D204,'Modelling New'!$D:$D,'Modelling New'!$W:$W),"")</f>
        <v>0.21574344827586206</v>
      </c>
      <c r="AG204" s="174">
        <f>IFERROR(_xlfn.XLOOKUP($D204,'Modelling New'!$D:$D,'Modelling New'!$AE:$AE),"")</f>
        <v>0.96029999999999993</v>
      </c>
      <c r="AH204" s="174">
        <f>IFERROR(_xlfn.XLOOKUP($D204,'Modelling New'!$D:$D,'Modelling New'!$AF:$AF),"")</f>
        <v>0.995</v>
      </c>
      <c r="AI204" s="177" t="str">
        <f>IFERROR(_xlfn.XLOOKUP($A204,Input_Raw!$A:$A,Input_Raw!$BQ:$BQ),"")</f>
        <v/>
      </c>
      <c r="AJ204" s="167"/>
      <c r="AK204" s="167"/>
      <c r="AL204" s="167"/>
      <c r="AM204" s="167"/>
      <c r="AN204" s="175" t="str">
        <f>IFERROR(_xlfn.XLOOKUP($A204,Input_Raw!$A:$A,Input_Raw!$BN:$BN),"")</f>
        <v/>
      </c>
      <c r="AO204" s="174" t="str">
        <f>IFERROR((_xlfn.XLOOKUP($A204,'WTG Reactive Power'!$A:$A,'WTG Reactive Power'!$AE:$AE))/Table13[[#This Row],[Gen_Exp (kWh)]],"")</f>
        <v/>
      </c>
      <c r="AP204" s="174">
        <f>IFERROR(_xlfn.XLOOKUP($D204,'Modelling New'!$D:$D,'Modelling New'!$AK:$AK),"")</f>
        <v>0.05</v>
      </c>
      <c r="AQ204" s="174">
        <f>IFERROR(_xlfn.XLOOKUP($D204,'Modelling New'!$D:$D,'Modelling New'!$AL:$AL),"")</f>
        <v>0.05</v>
      </c>
      <c r="AR204" s="276">
        <f>IFERROR(_xlfn.XLOOKUP($D204,'Modelling New'!$D:$D,'Modelling New'!$N:$N),"")</f>
        <v>70.2</v>
      </c>
      <c r="AS204" s="276"/>
    </row>
    <row r="205" spans="1:45">
      <c r="A205" s="165">
        <f t="shared" si="15"/>
        <v>45948</v>
      </c>
      <c r="B205" s="166">
        <f>YEAR(Table13[[#This Row],[Date]])+IF(MONTH(Table13[[#This Row],[Date]])&gt;=4,1,0)</f>
        <v>2026</v>
      </c>
      <c r="C205" s="167">
        <f>YEAR(Table13[[#This Row],[Date]])</f>
        <v>2025</v>
      </c>
      <c r="D205" s="168">
        <f>Table13[[#This Row],[Date]]-DAY(Table13[[#This Row],[Date]])+1</f>
        <v>45931</v>
      </c>
      <c r="E205" s="167">
        <f t="shared" si="12"/>
        <v>31</v>
      </c>
      <c r="F205" s="169"/>
      <c r="G205" s="176"/>
      <c r="H205" s="176"/>
      <c r="I205" s="176"/>
      <c r="J205" s="176"/>
      <c r="K205" s="171"/>
      <c r="L205" s="170"/>
      <c r="M205" s="170" t="str">
        <f>IFERROR(_xlfn.XLOOKUP($A205,Input_Raw!$A:$A,Input_Raw!BG:BG),"")</f>
        <v/>
      </c>
      <c r="N205" s="170" t="str">
        <f>IFERROR(_xlfn.XLOOKUP($A205,Input_Raw!$A:$A,Input_Raw!BH:BH),"")</f>
        <v/>
      </c>
      <c r="O205" s="173" t="str">
        <f t="shared" si="13"/>
        <v/>
      </c>
      <c r="P205" s="173" t="str">
        <f>IFERROR(1-SUMIF(WTG_BD!$F:$F,$A205,WTG_BD!$AA:$AA)/($AA205+SUMIF(WTG_BD!$F:$F,$A205,WTG_BD!$AA:$AA)),"")</f>
        <v/>
      </c>
      <c r="Q205" s="173" t="str">
        <f>IFERROR(1-SUMIF(IGA_BD!$F:$F,$A205,IGA_BD!$X:$X)/($AA205+SUMIF(IGA_BD!$F:$F,$A205,IGA_BD!$X:$X)),"")</f>
        <v/>
      </c>
      <c r="R205" s="173" t="str">
        <f>IFERROR(1-SUMIF(Grid_BD!$F:$F,$A205,Grid_BD!$Y:$Y)/($AA205+SUMIF(Grid_BD!$F:$F,$A205,Grid_BD!$Y:$Y)),"")</f>
        <v/>
      </c>
      <c r="S205" s="167"/>
      <c r="T205" s="172"/>
      <c r="U205" s="173"/>
      <c r="V205" s="167"/>
      <c r="W205" s="174" t="str">
        <f t="shared" si="14"/>
        <v/>
      </c>
      <c r="X205" s="167" t="str">
        <f>IFERROR(_xlfn.XLOOKUP($A205,Input_Raw!$A:$A,Input_Raw!$BF:$BF),"")</f>
        <v/>
      </c>
      <c r="Y205" s="167" t="str">
        <f>IFERROR(_xlfn.XLOOKUP($A205,Input_Raw!$A:$A,Input_Raw!BJ:BJ),"")</f>
        <v/>
      </c>
      <c r="Z205" s="167" t="str">
        <f>IFERROR(_xlfn.XLOOKUP($A205,Input_Raw!$A:$A,Input_Raw!BK:BK),"")</f>
        <v/>
      </c>
      <c r="AA205" s="167" t="str">
        <f>IFERROR(_xlfn.XLOOKUP($A205,Input_Raw!$A:$A,Input_Raw!BL:BL),"")</f>
        <v/>
      </c>
      <c r="AB205" s="167" t="str">
        <f>IFERROR(_xlfn.XLOOKUP($A205,Input_Raw!$A:$A,Input_Raw!$BO:$BO),"")</f>
        <v/>
      </c>
      <c r="AC205" s="176">
        <f>IFERROR(_xlfn.XLOOKUP($D205,'Modelling New'!$D:$D,'Modelling New'!$J:$J),"")</f>
        <v>9.2100000000000009</v>
      </c>
      <c r="AD205" s="166">
        <f>IFERROR(_xlfn.XLOOKUP($D205,'Modelling New'!$D:$D,'Modelling New'!$T:$T)*1000,"")</f>
        <v>363484.56165517244</v>
      </c>
      <c r="AE205" s="174"/>
      <c r="AF205" s="174">
        <f>IFERROR(_xlfn.XLOOKUP($D205,'Modelling New'!$D:$D,'Modelling New'!$W:$W),"")</f>
        <v>0.21574344827586206</v>
      </c>
      <c r="AG205" s="174">
        <f>IFERROR(_xlfn.XLOOKUP($D205,'Modelling New'!$D:$D,'Modelling New'!$AE:$AE),"")</f>
        <v>0.96029999999999993</v>
      </c>
      <c r="AH205" s="174">
        <f>IFERROR(_xlfn.XLOOKUP($D205,'Modelling New'!$D:$D,'Modelling New'!$AF:$AF),"")</f>
        <v>0.995</v>
      </c>
      <c r="AI205" s="177" t="str">
        <f>IFERROR(_xlfn.XLOOKUP($A205,Input_Raw!$A:$A,Input_Raw!$BQ:$BQ),"")</f>
        <v/>
      </c>
      <c r="AJ205" s="167"/>
      <c r="AK205" s="167"/>
      <c r="AL205" s="167"/>
      <c r="AM205" s="167"/>
      <c r="AN205" s="175" t="str">
        <f>IFERROR(_xlfn.XLOOKUP($A205,Input_Raw!$A:$A,Input_Raw!$BN:$BN),"")</f>
        <v/>
      </c>
      <c r="AO205" s="174" t="str">
        <f>IFERROR((_xlfn.XLOOKUP($A205,'WTG Reactive Power'!$A:$A,'WTG Reactive Power'!$AE:$AE))/Table13[[#This Row],[Gen_Exp (kWh)]],"")</f>
        <v/>
      </c>
      <c r="AP205" s="174">
        <f>IFERROR(_xlfn.XLOOKUP($D205,'Modelling New'!$D:$D,'Modelling New'!$AK:$AK),"")</f>
        <v>0.05</v>
      </c>
      <c r="AQ205" s="174">
        <f>IFERROR(_xlfn.XLOOKUP($D205,'Modelling New'!$D:$D,'Modelling New'!$AL:$AL),"")</f>
        <v>0.05</v>
      </c>
      <c r="AR205" s="276">
        <f>IFERROR(_xlfn.XLOOKUP($D205,'Modelling New'!$D:$D,'Modelling New'!$N:$N),"")</f>
        <v>70.2</v>
      </c>
      <c r="AS205" s="276"/>
    </row>
    <row r="206" spans="1:45">
      <c r="A206" s="165">
        <f t="shared" si="15"/>
        <v>45949</v>
      </c>
      <c r="B206" s="166">
        <f>YEAR(Table13[[#This Row],[Date]])+IF(MONTH(Table13[[#This Row],[Date]])&gt;=4,1,0)</f>
        <v>2026</v>
      </c>
      <c r="C206" s="167">
        <f>YEAR(Table13[[#This Row],[Date]])</f>
        <v>2025</v>
      </c>
      <c r="D206" s="168">
        <f>Table13[[#This Row],[Date]]-DAY(Table13[[#This Row],[Date]])+1</f>
        <v>45931</v>
      </c>
      <c r="E206" s="167">
        <f t="shared" si="12"/>
        <v>31</v>
      </c>
      <c r="F206" s="169"/>
      <c r="G206" s="170"/>
      <c r="H206" s="170"/>
      <c r="I206" s="170"/>
      <c r="J206" s="170"/>
      <c r="K206" s="171"/>
      <c r="L206" s="170"/>
      <c r="M206" s="170" t="str">
        <f>IFERROR(_xlfn.XLOOKUP($A206,Input_Raw!$A:$A,Input_Raw!BG:BG),"")</f>
        <v/>
      </c>
      <c r="N206" s="170" t="str">
        <f>IFERROR(_xlfn.XLOOKUP($A206,Input_Raw!$A:$A,Input_Raw!BH:BH),"")</f>
        <v/>
      </c>
      <c r="O206" s="173" t="str">
        <f t="shared" si="13"/>
        <v/>
      </c>
      <c r="P206" s="173" t="str">
        <f>IFERROR(1-SUMIF(WTG_BD!$F:$F,$A206,WTG_BD!$AA:$AA)/($AA206+SUMIF(WTG_BD!$F:$F,$A206,WTG_BD!$AA:$AA)),"")</f>
        <v/>
      </c>
      <c r="Q206" s="173" t="str">
        <f>IFERROR(1-SUMIF(IGA_BD!$F:$F,$A206,IGA_BD!$X:$X)/($AA206+SUMIF(IGA_BD!$F:$F,$A206,IGA_BD!$X:$X)),"")</f>
        <v/>
      </c>
      <c r="R206" s="173" t="str">
        <f>IFERROR(1-SUMIF(Grid_BD!$F:$F,$A206,Grid_BD!$Y:$Y)/($AA206+SUMIF(Grid_BD!$F:$F,$A206,Grid_BD!$Y:$Y)),"")</f>
        <v/>
      </c>
      <c r="S206" s="167"/>
      <c r="T206" s="172"/>
      <c r="U206" s="173"/>
      <c r="V206" s="167"/>
      <c r="W206" s="174" t="str">
        <f t="shared" si="14"/>
        <v/>
      </c>
      <c r="X206" s="167" t="str">
        <f>IFERROR(_xlfn.XLOOKUP($A206,Input_Raw!$A:$A,Input_Raw!$BF:$BF),"")</f>
        <v/>
      </c>
      <c r="Y206" s="167" t="str">
        <f>IFERROR(_xlfn.XLOOKUP($A206,Input_Raw!$A:$A,Input_Raw!BJ:BJ),"")</f>
        <v/>
      </c>
      <c r="Z206" s="167" t="str">
        <f>IFERROR(_xlfn.XLOOKUP($A206,Input_Raw!$A:$A,Input_Raw!BK:BK),"")</f>
        <v/>
      </c>
      <c r="AA206" s="167" t="str">
        <f>IFERROR(_xlfn.XLOOKUP($A206,Input_Raw!$A:$A,Input_Raw!BL:BL),"")</f>
        <v/>
      </c>
      <c r="AB206" s="167" t="str">
        <f>IFERROR(_xlfn.XLOOKUP($A206,Input_Raw!$A:$A,Input_Raw!$BO:$BO),"")</f>
        <v/>
      </c>
      <c r="AC206" s="176">
        <f>IFERROR(_xlfn.XLOOKUP($D206,'Modelling New'!$D:$D,'Modelling New'!$J:$J),"")</f>
        <v>9.2100000000000009</v>
      </c>
      <c r="AD206" s="166">
        <f>IFERROR(_xlfn.XLOOKUP($D206,'Modelling New'!$D:$D,'Modelling New'!$T:$T)*1000,"")</f>
        <v>363484.56165517244</v>
      </c>
      <c r="AE206" s="174"/>
      <c r="AF206" s="174">
        <f>IFERROR(_xlfn.XLOOKUP($D206,'Modelling New'!$D:$D,'Modelling New'!$W:$W),"")</f>
        <v>0.21574344827586206</v>
      </c>
      <c r="AG206" s="174">
        <f>IFERROR(_xlfn.XLOOKUP($D206,'Modelling New'!$D:$D,'Modelling New'!$AE:$AE),"")</f>
        <v>0.96029999999999993</v>
      </c>
      <c r="AH206" s="174">
        <f>IFERROR(_xlfn.XLOOKUP($D206,'Modelling New'!$D:$D,'Modelling New'!$AF:$AF),"")</f>
        <v>0.995</v>
      </c>
      <c r="AI206" s="177" t="str">
        <f>IFERROR(_xlfn.XLOOKUP($A206,Input_Raw!$A:$A,Input_Raw!$BQ:$BQ),"")</f>
        <v/>
      </c>
      <c r="AJ206" s="167"/>
      <c r="AK206" s="167"/>
      <c r="AL206" s="167"/>
      <c r="AM206" s="167"/>
      <c r="AN206" s="175" t="str">
        <f>IFERROR(_xlfn.XLOOKUP($A206,Input_Raw!$A:$A,Input_Raw!$BN:$BN),"")</f>
        <v/>
      </c>
      <c r="AO206" s="174" t="str">
        <f>IFERROR((_xlfn.XLOOKUP($A206,'WTG Reactive Power'!$A:$A,'WTG Reactive Power'!$AE:$AE))/Table13[[#This Row],[Gen_Exp (kWh)]],"")</f>
        <v/>
      </c>
      <c r="AP206" s="174">
        <f>IFERROR(_xlfn.XLOOKUP($D206,'Modelling New'!$D:$D,'Modelling New'!$AK:$AK),"")</f>
        <v>0.05</v>
      </c>
      <c r="AQ206" s="174">
        <f>IFERROR(_xlfn.XLOOKUP($D206,'Modelling New'!$D:$D,'Modelling New'!$AL:$AL),"")</f>
        <v>0.05</v>
      </c>
      <c r="AR206" s="276">
        <f>IFERROR(_xlfn.XLOOKUP($D206,'Modelling New'!$D:$D,'Modelling New'!$N:$N),"")</f>
        <v>70.2</v>
      </c>
      <c r="AS206" s="276"/>
    </row>
    <row r="207" spans="1:45">
      <c r="A207" s="165">
        <f t="shared" si="15"/>
        <v>45950</v>
      </c>
      <c r="B207" s="166">
        <f>YEAR(Table13[[#This Row],[Date]])+IF(MONTH(Table13[[#This Row],[Date]])&gt;=4,1,0)</f>
        <v>2026</v>
      </c>
      <c r="C207" s="167">
        <f>YEAR(Table13[[#This Row],[Date]])</f>
        <v>2025</v>
      </c>
      <c r="D207" s="168">
        <f>Table13[[#This Row],[Date]]-DAY(Table13[[#This Row],[Date]])+1</f>
        <v>45931</v>
      </c>
      <c r="E207" s="167">
        <f t="shared" si="12"/>
        <v>31</v>
      </c>
      <c r="F207" s="169"/>
      <c r="G207" s="176"/>
      <c r="H207" s="176"/>
      <c r="I207" s="176"/>
      <c r="J207" s="176"/>
      <c r="K207" s="171"/>
      <c r="L207" s="170"/>
      <c r="M207" s="170" t="str">
        <f>IFERROR(_xlfn.XLOOKUP($A207,Input_Raw!$A:$A,Input_Raw!BG:BG),"")</f>
        <v/>
      </c>
      <c r="N207" s="170" t="str">
        <f>IFERROR(_xlfn.XLOOKUP($A207,Input_Raw!$A:$A,Input_Raw!BH:BH),"")</f>
        <v/>
      </c>
      <c r="O207" s="173" t="str">
        <f t="shared" si="13"/>
        <v/>
      </c>
      <c r="P207" s="173" t="str">
        <f>IFERROR(1-SUMIF(WTG_BD!$F:$F,$A207,WTG_BD!$AA:$AA)/($AA207+SUMIF(WTG_BD!$F:$F,$A207,WTG_BD!$AA:$AA)),"")</f>
        <v/>
      </c>
      <c r="Q207" s="173" t="str">
        <f>IFERROR(1-SUMIF(IGA_BD!$F:$F,$A207,IGA_BD!$X:$X)/($AA207+SUMIF(IGA_BD!$F:$F,$A207,IGA_BD!$X:$X)),"")</f>
        <v/>
      </c>
      <c r="R207" s="173" t="str">
        <f>IFERROR(1-SUMIF(Grid_BD!$F:$F,$A207,Grid_BD!$Y:$Y)/($AA207+SUMIF(Grid_BD!$F:$F,$A207,Grid_BD!$Y:$Y)),"")</f>
        <v/>
      </c>
      <c r="S207" s="167"/>
      <c r="T207" s="172"/>
      <c r="U207" s="173"/>
      <c r="V207" s="167"/>
      <c r="W207" s="174" t="str">
        <f t="shared" si="14"/>
        <v/>
      </c>
      <c r="X207" s="167" t="str">
        <f>IFERROR(_xlfn.XLOOKUP($A207,Input_Raw!$A:$A,Input_Raw!$BF:$BF),"")</f>
        <v/>
      </c>
      <c r="Y207" s="167" t="str">
        <f>IFERROR(_xlfn.XLOOKUP($A207,Input_Raw!$A:$A,Input_Raw!BJ:BJ),"")</f>
        <v/>
      </c>
      <c r="Z207" s="167" t="str">
        <f>IFERROR(_xlfn.XLOOKUP($A207,Input_Raw!$A:$A,Input_Raw!BK:BK),"")</f>
        <v/>
      </c>
      <c r="AA207" s="167" t="str">
        <f>IFERROR(_xlfn.XLOOKUP($A207,Input_Raw!$A:$A,Input_Raw!BL:BL),"")</f>
        <v/>
      </c>
      <c r="AB207" s="167" t="str">
        <f>IFERROR(_xlfn.XLOOKUP($A207,Input_Raw!$A:$A,Input_Raw!$BO:$BO),"")</f>
        <v/>
      </c>
      <c r="AC207" s="176">
        <f>IFERROR(_xlfn.XLOOKUP($D207,'Modelling New'!$D:$D,'Modelling New'!$J:$J),"")</f>
        <v>9.2100000000000009</v>
      </c>
      <c r="AD207" s="166">
        <f>IFERROR(_xlfn.XLOOKUP($D207,'Modelling New'!$D:$D,'Modelling New'!$T:$T)*1000,"")</f>
        <v>363484.56165517244</v>
      </c>
      <c r="AE207" s="174"/>
      <c r="AF207" s="174">
        <f>IFERROR(_xlfn.XLOOKUP($D207,'Modelling New'!$D:$D,'Modelling New'!$W:$W),"")</f>
        <v>0.21574344827586206</v>
      </c>
      <c r="AG207" s="174">
        <f>IFERROR(_xlfn.XLOOKUP($D207,'Modelling New'!$D:$D,'Modelling New'!$AE:$AE),"")</f>
        <v>0.96029999999999993</v>
      </c>
      <c r="AH207" s="174">
        <f>IFERROR(_xlfn.XLOOKUP($D207,'Modelling New'!$D:$D,'Modelling New'!$AF:$AF),"")</f>
        <v>0.995</v>
      </c>
      <c r="AI207" s="177" t="str">
        <f>IFERROR(_xlfn.XLOOKUP($A207,Input_Raw!$A:$A,Input_Raw!$BQ:$BQ),"")</f>
        <v/>
      </c>
      <c r="AJ207" s="167"/>
      <c r="AK207" s="167"/>
      <c r="AL207" s="167"/>
      <c r="AM207" s="167"/>
      <c r="AN207" s="175" t="str">
        <f>IFERROR(_xlfn.XLOOKUP($A207,Input_Raw!$A:$A,Input_Raw!$BN:$BN),"")</f>
        <v/>
      </c>
      <c r="AO207" s="174" t="str">
        <f>IFERROR((_xlfn.XLOOKUP($A207,'WTG Reactive Power'!$A:$A,'WTG Reactive Power'!$AE:$AE))/Table13[[#This Row],[Gen_Exp (kWh)]],"")</f>
        <v/>
      </c>
      <c r="AP207" s="174">
        <f>IFERROR(_xlfn.XLOOKUP($D207,'Modelling New'!$D:$D,'Modelling New'!$AK:$AK),"")</f>
        <v>0.05</v>
      </c>
      <c r="AQ207" s="174">
        <f>IFERROR(_xlfn.XLOOKUP($D207,'Modelling New'!$D:$D,'Modelling New'!$AL:$AL),"")</f>
        <v>0.05</v>
      </c>
      <c r="AR207" s="276">
        <f>IFERROR(_xlfn.XLOOKUP($D207,'Modelling New'!$D:$D,'Modelling New'!$N:$N),"")</f>
        <v>70.2</v>
      </c>
      <c r="AS207" s="276"/>
    </row>
    <row r="208" spans="1:45">
      <c r="A208" s="165">
        <f t="shared" si="15"/>
        <v>45951</v>
      </c>
      <c r="B208" s="166">
        <f>YEAR(Table13[[#This Row],[Date]])+IF(MONTH(Table13[[#This Row],[Date]])&gt;=4,1,0)</f>
        <v>2026</v>
      </c>
      <c r="C208" s="167">
        <f>YEAR(Table13[[#This Row],[Date]])</f>
        <v>2025</v>
      </c>
      <c r="D208" s="168">
        <f>Table13[[#This Row],[Date]]-DAY(Table13[[#This Row],[Date]])+1</f>
        <v>45931</v>
      </c>
      <c r="E208" s="167">
        <f t="shared" si="12"/>
        <v>31</v>
      </c>
      <c r="F208" s="169"/>
      <c r="G208" s="170"/>
      <c r="H208" s="170"/>
      <c r="I208" s="170"/>
      <c r="J208" s="170"/>
      <c r="K208" s="171"/>
      <c r="L208" s="170"/>
      <c r="M208" s="170" t="str">
        <f>IFERROR(_xlfn.XLOOKUP($A208,Input_Raw!$A:$A,Input_Raw!BG:BG),"")</f>
        <v/>
      </c>
      <c r="N208" s="170" t="str">
        <f>IFERROR(_xlfn.XLOOKUP($A208,Input_Raw!$A:$A,Input_Raw!BH:BH),"")</f>
        <v/>
      </c>
      <c r="O208" s="173" t="str">
        <f t="shared" si="13"/>
        <v/>
      </c>
      <c r="P208" s="173" t="str">
        <f>IFERROR(1-SUMIF(WTG_BD!$F:$F,$A208,WTG_BD!$AA:$AA)/($AA208+SUMIF(WTG_BD!$F:$F,$A208,WTG_BD!$AA:$AA)),"")</f>
        <v/>
      </c>
      <c r="Q208" s="173" t="str">
        <f>IFERROR(1-SUMIF(IGA_BD!$F:$F,$A208,IGA_BD!$X:$X)/($AA208+SUMIF(IGA_BD!$F:$F,$A208,IGA_BD!$X:$X)),"")</f>
        <v/>
      </c>
      <c r="R208" s="173" t="str">
        <f>IFERROR(1-SUMIF(Grid_BD!$F:$F,$A208,Grid_BD!$Y:$Y)/($AA208+SUMIF(Grid_BD!$F:$F,$A208,Grid_BD!$Y:$Y)),"")</f>
        <v/>
      </c>
      <c r="S208" s="167"/>
      <c r="T208" s="172"/>
      <c r="U208" s="173"/>
      <c r="V208" s="167"/>
      <c r="W208" s="174" t="str">
        <f t="shared" si="14"/>
        <v/>
      </c>
      <c r="X208" s="167" t="str">
        <f>IFERROR(_xlfn.XLOOKUP($A208,Input_Raw!$A:$A,Input_Raw!$BF:$BF),"")</f>
        <v/>
      </c>
      <c r="Y208" s="167" t="str">
        <f>IFERROR(_xlfn.XLOOKUP($A208,Input_Raw!$A:$A,Input_Raw!BJ:BJ),"")</f>
        <v/>
      </c>
      <c r="Z208" s="167" t="str">
        <f>IFERROR(_xlfn.XLOOKUP($A208,Input_Raw!$A:$A,Input_Raw!BK:BK),"")</f>
        <v/>
      </c>
      <c r="AA208" s="167" t="str">
        <f>IFERROR(_xlfn.XLOOKUP($A208,Input_Raw!$A:$A,Input_Raw!BL:BL),"")</f>
        <v/>
      </c>
      <c r="AB208" s="167" t="str">
        <f>IFERROR(_xlfn.XLOOKUP($A208,Input_Raw!$A:$A,Input_Raw!$BO:$BO),"")</f>
        <v/>
      </c>
      <c r="AC208" s="176">
        <f>IFERROR(_xlfn.XLOOKUP($D208,'Modelling New'!$D:$D,'Modelling New'!$J:$J),"")</f>
        <v>9.2100000000000009</v>
      </c>
      <c r="AD208" s="166">
        <f>IFERROR(_xlfn.XLOOKUP($D208,'Modelling New'!$D:$D,'Modelling New'!$T:$T)*1000,"")</f>
        <v>363484.56165517244</v>
      </c>
      <c r="AE208" s="174"/>
      <c r="AF208" s="174">
        <f>IFERROR(_xlfn.XLOOKUP($D208,'Modelling New'!$D:$D,'Modelling New'!$W:$W),"")</f>
        <v>0.21574344827586206</v>
      </c>
      <c r="AG208" s="174">
        <f>IFERROR(_xlfn.XLOOKUP($D208,'Modelling New'!$D:$D,'Modelling New'!$AE:$AE),"")</f>
        <v>0.96029999999999993</v>
      </c>
      <c r="AH208" s="174">
        <f>IFERROR(_xlfn.XLOOKUP($D208,'Modelling New'!$D:$D,'Modelling New'!$AF:$AF),"")</f>
        <v>0.995</v>
      </c>
      <c r="AI208" s="177" t="str">
        <f>IFERROR(_xlfn.XLOOKUP($A208,Input_Raw!$A:$A,Input_Raw!$BQ:$BQ),"")</f>
        <v/>
      </c>
      <c r="AJ208" s="167"/>
      <c r="AK208" s="167"/>
      <c r="AL208" s="167"/>
      <c r="AM208" s="167"/>
      <c r="AN208" s="175" t="str">
        <f>IFERROR(_xlfn.XLOOKUP($A208,Input_Raw!$A:$A,Input_Raw!$BN:$BN),"")</f>
        <v/>
      </c>
      <c r="AO208" s="174" t="str">
        <f>IFERROR((_xlfn.XLOOKUP($A208,'WTG Reactive Power'!$A:$A,'WTG Reactive Power'!$AE:$AE))/Table13[[#This Row],[Gen_Exp (kWh)]],"")</f>
        <v/>
      </c>
      <c r="AP208" s="174">
        <f>IFERROR(_xlfn.XLOOKUP($D208,'Modelling New'!$D:$D,'Modelling New'!$AK:$AK),"")</f>
        <v>0.05</v>
      </c>
      <c r="AQ208" s="174">
        <f>IFERROR(_xlfn.XLOOKUP($D208,'Modelling New'!$D:$D,'Modelling New'!$AL:$AL),"")</f>
        <v>0.05</v>
      </c>
      <c r="AR208" s="276">
        <f>IFERROR(_xlfn.XLOOKUP($D208,'Modelling New'!$D:$D,'Modelling New'!$N:$N),"")</f>
        <v>70.2</v>
      </c>
      <c r="AS208" s="276"/>
    </row>
    <row r="209" spans="1:45">
      <c r="A209" s="165">
        <f t="shared" si="15"/>
        <v>45952</v>
      </c>
      <c r="B209" s="166">
        <f>YEAR(Table13[[#This Row],[Date]])+IF(MONTH(Table13[[#This Row],[Date]])&gt;=4,1,0)</f>
        <v>2026</v>
      </c>
      <c r="C209" s="167">
        <f>YEAR(Table13[[#This Row],[Date]])</f>
        <v>2025</v>
      </c>
      <c r="D209" s="168">
        <f>Table13[[#This Row],[Date]]-DAY(Table13[[#This Row],[Date]])+1</f>
        <v>45931</v>
      </c>
      <c r="E209" s="167">
        <f t="shared" si="12"/>
        <v>31</v>
      </c>
      <c r="F209" s="169"/>
      <c r="G209" s="176"/>
      <c r="H209" s="176"/>
      <c r="I209" s="176"/>
      <c r="J209" s="176"/>
      <c r="K209" s="171"/>
      <c r="L209" s="170"/>
      <c r="M209" s="170" t="str">
        <f>IFERROR(_xlfn.XLOOKUP($A209,Input_Raw!$A:$A,Input_Raw!BG:BG),"")</f>
        <v/>
      </c>
      <c r="N209" s="170" t="str">
        <f>IFERROR(_xlfn.XLOOKUP($A209,Input_Raw!$A:$A,Input_Raw!BH:BH),"")</f>
        <v/>
      </c>
      <c r="O209" s="173" t="str">
        <f t="shared" si="13"/>
        <v/>
      </c>
      <c r="P209" s="173" t="str">
        <f>IFERROR(1-SUMIF(WTG_BD!$F:$F,$A209,WTG_BD!$AA:$AA)/($AA209+SUMIF(WTG_BD!$F:$F,$A209,WTG_BD!$AA:$AA)),"")</f>
        <v/>
      </c>
      <c r="Q209" s="173" t="str">
        <f>IFERROR(1-SUMIF(IGA_BD!$F:$F,$A209,IGA_BD!$X:$X)/($AA209+SUMIF(IGA_BD!$F:$F,$A209,IGA_BD!$X:$X)),"")</f>
        <v/>
      </c>
      <c r="R209" s="173" t="str">
        <f>IFERROR(1-SUMIF(Grid_BD!$F:$F,$A209,Grid_BD!$Y:$Y)/($AA209+SUMIF(Grid_BD!$F:$F,$A209,Grid_BD!$Y:$Y)),"")</f>
        <v/>
      </c>
      <c r="S209" s="167"/>
      <c r="T209" s="172"/>
      <c r="U209" s="173"/>
      <c r="V209" s="167"/>
      <c r="W209" s="174" t="str">
        <f t="shared" si="14"/>
        <v/>
      </c>
      <c r="X209" s="167" t="str">
        <f>IFERROR(_xlfn.XLOOKUP($A209,Input_Raw!$A:$A,Input_Raw!$BF:$BF),"")</f>
        <v/>
      </c>
      <c r="Y209" s="167" t="str">
        <f>IFERROR(_xlfn.XLOOKUP($A209,Input_Raw!$A:$A,Input_Raw!BJ:BJ),"")</f>
        <v/>
      </c>
      <c r="Z209" s="167" t="str">
        <f>IFERROR(_xlfn.XLOOKUP($A209,Input_Raw!$A:$A,Input_Raw!BK:BK),"")</f>
        <v/>
      </c>
      <c r="AA209" s="167" t="str">
        <f>IFERROR(_xlfn.XLOOKUP($A209,Input_Raw!$A:$A,Input_Raw!BL:BL),"")</f>
        <v/>
      </c>
      <c r="AB209" s="167" t="str">
        <f>IFERROR(_xlfn.XLOOKUP($A209,Input_Raw!$A:$A,Input_Raw!$BO:$BO),"")</f>
        <v/>
      </c>
      <c r="AC209" s="176">
        <f>IFERROR(_xlfn.XLOOKUP($D209,'Modelling New'!$D:$D,'Modelling New'!$J:$J),"")</f>
        <v>9.2100000000000009</v>
      </c>
      <c r="AD209" s="166">
        <f>IFERROR(_xlfn.XLOOKUP($D209,'Modelling New'!$D:$D,'Modelling New'!$T:$T)*1000,"")</f>
        <v>363484.56165517244</v>
      </c>
      <c r="AE209" s="174"/>
      <c r="AF209" s="174">
        <f>IFERROR(_xlfn.XLOOKUP($D209,'Modelling New'!$D:$D,'Modelling New'!$W:$W),"")</f>
        <v>0.21574344827586206</v>
      </c>
      <c r="AG209" s="174">
        <f>IFERROR(_xlfn.XLOOKUP($D209,'Modelling New'!$D:$D,'Modelling New'!$AE:$AE),"")</f>
        <v>0.96029999999999993</v>
      </c>
      <c r="AH209" s="174">
        <f>IFERROR(_xlfn.XLOOKUP($D209,'Modelling New'!$D:$D,'Modelling New'!$AF:$AF),"")</f>
        <v>0.995</v>
      </c>
      <c r="AI209" s="177" t="str">
        <f>IFERROR(_xlfn.XLOOKUP($A209,Input_Raw!$A:$A,Input_Raw!$BQ:$BQ),"")</f>
        <v/>
      </c>
      <c r="AJ209" s="167"/>
      <c r="AK209" s="167"/>
      <c r="AL209" s="167"/>
      <c r="AM209" s="167"/>
      <c r="AN209" s="175" t="str">
        <f>IFERROR(_xlfn.XLOOKUP($A209,Input_Raw!$A:$A,Input_Raw!$BN:$BN),"")</f>
        <v/>
      </c>
      <c r="AO209" s="174" t="str">
        <f>IFERROR((_xlfn.XLOOKUP($A209,'WTG Reactive Power'!$A:$A,'WTG Reactive Power'!$AE:$AE))/Table13[[#This Row],[Gen_Exp (kWh)]],"")</f>
        <v/>
      </c>
      <c r="AP209" s="174">
        <f>IFERROR(_xlfn.XLOOKUP($D209,'Modelling New'!$D:$D,'Modelling New'!$AK:$AK),"")</f>
        <v>0.05</v>
      </c>
      <c r="AQ209" s="174">
        <f>IFERROR(_xlfn.XLOOKUP($D209,'Modelling New'!$D:$D,'Modelling New'!$AL:$AL),"")</f>
        <v>0.05</v>
      </c>
      <c r="AR209" s="276">
        <f>IFERROR(_xlfn.XLOOKUP($D209,'Modelling New'!$D:$D,'Modelling New'!$N:$N),"")</f>
        <v>70.2</v>
      </c>
      <c r="AS209" s="276"/>
    </row>
    <row r="210" spans="1:45">
      <c r="A210" s="165">
        <f t="shared" si="15"/>
        <v>45953</v>
      </c>
      <c r="B210" s="166">
        <f>YEAR(Table13[[#This Row],[Date]])+IF(MONTH(Table13[[#This Row],[Date]])&gt;=4,1,0)</f>
        <v>2026</v>
      </c>
      <c r="C210" s="167">
        <f>YEAR(Table13[[#This Row],[Date]])</f>
        <v>2025</v>
      </c>
      <c r="D210" s="168">
        <f>Table13[[#This Row],[Date]]-DAY(Table13[[#This Row],[Date]])+1</f>
        <v>45931</v>
      </c>
      <c r="E210" s="167">
        <f t="shared" si="12"/>
        <v>31</v>
      </c>
      <c r="F210" s="169"/>
      <c r="G210" s="170"/>
      <c r="H210" s="170"/>
      <c r="I210" s="170"/>
      <c r="J210" s="170"/>
      <c r="K210" s="171"/>
      <c r="L210" s="170"/>
      <c r="M210" s="170" t="str">
        <f>IFERROR(_xlfn.XLOOKUP($A210,Input_Raw!$A:$A,Input_Raw!BG:BG),"")</f>
        <v/>
      </c>
      <c r="N210" s="170" t="str">
        <f>IFERROR(_xlfn.XLOOKUP($A210,Input_Raw!$A:$A,Input_Raw!BH:BH),"")</f>
        <v/>
      </c>
      <c r="O210" s="173" t="str">
        <f t="shared" si="13"/>
        <v/>
      </c>
      <c r="P210" s="173" t="str">
        <f>IFERROR(1-SUMIF(WTG_BD!$F:$F,$A210,WTG_BD!$AA:$AA)/($AA210+SUMIF(WTG_BD!$F:$F,$A210,WTG_BD!$AA:$AA)),"")</f>
        <v/>
      </c>
      <c r="Q210" s="173" t="str">
        <f>IFERROR(1-SUMIF(IGA_BD!$F:$F,$A210,IGA_BD!$X:$X)/($AA210+SUMIF(IGA_BD!$F:$F,$A210,IGA_BD!$X:$X)),"")</f>
        <v/>
      </c>
      <c r="R210" s="173" t="str">
        <f>IFERROR(1-SUMIF(Grid_BD!$F:$F,$A210,Grid_BD!$Y:$Y)/($AA210+SUMIF(Grid_BD!$F:$F,$A210,Grid_BD!$Y:$Y)),"")</f>
        <v/>
      </c>
      <c r="S210" s="167"/>
      <c r="T210" s="172"/>
      <c r="U210" s="173"/>
      <c r="V210" s="167"/>
      <c r="W210" s="174" t="str">
        <f t="shared" si="14"/>
        <v/>
      </c>
      <c r="X210" s="167" t="str">
        <f>IFERROR(_xlfn.XLOOKUP($A210,Input_Raw!$A:$A,Input_Raw!$BF:$BF),"")</f>
        <v/>
      </c>
      <c r="Y210" s="167" t="str">
        <f>IFERROR(_xlfn.XLOOKUP($A210,Input_Raw!$A:$A,Input_Raw!BJ:BJ),"")</f>
        <v/>
      </c>
      <c r="Z210" s="167" t="str">
        <f>IFERROR(_xlfn.XLOOKUP($A210,Input_Raw!$A:$A,Input_Raw!BK:BK),"")</f>
        <v/>
      </c>
      <c r="AA210" s="167" t="str">
        <f>IFERROR(_xlfn.XLOOKUP($A210,Input_Raw!$A:$A,Input_Raw!BL:BL),"")</f>
        <v/>
      </c>
      <c r="AB210" s="167" t="str">
        <f>IFERROR(_xlfn.XLOOKUP($A210,Input_Raw!$A:$A,Input_Raw!$BO:$BO),"")</f>
        <v/>
      </c>
      <c r="AC210" s="176">
        <f>IFERROR(_xlfn.XLOOKUP($D210,'Modelling New'!$D:$D,'Modelling New'!$J:$J),"")</f>
        <v>9.2100000000000009</v>
      </c>
      <c r="AD210" s="166">
        <f>IFERROR(_xlfn.XLOOKUP($D210,'Modelling New'!$D:$D,'Modelling New'!$T:$T)*1000,"")</f>
        <v>363484.56165517244</v>
      </c>
      <c r="AE210" s="174"/>
      <c r="AF210" s="174">
        <f>IFERROR(_xlfn.XLOOKUP($D210,'Modelling New'!$D:$D,'Modelling New'!$W:$W),"")</f>
        <v>0.21574344827586206</v>
      </c>
      <c r="AG210" s="174">
        <f>IFERROR(_xlfn.XLOOKUP($D210,'Modelling New'!$D:$D,'Modelling New'!$AE:$AE),"")</f>
        <v>0.96029999999999993</v>
      </c>
      <c r="AH210" s="174">
        <f>IFERROR(_xlfn.XLOOKUP($D210,'Modelling New'!$D:$D,'Modelling New'!$AF:$AF),"")</f>
        <v>0.995</v>
      </c>
      <c r="AI210" s="177" t="str">
        <f>IFERROR(_xlfn.XLOOKUP($A210,Input_Raw!$A:$A,Input_Raw!$BQ:$BQ),"")</f>
        <v/>
      </c>
      <c r="AJ210" s="167"/>
      <c r="AK210" s="167"/>
      <c r="AL210" s="167"/>
      <c r="AM210" s="167"/>
      <c r="AN210" s="175" t="str">
        <f>IFERROR(_xlfn.XLOOKUP($A210,Input_Raw!$A:$A,Input_Raw!$BN:$BN),"")</f>
        <v/>
      </c>
      <c r="AO210" s="174" t="str">
        <f>IFERROR((_xlfn.XLOOKUP($A210,'WTG Reactive Power'!$A:$A,'WTG Reactive Power'!$AE:$AE))/Table13[[#This Row],[Gen_Exp (kWh)]],"")</f>
        <v/>
      </c>
      <c r="AP210" s="174">
        <f>IFERROR(_xlfn.XLOOKUP($D210,'Modelling New'!$D:$D,'Modelling New'!$AK:$AK),"")</f>
        <v>0.05</v>
      </c>
      <c r="AQ210" s="174">
        <f>IFERROR(_xlfn.XLOOKUP($D210,'Modelling New'!$D:$D,'Modelling New'!$AL:$AL),"")</f>
        <v>0.05</v>
      </c>
      <c r="AR210" s="276">
        <f>IFERROR(_xlfn.XLOOKUP($D210,'Modelling New'!$D:$D,'Modelling New'!$N:$N),"")</f>
        <v>70.2</v>
      </c>
      <c r="AS210" s="276"/>
    </row>
    <row r="211" spans="1:45">
      <c r="A211" s="165">
        <f t="shared" si="15"/>
        <v>45954</v>
      </c>
      <c r="B211" s="166">
        <f>YEAR(Table13[[#This Row],[Date]])+IF(MONTH(Table13[[#This Row],[Date]])&gt;=4,1,0)</f>
        <v>2026</v>
      </c>
      <c r="C211" s="167">
        <f>YEAR(Table13[[#This Row],[Date]])</f>
        <v>2025</v>
      </c>
      <c r="D211" s="168">
        <f>Table13[[#This Row],[Date]]-DAY(Table13[[#This Row],[Date]])+1</f>
        <v>45931</v>
      </c>
      <c r="E211" s="167">
        <f t="shared" si="12"/>
        <v>31</v>
      </c>
      <c r="F211" s="169"/>
      <c r="G211" s="176"/>
      <c r="H211" s="176"/>
      <c r="I211" s="176"/>
      <c r="J211" s="176"/>
      <c r="K211" s="171"/>
      <c r="L211" s="170"/>
      <c r="M211" s="170" t="str">
        <f>IFERROR(_xlfn.XLOOKUP($A211,Input_Raw!$A:$A,Input_Raw!BG:BG),"")</f>
        <v/>
      </c>
      <c r="N211" s="170" t="str">
        <f>IFERROR(_xlfn.XLOOKUP($A211,Input_Raw!$A:$A,Input_Raw!BH:BH),"")</f>
        <v/>
      </c>
      <c r="O211" s="173" t="str">
        <f t="shared" si="13"/>
        <v/>
      </c>
      <c r="P211" s="173" t="str">
        <f>IFERROR(1-SUMIF(WTG_BD!$F:$F,$A211,WTG_BD!$AA:$AA)/($AA211+SUMIF(WTG_BD!$F:$F,$A211,WTG_BD!$AA:$AA)),"")</f>
        <v/>
      </c>
      <c r="Q211" s="173" t="str">
        <f>IFERROR(1-SUMIF(IGA_BD!$F:$F,$A211,IGA_BD!$X:$X)/($AA211+SUMIF(IGA_BD!$F:$F,$A211,IGA_BD!$X:$X)),"")</f>
        <v/>
      </c>
      <c r="R211" s="173" t="str">
        <f>IFERROR(1-SUMIF(Grid_BD!$F:$F,$A211,Grid_BD!$Y:$Y)/($AA211+SUMIF(Grid_BD!$F:$F,$A211,Grid_BD!$Y:$Y)),"")</f>
        <v/>
      </c>
      <c r="S211" s="167"/>
      <c r="T211" s="172"/>
      <c r="U211" s="173"/>
      <c r="V211" s="167"/>
      <c r="W211" s="174" t="str">
        <f t="shared" si="14"/>
        <v/>
      </c>
      <c r="X211" s="167" t="str">
        <f>IFERROR(_xlfn.XLOOKUP($A211,Input_Raw!$A:$A,Input_Raw!$BF:$BF),"")</f>
        <v/>
      </c>
      <c r="Y211" s="167" t="str">
        <f>IFERROR(_xlfn.XLOOKUP($A211,Input_Raw!$A:$A,Input_Raw!BJ:BJ),"")</f>
        <v/>
      </c>
      <c r="Z211" s="167" t="str">
        <f>IFERROR(_xlfn.XLOOKUP($A211,Input_Raw!$A:$A,Input_Raw!BK:BK),"")</f>
        <v/>
      </c>
      <c r="AA211" s="167" t="str">
        <f>IFERROR(_xlfn.XLOOKUP($A211,Input_Raw!$A:$A,Input_Raw!BL:BL),"")</f>
        <v/>
      </c>
      <c r="AB211" s="167" t="str">
        <f>IFERROR(_xlfn.XLOOKUP($A211,Input_Raw!$A:$A,Input_Raw!$BO:$BO),"")</f>
        <v/>
      </c>
      <c r="AC211" s="176">
        <f>IFERROR(_xlfn.XLOOKUP($D211,'Modelling New'!$D:$D,'Modelling New'!$J:$J),"")</f>
        <v>9.2100000000000009</v>
      </c>
      <c r="AD211" s="166">
        <f>IFERROR(_xlfn.XLOOKUP($D211,'Modelling New'!$D:$D,'Modelling New'!$T:$T)*1000,"")</f>
        <v>363484.56165517244</v>
      </c>
      <c r="AE211" s="174"/>
      <c r="AF211" s="174">
        <f>IFERROR(_xlfn.XLOOKUP($D211,'Modelling New'!$D:$D,'Modelling New'!$W:$W),"")</f>
        <v>0.21574344827586206</v>
      </c>
      <c r="AG211" s="174">
        <f>IFERROR(_xlfn.XLOOKUP($D211,'Modelling New'!$D:$D,'Modelling New'!$AE:$AE),"")</f>
        <v>0.96029999999999993</v>
      </c>
      <c r="AH211" s="174">
        <f>IFERROR(_xlfn.XLOOKUP($D211,'Modelling New'!$D:$D,'Modelling New'!$AF:$AF),"")</f>
        <v>0.995</v>
      </c>
      <c r="AI211" s="177" t="str">
        <f>IFERROR(_xlfn.XLOOKUP($A211,Input_Raw!$A:$A,Input_Raw!$BQ:$BQ),"")</f>
        <v/>
      </c>
      <c r="AJ211" s="167"/>
      <c r="AK211" s="167"/>
      <c r="AL211" s="167"/>
      <c r="AM211" s="167"/>
      <c r="AN211" s="175" t="str">
        <f>IFERROR(_xlfn.XLOOKUP($A211,Input_Raw!$A:$A,Input_Raw!$BN:$BN),"")</f>
        <v/>
      </c>
      <c r="AO211" s="174" t="str">
        <f>IFERROR((_xlfn.XLOOKUP($A211,'WTG Reactive Power'!$A:$A,'WTG Reactive Power'!$AE:$AE))/Table13[[#This Row],[Gen_Exp (kWh)]],"")</f>
        <v/>
      </c>
      <c r="AP211" s="174">
        <f>IFERROR(_xlfn.XLOOKUP($D211,'Modelling New'!$D:$D,'Modelling New'!$AK:$AK),"")</f>
        <v>0.05</v>
      </c>
      <c r="AQ211" s="174">
        <f>IFERROR(_xlfn.XLOOKUP($D211,'Modelling New'!$D:$D,'Modelling New'!$AL:$AL),"")</f>
        <v>0.05</v>
      </c>
      <c r="AR211" s="276">
        <f>IFERROR(_xlfn.XLOOKUP($D211,'Modelling New'!$D:$D,'Modelling New'!$N:$N),"")</f>
        <v>70.2</v>
      </c>
      <c r="AS211" s="276"/>
    </row>
    <row r="212" spans="1:45">
      <c r="A212" s="165">
        <f t="shared" si="15"/>
        <v>45955</v>
      </c>
      <c r="B212" s="166">
        <f>YEAR(Table13[[#This Row],[Date]])+IF(MONTH(Table13[[#This Row],[Date]])&gt;=4,1,0)</f>
        <v>2026</v>
      </c>
      <c r="C212" s="167">
        <f>YEAR(Table13[[#This Row],[Date]])</f>
        <v>2025</v>
      </c>
      <c r="D212" s="168">
        <f>Table13[[#This Row],[Date]]-DAY(Table13[[#This Row],[Date]])+1</f>
        <v>45931</v>
      </c>
      <c r="E212" s="167">
        <f t="shared" si="12"/>
        <v>31</v>
      </c>
      <c r="F212" s="169"/>
      <c r="G212" s="170"/>
      <c r="H212" s="170"/>
      <c r="I212" s="170"/>
      <c r="J212" s="170"/>
      <c r="K212" s="171"/>
      <c r="L212" s="170"/>
      <c r="M212" s="170" t="str">
        <f>IFERROR(_xlfn.XLOOKUP($A212,Input_Raw!$A:$A,Input_Raw!BG:BG),"")</f>
        <v/>
      </c>
      <c r="N212" s="170" t="str">
        <f>IFERROR(_xlfn.XLOOKUP($A212,Input_Raw!$A:$A,Input_Raw!BH:BH),"")</f>
        <v/>
      </c>
      <c r="O212" s="173" t="str">
        <f t="shared" si="13"/>
        <v/>
      </c>
      <c r="P212" s="173" t="str">
        <f>IFERROR(1-SUMIF(WTG_BD!$F:$F,$A212,WTG_BD!$AA:$AA)/($AA212+SUMIF(WTG_BD!$F:$F,$A212,WTG_BD!$AA:$AA)),"")</f>
        <v/>
      </c>
      <c r="Q212" s="173" t="str">
        <f>IFERROR(1-SUMIF(IGA_BD!$F:$F,$A212,IGA_BD!$X:$X)/($AA212+SUMIF(IGA_BD!$F:$F,$A212,IGA_BD!$X:$X)),"")</f>
        <v/>
      </c>
      <c r="R212" s="173" t="str">
        <f>IFERROR(1-SUMIF(Grid_BD!$F:$F,$A212,Grid_BD!$Y:$Y)/($AA212+SUMIF(Grid_BD!$F:$F,$A212,Grid_BD!$Y:$Y)),"")</f>
        <v/>
      </c>
      <c r="S212" s="167"/>
      <c r="T212" s="172"/>
      <c r="U212" s="173"/>
      <c r="V212" s="167"/>
      <c r="W212" s="174" t="str">
        <f t="shared" si="14"/>
        <v/>
      </c>
      <c r="X212" s="167" t="str">
        <f>IFERROR(_xlfn.XLOOKUP($A212,Input_Raw!$A:$A,Input_Raw!$BF:$BF),"")</f>
        <v/>
      </c>
      <c r="Y212" s="167" t="str">
        <f>IFERROR(_xlfn.XLOOKUP($A212,Input_Raw!$A:$A,Input_Raw!BJ:BJ),"")</f>
        <v/>
      </c>
      <c r="Z212" s="167" t="str">
        <f>IFERROR(_xlfn.XLOOKUP($A212,Input_Raw!$A:$A,Input_Raw!BK:BK),"")</f>
        <v/>
      </c>
      <c r="AA212" s="167" t="str">
        <f>IFERROR(_xlfn.XLOOKUP($A212,Input_Raw!$A:$A,Input_Raw!BL:BL),"")</f>
        <v/>
      </c>
      <c r="AB212" s="167" t="str">
        <f>IFERROR(_xlfn.XLOOKUP($A212,Input_Raw!$A:$A,Input_Raw!$BO:$BO),"")</f>
        <v/>
      </c>
      <c r="AC212" s="176">
        <f>IFERROR(_xlfn.XLOOKUP($D212,'Modelling New'!$D:$D,'Modelling New'!$J:$J),"")</f>
        <v>9.2100000000000009</v>
      </c>
      <c r="AD212" s="166">
        <f>IFERROR(_xlfn.XLOOKUP($D212,'Modelling New'!$D:$D,'Modelling New'!$T:$T)*1000,"")</f>
        <v>363484.56165517244</v>
      </c>
      <c r="AE212" s="174"/>
      <c r="AF212" s="174">
        <f>IFERROR(_xlfn.XLOOKUP($D212,'Modelling New'!$D:$D,'Modelling New'!$W:$W),"")</f>
        <v>0.21574344827586206</v>
      </c>
      <c r="AG212" s="174">
        <f>IFERROR(_xlfn.XLOOKUP($D212,'Modelling New'!$D:$D,'Modelling New'!$AE:$AE),"")</f>
        <v>0.96029999999999993</v>
      </c>
      <c r="AH212" s="174">
        <f>IFERROR(_xlfn.XLOOKUP($D212,'Modelling New'!$D:$D,'Modelling New'!$AF:$AF),"")</f>
        <v>0.995</v>
      </c>
      <c r="AI212" s="177" t="str">
        <f>IFERROR(_xlfn.XLOOKUP($A212,Input_Raw!$A:$A,Input_Raw!$BQ:$BQ),"")</f>
        <v/>
      </c>
      <c r="AJ212" s="167"/>
      <c r="AK212" s="167"/>
      <c r="AL212" s="167"/>
      <c r="AM212" s="167"/>
      <c r="AN212" s="175" t="str">
        <f>IFERROR(_xlfn.XLOOKUP($A212,Input_Raw!$A:$A,Input_Raw!$BN:$BN),"")</f>
        <v/>
      </c>
      <c r="AO212" s="174" t="str">
        <f>IFERROR((_xlfn.XLOOKUP($A212,'WTG Reactive Power'!$A:$A,'WTG Reactive Power'!$AE:$AE))/Table13[[#This Row],[Gen_Exp (kWh)]],"")</f>
        <v/>
      </c>
      <c r="AP212" s="174">
        <f>IFERROR(_xlfn.XLOOKUP($D212,'Modelling New'!$D:$D,'Modelling New'!$AK:$AK),"")</f>
        <v>0.05</v>
      </c>
      <c r="AQ212" s="174">
        <f>IFERROR(_xlfn.XLOOKUP($D212,'Modelling New'!$D:$D,'Modelling New'!$AL:$AL),"")</f>
        <v>0.05</v>
      </c>
      <c r="AR212" s="276">
        <f>IFERROR(_xlfn.XLOOKUP($D212,'Modelling New'!$D:$D,'Modelling New'!$N:$N),"")</f>
        <v>70.2</v>
      </c>
      <c r="AS212" s="276"/>
    </row>
    <row r="213" spans="1:45">
      <c r="A213" s="165">
        <f t="shared" si="15"/>
        <v>45956</v>
      </c>
      <c r="B213" s="166">
        <f>YEAR(Table13[[#This Row],[Date]])+IF(MONTH(Table13[[#This Row],[Date]])&gt;=4,1,0)</f>
        <v>2026</v>
      </c>
      <c r="C213" s="167">
        <f>YEAR(Table13[[#This Row],[Date]])</f>
        <v>2025</v>
      </c>
      <c r="D213" s="168">
        <f>Table13[[#This Row],[Date]]-DAY(Table13[[#This Row],[Date]])+1</f>
        <v>45931</v>
      </c>
      <c r="E213" s="167">
        <f t="shared" si="12"/>
        <v>31</v>
      </c>
      <c r="F213" s="169"/>
      <c r="G213" s="176"/>
      <c r="H213" s="176"/>
      <c r="I213" s="176"/>
      <c r="J213" s="176"/>
      <c r="K213" s="171"/>
      <c r="L213" s="170"/>
      <c r="M213" s="170" t="str">
        <f>IFERROR(_xlfn.XLOOKUP($A213,Input_Raw!$A:$A,Input_Raw!BG:BG),"")</f>
        <v/>
      </c>
      <c r="N213" s="170" t="str">
        <f>IFERROR(_xlfn.XLOOKUP($A213,Input_Raw!$A:$A,Input_Raw!BH:BH),"")</f>
        <v/>
      </c>
      <c r="O213" s="173" t="str">
        <f t="shared" si="13"/>
        <v/>
      </c>
      <c r="P213" s="173" t="str">
        <f>IFERROR(1-SUMIF(WTG_BD!$F:$F,$A213,WTG_BD!$AA:$AA)/($AA213+SUMIF(WTG_BD!$F:$F,$A213,WTG_BD!$AA:$AA)),"")</f>
        <v/>
      </c>
      <c r="Q213" s="173" t="str">
        <f>IFERROR(1-SUMIF(IGA_BD!$F:$F,$A213,IGA_BD!$X:$X)/($AA213+SUMIF(IGA_BD!$F:$F,$A213,IGA_BD!$X:$X)),"")</f>
        <v/>
      </c>
      <c r="R213" s="173" t="str">
        <f>IFERROR(1-SUMIF(Grid_BD!$F:$F,$A213,Grid_BD!$Y:$Y)/($AA213+SUMIF(Grid_BD!$F:$F,$A213,Grid_BD!$Y:$Y)),"")</f>
        <v/>
      </c>
      <c r="S213" s="167"/>
      <c r="T213" s="172"/>
      <c r="U213" s="173"/>
      <c r="V213" s="167"/>
      <c r="W213" s="174" t="str">
        <f t="shared" si="14"/>
        <v/>
      </c>
      <c r="X213" s="167" t="str">
        <f>IFERROR(_xlfn.XLOOKUP($A213,Input_Raw!$A:$A,Input_Raw!$BF:$BF),"")</f>
        <v/>
      </c>
      <c r="Y213" s="167" t="str">
        <f>IFERROR(_xlfn.XLOOKUP($A213,Input_Raw!$A:$A,Input_Raw!BJ:BJ),"")</f>
        <v/>
      </c>
      <c r="Z213" s="167" t="str">
        <f>IFERROR(_xlfn.XLOOKUP($A213,Input_Raw!$A:$A,Input_Raw!BK:BK),"")</f>
        <v/>
      </c>
      <c r="AA213" s="167" t="str">
        <f>IFERROR(_xlfn.XLOOKUP($A213,Input_Raw!$A:$A,Input_Raw!BL:BL),"")</f>
        <v/>
      </c>
      <c r="AB213" s="167" t="str">
        <f>IFERROR(_xlfn.XLOOKUP($A213,Input_Raw!$A:$A,Input_Raw!$BO:$BO),"")</f>
        <v/>
      </c>
      <c r="AC213" s="176">
        <f>IFERROR(_xlfn.XLOOKUP($D213,'Modelling New'!$D:$D,'Modelling New'!$J:$J),"")</f>
        <v>9.2100000000000009</v>
      </c>
      <c r="AD213" s="166">
        <f>IFERROR(_xlfn.XLOOKUP($D213,'Modelling New'!$D:$D,'Modelling New'!$T:$T)*1000,"")</f>
        <v>363484.56165517244</v>
      </c>
      <c r="AE213" s="174"/>
      <c r="AF213" s="174">
        <f>IFERROR(_xlfn.XLOOKUP($D213,'Modelling New'!$D:$D,'Modelling New'!$W:$W),"")</f>
        <v>0.21574344827586206</v>
      </c>
      <c r="AG213" s="174">
        <f>IFERROR(_xlfn.XLOOKUP($D213,'Modelling New'!$D:$D,'Modelling New'!$AE:$AE),"")</f>
        <v>0.96029999999999993</v>
      </c>
      <c r="AH213" s="174">
        <f>IFERROR(_xlfn.XLOOKUP($D213,'Modelling New'!$D:$D,'Modelling New'!$AF:$AF),"")</f>
        <v>0.995</v>
      </c>
      <c r="AI213" s="177" t="str">
        <f>IFERROR(_xlfn.XLOOKUP($A213,Input_Raw!$A:$A,Input_Raw!$BQ:$BQ),"")</f>
        <v/>
      </c>
      <c r="AJ213" s="167"/>
      <c r="AK213" s="167"/>
      <c r="AL213" s="167"/>
      <c r="AM213" s="167"/>
      <c r="AN213" s="175" t="str">
        <f>IFERROR(_xlfn.XLOOKUP($A213,Input_Raw!$A:$A,Input_Raw!$BN:$BN),"")</f>
        <v/>
      </c>
      <c r="AO213" s="174" t="str">
        <f>IFERROR((_xlfn.XLOOKUP($A213,'WTG Reactive Power'!$A:$A,'WTG Reactive Power'!$AE:$AE))/Table13[[#This Row],[Gen_Exp (kWh)]],"")</f>
        <v/>
      </c>
      <c r="AP213" s="174">
        <f>IFERROR(_xlfn.XLOOKUP($D213,'Modelling New'!$D:$D,'Modelling New'!$AK:$AK),"")</f>
        <v>0.05</v>
      </c>
      <c r="AQ213" s="174">
        <f>IFERROR(_xlfn.XLOOKUP($D213,'Modelling New'!$D:$D,'Modelling New'!$AL:$AL),"")</f>
        <v>0.05</v>
      </c>
      <c r="AR213" s="276">
        <f>IFERROR(_xlfn.XLOOKUP($D213,'Modelling New'!$D:$D,'Modelling New'!$N:$N),"")</f>
        <v>70.2</v>
      </c>
      <c r="AS213" s="276"/>
    </row>
    <row r="214" spans="1:45">
      <c r="A214" s="165">
        <f t="shared" si="15"/>
        <v>45957</v>
      </c>
      <c r="B214" s="166">
        <f>YEAR(Table13[[#This Row],[Date]])+IF(MONTH(Table13[[#This Row],[Date]])&gt;=4,1,0)</f>
        <v>2026</v>
      </c>
      <c r="C214" s="167">
        <f>YEAR(Table13[[#This Row],[Date]])</f>
        <v>2025</v>
      </c>
      <c r="D214" s="168">
        <f>Table13[[#This Row],[Date]]-DAY(Table13[[#This Row],[Date]])+1</f>
        <v>45931</v>
      </c>
      <c r="E214" s="167">
        <f t="shared" si="12"/>
        <v>31</v>
      </c>
      <c r="F214" s="169"/>
      <c r="G214" s="170"/>
      <c r="H214" s="170"/>
      <c r="I214" s="170"/>
      <c r="J214" s="170"/>
      <c r="K214" s="171"/>
      <c r="L214" s="170"/>
      <c r="M214" s="170" t="str">
        <f>IFERROR(_xlfn.XLOOKUP($A214,Input_Raw!$A:$A,Input_Raw!BG:BG),"")</f>
        <v/>
      </c>
      <c r="N214" s="170" t="str">
        <f>IFERROR(_xlfn.XLOOKUP($A214,Input_Raw!$A:$A,Input_Raw!BH:BH),"")</f>
        <v/>
      </c>
      <c r="O214" s="173" t="str">
        <f t="shared" si="13"/>
        <v/>
      </c>
      <c r="P214" s="173" t="str">
        <f>IFERROR(1-SUMIF(WTG_BD!$F:$F,$A214,WTG_BD!$AA:$AA)/($AA214+SUMIF(WTG_BD!$F:$F,$A214,WTG_BD!$AA:$AA)),"")</f>
        <v/>
      </c>
      <c r="Q214" s="173" t="str">
        <f>IFERROR(1-SUMIF(IGA_BD!$F:$F,$A214,IGA_BD!$X:$X)/($AA214+SUMIF(IGA_BD!$F:$F,$A214,IGA_BD!$X:$X)),"")</f>
        <v/>
      </c>
      <c r="R214" s="173" t="str">
        <f>IFERROR(1-SUMIF(Grid_BD!$F:$F,$A214,Grid_BD!$Y:$Y)/($AA214+SUMIF(Grid_BD!$F:$F,$A214,Grid_BD!$Y:$Y)),"")</f>
        <v/>
      </c>
      <c r="S214" s="167"/>
      <c r="T214" s="172"/>
      <c r="U214" s="173"/>
      <c r="V214" s="167"/>
      <c r="W214" s="174" t="str">
        <f t="shared" si="14"/>
        <v/>
      </c>
      <c r="X214" s="167" t="str">
        <f>IFERROR(_xlfn.XLOOKUP($A214,Input_Raw!$A:$A,Input_Raw!$BF:$BF),"")</f>
        <v/>
      </c>
      <c r="Y214" s="167" t="str">
        <f>IFERROR(_xlfn.XLOOKUP($A214,Input_Raw!$A:$A,Input_Raw!BJ:BJ),"")</f>
        <v/>
      </c>
      <c r="Z214" s="167" t="str">
        <f>IFERROR(_xlfn.XLOOKUP($A214,Input_Raw!$A:$A,Input_Raw!BK:BK),"")</f>
        <v/>
      </c>
      <c r="AA214" s="167" t="str">
        <f>IFERROR(_xlfn.XLOOKUP($A214,Input_Raw!$A:$A,Input_Raw!BL:BL),"")</f>
        <v/>
      </c>
      <c r="AB214" s="167" t="str">
        <f>IFERROR(_xlfn.XLOOKUP($A214,Input_Raw!$A:$A,Input_Raw!$BO:$BO),"")</f>
        <v/>
      </c>
      <c r="AC214" s="176">
        <f>IFERROR(_xlfn.XLOOKUP($D214,'Modelling New'!$D:$D,'Modelling New'!$J:$J),"")</f>
        <v>9.2100000000000009</v>
      </c>
      <c r="AD214" s="166">
        <f>IFERROR(_xlfn.XLOOKUP($D214,'Modelling New'!$D:$D,'Modelling New'!$T:$T)*1000,"")</f>
        <v>363484.56165517244</v>
      </c>
      <c r="AE214" s="174"/>
      <c r="AF214" s="174">
        <f>IFERROR(_xlfn.XLOOKUP($D214,'Modelling New'!$D:$D,'Modelling New'!$W:$W),"")</f>
        <v>0.21574344827586206</v>
      </c>
      <c r="AG214" s="174">
        <f>IFERROR(_xlfn.XLOOKUP($D214,'Modelling New'!$D:$D,'Modelling New'!$AE:$AE),"")</f>
        <v>0.96029999999999993</v>
      </c>
      <c r="AH214" s="174">
        <f>IFERROR(_xlfn.XLOOKUP($D214,'Modelling New'!$D:$D,'Modelling New'!$AF:$AF),"")</f>
        <v>0.995</v>
      </c>
      <c r="AI214" s="177" t="str">
        <f>IFERROR(_xlfn.XLOOKUP($A214,Input_Raw!$A:$A,Input_Raw!$BQ:$BQ),"")</f>
        <v/>
      </c>
      <c r="AJ214" s="167"/>
      <c r="AK214" s="167"/>
      <c r="AL214" s="167"/>
      <c r="AM214" s="167"/>
      <c r="AN214" s="175" t="str">
        <f>IFERROR(_xlfn.XLOOKUP($A214,Input_Raw!$A:$A,Input_Raw!$BN:$BN),"")</f>
        <v/>
      </c>
      <c r="AO214" s="174" t="str">
        <f>IFERROR((_xlfn.XLOOKUP($A214,'WTG Reactive Power'!$A:$A,'WTG Reactive Power'!$AE:$AE))/Table13[[#This Row],[Gen_Exp (kWh)]],"")</f>
        <v/>
      </c>
      <c r="AP214" s="174">
        <f>IFERROR(_xlfn.XLOOKUP($D214,'Modelling New'!$D:$D,'Modelling New'!$AK:$AK),"")</f>
        <v>0.05</v>
      </c>
      <c r="AQ214" s="174">
        <f>IFERROR(_xlfn.XLOOKUP($D214,'Modelling New'!$D:$D,'Modelling New'!$AL:$AL),"")</f>
        <v>0.05</v>
      </c>
      <c r="AR214" s="276">
        <f>IFERROR(_xlfn.XLOOKUP($D214,'Modelling New'!$D:$D,'Modelling New'!$N:$N),"")</f>
        <v>70.2</v>
      </c>
      <c r="AS214" s="276"/>
    </row>
    <row r="215" spans="1:45">
      <c r="A215" s="165">
        <f t="shared" si="15"/>
        <v>45958</v>
      </c>
      <c r="B215" s="166">
        <f>YEAR(Table13[[#This Row],[Date]])+IF(MONTH(Table13[[#This Row],[Date]])&gt;=4,1,0)</f>
        <v>2026</v>
      </c>
      <c r="C215" s="167">
        <f>YEAR(Table13[[#This Row],[Date]])</f>
        <v>2025</v>
      </c>
      <c r="D215" s="168">
        <f>Table13[[#This Row],[Date]]-DAY(Table13[[#This Row],[Date]])+1</f>
        <v>45931</v>
      </c>
      <c r="E215" s="167">
        <f t="shared" si="12"/>
        <v>31</v>
      </c>
      <c r="F215" s="169"/>
      <c r="G215" s="176"/>
      <c r="H215" s="176"/>
      <c r="I215" s="176"/>
      <c r="J215" s="176"/>
      <c r="K215" s="171"/>
      <c r="L215" s="170"/>
      <c r="M215" s="170" t="str">
        <f>IFERROR(_xlfn.XLOOKUP($A215,Input_Raw!$A:$A,Input_Raw!BG:BG),"")</f>
        <v/>
      </c>
      <c r="N215" s="170" t="str">
        <f>IFERROR(_xlfn.XLOOKUP($A215,Input_Raw!$A:$A,Input_Raw!BH:BH),"")</f>
        <v/>
      </c>
      <c r="O215" s="173" t="str">
        <f t="shared" si="13"/>
        <v/>
      </c>
      <c r="P215" s="173" t="str">
        <f>IFERROR(1-SUMIF(WTG_BD!$F:$F,$A215,WTG_BD!$AA:$AA)/($AA215+SUMIF(WTG_BD!$F:$F,$A215,WTG_BD!$AA:$AA)),"")</f>
        <v/>
      </c>
      <c r="Q215" s="173" t="str">
        <f>IFERROR(1-SUMIF(IGA_BD!$F:$F,$A215,IGA_BD!$X:$X)/($AA215+SUMIF(IGA_BD!$F:$F,$A215,IGA_BD!$X:$X)),"")</f>
        <v/>
      </c>
      <c r="R215" s="173" t="str">
        <f>IFERROR(1-SUMIF(Grid_BD!$F:$F,$A215,Grid_BD!$Y:$Y)/($AA215+SUMIF(Grid_BD!$F:$F,$A215,Grid_BD!$Y:$Y)),"")</f>
        <v/>
      </c>
      <c r="S215" s="167"/>
      <c r="T215" s="172"/>
      <c r="U215" s="173"/>
      <c r="V215" s="167"/>
      <c r="W215" s="174" t="str">
        <f t="shared" si="14"/>
        <v/>
      </c>
      <c r="X215" s="167" t="str">
        <f>IFERROR(_xlfn.XLOOKUP($A215,Input_Raw!$A:$A,Input_Raw!$BF:$BF),"")</f>
        <v/>
      </c>
      <c r="Y215" s="167" t="str">
        <f>IFERROR(_xlfn.XLOOKUP($A215,Input_Raw!$A:$A,Input_Raw!BJ:BJ),"")</f>
        <v/>
      </c>
      <c r="Z215" s="167" t="str">
        <f>IFERROR(_xlfn.XLOOKUP($A215,Input_Raw!$A:$A,Input_Raw!BK:BK),"")</f>
        <v/>
      </c>
      <c r="AA215" s="167" t="str">
        <f>IFERROR(_xlfn.XLOOKUP($A215,Input_Raw!$A:$A,Input_Raw!BL:BL),"")</f>
        <v/>
      </c>
      <c r="AB215" s="167" t="str">
        <f>IFERROR(_xlfn.XLOOKUP($A215,Input_Raw!$A:$A,Input_Raw!$BO:$BO),"")</f>
        <v/>
      </c>
      <c r="AC215" s="176">
        <f>IFERROR(_xlfn.XLOOKUP($D215,'Modelling New'!$D:$D,'Modelling New'!$J:$J),"")</f>
        <v>9.2100000000000009</v>
      </c>
      <c r="AD215" s="166">
        <f>IFERROR(_xlfn.XLOOKUP($D215,'Modelling New'!$D:$D,'Modelling New'!$T:$T)*1000,"")</f>
        <v>363484.56165517244</v>
      </c>
      <c r="AE215" s="174"/>
      <c r="AF215" s="174">
        <f>IFERROR(_xlfn.XLOOKUP($D215,'Modelling New'!$D:$D,'Modelling New'!$W:$W),"")</f>
        <v>0.21574344827586206</v>
      </c>
      <c r="AG215" s="174">
        <f>IFERROR(_xlfn.XLOOKUP($D215,'Modelling New'!$D:$D,'Modelling New'!$AE:$AE),"")</f>
        <v>0.96029999999999993</v>
      </c>
      <c r="AH215" s="174">
        <f>IFERROR(_xlfn.XLOOKUP($D215,'Modelling New'!$D:$D,'Modelling New'!$AF:$AF),"")</f>
        <v>0.995</v>
      </c>
      <c r="AI215" s="177" t="str">
        <f>IFERROR(_xlfn.XLOOKUP($A215,Input_Raw!$A:$A,Input_Raw!$BQ:$BQ),"")</f>
        <v/>
      </c>
      <c r="AJ215" s="167"/>
      <c r="AK215" s="167"/>
      <c r="AL215" s="167"/>
      <c r="AM215" s="167"/>
      <c r="AN215" s="175" t="str">
        <f>IFERROR(_xlfn.XLOOKUP($A215,Input_Raw!$A:$A,Input_Raw!$BN:$BN),"")</f>
        <v/>
      </c>
      <c r="AO215" s="174" t="str">
        <f>IFERROR((_xlfn.XLOOKUP($A215,'WTG Reactive Power'!$A:$A,'WTG Reactive Power'!$AE:$AE))/Table13[[#This Row],[Gen_Exp (kWh)]],"")</f>
        <v/>
      </c>
      <c r="AP215" s="174">
        <f>IFERROR(_xlfn.XLOOKUP($D215,'Modelling New'!$D:$D,'Modelling New'!$AK:$AK),"")</f>
        <v>0.05</v>
      </c>
      <c r="AQ215" s="174">
        <f>IFERROR(_xlfn.XLOOKUP($D215,'Modelling New'!$D:$D,'Modelling New'!$AL:$AL),"")</f>
        <v>0.05</v>
      </c>
      <c r="AR215" s="276">
        <f>IFERROR(_xlfn.XLOOKUP($D215,'Modelling New'!$D:$D,'Modelling New'!$N:$N),"")</f>
        <v>70.2</v>
      </c>
      <c r="AS215" s="276"/>
    </row>
    <row r="216" spans="1:45">
      <c r="A216" s="165">
        <f t="shared" si="15"/>
        <v>45959</v>
      </c>
      <c r="B216" s="166">
        <f>YEAR(Table13[[#This Row],[Date]])+IF(MONTH(Table13[[#This Row],[Date]])&gt;=4,1,0)</f>
        <v>2026</v>
      </c>
      <c r="C216" s="167">
        <f>YEAR(Table13[[#This Row],[Date]])</f>
        <v>2025</v>
      </c>
      <c r="D216" s="168">
        <f>Table13[[#This Row],[Date]]-DAY(Table13[[#This Row],[Date]])+1</f>
        <v>45931</v>
      </c>
      <c r="E216" s="167">
        <f t="shared" ref="E216:E279" si="16">DAY(EOMONTH(A216,0))</f>
        <v>31</v>
      </c>
      <c r="F216" s="169"/>
      <c r="G216" s="170"/>
      <c r="H216" s="170"/>
      <c r="I216" s="170"/>
      <c r="J216" s="170"/>
      <c r="K216" s="171"/>
      <c r="L216" s="170"/>
      <c r="M216" s="170" t="str">
        <f>IFERROR(_xlfn.XLOOKUP($A216,Input_Raw!$A:$A,Input_Raw!BG:BG),"")</f>
        <v/>
      </c>
      <c r="N216" s="170" t="str">
        <f>IFERROR(_xlfn.XLOOKUP($A216,Input_Raw!$A:$A,Input_Raw!BH:BH),"")</f>
        <v/>
      </c>
      <c r="O216" s="173" t="str">
        <f t="shared" ref="O216:O279" si="17">IFERROR(P216*Q216,"")</f>
        <v/>
      </c>
      <c r="P216" s="173" t="str">
        <f>IFERROR(1-SUMIF(WTG_BD!$F:$F,$A216,WTG_BD!$AA:$AA)/($AA216+SUMIF(WTG_BD!$F:$F,$A216,WTG_BD!$AA:$AA)),"")</f>
        <v/>
      </c>
      <c r="Q216" s="173" t="str">
        <f>IFERROR(1-SUMIF(IGA_BD!$F:$F,$A216,IGA_BD!$X:$X)/($AA216+SUMIF(IGA_BD!$F:$F,$A216,IGA_BD!$X:$X)),"")</f>
        <v/>
      </c>
      <c r="R216" s="173" t="str">
        <f>IFERROR(1-SUMIF(Grid_BD!$F:$F,$A216,Grid_BD!$Y:$Y)/($AA216+SUMIF(Grid_BD!$F:$F,$A216,Grid_BD!$Y:$Y)),"")</f>
        <v/>
      </c>
      <c r="S216" s="167"/>
      <c r="T216" s="172"/>
      <c r="U216" s="173"/>
      <c r="V216" s="167"/>
      <c r="W216" s="174" t="str">
        <f t="shared" ref="W216:W279" si="18">IFERROR(AA216/(24*AR216*1000),"")</f>
        <v/>
      </c>
      <c r="X216" s="167" t="str">
        <f>IFERROR(_xlfn.XLOOKUP($A216,Input_Raw!$A:$A,Input_Raw!$BF:$BF),"")</f>
        <v/>
      </c>
      <c r="Y216" s="167" t="str">
        <f>IFERROR(_xlfn.XLOOKUP($A216,Input_Raw!$A:$A,Input_Raw!BJ:BJ),"")</f>
        <v/>
      </c>
      <c r="Z216" s="167" t="str">
        <f>IFERROR(_xlfn.XLOOKUP($A216,Input_Raw!$A:$A,Input_Raw!BK:BK),"")</f>
        <v/>
      </c>
      <c r="AA216" s="167" t="str">
        <f>IFERROR(_xlfn.XLOOKUP($A216,Input_Raw!$A:$A,Input_Raw!BL:BL),"")</f>
        <v/>
      </c>
      <c r="AB216" s="167" t="str">
        <f>IFERROR(_xlfn.XLOOKUP($A216,Input_Raw!$A:$A,Input_Raw!$BO:$BO),"")</f>
        <v/>
      </c>
      <c r="AC216" s="176">
        <f>IFERROR(_xlfn.XLOOKUP($D216,'Modelling New'!$D:$D,'Modelling New'!$J:$J),"")</f>
        <v>9.2100000000000009</v>
      </c>
      <c r="AD216" s="166">
        <f>IFERROR(_xlfn.XLOOKUP($D216,'Modelling New'!$D:$D,'Modelling New'!$T:$T)*1000,"")</f>
        <v>363484.56165517244</v>
      </c>
      <c r="AE216" s="174"/>
      <c r="AF216" s="174">
        <f>IFERROR(_xlfn.XLOOKUP($D216,'Modelling New'!$D:$D,'Modelling New'!$W:$W),"")</f>
        <v>0.21574344827586206</v>
      </c>
      <c r="AG216" s="174">
        <f>IFERROR(_xlfn.XLOOKUP($D216,'Modelling New'!$D:$D,'Modelling New'!$AE:$AE),"")</f>
        <v>0.96029999999999993</v>
      </c>
      <c r="AH216" s="174">
        <f>IFERROR(_xlfn.XLOOKUP($D216,'Modelling New'!$D:$D,'Modelling New'!$AF:$AF),"")</f>
        <v>0.995</v>
      </c>
      <c r="AI216" s="177" t="str">
        <f>IFERROR(_xlfn.XLOOKUP($A216,Input_Raw!$A:$A,Input_Raw!$BQ:$BQ),"")</f>
        <v/>
      </c>
      <c r="AJ216" s="167"/>
      <c r="AK216" s="167"/>
      <c r="AL216" s="167"/>
      <c r="AM216" s="167"/>
      <c r="AN216" s="175" t="str">
        <f>IFERROR(_xlfn.XLOOKUP($A216,Input_Raw!$A:$A,Input_Raw!$BN:$BN),"")</f>
        <v/>
      </c>
      <c r="AO216" s="174" t="str">
        <f>IFERROR((_xlfn.XLOOKUP($A216,'WTG Reactive Power'!$A:$A,'WTG Reactive Power'!$AE:$AE))/Table13[[#This Row],[Gen_Exp (kWh)]],"")</f>
        <v/>
      </c>
      <c r="AP216" s="174">
        <f>IFERROR(_xlfn.XLOOKUP($D216,'Modelling New'!$D:$D,'Modelling New'!$AK:$AK),"")</f>
        <v>0.05</v>
      </c>
      <c r="AQ216" s="174">
        <f>IFERROR(_xlfn.XLOOKUP($D216,'Modelling New'!$D:$D,'Modelling New'!$AL:$AL),"")</f>
        <v>0.05</v>
      </c>
      <c r="AR216" s="276">
        <f>IFERROR(_xlfn.XLOOKUP($D216,'Modelling New'!$D:$D,'Modelling New'!$N:$N),"")</f>
        <v>70.2</v>
      </c>
      <c r="AS216" s="276"/>
    </row>
    <row r="217" spans="1:45">
      <c r="A217" s="165">
        <f t="shared" si="15"/>
        <v>45960</v>
      </c>
      <c r="B217" s="166">
        <f>YEAR(Table13[[#This Row],[Date]])+IF(MONTH(Table13[[#This Row],[Date]])&gt;=4,1,0)</f>
        <v>2026</v>
      </c>
      <c r="C217" s="167">
        <f>YEAR(Table13[[#This Row],[Date]])</f>
        <v>2025</v>
      </c>
      <c r="D217" s="168">
        <f>Table13[[#This Row],[Date]]-DAY(Table13[[#This Row],[Date]])+1</f>
        <v>45931</v>
      </c>
      <c r="E217" s="167">
        <f t="shared" si="16"/>
        <v>31</v>
      </c>
      <c r="F217" s="169"/>
      <c r="G217" s="176"/>
      <c r="H217" s="176"/>
      <c r="I217" s="176"/>
      <c r="J217" s="176"/>
      <c r="K217" s="171"/>
      <c r="L217" s="170"/>
      <c r="M217" s="170" t="str">
        <f>IFERROR(_xlfn.XLOOKUP($A217,Input_Raw!$A:$A,Input_Raw!BG:BG),"")</f>
        <v/>
      </c>
      <c r="N217" s="170" t="str">
        <f>IFERROR(_xlfn.XLOOKUP($A217,Input_Raw!$A:$A,Input_Raw!BH:BH),"")</f>
        <v/>
      </c>
      <c r="O217" s="173" t="str">
        <f t="shared" si="17"/>
        <v/>
      </c>
      <c r="P217" s="173" t="str">
        <f>IFERROR(1-SUMIF(WTG_BD!$F:$F,$A217,WTG_BD!$AA:$AA)/($AA217+SUMIF(WTG_BD!$F:$F,$A217,WTG_BD!$AA:$AA)),"")</f>
        <v/>
      </c>
      <c r="Q217" s="173" t="str">
        <f>IFERROR(1-SUMIF(IGA_BD!$F:$F,$A217,IGA_BD!$X:$X)/($AA217+SUMIF(IGA_BD!$F:$F,$A217,IGA_BD!$X:$X)),"")</f>
        <v/>
      </c>
      <c r="R217" s="173" t="str">
        <f>IFERROR(1-SUMIF(Grid_BD!$F:$F,$A217,Grid_BD!$Y:$Y)/($AA217+SUMIF(Grid_BD!$F:$F,$A217,Grid_BD!$Y:$Y)),"")</f>
        <v/>
      </c>
      <c r="S217" s="167"/>
      <c r="T217" s="172"/>
      <c r="U217" s="173"/>
      <c r="V217" s="167"/>
      <c r="W217" s="174" t="str">
        <f t="shared" si="18"/>
        <v/>
      </c>
      <c r="X217" s="167" t="str">
        <f>IFERROR(_xlfn.XLOOKUP($A217,Input_Raw!$A:$A,Input_Raw!$BF:$BF),"")</f>
        <v/>
      </c>
      <c r="Y217" s="167" t="str">
        <f>IFERROR(_xlfn.XLOOKUP($A217,Input_Raw!$A:$A,Input_Raw!BJ:BJ),"")</f>
        <v/>
      </c>
      <c r="Z217" s="167" t="str">
        <f>IFERROR(_xlfn.XLOOKUP($A217,Input_Raw!$A:$A,Input_Raw!BK:BK),"")</f>
        <v/>
      </c>
      <c r="AA217" s="167" t="str">
        <f>IFERROR(_xlfn.XLOOKUP($A217,Input_Raw!$A:$A,Input_Raw!BL:BL),"")</f>
        <v/>
      </c>
      <c r="AB217" s="167" t="str">
        <f>IFERROR(_xlfn.XLOOKUP($A217,Input_Raw!$A:$A,Input_Raw!$BO:$BO),"")</f>
        <v/>
      </c>
      <c r="AC217" s="176">
        <f>IFERROR(_xlfn.XLOOKUP($D217,'Modelling New'!$D:$D,'Modelling New'!$J:$J),"")</f>
        <v>9.2100000000000009</v>
      </c>
      <c r="AD217" s="166">
        <f>IFERROR(_xlfn.XLOOKUP($D217,'Modelling New'!$D:$D,'Modelling New'!$T:$T)*1000,"")</f>
        <v>363484.56165517244</v>
      </c>
      <c r="AE217" s="174"/>
      <c r="AF217" s="174">
        <f>IFERROR(_xlfn.XLOOKUP($D217,'Modelling New'!$D:$D,'Modelling New'!$W:$W),"")</f>
        <v>0.21574344827586206</v>
      </c>
      <c r="AG217" s="174">
        <f>IFERROR(_xlfn.XLOOKUP($D217,'Modelling New'!$D:$D,'Modelling New'!$AE:$AE),"")</f>
        <v>0.96029999999999993</v>
      </c>
      <c r="AH217" s="174">
        <f>IFERROR(_xlfn.XLOOKUP($D217,'Modelling New'!$D:$D,'Modelling New'!$AF:$AF),"")</f>
        <v>0.995</v>
      </c>
      <c r="AI217" s="177" t="str">
        <f>IFERROR(_xlfn.XLOOKUP($A217,Input_Raw!$A:$A,Input_Raw!$BQ:$BQ),"")</f>
        <v/>
      </c>
      <c r="AJ217" s="167"/>
      <c r="AK217" s="167"/>
      <c r="AL217" s="167"/>
      <c r="AM217" s="167"/>
      <c r="AN217" s="175" t="str">
        <f>IFERROR(_xlfn.XLOOKUP($A217,Input_Raw!$A:$A,Input_Raw!$BN:$BN),"")</f>
        <v/>
      </c>
      <c r="AO217" s="174" t="str">
        <f>IFERROR((_xlfn.XLOOKUP($A217,'WTG Reactive Power'!$A:$A,'WTG Reactive Power'!$AE:$AE))/Table13[[#This Row],[Gen_Exp (kWh)]],"")</f>
        <v/>
      </c>
      <c r="AP217" s="174">
        <f>IFERROR(_xlfn.XLOOKUP($D217,'Modelling New'!$D:$D,'Modelling New'!$AK:$AK),"")</f>
        <v>0.05</v>
      </c>
      <c r="AQ217" s="174">
        <f>IFERROR(_xlfn.XLOOKUP($D217,'Modelling New'!$D:$D,'Modelling New'!$AL:$AL),"")</f>
        <v>0.05</v>
      </c>
      <c r="AR217" s="276">
        <f>IFERROR(_xlfn.XLOOKUP($D217,'Modelling New'!$D:$D,'Modelling New'!$N:$N),"")</f>
        <v>70.2</v>
      </c>
      <c r="AS217" s="276"/>
    </row>
    <row r="218" spans="1:45">
      <c r="A218" s="165">
        <f t="shared" ref="A218:A281" si="19">A217+1</f>
        <v>45961</v>
      </c>
      <c r="B218" s="166">
        <f>YEAR(Table13[[#This Row],[Date]])+IF(MONTH(Table13[[#This Row],[Date]])&gt;=4,1,0)</f>
        <v>2026</v>
      </c>
      <c r="C218" s="167">
        <f>YEAR(Table13[[#This Row],[Date]])</f>
        <v>2025</v>
      </c>
      <c r="D218" s="168">
        <f>Table13[[#This Row],[Date]]-DAY(Table13[[#This Row],[Date]])+1</f>
        <v>45931</v>
      </c>
      <c r="E218" s="167">
        <f t="shared" si="16"/>
        <v>31</v>
      </c>
      <c r="F218" s="169"/>
      <c r="G218" s="170"/>
      <c r="H218" s="170"/>
      <c r="I218" s="170"/>
      <c r="J218" s="170"/>
      <c r="K218" s="171"/>
      <c r="L218" s="170"/>
      <c r="M218" s="170" t="str">
        <f>IFERROR(_xlfn.XLOOKUP($A218,Input_Raw!$A:$A,Input_Raw!BG:BG),"")</f>
        <v/>
      </c>
      <c r="N218" s="170" t="str">
        <f>IFERROR(_xlfn.XLOOKUP($A218,Input_Raw!$A:$A,Input_Raw!BH:BH),"")</f>
        <v/>
      </c>
      <c r="O218" s="173" t="str">
        <f t="shared" si="17"/>
        <v/>
      </c>
      <c r="P218" s="173" t="str">
        <f>IFERROR(1-SUMIF(WTG_BD!$F:$F,$A218,WTG_BD!$AA:$AA)/($AA218+SUMIF(WTG_BD!$F:$F,$A218,WTG_BD!$AA:$AA)),"")</f>
        <v/>
      </c>
      <c r="Q218" s="173" t="str">
        <f>IFERROR(1-SUMIF(IGA_BD!$F:$F,$A218,IGA_BD!$X:$X)/($AA218+SUMIF(IGA_BD!$F:$F,$A218,IGA_BD!$X:$X)),"")</f>
        <v/>
      </c>
      <c r="R218" s="173" t="str">
        <f>IFERROR(1-SUMIF(Grid_BD!$F:$F,$A218,Grid_BD!$Y:$Y)/($AA218+SUMIF(Grid_BD!$F:$F,$A218,Grid_BD!$Y:$Y)),"")</f>
        <v/>
      </c>
      <c r="S218" s="167"/>
      <c r="T218" s="172"/>
      <c r="U218" s="173"/>
      <c r="V218" s="167"/>
      <c r="W218" s="174" t="str">
        <f t="shared" si="18"/>
        <v/>
      </c>
      <c r="X218" s="167" t="str">
        <f>IFERROR(_xlfn.XLOOKUP($A218,Input_Raw!$A:$A,Input_Raw!$BF:$BF),"")</f>
        <v/>
      </c>
      <c r="Y218" s="167" t="str">
        <f>IFERROR(_xlfn.XLOOKUP($A218,Input_Raw!$A:$A,Input_Raw!BJ:BJ),"")</f>
        <v/>
      </c>
      <c r="Z218" s="167" t="str">
        <f>IFERROR(_xlfn.XLOOKUP($A218,Input_Raw!$A:$A,Input_Raw!BK:BK),"")</f>
        <v/>
      </c>
      <c r="AA218" s="167" t="str">
        <f>IFERROR(_xlfn.XLOOKUP($A218,Input_Raw!$A:$A,Input_Raw!BL:BL),"")</f>
        <v/>
      </c>
      <c r="AB218" s="167" t="str">
        <f>IFERROR(_xlfn.XLOOKUP($A218,Input_Raw!$A:$A,Input_Raw!$BO:$BO),"")</f>
        <v/>
      </c>
      <c r="AC218" s="176">
        <f>IFERROR(_xlfn.XLOOKUP($D218,'Modelling New'!$D:$D,'Modelling New'!$J:$J),"")</f>
        <v>9.2100000000000009</v>
      </c>
      <c r="AD218" s="166">
        <f>IFERROR(_xlfn.XLOOKUP($D218,'Modelling New'!$D:$D,'Modelling New'!$T:$T)*1000,"")</f>
        <v>363484.56165517244</v>
      </c>
      <c r="AE218" s="174"/>
      <c r="AF218" s="174">
        <f>IFERROR(_xlfn.XLOOKUP($D218,'Modelling New'!$D:$D,'Modelling New'!$W:$W),"")</f>
        <v>0.21574344827586206</v>
      </c>
      <c r="AG218" s="174">
        <f>IFERROR(_xlfn.XLOOKUP($D218,'Modelling New'!$D:$D,'Modelling New'!$AE:$AE),"")</f>
        <v>0.96029999999999993</v>
      </c>
      <c r="AH218" s="174">
        <f>IFERROR(_xlfn.XLOOKUP($D218,'Modelling New'!$D:$D,'Modelling New'!$AF:$AF),"")</f>
        <v>0.995</v>
      </c>
      <c r="AI218" s="177" t="str">
        <f>IFERROR(_xlfn.XLOOKUP($A218,Input_Raw!$A:$A,Input_Raw!$BQ:$BQ),"")</f>
        <v/>
      </c>
      <c r="AJ218" s="167"/>
      <c r="AK218" s="167"/>
      <c r="AL218" s="167"/>
      <c r="AM218" s="167"/>
      <c r="AN218" s="175" t="str">
        <f>IFERROR(_xlfn.XLOOKUP($A218,Input_Raw!$A:$A,Input_Raw!$BN:$BN),"")</f>
        <v/>
      </c>
      <c r="AO218" s="174" t="str">
        <f>IFERROR((_xlfn.XLOOKUP($A218,'WTG Reactive Power'!$A:$A,'WTG Reactive Power'!$AE:$AE))/Table13[[#This Row],[Gen_Exp (kWh)]],"")</f>
        <v/>
      </c>
      <c r="AP218" s="174">
        <f>IFERROR(_xlfn.XLOOKUP($D218,'Modelling New'!$D:$D,'Modelling New'!$AK:$AK),"")</f>
        <v>0.05</v>
      </c>
      <c r="AQ218" s="174">
        <f>IFERROR(_xlfn.XLOOKUP($D218,'Modelling New'!$D:$D,'Modelling New'!$AL:$AL),"")</f>
        <v>0.05</v>
      </c>
      <c r="AR218" s="276">
        <f>IFERROR(_xlfn.XLOOKUP($D218,'Modelling New'!$D:$D,'Modelling New'!$N:$N),"")</f>
        <v>70.2</v>
      </c>
      <c r="AS218" s="276"/>
    </row>
    <row r="219" spans="1:45">
      <c r="A219" s="165">
        <f t="shared" si="19"/>
        <v>45962</v>
      </c>
      <c r="B219" s="166">
        <f>YEAR(Table13[[#This Row],[Date]])+IF(MONTH(Table13[[#This Row],[Date]])&gt;=4,1,0)</f>
        <v>2026</v>
      </c>
      <c r="C219" s="167">
        <f>YEAR(Table13[[#This Row],[Date]])</f>
        <v>2025</v>
      </c>
      <c r="D219" s="168">
        <f>Table13[[#This Row],[Date]]-DAY(Table13[[#This Row],[Date]])+1</f>
        <v>45962</v>
      </c>
      <c r="E219" s="167">
        <f t="shared" si="16"/>
        <v>30</v>
      </c>
      <c r="F219" s="169"/>
      <c r="G219" s="176"/>
      <c r="H219" s="176"/>
      <c r="I219" s="176"/>
      <c r="J219" s="176"/>
      <c r="K219" s="171"/>
      <c r="L219" s="170"/>
      <c r="M219" s="170" t="str">
        <f>IFERROR(_xlfn.XLOOKUP($A219,Input_Raw!$A:$A,Input_Raw!BG:BG),"")</f>
        <v/>
      </c>
      <c r="N219" s="170" t="str">
        <f>IFERROR(_xlfn.XLOOKUP($A219,Input_Raw!$A:$A,Input_Raw!BH:BH),"")</f>
        <v/>
      </c>
      <c r="O219" s="173" t="str">
        <f t="shared" si="17"/>
        <v/>
      </c>
      <c r="P219" s="173" t="str">
        <f>IFERROR(1-SUMIF(WTG_BD!$F:$F,$A219,WTG_BD!$AA:$AA)/($AA219+SUMIF(WTG_BD!$F:$F,$A219,WTG_BD!$AA:$AA)),"")</f>
        <v/>
      </c>
      <c r="Q219" s="173" t="str">
        <f>IFERROR(1-SUMIF(IGA_BD!$F:$F,$A219,IGA_BD!$X:$X)/($AA219+SUMIF(IGA_BD!$F:$F,$A219,IGA_BD!$X:$X)),"")</f>
        <v/>
      </c>
      <c r="R219" s="173" t="str">
        <f>IFERROR(1-SUMIF(Grid_BD!$F:$F,$A219,Grid_BD!$Y:$Y)/($AA219+SUMIF(Grid_BD!$F:$F,$A219,Grid_BD!$Y:$Y)),"")</f>
        <v/>
      </c>
      <c r="S219" s="167"/>
      <c r="T219" s="172"/>
      <c r="U219" s="173"/>
      <c r="V219" s="167"/>
      <c r="W219" s="174" t="str">
        <f t="shared" si="18"/>
        <v/>
      </c>
      <c r="X219" s="167" t="str">
        <f>IFERROR(_xlfn.XLOOKUP($A219,Input_Raw!$A:$A,Input_Raw!$BF:$BF),"")</f>
        <v/>
      </c>
      <c r="Y219" s="167" t="str">
        <f>IFERROR(_xlfn.XLOOKUP($A219,Input_Raw!$A:$A,Input_Raw!BJ:BJ),"")</f>
        <v/>
      </c>
      <c r="Z219" s="167" t="str">
        <f>IFERROR(_xlfn.XLOOKUP($A219,Input_Raw!$A:$A,Input_Raw!BK:BK),"")</f>
        <v/>
      </c>
      <c r="AA219" s="167" t="str">
        <f>IFERROR(_xlfn.XLOOKUP($A219,Input_Raw!$A:$A,Input_Raw!BL:BL),"")</f>
        <v/>
      </c>
      <c r="AB219" s="167" t="str">
        <f>IFERROR(_xlfn.XLOOKUP($A219,Input_Raw!$A:$A,Input_Raw!$BO:$BO),"")</f>
        <v/>
      </c>
      <c r="AC219" s="176">
        <f>IFERROR(_xlfn.XLOOKUP($D219,'Modelling New'!$D:$D,'Modelling New'!$J:$J),"")</f>
        <v>8.33</v>
      </c>
      <c r="AD219" s="166">
        <f>IFERROR(_xlfn.XLOOKUP($D219,'Modelling New'!$D:$D,'Modelling New'!$T:$T)*1000,"")</f>
        <v>405674.73399014788</v>
      </c>
      <c r="AE219" s="174"/>
      <c r="AF219" s="174">
        <f>IFERROR(_xlfn.XLOOKUP($D219,'Modelling New'!$D:$D,'Modelling New'!$W:$W),"")</f>
        <v>0.24078509852216753</v>
      </c>
      <c r="AG219" s="174">
        <f>IFERROR(_xlfn.XLOOKUP($D219,'Modelling New'!$D:$D,'Modelling New'!$AE:$AE),"")</f>
        <v>0.96029999999999993</v>
      </c>
      <c r="AH219" s="174">
        <f>IFERROR(_xlfn.XLOOKUP($D219,'Modelling New'!$D:$D,'Modelling New'!$AF:$AF),"")</f>
        <v>0.995</v>
      </c>
      <c r="AI219" s="177" t="str">
        <f>IFERROR(_xlfn.XLOOKUP($A219,Input_Raw!$A:$A,Input_Raw!$BQ:$BQ),"")</f>
        <v/>
      </c>
      <c r="AJ219" s="167"/>
      <c r="AK219" s="167"/>
      <c r="AL219" s="167"/>
      <c r="AM219" s="167"/>
      <c r="AN219" s="175" t="str">
        <f>IFERROR(_xlfn.XLOOKUP($A219,Input_Raw!$A:$A,Input_Raw!$BN:$BN),"")</f>
        <v/>
      </c>
      <c r="AO219" s="174" t="str">
        <f>IFERROR((_xlfn.XLOOKUP($A219,'WTG Reactive Power'!$A:$A,'WTG Reactive Power'!$AE:$AE))/Table13[[#This Row],[Gen_Exp (kWh)]],"")</f>
        <v/>
      </c>
      <c r="AP219" s="174">
        <f>IFERROR(_xlfn.XLOOKUP($D219,'Modelling New'!$D:$D,'Modelling New'!$AK:$AK),"")</f>
        <v>0.05</v>
      </c>
      <c r="AQ219" s="174">
        <f>IFERROR(_xlfn.XLOOKUP($D219,'Modelling New'!$D:$D,'Modelling New'!$AL:$AL),"")</f>
        <v>0.05</v>
      </c>
      <c r="AR219" s="276">
        <f>IFERROR(_xlfn.XLOOKUP($D219,'Modelling New'!$D:$D,'Modelling New'!$N:$N),"")</f>
        <v>70.2</v>
      </c>
      <c r="AS219" s="276"/>
    </row>
    <row r="220" spans="1:45">
      <c r="A220" s="165">
        <f t="shared" si="19"/>
        <v>45963</v>
      </c>
      <c r="B220" s="166">
        <f>YEAR(Table13[[#This Row],[Date]])+IF(MONTH(Table13[[#This Row],[Date]])&gt;=4,1,0)</f>
        <v>2026</v>
      </c>
      <c r="C220" s="167">
        <f>YEAR(Table13[[#This Row],[Date]])</f>
        <v>2025</v>
      </c>
      <c r="D220" s="168">
        <f>Table13[[#This Row],[Date]]-DAY(Table13[[#This Row],[Date]])+1</f>
        <v>45962</v>
      </c>
      <c r="E220" s="167">
        <f t="shared" si="16"/>
        <v>30</v>
      </c>
      <c r="F220" s="169"/>
      <c r="G220" s="170"/>
      <c r="H220" s="170"/>
      <c r="I220" s="170"/>
      <c r="J220" s="170"/>
      <c r="K220" s="171"/>
      <c r="L220" s="170"/>
      <c r="M220" s="170" t="str">
        <f>IFERROR(_xlfn.XLOOKUP($A220,Input_Raw!$A:$A,Input_Raw!BG:BG),"")</f>
        <v/>
      </c>
      <c r="N220" s="170" t="str">
        <f>IFERROR(_xlfn.XLOOKUP($A220,Input_Raw!$A:$A,Input_Raw!BH:BH),"")</f>
        <v/>
      </c>
      <c r="O220" s="173" t="str">
        <f t="shared" si="17"/>
        <v/>
      </c>
      <c r="P220" s="173" t="str">
        <f>IFERROR(1-SUMIF(WTG_BD!$F:$F,$A220,WTG_BD!$AA:$AA)/($AA220+SUMIF(WTG_BD!$F:$F,$A220,WTG_BD!$AA:$AA)),"")</f>
        <v/>
      </c>
      <c r="Q220" s="173" t="str">
        <f>IFERROR(1-SUMIF(IGA_BD!$F:$F,$A220,IGA_BD!$X:$X)/($AA220+SUMIF(IGA_BD!$F:$F,$A220,IGA_BD!$X:$X)),"")</f>
        <v/>
      </c>
      <c r="R220" s="173" t="str">
        <f>IFERROR(1-SUMIF(Grid_BD!$F:$F,$A220,Grid_BD!$Y:$Y)/($AA220+SUMIF(Grid_BD!$F:$F,$A220,Grid_BD!$Y:$Y)),"")</f>
        <v/>
      </c>
      <c r="S220" s="167"/>
      <c r="T220" s="172"/>
      <c r="U220" s="173"/>
      <c r="V220" s="167"/>
      <c r="W220" s="174" t="str">
        <f t="shared" si="18"/>
        <v/>
      </c>
      <c r="X220" s="167" t="str">
        <f>IFERROR(_xlfn.XLOOKUP($A220,Input_Raw!$A:$A,Input_Raw!$BF:$BF),"")</f>
        <v/>
      </c>
      <c r="Y220" s="167" t="str">
        <f>IFERROR(_xlfn.XLOOKUP($A220,Input_Raw!$A:$A,Input_Raw!BJ:BJ),"")</f>
        <v/>
      </c>
      <c r="Z220" s="167" t="str">
        <f>IFERROR(_xlfn.XLOOKUP($A220,Input_Raw!$A:$A,Input_Raw!BK:BK),"")</f>
        <v/>
      </c>
      <c r="AA220" s="167" t="str">
        <f>IFERROR(_xlfn.XLOOKUP($A220,Input_Raw!$A:$A,Input_Raw!BL:BL),"")</f>
        <v/>
      </c>
      <c r="AB220" s="167" t="str">
        <f>IFERROR(_xlfn.XLOOKUP($A220,Input_Raw!$A:$A,Input_Raw!$BO:$BO),"")</f>
        <v/>
      </c>
      <c r="AC220" s="176">
        <f>IFERROR(_xlfn.XLOOKUP($D220,'Modelling New'!$D:$D,'Modelling New'!$J:$J),"")</f>
        <v>8.33</v>
      </c>
      <c r="AD220" s="166">
        <f>IFERROR(_xlfn.XLOOKUP($D220,'Modelling New'!$D:$D,'Modelling New'!$T:$T)*1000,"")</f>
        <v>405674.73399014788</v>
      </c>
      <c r="AE220" s="174"/>
      <c r="AF220" s="174">
        <f>IFERROR(_xlfn.XLOOKUP($D220,'Modelling New'!$D:$D,'Modelling New'!$W:$W),"")</f>
        <v>0.24078509852216753</v>
      </c>
      <c r="AG220" s="174">
        <f>IFERROR(_xlfn.XLOOKUP($D220,'Modelling New'!$D:$D,'Modelling New'!$AE:$AE),"")</f>
        <v>0.96029999999999993</v>
      </c>
      <c r="AH220" s="174">
        <f>IFERROR(_xlfn.XLOOKUP($D220,'Modelling New'!$D:$D,'Modelling New'!$AF:$AF),"")</f>
        <v>0.995</v>
      </c>
      <c r="AI220" s="177" t="str">
        <f>IFERROR(_xlfn.XLOOKUP($A220,Input_Raw!$A:$A,Input_Raw!$BQ:$BQ),"")</f>
        <v/>
      </c>
      <c r="AJ220" s="167"/>
      <c r="AK220" s="167"/>
      <c r="AL220" s="167"/>
      <c r="AM220" s="167"/>
      <c r="AN220" s="175" t="str">
        <f>IFERROR(_xlfn.XLOOKUP($A220,Input_Raw!$A:$A,Input_Raw!$BN:$BN),"")</f>
        <v/>
      </c>
      <c r="AO220" s="174" t="str">
        <f>IFERROR((_xlfn.XLOOKUP($A220,'WTG Reactive Power'!$A:$A,'WTG Reactive Power'!$AE:$AE))/Table13[[#This Row],[Gen_Exp (kWh)]],"")</f>
        <v/>
      </c>
      <c r="AP220" s="174">
        <f>IFERROR(_xlfn.XLOOKUP($D220,'Modelling New'!$D:$D,'Modelling New'!$AK:$AK),"")</f>
        <v>0.05</v>
      </c>
      <c r="AQ220" s="174">
        <f>IFERROR(_xlfn.XLOOKUP($D220,'Modelling New'!$D:$D,'Modelling New'!$AL:$AL),"")</f>
        <v>0.05</v>
      </c>
      <c r="AR220" s="276">
        <f>IFERROR(_xlfn.XLOOKUP($D220,'Modelling New'!$D:$D,'Modelling New'!$N:$N),"")</f>
        <v>70.2</v>
      </c>
      <c r="AS220" s="276"/>
    </row>
    <row r="221" spans="1:45">
      <c r="A221" s="165">
        <f t="shared" si="19"/>
        <v>45964</v>
      </c>
      <c r="B221" s="166">
        <f>YEAR(Table13[[#This Row],[Date]])+IF(MONTH(Table13[[#This Row],[Date]])&gt;=4,1,0)</f>
        <v>2026</v>
      </c>
      <c r="C221" s="167">
        <f>YEAR(Table13[[#This Row],[Date]])</f>
        <v>2025</v>
      </c>
      <c r="D221" s="168">
        <f>Table13[[#This Row],[Date]]-DAY(Table13[[#This Row],[Date]])+1</f>
        <v>45962</v>
      </c>
      <c r="E221" s="167">
        <f t="shared" si="16"/>
        <v>30</v>
      </c>
      <c r="F221" s="169"/>
      <c r="G221" s="176"/>
      <c r="H221" s="176"/>
      <c r="I221" s="176"/>
      <c r="J221" s="176"/>
      <c r="K221" s="171"/>
      <c r="L221" s="170"/>
      <c r="M221" s="170" t="str">
        <f>IFERROR(_xlfn.XLOOKUP($A221,Input_Raw!$A:$A,Input_Raw!BG:BG),"")</f>
        <v/>
      </c>
      <c r="N221" s="170" t="str">
        <f>IFERROR(_xlfn.XLOOKUP($A221,Input_Raw!$A:$A,Input_Raw!BH:BH),"")</f>
        <v/>
      </c>
      <c r="O221" s="173" t="str">
        <f t="shared" si="17"/>
        <v/>
      </c>
      <c r="P221" s="173" t="str">
        <f>IFERROR(1-SUMIF(WTG_BD!$F:$F,$A221,WTG_BD!$AA:$AA)/($AA221+SUMIF(WTG_BD!$F:$F,$A221,WTG_BD!$AA:$AA)),"")</f>
        <v/>
      </c>
      <c r="Q221" s="173" t="str">
        <f>IFERROR(1-SUMIF(IGA_BD!$F:$F,$A221,IGA_BD!$X:$X)/($AA221+SUMIF(IGA_BD!$F:$F,$A221,IGA_BD!$X:$X)),"")</f>
        <v/>
      </c>
      <c r="R221" s="173" t="str">
        <f>IFERROR(1-SUMIF(Grid_BD!$F:$F,$A221,Grid_BD!$Y:$Y)/($AA221+SUMIF(Grid_BD!$F:$F,$A221,Grid_BD!$Y:$Y)),"")</f>
        <v/>
      </c>
      <c r="S221" s="167"/>
      <c r="T221" s="172"/>
      <c r="U221" s="173"/>
      <c r="V221" s="167"/>
      <c r="W221" s="174" t="str">
        <f t="shared" si="18"/>
        <v/>
      </c>
      <c r="X221" s="167" t="str">
        <f>IFERROR(_xlfn.XLOOKUP($A221,Input_Raw!$A:$A,Input_Raw!$BF:$BF),"")</f>
        <v/>
      </c>
      <c r="Y221" s="167" t="str">
        <f>IFERROR(_xlfn.XLOOKUP($A221,Input_Raw!$A:$A,Input_Raw!BJ:BJ),"")</f>
        <v/>
      </c>
      <c r="Z221" s="167" t="str">
        <f>IFERROR(_xlfn.XLOOKUP($A221,Input_Raw!$A:$A,Input_Raw!BK:BK),"")</f>
        <v/>
      </c>
      <c r="AA221" s="167" t="str">
        <f>IFERROR(_xlfn.XLOOKUP($A221,Input_Raw!$A:$A,Input_Raw!BL:BL),"")</f>
        <v/>
      </c>
      <c r="AB221" s="167" t="str">
        <f>IFERROR(_xlfn.XLOOKUP($A221,Input_Raw!$A:$A,Input_Raw!$BO:$BO),"")</f>
        <v/>
      </c>
      <c r="AC221" s="176">
        <f>IFERROR(_xlfn.XLOOKUP($D221,'Modelling New'!$D:$D,'Modelling New'!$J:$J),"")</f>
        <v>8.33</v>
      </c>
      <c r="AD221" s="166">
        <f>IFERROR(_xlfn.XLOOKUP($D221,'Modelling New'!$D:$D,'Modelling New'!$T:$T)*1000,"")</f>
        <v>405674.73399014788</v>
      </c>
      <c r="AE221" s="174"/>
      <c r="AF221" s="174">
        <f>IFERROR(_xlfn.XLOOKUP($D221,'Modelling New'!$D:$D,'Modelling New'!$W:$W),"")</f>
        <v>0.24078509852216753</v>
      </c>
      <c r="AG221" s="174">
        <f>IFERROR(_xlfn.XLOOKUP($D221,'Modelling New'!$D:$D,'Modelling New'!$AE:$AE),"")</f>
        <v>0.96029999999999993</v>
      </c>
      <c r="AH221" s="174">
        <f>IFERROR(_xlfn.XLOOKUP($D221,'Modelling New'!$D:$D,'Modelling New'!$AF:$AF),"")</f>
        <v>0.995</v>
      </c>
      <c r="AI221" s="177" t="str">
        <f>IFERROR(_xlfn.XLOOKUP($A221,Input_Raw!$A:$A,Input_Raw!$BQ:$BQ),"")</f>
        <v/>
      </c>
      <c r="AJ221" s="167"/>
      <c r="AK221" s="167"/>
      <c r="AL221" s="167"/>
      <c r="AM221" s="167"/>
      <c r="AN221" s="175" t="str">
        <f>IFERROR(_xlfn.XLOOKUP($A221,Input_Raw!$A:$A,Input_Raw!$BN:$BN),"")</f>
        <v/>
      </c>
      <c r="AO221" s="174" t="str">
        <f>IFERROR((_xlfn.XLOOKUP($A221,'WTG Reactive Power'!$A:$A,'WTG Reactive Power'!$AE:$AE))/Table13[[#This Row],[Gen_Exp (kWh)]],"")</f>
        <v/>
      </c>
      <c r="AP221" s="174">
        <f>IFERROR(_xlfn.XLOOKUP($D221,'Modelling New'!$D:$D,'Modelling New'!$AK:$AK),"")</f>
        <v>0.05</v>
      </c>
      <c r="AQ221" s="174">
        <f>IFERROR(_xlfn.XLOOKUP($D221,'Modelling New'!$D:$D,'Modelling New'!$AL:$AL),"")</f>
        <v>0.05</v>
      </c>
      <c r="AR221" s="276">
        <f>IFERROR(_xlfn.XLOOKUP($D221,'Modelling New'!$D:$D,'Modelling New'!$N:$N),"")</f>
        <v>70.2</v>
      </c>
      <c r="AS221" s="276"/>
    </row>
    <row r="222" spans="1:45">
      <c r="A222" s="165">
        <f t="shared" si="19"/>
        <v>45965</v>
      </c>
      <c r="B222" s="166">
        <f>YEAR(Table13[[#This Row],[Date]])+IF(MONTH(Table13[[#This Row],[Date]])&gt;=4,1,0)</f>
        <v>2026</v>
      </c>
      <c r="C222" s="167">
        <f>YEAR(Table13[[#This Row],[Date]])</f>
        <v>2025</v>
      </c>
      <c r="D222" s="168">
        <f>Table13[[#This Row],[Date]]-DAY(Table13[[#This Row],[Date]])+1</f>
        <v>45962</v>
      </c>
      <c r="E222" s="167">
        <f t="shared" si="16"/>
        <v>30</v>
      </c>
      <c r="F222" s="169"/>
      <c r="G222" s="170"/>
      <c r="H222" s="170"/>
      <c r="I222" s="170"/>
      <c r="J222" s="170"/>
      <c r="K222" s="171"/>
      <c r="L222" s="170"/>
      <c r="M222" s="170" t="str">
        <f>IFERROR(_xlfn.XLOOKUP($A222,Input_Raw!$A:$A,Input_Raw!BG:BG),"")</f>
        <v/>
      </c>
      <c r="N222" s="170" t="str">
        <f>IFERROR(_xlfn.XLOOKUP($A222,Input_Raw!$A:$A,Input_Raw!BH:BH),"")</f>
        <v/>
      </c>
      <c r="O222" s="173" t="str">
        <f t="shared" si="17"/>
        <v/>
      </c>
      <c r="P222" s="173" t="str">
        <f>IFERROR(1-SUMIF(WTG_BD!$F:$F,$A222,WTG_BD!$AA:$AA)/($AA222+SUMIF(WTG_BD!$F:$F,$A222,WTG_BD!$AA:$AA)),"")</f>
        <v/>
      </c>
      <c r="Q222" s="173" t="str">
        <f>IFERROR(1-SUMIF(IGA_BD!$F:$F,$A222,IGA_BD!$X:$X)/($AA222+SUMIF(IGA_BD!$F:$F,$A222,IGA_BD!$X:$X)),"")</f>
        <v/>
      </c>
      <c r="R222" s="173" t="str">
        <f>IFERROR(1-SUMIF(Grid_BD!$F:$F,$A222,Grid_BD!$Y:$Y)/($AA222+SUMIF(Grid_BD!$F:$F,$A222,Grid_BD!$Y:$Y)),"")</f>
        <v/>
      </c>
      <c r="S222" s="167"/>
      <c r="T222" s="172"/>
      <c r="U222" s="173"/>
      <c r="V222" s="167"/>
      <c r="W222" s="174" t="str">
        <f t="shared" si="18"/>
        <v/>
      </c>
      <c r="X222" s="167" t="str">
        <f>IFERROR(_xlfn.XLOOKUP($A222,Input_Raw!$A:$A,Input_Raw!$BF:$BF),"")</f>
        <v/>
      </c>
      <c r="Y222" s="167" t="str">
        <f>IFERROR(_xlfn.XLOOKUP($A222,Input_Raw!$A:$A,Input_Raw!BJ:BJ),"")</f>
        <v/>
      </c>
      <c r="Z222" s="167" t="str">
        <f>IFERROR(_xlfn.XLOOKUP($A222,Input_Raw!$A:$A,Input_Raw!BK:BK),"")</f>
        <v/>
      </c>
      <c r="AA222" s="167" t="str">
        <f>IFERROR(_xlfn.XLOOKUP($A222,Input_Raw!$A:$A,Input_Raw!BL:BL),"")</f>
        <v/>
      </c>
      <c r="AB222" s="167" t="str">
        <f>IFERROR(_xlfn.XLOOKUP($A222,Input_Raw!$A:$A,Input_Raw!$BO:$BO),"")</f>
        <v/>
      </c>
      <c r="AC222" s="176">
        <f>IFERROR(_xlfn.XLOOKUP($D222,'Modelling New'!$D:$D,'Modelling New'!$J:$J),"")</f>
        <v>8.33</v>
      </c>
      <c r="AD222" s="166">
        <f>IFERROR(_xlfn.XLOOKUP($D222,'Modelling New'!$D:$D,'Modelling New'!$T:$T)*1000,"")</f>
        <v>405674.73399014788</v>
      </c>
      <c r="AE222" s="174"/>
      <c r="AF222" s="174">
        <f>IFERROR(_xlfn.XLOOKUP($D222,'Modelling New'!$D:$D,'Modelling New'!$W:$W),"")</f>
        <v>0.24078509852216753</v>
      </c>
      <c r="AG222" s="174">
        <f>IFERROR(_xlfn.XLOOKUP($D222,'Modelling New'!$D:$D,'Modelling New'!$AE:$AE),"")</f>
        <v>0.96029999999999993</v>
      </c>
      <c r="AH222" s="174">
        <f>IFERROR(_xlfn.XLOOKUP($D222,'Modelling New'!$D:$D,'Modelling New'!$AF:$AF),"")</f>
        <v>0.995</v>
      </c>
      <c r="AI222" s="177" t="str">
        <f>IFERROR(_xlfn.XLOOKUP($A222,Input_Raw!$A:$A,Input_Raw!$BQ:$BQ),"")</f>
        <v/>
      </c>
      <c r="AJ222" s="167"/>
      <c r="AK222" s="167"/>
      <c r="AL222" s="167"/>
      <c r="AM222" s="167"/>
      <c r="AN222" s="175" t="str">
        <f>IFERROR(_xlfn.XLOOKUP($A222,Input_Raw!$A:$A,Input_Raw!$BN:$BN),"")</f>
        <v/>
      </c>
      <c r="AO222" s="174" t="str">
        <f>IFERROR((_xlfn.XLOOKUP($A222,'WTG Reactive Power'!$A:$A,'WTG Reactive Power'!$AE:$AE))/Table13[[#This Row],[Gen_Exp (kWh)]],"")</f>
        <v/>
      </c>
      <c r="AP222" s="174">
        <f>IFERROR(_xlfn.XLOOKUP($D222,'Modelling New'!$D:$D,'Modelling New'!$AK:$AK),"")</f>
        <v>0.05</v>
      </c>
      <c r="AQ222" s="174">
        <f>IFERROR(_xlfn.XLOOKUP($D222,'Modelling New'!$D:$D,'Modelling New'!$AL:$AL),"")</f>
        <v>0.05</v>
      </c>
      <c r="AR222" s="276">
        <f>IFERROR(_xlfn.XLOOKUP($D222,'Modelling New'!$D:$D,'Modelling New'!$N:$N),"")</f>
        <v>70.2</v>
      </c>
      <c r="AS222" s="276"/>
    </row>
    <row r="223" spans="1:45">
      <c r="A223" s="165">
        <f t="shared" si="19"/>
        <v>45966</v>
      </c>
      <c r="B223" s="166">
        <f>YEAR(Table13[[#This Row],[Date]])+IF(MONTH(Table13[[#This Row],[Date]])&gt;=4,1,0)</f>
        <v>2026</v>
      </c>
      <c r="C223" s="167">
        <f>YEAR(Table13[[#This Row],[Date]])</f>
        <v>2025</v>
      </c>
      <c r="D223" s="168">
        <f>Table13[[#This Row],[Date]]-DAY(Table13[[#This Row],[Date]])+1</f>
        <v>45962</v>
      </c>
      <c r="E223" s="167">
        <f t="shared" si="16"/>
        <v>30</v>
      </c>
      <c r="F223" s="169"/>
      <c r="G223" s="176"/>
      <c r="H223" s="176"/>
      <c r="I223" s="176"/>
      <c r="J223" s="176"/>
      <c r="K223" s="171"/>
      <c r="L223" s="170"/>
      <c r="M223" s="170" t="str">
        <f>IFERROR(_xlfn.XLOOKUP($A223,Input_Raw!$A:$A,Input_Raw!BG:BG),"")</f>
        <v/>
      </c>
      <c r="N223" s="170" t="str">
        <f>IFERROR(_xlfn.XLOOKUP($A223,Input_Raw!$A:$A,Input_Raw!BH:BH),"")</f>
        <v/>
      </c>
      <c r="O223" s="173" t="str">
        <f t="shared" si="17"/>
        <v/>
      </c>
      <c r="P223" s="173" t="str">
        <f>IFERROR(1-SUMIF(WTG_BD!$F:$F,$A223,WTG_BD!$AA:$AA)/($AA223+SUMIF(WTG_BD!$F:$F,$A223,WTG_BD!$AA:$AA)),"")</f>
        <v/>
      </c>
      <c r="Q223" s="173" t="str">
        <f>IFERROR(1-SUMIF(IGA_BD!$F:$F,$A223,IGA_BD!$X:$X)/($AA223+SUMIF(IGA_BD!$F:$F,$A223,IGA_BD!$X:$X)),"")</f>
        <v/>
      </c>
      <c r="R223" s="173" t="str">
        <f>IFERROR(1-SUMIF(Grid_BD!$F:$F,$A223,Grid_BD!$Y:$Y)/($AA223+SUMIF(Grid_BD!$F:$F,$A223,Grid_BD!$Y:$Y)),"")</f>
        <v/>
      </c>
      <c r="S223" s="167"/>
      <c r="T223" s="172"/>
      <c r="U223" s="173"/>
      <c r="V223" s="167"/>
      <c r="W223" s="174" t="str">
        <f t="shared" si="18"/>
        <v/>
      </c>
      <c r="X223" s="167" t="str">
        <f>IFERROR(_xlfn.XLOOKUP($A223,Input_Raw!$A:$A,Input_Raw!$BF:$BF),"")</f>
        <v/>
      </c>
      <c r="Y223" s="167" t="str">
        <f>IFERROR(_xlfn.XLOOKUP($A223,Input_Raw!$A:$A,Input_Raw!BJ:BJ),"")</f>
        <v/>
      </c>
      <c r="Z223" s="167" t="str">
        <f>IFERROR(_xlfn.XLOOKUP($A223,Input_Raw!$A:$A,Input_Raw!BK:BK),"")</f>
        <v/>
      </c>
      <c r="AA223" s="167" t="str">
        <f>IFERROR(_xlfn.XLOOKUP($A223,Input_Raw!$A:$A,Input_Raw!BL:BL),"")</f>
        <v/>
      </c>
      <c r="AB223" s="167" t="str">
        <f>IFERROR(_xlfn.XLOOKUP($A223,Input_Raw!$A:$A,Input_Raw!$BO:$BO),"")</f>
        <v/>
      </c>
      <c r="AC223" s="176">
        <f>IFERROR(_xlfn.XLOOKUP($D223,'Modelling New'!$D:$D,'Modelling New'!$J:$J),"")</f>
        <v>8.33</v>
      </c>
      <c r="AD223" s="166">
        <f>IFERROR(_xlfn.XLOOKUP($D223,'Modelling New'!$D:$D,'Modelling New'!$T:$T)*1000,"")</f>
        <v>405674.73399014788</v>
      </c>
      <c r="AE223" s="174"/>
      <c r="AF223" s="174">
        <f>IFERROR(_xlfn.XLOOKUP($D223,'Modelling New'!$D:$D,'Modelling New'!$W:$W),"")</f>
        <v>0.24078509852216753</v>
      </c>
      <c r="AG223" s="174">
        <f>IFERROR(_xlfn.XLOOKUP($D223,'Modelling New'!$D:$D,'Modelling New'!$AE:$AE),"")</f>
        <v>0.96029999999999993</v>
      </c>
      <c r="AH223" s="174">
        <f>IFERROR(_xlfn.XLOOKUP($D223,'Modelling New'!$D:$D,'Modelling New'!$AF:$AF),"")</f>
        <v>0.995</v>
      </c>
      <c r="AI223" s="177" t="str">
        <f>IFERROR(_xlfn.XLOOKUP($A223,Input_Raw!$A:$A,Input_Raw!$BQ:$BQ),"")</f>
        <v/>
      </c>
      <c r="AJ223" s="167"/>
      <c r="AK223" s="167"/>
      <c r="AL223" s="167"/>
      <c r="AM223" s="167"/>
      <c r="AN223" s="175" t="str">
        <f>IFERROR(_xlfn.XLOOKUP($A223,Input_Raw!$A:$A,Input_Raw!$BN:$BN),"")</f>
        <v/>
      </c>
      <c r="AO223" s="174" t="str">
        <f>IFERROR((_xlfn.XLOOKUP($A223,'WTG Reactive Power'!$A:$A,'WTG Reactive Power'!$AE:$AE))/Table13[[#This Row],[Gen_Exp (kWh)]],"")</f>
        <v/>
      </c>
      <c r="AP223" s="174">
        <f>IFERROR(_xlfn.XLOOKUP($D223,'Modelling New'!$D:$D,'Modelling New'!$AK:$AK),"")</f>
        <v>0.05</v>
      </c>
      <c r="AQ223" s="174">
        <f>IFERROR(_xlfn.XLOOKUP($D223,'Modelling New'!$D:$D,'Modelling New'!$AL:$AL),"")</f>
        <v>0.05</v>
      </c>
      <c r="AR223" s="276">
        <f>IFERROR(_xlfn.XLOOKUP($D223,'Modelling New'!$D:$D,'Modelling New'!$N:$N),"")</f>
        <v>70.2</v>
      </c>
      <c r="AS223" s="276"/>
    </row>
    <row r="224" spans="1:45">
      <c r="A224" s="165">
        <f t="shared" si="19"/>
        <v>45967</v>
      </c>
      <c r="B224" s="166">
        <f>YEAR(Table13[[#This Row],[Date]])+IF(MONTH(Table13[[#This Row],[Date]])&gt;=4,1,0)</f>
        <v>2026</v>
      </c>
      <c r="C224" s="167">
        <f>YEAR(Table13[[#This Row],[Date]])</f>
        <v>2025</v>
      </c>
      <c r="D224" s="168">
        <f>Table13[[#This Row],[Date]]-DAY(Table13[[#This Row],[Date]])+1</f>
        <v>45962</v>
      </c>
      <c r="E224" s="167">
        <f t="shared" si="16"/>
        <v>30</v>
      </c>
      <c r="F224" s="169"/>
      <c r="G224" s="170"/>
      <c r="H224" s="170"/>
      <c r="I224" s="170"/>
      <c r="J224" s="170"/>
      <c r="K224" s="171"/>
      <c r="L224" s="170"/>
      <c r="M224" s="170" t="str">
        <f>IFERROR(_xlfn.XLOOKUP($A224,Input_Raw!$A:$A,Input_Raw!BG:BG),"")</f>
        <v/>
      </c>
      <c r="N224" s="170" t="str">
        <f>IFERROR(_xlfn.XLOOKUP($A224,Input_Raw!$A:$A,Input_Raw!BH:BH),"")</f>
        <v/>
      </c>
      <c r="O224" s="173" t="str">
        <f t="shared" si="17"/>
        <v/>
      </c>
      <c r="P224" s="173" t="str">
        <f>IFERROR(1-SUMIF(WTG_BD!$F:$F,$A224,WTG_BD!$AA:$AA)/($AA224+SUMIF(WTG_BD!$F:$F,$A224,WTG_BD!$AA:$AA)),"")</f>
        <v/>
      </c>
      <c r="Q224" s="173" t="str">
        <f>IFERROR(1-SUMIF(IGA_BD!$F:$F,$A224,IGA_BD!$X:$X)/($AA224+SUMIF(IGA_BD!$F:$F,$A224,IGA_BD!$X:$X)),"")</f>
        <v/>
      </c>
      <c r="R224" s="173" t="str">
        <f>IFERROR(1-SUMIF(Grid_BD!$F:$F,$A224,Grid_BD!$Y:$Y)/($AA224+SUMIF(Grid_BD!$F:$F,$A224,Grid_BD!$Y:$Y)),"")</f>
        <v/>
      </c>
      <c r="S224" s="167"/>
      <c r="T224" s="172"/>
      <c r="U224" s="173"/>
      <c r="V224" s="167"/>
      <c r="W224" s="174" t="str">
        <f t="shared" si="18"/>
        <v/>
      </c>
      <c r="X224" s="167" t="str">
        <f>IFERROR(_xlfn.XLOOKUP($A224,Input_Raw!$A:$A,Input_Raw!$BF:$BF),"")</f>
        <v/>
      </c>
      <c r="Y224" s="167" t="str">
        <f>IFERROR(_xlfn.XLOOKUP($A224,Input_Raw!$A:$A,Input_Raw!BJ:BJ),"")</f>
        <v/>
      </c>
      <c r="Z224" s="167" t="str">
        <f>IFERROR(_xlfn.XLOOKUP($A224,Input_Raw!$A:$A,Input_Raw!BK:BK),"")</f>
        <v/>
      </c>
      <c r="AA224" s="167" t="str">
        <f>IFERROR(_xlfn.XLOOKUP($A224,Input_Raw!$A:$A,Input_Raw!BL:BL),"")</f>
        <v/>
      </c>
      <c r="AB224" s="167" t="str">
        <f>IFERROR(_xlfn.XLOOKUP($A224,Input_Raw!$A:$A,Input_Raw!$BO:$BO),"")</f>
        <v/>
      </c>
      <c r="AC224" s="176">
        <f>IFERROR(_xlfn.XLOOKUP($D224,'Modelling New'!$D:$D,'Modelling New'!$J:$J),"")</f>
        <v>8.33</v>
      </c>
      <c r="AD224" s="166">
        <f>IFERROR(_xlfn.XLOOKUP($D224,'Modelling New'!$D:$D,'Modelling New'!$T:$T)*1000,"")</f>
        <v>405674.73399014788</v>
      </c>
      <c r="AE224" s="174"/>
      <c r="AF224" s="174">
        <f>IFERROR(_xlfn.XLOOKUP($D224,'Modelling New'!$D:$D,'Modelling New'!$W:$W),"")</f>
        <v>0.24078509852216753</v>
      </c>
      <c r="AG224" s="174">
        <f>IFERROR(_xlfn.XLOOKUP($D224,'Modelling New'!$D:$D,'Modelling New'!$AE:$AE),"")</f>
        <v>0.96029999999999993</v>
      </c>
      <c r="AH224" s="174">
        <f>IFERROR(_xlfn.XLOOKUP($D224,'Modelling New'!$D:$D,'Modelling New'!$AF:$AF),"")</f>
        <v>0.995</v>
      </c>
      <c r="AI224" s="177" t="str">
        <f>IFERROR(_xlfn.XLOOKUP($A224,Input_Raw!$A:$A,Input_Raw!$BQ:$BQ),"")</f>
        <v/>
      </c>
      <c r="AJ224" s="167"/>
      <c r="AK224" s="167"/>
      <c r="AL224" s="167"/>
      <c r="AM224" s="167"/>
      <c r="AN224" s="175" t="str">
        <f>IFERROR(_xlfn.XLOOKUP($A224,Input_Raw!$A:$A,Input_Raw!$BN:$BN),"")</f>
        <v/>
      </c>
      <c r="AO224" s="174" t="str">
        <f>IFERROR((_xlfn.XLOOKUP($A224,'WTG Reactive Power'!$A:$A,'WTG Reactive Power'!$AE:$AE))/Table13[[#This Row],[Gen_Exp (kWh)]],"")</f>
        <v/>
      </c>
      <c r="AP224" s="174">
        <f>IFERROR(_xlfn.XLOOKUP($D224,'Modelling New'!$D:$D,'Modelling New'!$AK:$AK),"")</f>
        <v>0.05</v>
      </c>
      <c r="AQ224" s="174">
        <f>IFERROR(_xlfn.XLOOKUP($D224,'Modelling New'!$D:$D,'Modelling New'!$AL:$AL),"")</f>
        <v>0.05</v>
      </c>
      <c r="AR224" s="276">
        <f>IFERROR(_xlfn.XLOOKUP($D224,'Modelling New'!$D:$D,'Modelling New'!$N:$N),"")</f>
        <v>70.2</v>
      </c>
      <c r="AS224" s="276"/>
    </row>
    <row r="225" spans="1:45">
      <c r="A225" s="165">
        <f t="shared" si="19"/>
        <v>45968</v>
      </c>
      <c r="B225" s="166">
        <f>YEAR(Table13[[#This Row],[Date]])+IF(MONTH(Table13[[#This Row],[Date]])&gt;=4,1,0)</f>
        <v>2026</v>
      </c>
      <c r="C225" s="167">
        <f>YEAR(Table13[[#This Row],[Date]])</f>
        <v>2025</v>
      </c>
      <c r="D225" s="168">
        <f>Table13[[#This Row],[Date]]-DAY(Table13[[#This Row],[Date]])+1</f>
        <v>45962</v>
      </c>
      <c r="E225" s="167">
        <f t="shared" si="16"/>
        <v>30</v>
      </c>
      <c r="F225" s="169"/>
      <c r="G225" s="176"/>
      <c r="H225" s="176"/>
      <c r="I225" s="176"/>
      <c r="J225" s="176"/>
      <c r="K225" s="171"/>
      <c r="L225" s="170"/>
      <c r="M225" s="170" t="str">
        <f>IFERROR(_xlfn.XLOOKUP($A225,Input_Raw!$A:$A,Input_Raw!BG:BG),"")</f>
        <v/>
      </c>
      <c r="N225" s="170" t="str">
        <f>IFERROR(_xlfn.XLOOKUP($A225,Input_Raw!$A:$A,Input_Raw!BH:BH),"")</f>
        <v/>
      </c>
      <c r="O225" s="173" t="str">
        <f t="shared" si="17"/>
        <v/>
      </c>
      <c r="P225" s="173" t="str">
        <f>IFERROR(1-SUMIF(WTG_BD!$F:$F,$A225,WTG_BD!$AA:$AA)/($AA225+SUMIF(WTG_BD!$F:$F,$A225,WTG_BD!$AA:$AA)),"")</f>
        <v/>
      </c>
      <c r="Q225" s="173" t="str">
        <f>IFERROR(1-SUMIF(IGA_BD!$F:$F,$A225,IGA_BD!$X:$X)/($AA225+SUMIF(IGA_BD!$F:$F,$A225,IGA_BD!$X:$X)),"")</f>
        <v/>
      </c>
      <c r="R225" s="173" t="str">
        <f>IFERROR(1-SUMIF(Grid_BD!$F:$F,$A225,Grid_BD!$Y:$Y)/($AA225+SUMIF(Grid_BD!$F:$F,$A225,Grid_BD!$Y:$Y)),"")</f>
        <v/>
      </c>
      <c r="S225" s="167"/>
      <c r="T225" s="172"/>
      <c r="U225" s="173"/>
      <c r="V225" s="167"/>
      <c r="W225" s="174" t="str">
        <f t="shared" si="18"/>
        <v/>
      </c>
      <c r="X225" s="167" t="str">
        <f>IFERROR(_xlfn.XLOOKUP($A225,Input_Raw!$A:$A,Input_Raw!$BF:$BF),"")</f>
        <v/>
      </c>
      <c r="Y225" s="167" t="str">
        <f>IFERROR(_xlfn.XLOOKUP($A225,Input_Raw!$A:$A,Input_Raw!BJ:BJ),"")</f>
        <v/>
      </c>
      <c r="Z225" s="167" t="str">
        <f>IFERROR(_xlfn.XLOOKUP($A225,Input_Raw!$A:$A,Input_Raw!BK:BK),"")</f>
        <v/>
      </c>
      <c r="AA225" s="167" t="str">
        <f>IFERROR(_xlfn.XLOOKUP($A225,Input_Raw!$A:$A,Input_Raw!BL:BL),"")</f>
        <v/>
      </c>
      <c r="AB225" s="167" t="str">
        <f>IFERROR(_xlfn.XLOOKUP($A225,Input_Raw!$A:$A,Input_Raw!$BO:$BO),"")</f>
        <v/>
      </c>
      <c r="AC225" s="176">
        <f>IFERROR(_xlfn.XLOOKUP($D225,'Modelling New'!$D:$D,'Modelling New'!$J:$J),"")</f>
        <v>8.33</v>
      </c>
      <c r="AD225" s="166">
        <f>IFERROR(_xlfn.XLOOKUP($D225,'Modelling New'!$D:$D,'Modelling New'!$T:$T)*1000,"")</f>
        <v>405674.73399014788</v>
      </c>
      <c r="AE225" s="174"/>
      <c r="AF225" s="174">
        <f>IFERROR(_xlfn.XLOOKUP($D225,'Modelling New'!$D:$D,'Modelling New'!$W:$W),"")</f>
        <v>0.24078509852216753</v>
      </c>
      <c r="AG225" s="174">
        <f>IFERROR(_xlfn.XLOOKUP($D225,'Modelling New'!$D:$D,'Modelling New'!$AE:$AE),"")</f>
        <v>0.96029999999999993</v>
      </c>
      <c r="AH225" s="174">
        <f>IFERROR(_xlfn.XLOOKUP($D225,'Modelling New'!$D:$D,'Modelling New'!$AF:$AF),"")</f>
        <v>0.995</v>
      </c>
      <c r="AI225" s="177" t="str">
        <f>IFERROR(_xlfn.XLOOKUP($A225,Input_Raw!$A:$A,Input_Raw!$BQ:$BQ),"")</f>
        <v/>
      </c>
      <c r="AJ225" s="167"/>
      <c r="AK225" s="167"/>
      <c r="AL225" s="167"/>
      <c r="AM225" s="167"/>
      <c r="AN225" s="175" t="str">
        <f>IFERROR(_xlfn.XLOOKUP($A225,Input_Raw!$A:$A,Input_Raw!$BN:$BN),"")</f>
        <v/>
      </c>
      <c r="AO225" s="174" t="str">
        <f>IFERROR((_xlfn.XLOOKUP($A225,'WTG Reactive Power'!$A:$A,'WTG Reactive Power'!$AE:$AE))/Table13[[#This Row],[Gen_Exp (kWh)]],"")</f>
        <v/>
      </c>
      <c r="AP225" s="174">
        <f>IFERROR(_xlfn.XLOOKUP($D225,'Modelling New'!$D:$D,'Modelling New'!$AK:$AK),"")</f>
        <v>0.05</v>
      </c>
      <c r="AQ225" s="174">
        <f>IFERROR(_xlfn.XLOOKUP($D225,'Modelling New'!$D:$D,'Modelling New'!$AL:$AL),"")</f>
        <v>0.05</v>
      </c>
      <c r="AR225" s="276">
        <f>IFERROR(_xlfn.XLOOKUP($D225,'Modelling New'!$D:$D,'Modelling New'!$N:$N),"")</f>
        <v>70.2</v>
      </c>
      <c r="AS225" s="276"/>
    </row>
    <row r="226" spans="1:45">
      <c r="A226" s="165">
        <f t="shared" si="19"/>
        <v>45969</v>
      </c>
      <c r="B226" s="166">
        <f>YEAR(Table13[[#This Row],[Date]])+IF(MONTH(Table13[[#This Row],[Date]])&gt;=4,1,0)</f>
        <v>2026</v>
      </c>
      <c r="C226" s="167">
        <f>YEAR(Table13[[#This Row],[Date]])</f>
        <v>2025</v>
      </c>
      <c r="D226" s="168">
        <f>Table13[[#This Row],[Date]]-DAY(Table13[[#This Row],[Date]])+1</f>
        <v>45962</v>
      </c>
      <c r="E226" s="167">
        <f t="shared" si="16"/>
        <v>30</v>
      </c>
      <c r="F226" s="169"/>
      <c r="G226" s="170"/>
      <c r="H226" s="170"/>
      <c r="I226" s="170"/>
      <c r="J226" s="170"/>
      <c r="K226" s="171"/>
      <c r="L226" s="170"/>
      <c r="M226" s="170" t="str">
        <f>IFERROR(_xlfn.XLOOKUP($A226,Input_Raw!$A:$A,Input_Raw!BG:BG),"")</f>
        <v/>
      </c>
      <c r="N226" s="170" t="str">
        <f>IFERROR(_xlfn.XLOOKUP($A226,Input_Raw!$A:$A,Input_Raw!BH:BH),"")</f>
        <v/>
      </c>
      <c r="O226" s="173" t="str">
        <f t="shared" si="17"/>
        <v/>
      </c>
      <c r="P226" s="173" t="str">
        <f>IFERROR(1-SUMIF(WTG_BD!$F:$F,$A226,WTG_BD!$AA:$AA)/($AA226+SUMIF(WTG_BD!$F:$F,$A226,WTG_BD!$AA:$AA)),"")</f>
        <v/>
      </c>
      <c r="Q226" s="173" t="str">
        <f>IFERROR(1-SUMIF(IGA_BD!$F:$F,$A226,IGA_BD!$X:$X)/($AA226+SUMIF(IGA_BD!$F:$F,$A226,IGA_BD!$X:$X)),"")</f>
        <v/>
      </c>
      <c r="R226" s="173" t="str">
        <f>IFERROR(1-SUMIF(Grid_BD!$F:$F,$A226,Grid_BD!$Y:$Y)/($AA226+SUMIF(Grid_BD!$F:$F,$A226,Grid_BD!$Y:$Y)),"")</f>
        <v/>
      </c>
      <c r="S226" s="167"/>
      <c r="T226" s="172"/>
      <c r="U226" s="173"/>
      <c r="V226" s="167"/>
      <c r="W226" s="174" t="str">
        <f t="shared" si="18"/>
        <v/>
      </c>
      <c r="X226" s="167" t="str">
        <f>IFERROR(_xlfn.XLOOKUP($A226,Input_Raw!$A:$A,Input_Raw!$BF:$BF),"")</f>
        <v/>
      </c>
      <c r="Y226" s="167" t="str">
        <f>IFERROR(_xlfn.XLOOKUP($A226,Input_Raw!$A:$A,Input_Raw!BJ:BJ),"")</f>
        <v/>
      </c>
      <c r="Z226" s="167" t="str">
        <f>IFERROR(_xlfn.XLOOKUP($A226,Input_Raw!$A:$A,Input_Raw!BK:BK),"")</f>
        <v/>
      </c>
      <c r="AA226" s="167" t="str">
        <f>IFERROR(_xlfn.XLOOKUP($A226,Input_Raw!$A:$A,Input_Raw!BL:BL),"")</f>
        <v/>
      </c>
      <c r="AB226" s="167" t="str">
        <f>IFERROR(_xlfn.XLOOKUP($A226,Input_Raw!$A:$A,Input_Raw!$BO:$BO),"")</f>
        <v/>
      </c>
      <c r="AC226" s="176">
        <f>IFERROR(_xlfn.XLOOKUP($D226,'Modelling New'!$D:$D,'Modelling New'!$J:$J),"")</f>
        <v>8.33</v>
      </c>
      <c r="AD226" s="166">
        <f>IFERROR(_xlfn.XLOOKUP($D226,'Modelling New'!$D:$D,'Modelling New'!$T:$T)*1000,"")</f>
        <v>405674.73399014788</v>
      </c>
      <c r="AE226" s="174"/>
      <c r="AF226" s="174">
        <f>IFERROR(_xlfn.XLOOKUP($D226,'Modelling New'!$D:$D,'Modelling New'!$W:$W),"")</f>
        <v>0.24078509852216753</v>
      </c>
      <c r="AG226" s="174">
        <f>IFERROR(_xlfn.XLOOKUP($D226,'Modelling New'!$D:$D,'Modelling New'!$AE:$AE),"")</f>
        <v>0.96029999999999993</v>
      </c>
      <c r="AH226" s="174">
        <f>IFERROR(_xlfn.XLOOKUP($D226,'Modelling New'!$D:$D,'Modelling New'!$AF:$AF),"")</f>
        <v>0.995</v>
      </c>
      <c r="AI226" s="177" t="str">
        <f>IFERROR(_xlfn.XLOOKUP($A226,Input_Raw!$A:$A,Input_Raw!$BQ:$BQ),"")</f>
        <v/>
      </c>
      <c r="AJ226" s="167"/>
      <c r="AK226" s="167"/>
      <c r="AL226" s="167"/>
      <c r="AM226" s="167"/>
      <c r="AN226" s="175" t="str">
        <f>IFERROR(_xlfn.XLOOKUP($A226,Input_Raw!$A:$A,Input_Raw!$BN:$BN),"")</f>
        <v/>
      </c>
      <c r="AO226" s="174" t="str">
        <f>IFERROR((_xlfn.XLOOKUP($A226,'WTG Reactive Power'!$A:$A,'WTG Reactive Power'!$AE:$AE))/Table13[[#This Row],[Gen_Exp (kWh)]],"")</f>
        <v/>
      </c>
      <c r="AP226" s="174">
        <f>IFERROR(_xlfn.XLOOKUP($D226,'Modelling New'!$D:$D,'Modelling New'!$AK:$AK),"")</f>
        <v>0.05</v>
      </c>
      <c r="AQ226" s="174">
        <f>IFERROR(_xlfn.XLOOKUP($D226,'Modelling New'!$D:$D,'Modelling New'!$AL:$AL),"")</f>
        <v>0.05</v>
      </c>
      <c r="AR226" s="276">
        <f>IFERROR(_xlfn.XLOOKUP($D226,'Modelling New'!$D:$D,'Modelling New'!$N:$N),"")</f>
        <v>70.2</v>
      </c>
      <c r="AS226" s="276"/>
    </row>
    <row r="227" spans="1:45">
      <c r="A227" s="165">
        <f t="shared" si="19"/>
        <v>45970</v>
      </c>
      <c r="B227" s="166">
        <f>YEAR(Table13[[#This Row],[Date]])+IF(MONTH(Table13[[#This Row],[Date]])&gt;=4,1,0)</f>
        <v>2026</v>
      </c>
      <c r="C227" s="167">
        <f>YEAR(Table13[[#This Row],[Date]])</f>
        <v>2025</v>
      </c>
      <c r="D227" s="168">
        <f>Table13[[#This Row],[Date]]-DAY(Table13[[#This Row],[Date]])+1</f>
        <v>45962</v>
      </c>
      <c r="E227" s="167">
        <f t="shared" si="16"/>
        <v>30</v>
      </c>
      <c r="F227" s="169"/>
      <c r="G227" s="176"/>
      <c r="H227" s="176"/>
      <c r="I227" s="176"/>
      <c r="J227" s="176"/>
      <c r="K227" s="171"/>
      <c r="L227" s="170"/>
      <c r="M227" s="170" t="str">
        <f>IFERROR(_xlfn.XLOOKUP($A227,Input_Raw!$A:$A,Input_Raw!BG:BG),"")</f>
        <v/>
      </c>
      <c r="N227" s="170" t="str">
        <f>IFERROR(_xlfn.XLOOKUP($A227,Input_Raw!$A:$A,Input_Raw!BH:BH),"")</f>
        <v/>
      </c>
      <c r="O227" s="173" t="str">
        <f t="shared" si="17"/>
        <v/>
      </c>
      <c r="P227" s="173" t="str">
        <f>IFERROR(1-SUMIF(WTG_BD!$F:$F,$A227,WTG_BD!$AA:$AA)/($AA227+SUMIF(WTG_BD!$F:$F,$A227,WTG_BD!$AA:$AA)),"")</f>
        <v/>
      </c>
      <c r="Q227" s="173" t="str">
        <f>IFERROR(1-SUMIF(IGA_BD!$F:$F,$A227,IGA_BD!$X:$X)/($AA227+SUMIF(IGA_BD!$F:$F,$A227,IGA_BD!$X:$X)),"")</f>
        <v/>
      </c>
      <c r="R227" s="173" t="str">
        <f>IFERROR(1-SUMIF(Grid_BD!$F:$F,$A227,Grid_BD!$Y:$Y)/($AA227+SUMIF(Grid_BD!$F:$F,$A227,Grid_BD!$Y:$Y)),"")</f>
        <v/>
      </c>
      <c r="S227" s="167"/>
      <c r="T227" s="172"/>
      <c r="U227" s="173"/>
      <c r="V227" s="167"/>
      <c r="W227" s="174" t="str">
        <f t="shared" si="18"/>
        <v/>
      </c>
      <c r="X227" s="167" t="str">
        <f>IFERROR(_xlfn.XLOOKUP($A227,Input_Raw!$A:$A,Input_Raw!$BF:$BF),"")</f>
        <v/>
      </c>
      <c r="Y227" s="167" t="str">
        <f>IFERROR(_xlfn.XLOOKUP($A227,Input_Raw!$A:$A,Input_Raw!BJ:BJ),"")</f>
        <v/>
      </c>
      <c r="Z227" s="167" t="str">
        <f>IFERROR(_xlfn.XLOOKUP($A227,Input_Raw!$A:$A,Input_Raw!BK:BK),"")</f>
        <v/>
      </c>
      <c r="AA227" s="167" t="str">
        <f>IFERROR(_xlfn.XLOOKUP($A227,Input_Raw!$A:$A,Input_Raw!BL:BL),"")</f>
        <v/>
      </c>
      <c r="AB227" s="167" t="str">
        <f>IFERROR(_xlfn.XLOOKUP($A227,Input_Raw!$A:$A,Input_Raw!$BO:$BO),"")</f>
        <v/>
      </c>
      <c r="AC227" s="176">
        <f>IFERROR(_xlfn.XLOOKUP($D227,'Modelling New'!$D:$D,'Modelling New'!$J:$J),"")</f>
        <v>8.33</v>
      </c>
      <c r="AD227" s="166">
        <f>IFERROR(_xlfn.XLOOKUP($D227,'Modelling New'!$D:$D,'Modelling New'!$T:$T)*1000,"")</f>
        <v>405674.73399014788</v>
      </c>
      <c r="AE227" s="174"/>
      <c r="AF227" s="174">
        <f>IFERROR(_xlfn.XLOOKUP($D227,'Modelling New'!$D:$D,'Modelling New'!$W:$W),"")</f>
        <v>0.24078509852216753</v>
      </c>
      <c r="AG227" s="174">
        <f>IFERROR(_xlfn.XLOOKUP($D227,'Modelling New'!$D:$D,'Modelling New'!$AE:$AE),"")</f>
        <v>0.96029999999999993</v>
      </c>
      <c r="AH227" s="174">
        <f>IFERROR(_xlfn.XLOOKUP($D227,'Modelling New'!$D:$D,'Modelling New'!$AF:$AF),"")</f>
        <v>0.995</v>
      </c>
      <c r="AI227" s="177" t="str">
        <f>IFERROR(_xlfn.XLOOKUP($A227,Input_Raw!$A:$A,Input_Raw!$BQ:$BQ),"")</f>
        <v/>
      </c>
      <c r="AJ227" s="167"/>
      <c r="AK227" s="167"/>
      <c r="AL227" s="167"/>
      <c r="AM227" s="167"/>
      <c r="AN227" s="175" t="str">
        <f>IFERROR(_xlfn.XLOOKUP($A227,Input_Raw!$A:$A,Input_Raw!$BN:$BN),"")</f>
        <v/>
      </c>
      <c r="AO227" s="174" t="str">
        <f>IFERROR((_xlfn.XLOOKUP($A227,'WTG Reactive Power'!$A:$A,'WTG Reactive Power'!$AE:$AE))/Table13[[#This Row],[Gen_Exp (kWh)]],"")</f>
        <v/>
      </c>
      <c r="AP227" s="174">
        <f>IFERROR(_xlfn.XLOOKUP($D227,'Modelling New'!$D:$D,'Modelling New'!$AK:$AK),"")</f>
        <v>0.05</v>
      </c>
      <c r="AQ227" s="174">
        <f>IFERROR(_xlfn.XLOOKUP($D227,'Modelling New'!$D:$D,'Modelling New'!$AL:$AL),"")</f>
        <v>0.05</v>
      </c>
      <c r="AR227" s="276">
        <f>IFERROR(_xlfn.XLOOKUP($D227,'Modelling New'!$D:$D,'Modelling New'!$N:$N),"")</f>
        <v>70.2</v>
      </c>
      <c r="AS227" s="276"/>
    </row>
    <row r="228" spans="1:45">
      <c r="A228" s="165">
        <f t="shared" si="19"/>
        <v>45971</v>
      </c>
      <c r="B228" s="166">
        <f>YEAR(Table13[[#This Row],[Date]])+IF(MONTH(Table13[[#This Row],[Date]])&gt;=4,1,0)</f>
        <v>2026</v>
      </c>
      <c r="C228" s="167">
        <f>YEAR(Table13[[#This Row],[Date]])</f>
        <v>2025</v>
      </c>
      <c r="D228" s="168">
        <f>Table13[[#This Row],[Date]]-DAY(Table13[[#This Row],[Date]])+1</f>
        <v>45962</v>
      </c>
      <c r="E228" s="167">
        <f t="shared" si="16"/>
        <v>30</v>
      </c>
      <c r="F228" s="169"/>
      <c r="G228" s="170"/>
      <c r="H228" s="170"/>
      <c r="I228" s="170"/>
      <c r="J228" s="170"/>
      <c r="K228" s="171"/>
      <c r="L228" s="170"/>
      <c r="M228" s="170" t="str">
        <f>IFERROR(_xlfn.XLOOKUP($A228,Input_Raw!$A:$A,Input_Raw!BG:BG),"")</f>
        <v/>
      </c>
      <c r="N228" s="170" t="str">
        <f>IFERROR(_xlfn.XLOOKUP($A228,Input_Raw!$A:$A,Input_Raw!BH:BH),"")</f>
        <v/>
      </c>
      <c r="O228" s="173" t="str">
        <f t="shared" si="17"/>
        <v/>
      </c>
      <c r="P228" s="173" t="str">
        <f>IFERROR(1-SUMIF(WTG_BD!$F:$F,$A228,WTG_BD!$AA:$AA)/($AA228+SUMIF(WTG_BD!$F:$F,$A228,WTG_BD!$AA:$AA)),"")</f>
        <v/>
      </c>
      <c r="Q228" s="173" t="str">
        <f>IFERROR(1-SUMIF(IGA_BD!$F:$F,$A228,IGA_BD!$X:$X)/($AA228+SUMIF(IGA_BD!$F:$F,$A228,IGA_BD!$X:$X)),"")</f>
        <v/>
      </c>
      <c r="R228" s="173" t="str">
        <f>IFERROR(1-SUMIF(Grid_BD!$F:$F,$A228,Grid_BD!$Y:$Y)/($AA228+SUMIF(Grid_BD!$F:$F,$A228,Grid_BD!$Y:$Y)),"")</f>
        <v/>
      </c>
      <c r="S228" s="167"/>
      <c r="T228" s="172"/>
      <c r="U228" s="173"/>
      <c r="V228" s="167"/>
      <c r="W228" s="174" t="str">
        <f t="shared" si="18"/>
        <v/>
      </c>
      <c r="X228" s="167" t="str">
        <f>IFERROR(_xlfn.XLOOKUP($A228,Input_Raw!$A:$A,Input_Raw!$BF:$BF),"")</f>
        <v/>
      </c>
      <c r="Y228" s="167" t="str">
        <f>IFERROR(_xlfn.XLOOKUP($A228,Input_Raw!$A:$A,Input_Raw!BJ:BJ),"")</f>
        <v/>
      </c>
      <c r="Z228" s="167" t="str">
        <f>IFERROR(_xlfn.XLOOKUP($A228,Input_Raw!$A:$A,Input_Raw!BK:BK),"")</f>
        <v/>
      </c>
      <c r="AA228" s="167" t="str">
        <f>IFERROR(_xlfn.XLOOKUP($A228,Input_Raw!$A:$A,Input_Raw!BL:BL),"")</f>
        <v/>
      </c>
      <c r="AB228" s="167" t="str">
        <f>IFERROR(_xlfn.XLOOKUP($A228,Input_Raw!$A:$A,Input_Raw!$BO:$BO),"")</f>
        <v/>
      </c>
      <c r="AC228" s="176">
        <f>IFERROR(_xlfn.XLOOKUP($D228,'Modelling New'!$D:$D,'Modelling New'!$J:$J),"")</f>
        <v>8.33</v>
      </c>
      <c r="AD228" s="166">
        <f>IFERROR(_xlfn.XLOOKUP($D228,'Modelling New'!$D:$D,'Modelling New'!$T:$T)*1000,"")</f>
        <v>405674.73399014788</v>
      </c>
      <c r="AE228" s="174"/>
      <c r="AF228" s="174">
        <f>IFERROR(_xlfn.XLOOKUP($D228,'Modelling New'!$D:$D,'Modelling New'!$W:$W),"")</f>
        <v>0.24078509852216753</v>
      </c>
      <c r="AG228" s="174">
        <f>IFERROR(_xlfn.XLOOKUP($D228,'Modelling New'!$D:$D,'Modelling New'!$AE:$AE),"")</f>
        <v>0.96029999999999993</v>
      </c>
      <c r="AH228" s="174">
        <f>IFERROR(_xlfn.XLOOKUP($D228,'Modelling New'!$D:$D,'Modelling New'!$AF:$AF),"")</f>
        <v>0.995</v>
      </c>
      <c r="AI228" s="177" t="str">
        <f>IFERROR(_xlfn.XLOOKUP($A228,Input_Raw!$A:$A,Input_Raw!$BQ:$BQ),"")</f>
        <v/>
      </c>
      <c r="AJ228" s="167"/>
      <c r="AK228" s="167"/>
      <c r="AL228" s="167"/>
      <c r="AM228" s="167"/>
      <c r="AN228" s="175" t="str">
        <f>IFERROR(_xlfn.XLOOKUP($A228,Input_Raw!$A:$A,Input_Raw!$BN:$BN),"")</f>
        <v/>
      </c>
      <c r="AO228" s="174" t="str">
        <f>IFERROR((_xlfn.XLOOKUP($A228,'WTG Reactive Power'!$A:$A,'WTG Reactive Power'!$AE:$AE))/Table13[[#This Row],[Gen_Exp (kWh)]],"")</f>
        <v/>
      </c>
      <c r="AP228" s="174">
        <f>IFERROR(_xlfn.XLOOKUP($D228,'Modelling New'!$D:$D,'Modelling New'!$AK:$AK),"")</f>
        <v>0.05</v>
      </c>
      <c r="AQ228" s="174">
        <f>IFERROR(_xlfn.XLOOKUP($D228,'Modelling New'!$D:$D,'Modelling New'!$AL:$AL),"")</f>
        <v>0.05</v>
      </c>
      <c r="AR228" s="276">
        <f>IFERROR(_xlfn.XLOOKUP($D228,'Modelling New'!$D:$D,'Modelling New'!$N:$N),"")</f>
        <v>70.2</v>
      </c>
      <c r="AS228" s="276"/>
    </row>
    <row r="229" spans="1:45">
      <c r="A229" s="165">
        <f t="shared" si="19"/>
        <v>45972</v>
      </c>
      <c r="B229" s="166">
        <f>YEAR(Table13[[#This Row],[Date]])+IF(MONTH(Table13[[#This Row],[Date]])&gt;=4,1,0)</f>
        <v>2026</v>
      </c>
      <c r="C229" s="167">
        <f>YEAR(Table13[[#This Row],[Date]])</f>
        <v>2025</v>
      </c>
      <c r="D229" s="168">
        <f>Table13[[#This Row],[Date]]-DAY(Table13[[#This Row],[Date]])+1</f>
        <v>45962</v>
      </c>
      <c r="E229" s="167">
        <f t="shared" si="16"/>
        <v>30</v>
      </c>
      <c r="F229" s="169"/>
      <c r="G229" s="176"/>
      <c r="H229" s="176"/>
      <c r="I229" s="176"/>
      <c r="J229" s="176"/>
      <c r="K229" s="171"/>
      <c r="L229" s="170"/>
      <c r="M229" s="170" t="str">
        <f>IFERROR(_xlfn.XLOOKUP($A229,Input_Raw!$A:$A,Input_Raw!BG:BG),"")</f>
        <v/>
      </c>
      <c r="N229" s="170" t="str">
        <f>IFERROR(_xlfn.XLOOKUP($A229,Input_Raw!$A:$A,Input_Raw!BH:BH),"")</f>
        <v/>
      </c>
      <c r="O229" s="173" t="str">
        <f t="shared" si="17"/>
        <v/>
      </c>
      <c r="P229" s="173" t="str">
        <f>IFERROR(1-SUMIF(WTG_BD!$F:$F,$A229,WTG_BD!$AA:$AA)/($AA229+SUMIF(WTG_BD!$F:$F,$A229,WTG_BD!$AA:$AA)),"")</f>
        <v/>
      </c>
      <c r="Q229" s="173" t="str">
        <f>IFERROR(1-SUMIF(IGA_BD!$F:$F,$A229,IGA_BD!$X:$X)/($AA229+SUMIF(IGA_BD!$F:$F,$A229,IGA_BD!$X:$X)),"")</f>
        <v/>
      </c>
      <c r="R229" s="173" t="str">
        <f>IFERROR(1-SUMIF(Grid_BD!$F:$F,$A229,Grid_BD!$Y:$Y)/($AA229+SUMIF(Grid_BD!$F:$F,$A229,Grid_BD!$Y:$Y)),"")</f>
        <v/>
      </c>
      <c r="S229" s="167"/>
      <c r="T229" s="172"/>
      <c r="U229" s="173"/>
      <c r="V229" s="167"/>
      <c r="W229" s="174" t="str">
        <f t="shared" si="18"/>
        <v/>
      </c>
      <c r="X229" s="167" t="str">
        <f>IFERROR(_xlfn.XLOOKUP($A229,Input_Raw!$A:$A,Input_Raw!$BF:$BF),"")</f>
        <v/>
      </c>
      <c r="Y229" s="167" t="str">
        <f>IFERROR(_xlfn.XLOOKUP($A229,Input_Raw!$A:$A,Input_Raw!BJ:BJ),"")</f>
        <v/>
      </c>
      <c r="Z229" s="167" t="str">
        <f>IFERROR(_xlfn.XLOOKUP($A229,Input_Raw!$A:$A,Input_Raw!BK:BK),"")</f>
        <v/>
      </c>
      <c r="AA229" s="167" t="str">
        <f>IFERROR(_xlfn.XLOOKUP($A229,Input_Raw!$A:$A,Input_Raw!BL:BL),"")</f>
        <v/>
      </c>
      <c r="AB229" s="167" t="str">
        <f>IFERROR(_xlfn.XLOOKUP($A229,Input_Raw!$A:$A,Input_Raw!$BO:$BO),"")</f>
        <v/>
      </c>
      <c r="AC229" s="176">
        <f>IFERROR(_xlfn.XLOOKUP($D229,'Modelling New'!$D:$D,'Modelling New'!$J:$J),"")</f>
        <v>8.33</v>
      </c>
      <c r="AD229" s="166">
        <f>IFERROR(_xlfn.XLOOKUP($D229,'Modelling New'!$D:$D,'Modelling New'!$T:$T)*1000,"")</f>
        <v>405674.73399014788</v>
      </c>
      <c r="AE229" s="174"/>
      <c r="AF229" s="174">
        <f>IFERROR(_xlfn.XLOOKUP($D229,'Modelling New'!$D:$D,'Modelling New'!$W:$W),"")</f>
        <v>0.24078509852216753</v>
      </c>
      <c r="AG229" s="174">
        <f>IFERROR(_xlfn.XLOOKUP($D229,'Modelling New'!$D:$D,'Modelling New'!$AE:$AE),"")</f>
        <v>0.96029999999999993</v>
      </c>
      <c r="AH229" s="174">
        <f>IFERROR(_xlfn.XLOOKUP($D229,'Modelling New'!$D:$D,'Modelling New'!$AF:$AF),"")</f>
        <v>0.995</v>
      </c>
      <c r="AI229" s="177" t="str">
        <f>IFERROR(_xlfn.XLOOKUP($A229,Input_Raw!$A:$A,Input_Raw!$BQ:$BQ),"")</f>
        <v/>
      </c>
      <c r="AJ229" s="167"/>
      <c r="AK229" s="167"/>
      <c r="AL229" s="167"/>
      <c r="AM229" s="167"/>
      <c r="AN229" s="175" t="str">
        <f>IFERROR(_xlfn.XLOOKUP($A229,Input_Raw!$A:$A,Input_Raw!$BN:$BN),"")</f>
        <v/>
      </c>
      <c r="AO229" s="174" t="str">
        <f>IFERROR((_xlfn.XLOOKUP($A229,'WTG Reactive Power'!$A:$A,'WTG Reactive Power'!$AE:$AE))/Table13[[#This Row],[Gen_Exp (kWh)]],"")</f>
        <v/>
      </c>
      <c r="AP229" s="174">
        <f>IFERROR(_xlfn.XLOOKUP($D229,'Modelling New'!$D:$D,'Modelling New'!$AK:$AK),"")</f>
        <v>0.05</v>
      </c>
      <c r="AQ229" s="174">
        <f>IFERROR(_xlfn.XLOOKUP($D229,'Modelling New'!$D:$D,'Modelling New'!$AL:$AL),"")</f>
        <v>0.05</v>
      </c>
      <c r="AR229" s="276">
        <f>IFERROR(_xlfn.XLOOKUP($D229,'Modelling New'!$D:$D,'Modelling New'!$N:$N),"")</f>
        <v>70.2</v>
      </c>
      <c r="AS229" s="276"/>
    </row>
    <row r="230" spans="1:45">
      <c r="A230" s="165">
        <f t="shared" si="19"/>
        <v>45973</v>
      </c>
      <c r="B230" s="166">
        <f>YEAR(Table13[[#This Row],[Date]])+IF(MONTH(Table13[[#This Row],[Date]])&gt;=4,1,0)</f>
        <v>2026</v>
      </c>
      <c r="C230" s="167">
        <f>YEAR(Table13[[#This Row],[Date]])</f>
        <v>2025</v>
      </c>
      <c r="D230" s="168">
        <f>Table13[[#This Row],[Date]]-DAY(Table13[[#This Row],[Date]])+1</f>
        <v>45962</v>
      </c>
      <c r="E230" s="167">
        <f t="shared" si="16"/>
        <v>30</v>
      </c>
      <c r="F230" s="169"/>
      <c r="G230" s="170"/>
      <c r="H230" s="170"/>
      <c r="I230" s="170"/>
      <c r="J230" s="170"/>
      <c r="K230" s="171"/>
      <c r="L230" s="170"/>
      <c r="M230" s="170" t="str">
        <f>IFERROR(_xlfn.XLOOKUP($A230,Input_Raw!$A:$A,Input_Raw!BG:BG),"")</f>
        <v/>
      </c>
      <c r="N230" s="170" t="str">
        <f>IFERROR(_xlfn.XLOOKUP($A230,Input_Raw!$A:$A,Input_Raw!BH:BH),"")</f>
        <v/>
      </c>
      <c r="O230" s="173" t="str">
        <f t="shared" si="17"/>
        <v/>
      </c>
      <c r="P230" s="173" t="str">
        <f>IFERROR(1-SUMIF(WTG_BD!$F:$F,$A230,WTG_BD!$AA:$AA)/($AA230+SUMIF(WTG_BD!$F:$F,$A230,WTG_BD!$AA:$AA)),"")</f>
        <v/>
      </c>
      <c r="Q230" s="173" t="str">
        <f>IFERROR(1-SUMIF(IGA_BD!$F:$F,$A230,IGA_BD!$X:$X)/($AA230+SUMIF(IGA_BD!$F:$F,$A230,IGA_BD!$X:$X)),"")</f>
        <v/>
      </c>
      <c r="R230" s="173" t="str">
        <f>IFERROR(1-SUMIF(Grid_BD!$F:$F,$A230,Grid_BD!$Y:$Y)/($AA230+SUMIF(Grid_BD!$F:$F,$A230,Grid_BD!$Y:$Y)),"")</f>
        <v/>
      </c>
      <c r="S230" s="167"/>
      <c r="T230" s="172"/>
      <c r="U230" s="173"/>
      <c r="V230" s="167"/>
      <c r="W230" s="174" t="str">
        <f t="shared" si="18"/>
        <v/>
      </c>
      <c r="X230" s="167" t="str">
        <f>IFERROR(_xlfn.XLOOKUP($A230,Input_Raw!$A:$A,Input_Raw!$BF:$BF),"")</f>
        <v/>
      </c>
      <c r="Y230" s="167" t="str">
        <f>IFERROR(_xlfn.XLOOKUP($A230,Input_Raw!$A:$A,Input_Raw!BJ:BJ),"")</f>
        <v/>
      </c>
      <c r="Z230" s="167" t="str">
        <f>IFERROR(_xlfn.XLOOKUP($A230,Input_Raw!$A:$A,Input_Raw!BK:BK),"")</f>
        <v/>
      </c>
      <c r="AA230" s="167" t="str">
        <f>IFERROR(_xlfn.XLOOKUP($A230,Input_Raw!$A:$A,Input_Raw!BL:BL),"")</f>
        <v/>
      </c>
      <c r="AB230" s="167" t="str">
        <f>IFERROR(_xlfn.XLOOKUP($A230,Input_Raw!$A:$A,Input_Raw!$BO:$BO),"")</f>
        <v/>
      </c>
      <c r="AC230" s="176">
        <f>IFERROR(_xlfn.XLOOKUP($D230,'Modelling New'!$D:$D,'Modelling New'!$J:$J),"")</f>
        <v>8.33</v>
      </c>
      <c r="AD230" s="166">
        <f>IFERROR(_xlfn.XLOOKUP($D230,'Modelling New'!$D:$D,'Modelling New'!$T:$T)*1000,"")</f>
        <v>405674.73399014788</v>
      </c>
      <c r="AE230" s="174"/>
      <c r="AF230" s="174">
        <f>IFERROR(_xlfn.XLOOKUP($D230,'Modelling New'!$D:$D,'Modelling New'!$W:$W),"")</f>
        <v>0.24078509852216753</v>
      </c>
      <c r="AG230" s="174">
        <f>IFERROR(_xlfn.XLOOKUP($D230,'Modelling New'!$D:$D,'Modelling New'!$AE:$AE),"")</f>
        <v>0.96029999999999993</v>
      </c>
      <c r="AH230" s="174">
        <f>IFERROR(_xlfn.XLOOKUP($D230,'Modelling New'!$D:$D,'Modelling New'!$AF:$AF),"")</f>
        <v>0.995</v>
      </c>
      <c r="AI230" s="177" t="str">
        <f>IFERROR(_xlfn.XLOOKUP($A230,Input_Raw!$A:$A,Input_Raw!$BQ:$BQ),"")</f>
        <v/>
      </c>
      <c r="AJ230" s="167"/>
      <c r="AK230" s="167"/>
      <c r="AL230" s="167"/>
      <c r="AM230" s="167"/>
      <c r="AN230" s="175" t="str">
        <f>IFERROR(_xlfn.XLOOKUP($A230,Input_Raw!$A:$A,Input_Raw!$BN:$BN),"")</f>
        <v/>
      </c>
      <c r="AO230" s="174" t="str">
        <f>IFERROR((_xlfn.XLOOKUP($A230,'WTG Reactive Power'!$A:$A,'WTG Reactive Power'!$AE:$AE))/Table13[[#This Row],[Gen_Exp (kWh)]],"")</f>
        <v/>
      </c>
      <c r="AP230" s="174">
        <f>IFERROR(_xlfn.XLOOKUP($D230,'Modelling New'!$D:$D,'Modelling New'!$AK:$AK),"")</f>
        <v>0.05</v>
      </c>
      <c r="AQ230" s="174">
        <f>IFERROR(_xlfn.XLOOKUP($D230,'Modelling New'!$D:$D,'Modelling New'!$AL:$AL),"")</f>
        <v>0.05</v>
      </c>
      <c r="AR230" s="276">
        <f>IFERROR(_xlfn.XLOOKUP($D230,'Modelling New'!$D:$D,'Modelling New'!$N:$N),"")</f>
        <v>70.2</v>
      </c>
      <c r="AS230" s="276"/>
    </row>
    <row r="231" spans="1:45">
      <c r="A231" s="165">
        <f t="shared" si="19"/>
        <v>45974</v>
      </c>
      <c r="B231" s="166">
        <f>YEAR(Table13[[#This Row],[Date]])+IF(MONTH(Table13[[#This Row],[Date]])&gt;=4,1,0)</f>
        <v>2026</v>
      </c>
      <c r="C231" s="167">
        <f>YEAR(Table13[[#This Row],[Date]])</f>
        <v>2025</v>
      </c>
      <c r="D231" s="168">
        <f>Table13[[#This Row],[Date]]-DAY(Table13[[#This Row],[Date]])+1</f>
        <v>45962</v>
      </c>
      <c r="E231" s="167">
        <f t="shared" si="16"/>
        <v>30</v>
      </c>
      <c r="F231" s="169"/>
      <c r="G231" s="176"/>
      <c r="H231" s="176"/>
      <c r="I231" s="176"/>
      <c r="J231" s="176"/>
      <c r="K231" s="171"/>
      <c r="L231" s="170"/>
      <c r="M231" s="170" t="str">
        <f>IFERROR(_xlfn.XLOOKUP($A231,Input_Raw!$A:$A,Input_Raw!BG:BG),"")</f>
        <v/>
      </c>
      <c r="N231" s="170" t="str">
        <f>IFERROR(_xlfn.XLOOKUP($A231,Input_Raw!$A:$A,Input_Raw!BH:BH),"")</f>
        <v/>
      </c>
      <c r="O231" s="173" t="str">
        <f t="shared" si="17"/>
        <v/>
      </c>
      <c r="P231" s="173" t="str">
        <f>IFERROR(1-SUMIF(WTG_BD!$F:$F,$A231,WTG_BD!$AA:$AA)/($AA231+SUMIF(WTG_BD!$F:$F,$A231,WTG_BD!$AA:$AA)),"")</f>
        <v/>
      </c>
      <c r="Q231" s="173" t="str">
        <f>IFERROR(1-SUMIF(IGA_BD!$F:$F,$A231,IGA_BD!$X:$X)/($AA231+SUMIF(IGA_BD!$F:$F,$A231,IGA_BD!$X:$X)),"")</f>
        <v/>
      </c>
      <c r="R231" s="173" t="str">
        <f>IFERROR(1-SUMIF(Grid_BD!$F:$F,$A231,Grid_BD!$Y:$Y)/($AA231+SUMIF(Grid_BD!$F:$F,$A231,Grid_BD!$Y:$Y)),"")</f>
        <v/>
      </c>
      <c r="S231" s="167"/>
      <c r="T231" s="172"/>
      <c r="U231" s="173"/>
      <c r="V231" s="167"/>
      <c r="W231" s="174" t="str">
        <f t="shared" si="18"/>
        <v/>
      </c>
      <c r="X231" s="167" t="str">
        <f>IFERROR(_xlfn.XLOOKUP($A231,Input_Raw!$A:$A,Input_Raw!$BF:$BF),"")</f>
        <v/>
      </c>
      <c r="Y231" s="167" t="str">
        <f>IFERROR(_xlfn.XLOOKUP($A231,Input_Raw!$A:$A,Input_Raw!BJ:BJ),"")</f>
        <v/>
      </c>
      <c r="Z231" s="167" t="str">
        <f>IFERROR(_xlfn.XLOOKUP($A231,Input_Raw!$A:$A,Input_Raw!BK:BK),"")</f>
        <v/>
      </c>
      <c r="AA231" s="167" t="str">
        <f>IFERROR(_xlfn.XLOOKUP($A231,Input_Raw!$A:$A,Input_Raw!BL:BL),"")</f>
        <v/>
      </c>
      <c r="AB231" s="167" t="str">
        <f>IFERROR(_xlfn.XLOOKUP($A231,Input_Raw!$A:$A,Input_Raw!$BO:$BO),"")</f>
        <v/>
      </c>
      <c r="AC231" s="176">
        <f>IFERROR(_xlfn.XLOOKUP($D231,'Modelling New'!$D:$D,'Modelling New'!$J:$J),"")</f>
        <v>8.33</v>
      </c>
      <c r="AD231" s="166">
        <f>IFERROR(_xlfn.XLOOKUP($D231,'Modelling New'!$D:$D,'Modelling New'!$T:$T)*1000,"")</f>
        <v>405674.73399014788</v>
      </c>
      <c r="AE231" s="174"/>
      <c r="AF231" s="174">
        <f>IFERROR(_xlfn.XLOOKUP($D231,'Modelling New'!$D:$D,'Modelling New'!$W:$W),"")</f>
        <v>0.24078509852216753</v>
      </c>
      <c r="AG231" s="174">
        <f>IFERROR(_xlfn.XLOOKUP($D231,'Modelling New'!$D:$D,'Modelling New'!$AE:$AE),"")</f>
        <v>0.96029999999999993</v>
      </c>
      <c r="AH231" s="174">
        <f>IFERROR(_xlfn.XLOOKUP($D231,'Modelling New'!$D:$D,'Modelling New'!$AF:$AF),"")</f>
        <v>0.995</v>
      </c>
      <c r="AI231" s="177" t="str">
        <f>IFERROR(_xlfn.XLOOKUP($A231,Input_Raw!$A:$A,Input_Raw!$BQ:$BQ),"")</f>
        <v/>
      </c>
      <c r="AJ231" s="167"/>
      <c r="AK231" s="167"/>
      <c r="AL231" s="167"/>
      <c r="AM231" s="167"/>
      <c r="AN231" s="175" t="str">
        <f>IFERROR(_xlfn.XLOOKUP($A231,Input_Raw!$A:$A,Input_Raw!$BN:$BN),"")</f>
        <v/>
      </c>
      <c r="AO231" s="174" t="str">
        <f>IFERROR((_xlfn.XLOOKUP($A231,'WTG Reactive Power'!$A:$A,'WTG Reactive Power'!$AE:$AE))/Table13[[#This Row],[Gen_Exp (kWh)]],"")</f>
        <v/>
      </c>
      <c r="AP231" s="174">
        <f>IFERROR(_xlfn.XLOOKUP($D231,'Modelling New'!$D:$D,'Modelling New'!$AK:$AK),"")</f>
        <v>0.05</v>
      </c>
      <c r="AQ231" s="174">
        <f>IFERROR(_xlfn.XLOOKUP($D231,'Modelling New'!$D:$D,'Modelling New'!$AL:$AL),"")</f>
        <v>0.05</v>
      </c>
      <c r="AR231" s="276">
        <f>IFERROR(_xlfn.XLOOKUP($D231,'Modelling New'!$D:$D,'Modelling New'!$N:$N),"")</f>
        <v>70.2</v>
      </c>
      <c r="AS231" s="276"/>
    </row>
    <row r="232" spans="1:45">
      <c r="A232" s="165">
        <f t="shared" si="19"/>
        <v>45975</v>
      </c>
      <c r="B232" s="166">
        <f>YEAR(Table13[[#This Row],[Date]])+IF(MONTH(Table13[[#This Row],[Date]])&gt;=4,1,0)</f>
        <v>2026</v>
      </c>
      <c r="C232" s="167">
        <f>YEAR(Table13[[#This Row],[Date]])</f>
        <v>2025</v>
      </c>
      <c r="D232" s="168">
        <f>Table13[[#This Row],[Date]]-DAY(Table13[[#This Row],[Date]])+1</f>
        <v>45962</v>
      </c>
      <c r="E232" s="167">
        <f t="shared" si="16"/>
        <v>30</v>
      </c>
      <c r="F232" s="169"/>
      <c r="G232" s="170"/>
      <c r="H232" s="170"/>
      <c r="I232" s="170"/>
      <c r="J232" s="170"/>
      <c r="K232" s="171"/>
      <c r="L232" s="170"/>
      <c r="M232" s="170" t="str">
        <f>IFERROR(_xlfn.XLOOKUP($A232,Input_Raw!$A:$A,Input_Raw!BG:BG),"")</f>
        <v/>
      </c>
      <c r="N232" s="170" t="str">
        <f>IFERROR(_xlfn.XLOOKUP($A232,Input_Raw!$A:$A,Input_Raw!BH:BH),"")</f>
        <v/>
      </c>
      <c r="O232" s="173" t="str">
        <f t="shared" si="17"/>
        <v/>
      </c>
      <c r="P232" s="173" t="str">
        <f>IFERROR(1-SUMIF(WTG_BD!$F:$F,$A232,WTG_BD!$AA:$AA)/($AA232+SUMIF(WTG_BD!$F:$F,$A232,WTG_BD!$AA:$AA)),"")</f>
        <v/>
      </c>
      <c r="Q232" s="173" t="str">
        <f>IFERROR(1-SUMIF(IGA_BD!$F:$F,$A232,IGA_BD!$X:$X)/($AA232+SUMIF(IGA_BD!$F:$F,$A232,IGA_BD!$X:$X)),"")</f>
        <v/>
      </c>
      <c r="R232" s="173" t="str">
        <f>IFERROR(1-SUMIF(Grid_BD!$F:$F,$A232,Grid_BD!$Y:$Y)/($AA232+SUMIF(Grid_BD!$F:$F,$A232,Grid_BD!$Y:$Y)),"")</f>
        <v/>
      </c>
      <c r="S232" s="167"/>
      <c r="T232" s="172"/>
      <c r="U232" s="173"/>
      <c r="V232" s="167"/>
      <c r="W232" s="174" t="str">
        <f t="shared" si="18"/>
        <v/>
      </c>
      <c r="X232" s="167" t="str">
        <f>IFERROR(_xlfn.XLOOKUP($A232,Input_Raw!$A:$A,Input_Raw!$BF:$BF),"")</f>
        <v/>
      </c>
      <c r="Y232" s="167" t="str">
        <f>IFERROR(_xlfn.XLOOKUP($A232,Input_Raw!$A:$A,Input_Raw!BJ:BJ),"")</f>
        <v/>
      </c>
      <c r="Z232" s="167" t="str">
        <f>IFERROR(_xlfn.XLOOKUP($A232,Input_Raw!$A:$A,Input_Raw!BK:BK),"")</f>
        <v/>
      </c>
      <c r="AA232" s="167" t="str">
        <f>IFERROR(_xlfn.XLOOKUP($A232,Input_Raw!$A:$A,Input_Raw!BL:BL),"")</f>
        <v/>
      </c>
      <c r="AB232" s="167" t="str">
        <f>IFERROR(_xlfn.XLOOKUP($A232,Input_Raw!$A:$A,Input_Raw!$BO:$BO),"")</f>
        <v/>
      </c>
      <c r="AC232" s="176">
        <f>IFERROR(_xlfn.XLOOKUP($D232,'Modelling New'!$D:$D,'Modelling New'!$J:$J),"")</f>
        <v>8.33</v>
      </c>
      <c r="AD232" s="166">
        <f>IFERROR(_xlfn.XLOOKUP($D232,'Modelling New'!$D:$D,'Modelling New'!$T:$T)*1000,"")</f>
        <v>405674.73399014788</v>
      </c>
      <c r="AE232" s="174"/>
      <c r="AF232" s="174">
        <f>IFERROR(_xlfn.XLOOKUP($D232,'Modelling New'!$D:$D,'Modelling New'!$W:$W),"")</f>
        <v>0.24078509852216753</v>
      </c>
      <c r="AG232" s="174">
        <f>IFERROR(_xlfn.XLOOKUP($D232,'Modelling New'!$D:$D,'Modelling New'!$AE:$AE),"")</f>
        <v>0.96029999999999993</v>
      </c>
      <c r="AH232" s="174">
        <f>IFERROR(_xlfn.XLOOKUP($D232,'Modelling New'!$D:$D,'Modelling New'!$AF:$AF),"")</f>
        <v>0.995</v>
      </c>
      <c r="AI232" s="177" t="str">
        <f>IFERROR(_xlfn.XLOOKUP($A232,Input_Raw!$A:$A,Input_Raw!$BQ:$BQ),"")</f>
        <v/>
      </c>
      <c r="AJ232" s="167"/>
      <c r="AK232" s="167"/>
      <c r="AL232" s="167"/>
      <c r="AM232" s="167"/>
      <c r="AN232" s="175" t="str">
        <f>IFERROR(_xlfn.XLOOKUP($A232,Input_Raw!$A:$A,Input_Raw!$BN:$BN),"")</f>
        <v/>
      </c>
      <c r="AO232" s="174" t="str">
        <f>IFERROR((_xlfn.XLOOKUP($A232,'WTG Reactive Power'!$A:$A,'WTG Reactive Power'!$AE:$AE))/Table13[[#This Row],[Gen_Exp (kWh)]],"")</f>
        <v/>
      </c>
      <c r="AP232" s="174">
        <f>IFERROR(_xlfn.XLOOKUP($D232,'Modelling New'!$D:$D,'Modelling New'!$AK:$AK),"")</f>
        <v>0.05</v>
      </c>
      <c r="AQ232" s="174">
        <f>IFERROR(_xlfn.XLOOKUP($D232,'Modelling New'!$D:$D,'Modelling New'!$AL:$AL),"")</f>
        <v>0.05</v>
      </c>
      <c r="AR232" s="276">
        <f>IFERROR(_xlfn.XLOOKUP($D232,'Modelling New'!$D:$D,'Modelling New'!$N:$N),"")</f>
        <v>70.2</v>
      </c>
      <c r="AS232" s="276"/>
    </row>
    <row r="233" spans="1:45">
      <c r="A233" s="165">
        <f t="shared" si="19"/>
        <v>45976</v>
      </c>
      <c r="B233" s="166">
        <f>YEAR(Table13[[#This Row],[Date]])+IF(MONTH(Table13[[#This Row],[Date]])&gt;=4,1,0)</f>
        <v>2026</v>
      </c>
      <c r="C233" s="167">
        <f>YEAR(Table13[[#This Row],[Date]])</f>
        <v>2025</v>
      </c>
      <c r="D233" s="168">
        <f>Table13[[#This Row],[Date]]-DAY(Table13[[#This Row],[Date]])+1</f>
        <v>45962</v>
      </c>
      <c r="E233" s="167">
        <f t="shared" si="16"/>
        <v>30</v>
      </c>
      <c r="F233" s="169"/>
      <c r="G233" s="176"/>
      <c r="H233" s="176"/>
      <c r="I233" s="176"/>
      <c r="J233" s="176"/>
      <c r="K233" s="171"/>
      <c r="L233" s="170"/>
      <c r="M233" s="170" t="str">
        <f>IFERROR(_xlfn.XLOOKUP($A233,Input_Raw!$A:$A,Input_Raw!BG:BG),"")</f>
        <v/>
      </c>
      <c r="N233" s="170" t="str">
        <f>IFERROR(_xlfn.XLOOKUP($A233,Input_Raw!$A:$A,Input_Raw!BH:BH),"")</f>
        <v/>
      </c>
      <c r="O233" s="173" t="str">
        <f t="shared" si="17"/>
        <v/>
      </c>
      <c r="P233" s="173" t="str">
        <f>IFERROR(1-SUMIF(WTG_BD!$F:$F,$A233,WTG_BD!$AA:$AA)/($AA233+SUMIF(WTG_BD!$F:$F,$A233,WTG_BD!$AA:$AA)),"")</f>
        <v/>
      </c>
      <c r="Q233" s="173" t="str">
        <f>IFERROR(1-SUMIF(IGA_BD!$F:$F,$A233,IGA_BD!$X:$X)/($AA233+SUMIF(IGA_BD!$F:$F,$A233,IGA_BD!$X:$X)),"")</f>
        <v/>
      </c>
      <c r="R233" s="173" t="str">
        <f>IFERROR(1-SUMIF(Grid_BD!$F:$F,$A233,Grid_BD!$Y:$Y)/($AA233+SUMIF(Grid_BD!$F:$F,$A233,Grid_BD!$Y:$Y)),"")</f>
        <v/>
      </c>
      <c r="S233" s="167"/>
      <c r="T233" s="172"/>
      <c r="U233" s="173"/>
      <c r="V233" s="167"/>
      <c r="W233" s="174" t="str">
        <f t="shared" si="18"/>
        <v/>
      </c>
      <c r="X233" s="167" t="str">
        <f>IFERROR(_xlfn.XLOOKUP($A233,Input_Raw!$A:$A,Input_Raw!$BF:$BF),"")</f>
        <v/>
      </c>
      <c r="Y233" s="167" t="str">
        <f>IFERROR(_xlfn.XLOOKUP($A233,Input_Raw!$A:$A,Input_Raw!BJ:BJ),"")</f>
        <v/>
      </c>
      <c r="Z233" s="167" t="str">
        <f>IFERROR(_xlfn.XLOOKUP($A233,Input_Raw!$A:$A,Input_Raw!BK:BK),"")</f>
        <v/>
      </c>
      <c r="AA233" s="167" t="str">
        <f>IFERROR(_xlfn.XLOOKUP($A233,Input_Raw!$A:$A,Input_Raw!BL:BL),"")</f>
        <v/>
      </c>
      <c r="AB233" s="167" t="str">
        <f>IFERROR(_xlfn.XLOOKUP($A233,Input_Raw!$A:$A,Input_Raw!$BO:$BO),"")</f>
        <v/>
      </c>
      <c r="AC233" s="176">
        <f>IFERROR(_xlfn.XLOOKUP($D233,'Modelling New'!$D:$D,'Modelling New'!$J:$J),"")</f>
        <v>8.33</v>
      </c>
      <c r="AD233" s="166">
        <f>IFERROR(_xlfn.XLOOKUP($D233,'Modelling New'!$D:$D,'Modelling New'!$T:$T)*1000,"")</f>
        <v>405674.73399014788</v>
      </c>
      <c r="AE233" s="174"/>
      <c r="AF233" s="174">
        <f>IFERROR(_xlfn.XLOOKUP($D233,'Modelling New'!$D:$D,'Modelling New'!$W:$W),"")</f>
        <v>0.24078509852216753</v>
      </c>
      <c r="AG233" s="174">
        <f>IFERROR(_xlfn.XLOOKUP($D233,'Modelling New'!$D:$D,'Modelling New'!$AE:$AE),"")</f>
        <v>0.96029999999999993</v>
      </c>
      <c r="AH233" s="174">
        <f>IFERROR(_xlfn.XLOOKUP($D233,'Modelling New'!$D:$D,'Modelling New'!$AF:$AF),"")</f>
        <v>0.995</v>
      </c>
      <c r="AI233" s="177" t="str">
        <f>IFERROR(_xlfn.XLOOKUP($A233,Input_Raw!$A:$A,Input_Raw!$BQ:$BQ),"")</f>
        <v/>
      </c>
      <c r="AJ233" s="167"/>
      <c r="AK233" s="167"/>
      <c r="AL233" s="167"/>
      <c r="AM233" s="167"/>
      <c r="AN233" s="175" t="str">
        <f>IFERROR(_xlfn.XLOOKUP($A233,Input_Raw!$A:$A,Input_Raw!$BN:$BN),"")</f>
        <v/>
      </c>
      <c r="AO233" s="174" t="str">
        <f>IFERROR((_xlfn.XLOOKUP($A233,'WTG Reactive Power'!$A:$A,'WTG Reactive Power'!$AE:$AE))/Table13[[#This Row],[Gen_Exp (kWh)]],"")</f>
        <v/>
      </c>
      <c r="AP233" s="174">
        <f>IFERROR(_xlfn.XLOOKUP($D233,'Modelling New'!$D:$D,'Modelling New'!$AK:$AK),"")</f>
        <v>0.05</v>
      </c>
      <c r="AQ233" s="174">
        <f>IFERROR(_xlfn.XLOOKUP($D233,'Modelling New'!$D:$D,'Modelling New'!$AL:$AL),"")</f>
        <v>0.05</v>
      </c>
      <c r="AR233" s="276">
        <f>IFERROR(_xlfn.XLOOKUP($D233,'Modelling New'!$D:$D,'Modelling New'!$N:$N),"")</f>
        <v>70.2</v>
      </c>
      <c r="AS233" s="276"/>
    </row>
    <row r="234" spans="1:45">
      <c r="A234" s="165">
        <f t="shared" si="19"/>
        <v>45977</v>
      </c>
      <c r="B234" s="166">
        <f>YEAR(Table13[[#This Row],[Date]])+IF(MONTH(Table13[[#This Row],[Date]])&gt;=4,1,0)</f>
        <v>2026</v>
      </c>
      <c r="C234" s="167">
        <f>YEAR(Table13[[#This Row],[Date]])</f>
        <v>2025</v>
      </c>
      <c r="D234" s="168">
        <f>Table13[[#This Row],[Date]]-DAY(Table13[[#This Row],[Date]])+1</f>
        <v>45962</v>
      </c>
      <c r="E234" s="167">
        <f t="shared" si="16"/>
        <v>30</v>
      </c>
      <c r="F234" s="169"/>
      <c r="G234" s="170"/>
      <c r="H234" s="170"/>
      <c r="I234" s="170"/>
      <c r="J234" s="170"/>
      <c r="K234" s="171"/>
      <c r="L234" s="170"/>
      <c r="M234" s="170" t="str">
        <f>IFERROR(_xlfn.XLOOKUP($A234,Input_Raw!$A:$A,Input_Raw!BG:BG),"")</f>
        <v/>
      </c>
      <c r="N234" s="170" t="str">
        <f>IFERROR(_xlfn.XLOOKUP($A234,Input_Raw!$A:$A,Input_Raw!BH:BH),"")</f>
        <v/>
      </c>
      <c r="O234" s="173" t="str">
        <f t="shared" si="17"/>
        <v/>
      </c>
      <c r="P234" s="173" t="str">
        <f>IFERROR(1-SUMIF(WTG_BD!$F:$F,$A234,WTG_BD!$AA:$AA)/($AA234+SUMIF(WTG_BD!$F:$F,$A234,WTG_BD!$AA:$AA)),"")</f>
        <v/>
      </c>
      <c r="Q234" s="173" t="str">
        <f>IFERROR(1-SUMIF(IGA_BD!$F:$F,$A234,IGA_BD!$X:$X)/($AA234+SUMIF(IGA_BD!$F:$F,$A234,IGA_BD!$X:$X)),"")</f>
        <v/>
      </c>
      <c r="R234" s="173" t="str">
        <f>IFERROR(1-SUMIF(Grid_BD!$F:$F,$A234,Grid_BD!$Y:$Y)/($AA234+SUMIF(Grid_BD!$F:$F,$A234,Grid_BD!$Y:$Y)),"")</f>
        <v/>
      </c>
      <c r="S234" s="167"/>
      <c r="T234" s="172"/>
      <c r="U234" s="173"/>
      <c r="V234" s="167"/>
      <c r="W234" s="174" t="str">
        <f t="shared" si="18"/>
        <v/>
      </c>
      <c r="X234" s="167" t="str">
        <f>IFERROR(_xlfn.XLOOKUP($A234,Input_Raw!$A:$A,Input_Raw!$BF:$BF),"")</f>
        <v/>
      </c>
      <c r="Y234" s="167" t="str">
        <f>IFERROR(_xlfn.XLOOKUP($A234,Input_Raw!$A:$A,Input_Raw!BJ:BJ),"")</f>
        <v/>
      </c>
      <c r="Z234" s="167" t="str">
        <f>IFERROR(_xlfn.XLOOKUP($A234,Input_Raw!$A:$A,Input_Raw!BK:BK),"")</f>
        <v/>
      </c>
      <c r="AA234" s="167" t="str">
        <f>IFERROR(_xlfn.XLOOKUP($A234,Input_Raw!$A:$A,Input_Raw!BL:BL),"")</f>
        <v/>
      </c>
      <c r="AB234" s="167" t="str">
        <f>IFERROR(_xlfn.XLOOKUP($A234,Input_Raw!$A:$A,Input_Raw!$BO:$BO),"")</f>
        <v/>
      </c>
      <c r="AC234" s="176">
        <f>IFERROR(_xlfn.XLOOKUP($D234,'Modelling New'!$D:$D,'Modelling New'!$J:$J),"")</f>
        <v>8.33</v>
      </c>
      <c r="AD234" s="166">
        <f>IFERROR(_xlfn.XLOOKUP($D234,'Modelling New'!$D:$D,'Modelling New'!$T:$T)*1000,"")</f>
        <v>405674.73399014788</v>
      </c>
      <c r="AE234" s="174"/>
      <c r="AF234" s="174">
        <f>IFERROR(_xlfn.XLOOKUP($D234,'Modelling New'!$D:$D,'Modelling New'!$W:$W),"")</f>
        <v>0.24078509852216753</v>
      </c>
      <c r="AG234" s="174">
        <f>IFERROR(_xlfn.XLOOKUP($D234,'Modelling New'!$D:$D,'Modelling New'!$AE:$AE),"")</f>
        <v>0.96029999999999993</v>
      </c>
      <c r="AH234" s="174">
        <f>IFERROR(_xlfn.XLOOKUP($D234,'Modelling New'!$D:$D,'Modelling New'!$AF:$AF),"")</f>
        <v>0.995</v>
      </c>
      <c r="AI234" s="177" t="str">
        <f>IFERROR(_xlfn.XLOOKUP($A234,Input_Raw!$A:$A,Input_Raw!$BQ:$BQ),"")</f>
        <v/>
      </c>
      <c r="AJ234" s="167"/>
      <c r="AK234" s="167"/>
      <c r="AL234" s="167"/>
      <c r="AM234" s="167"/>
      <c r="AN234" s="175" t="str">
        <f>IFERROR(_xlfn.XLOOKUP($A234,Input_Raw!$A:$A,Input_Raw!$BN:$BN),"")</f>
        <v/>
      </c>
      <c r="AO234" s="174" t="str">
        <f>IFERROR((_xlfn.XLOOKUP($A234,'WTG Reactive Power'!$A:$A,'WTG Reactive Power'!$AE:$AE))/Table13[[#This Row],[Gen_Exp (kWh)]],"")</f>
        <v/>
      </c>
      <c r="AP234" s="174">
        <f>IFERROR(_xlfn.XLOOKUP($D234,'Modelling New'!$D:$D,'Modelling New'!$AK:$AK),"")</f>
        <v>0.05</v>
      </c>
      <c r="AQ234" s="174">
        <f>IFERROR(_xlfn.XLOOKUP($D234,'Modelling New'!$D:$D,'Modelling New'!$AL:$AL),"")</f>
        <v>0.05</v>
      </c>
      <c r="AR234" s="276">
        <f>IFERROR(_xlfn.XLOOKUP($D234,'Modelling New'!$D:$D,'Modelling New'!$N:$N),"")</f>
        <v>70.2</v>
      </c>
      <c r="AS234" s="276"/>
    </row>
    <row r="235" spans="1:45">
      <c r="A235" s="165">
        <f t="shared" si="19"/>
        <v>45978</v>
      </c>
      <c r="B235" s="166">
        <f>YEAR(Table13[[#This Row],[Date]])+IF(MONTH(Table13[[#This Row],[Date]])&gt;=4,1,0)</f>
        <v>2026</v>
      </c>
      <c r="C235" s="167">
        <f>YEAR(Table13[[#This Row],[Date]])</f>
        <v>2025</v>
      </c>
      <c r="D235" s="168">
        <f>Table13[[#This Row],[Date]]-DAY(Table13[[#This Row],[Date]])+1</f>
        <v>45962</v>
      </c>
      <c r="E235" s="167">
        <f t="shared" si="16"/>
        <v>30</v>
      </c>
      <c r="F235" s="169"/>
      <c r="G235" s="176"/>
      <c r="H235" s="176"/>
      <c r="I235" s="176"/>
      <c r="J235" s="176"/>
      <c r="K235" s="171"/>
      <c r="L235" s="170"/>
      <c r="M235" s="170" t="str">
        <f>IFERROR(_xlfn.XLOOKUP($A235,Input_Raw!$A:$A,Input_Raw!BG:BG),"")</f>
        <v/>
      </c>
      <c r="N235" s="170" t="str">
        <f>IFERROR(_xlfn.XLOOKUP($A235,Input_Raw!$A:$A,Input_Raw!BH:BH),"")</f>
        <v/>
      </c>
      <c r="O235" s="173" t="str">
        <f t="shared" si="17"/>
        <v/>
      </c>
      <c r="P235" s="173" t="str">
        <f>IFERROR(1-SUMIF(WTG_BD!$F:$F,$A235,WTG_BD!$AA:$AA)/($AA235+SUMIF(WTG_BD!$F:$F,$A235,WTG_BD!$AA:$AA)),"")</f>
        <v/>
      </c>
      <c r="Q235" s="173" t="str">
        <f>IFERROR(1-SUMIF(IGA_BD!$F:$F,$A235,IGA_BD!$X:$X)/($AA235+SUMIF(IGA_BD!$F:$F,$A235,IGA_BD!$X:$X)),"")</f>
        <v/>
      </c>
      <c r="R235" s="173" t="str">
        <f>IFERROR(1-SUMIF(Grid_BD!$F:$F,$A235,Grid_BD!$Y:$Y)/($AA235+SUMIF(Grid_BD!$F:$F,$A235,Grid_BD!$Y:$Y)),"")</f>
        <v/>
      </c>
      <c r="S235" s="167"/>
      <c r="T235" s="172"/>
      <c r="U235" s="173"/>
      <c r="V235" s="167"/>
      <c r="W235" s="174" t="str">
        <f t="shared" si="18"/>
        <v/>
      </c>
      <c r="X235" s="167" t="str">
        <f>IFERROR(_xlfn.XLOOKUP($A235,Input_Raw!$A:$A,Input_Raw!$BF:$BF),"")</f>
        <v/>
      </c>
      <c r="Y235" s="167" t="str">
        <f>IFERROR(_xlfn.XLOOKUP($A235,Input_Raw!$A:$A,Input_Raw!BJ:BJ),"")</f>
        <v/>
      </c>
      <c r="Z235" s="167" t="str">
        <f>IFERROR(_xlfn.XLOOKUP($A235,Input_Raw!$A:$A,Input_Raw!BK:BK),"")</f>
        <v/>
      </c>
      <c r="AA235" s="167" t="str">
        <f>IFERROR(_xlfn.XLOOKUP($A235,Input_Raw!$A:$A,Input_Raw!BL:BL),"")</f>
        <v/>
      </c>
      <c r="AB235" s="167" t="str">
        <f>IFERROR(_xlfn.XLOOKUP($A235,Input_Raw!$A:$A,Input_Raw!$BO:$BO),"")</f>
        <v/>
      </c>
      <c r="AC235" s="176">
        <f>IFERROR(_xlfn.XLOOKUP($D235,'Modelling New'!$D:$D,'Modelling New'!$J:$J),"")</f>
        <v>8.33</v>
      </c>
      <c r="AD235" s="166">
        <f>IFERROR(_xlfn.XLOOKUP($D235,'Modelling New'!$D:$D,'Modelling New'!$T:$T)*1000,"")</f>
        <v>405674.73399014788</v>
      </c>
      <c r="AE235" s="174"/>
      <c r="AF235" s="174">
        <f>IFERROR(_xlfn.XLOOKUP($D235,'Modelling New'!$D:$D,'Modelling New'!$W:$W),"")</f>
        <v>0.24078509852216753</v>
      </c>
      <c r="AG235" s="174">
        <f>IFERROR(_xlfn.XLOOKUP($D235,'Modelling New'!$D:$D,'Modelling New'!$AE:$AE),"")</f>
        <v>0.96029999999999993</v>
      </c>
      <c r="AH235" s="174">
        <f>IFERROR(_xlfn.XLOOKUP($D235,'Modelling New'!$D:$D,'Modelling New'!$AF:$AF),"")</f>
        <v>0.995</v>
      </c>
      <c r="AI235" s="177" t="str">
        <f>IFERROR(_xlfn.XLOOKUP($A235,Input_Raw!$A:$A,Input_Raw!$BQ:$BQ),"")</f>
        <v/>
      </c>
      <c r="AJ235" s="167"/>
      <c r="AK235" s="167"/>
      <c r="AL235" s="167"/>
      <c r="AM235" s="167"/>
      <c r="AN235" s="175" t="str">
        <f>IFERROR(_xlfn.XLOOKUP($A235,Input_Raw!$A:$A,Input_Raw!$BN:$BN),"")</f>
        <v/>
      </c>
      <c r="AO235" s="174" t="str">
        <f>IFERROR((_xlfn.XLOOKUP($A235,'WTG Reactive Power'!$A:$A,'WTG Reactive Power'!$AE:$AE))/Table13[[#This Row],[Gen_Exp (kWh)]],"")</f>
        <v/>
      </c>
      <c r="AP235" s="174">
        <f>IFERROR(_xlfn.XLOOKUP($D235,'Modelling New'!$D:$D,'Modelling New'!$AK:$AK),"")</f>
        <v>0.05</v>
      </c>
      <c r="AQ235" s="174">
        <f>IFERROR(_xlfn.XLOOKUP($D235,'Modelling New'!$D:$D,'Modelling New'!$AL:$AL),"")</f>
        <v>0.05</v>
      </c>
      <c r="AR235" s="276">
        <f>IFERROR(_xlfn.XLOOKUP($D235,'Modelling New'!$D:$D,'Modelling New'!$N:$N),"")</f>
        <v>70.2</v>
      </c>
      <c r="AS235" s="276"/>
    </row>
    <row r="236" spans="1:45">
      <c r="A236" s="165">
        <f t="shared" si="19"/>
        <v>45979</v>
      </c>
      <c r="B236" s="166">
        <f>YEAR(Table13[[#This Row],[Date]])+IF(MONTH(Table13[[#This Row],[Date]])&gt;=4,1,0)</f>
        <v>2026</v>
      </c>
      <c r="C236" s="167">
        <f>YEAR(Table13[[#This Row],[Date]])</f>
        <v>2025</v>
      </c>
      <c r="D236" s="168">
        <f>Table13[[#This Row],[Date]]-DAY(Table13[[#This Row],[Date]])+1</f>
        <v>45962</v>
      </c>
      <c r="E236" s="167">
        <f t="shared" si="16"/>
        <v>30</v>
      </c>
      <c r="F236" s="169"/>
      <c r="G236" s="170"/>
      <c r="H236" s="170"/>
      <c r="I236" s="170"/>
      <c r="J236" s="170"/>
      <c r="K236" s="171"/>
      <c r="L236" s="170"/>
      <c r="M236" s="170" t="str">
        <f>IFERROR(_xlfn.XLOOKUP($A236,Input_Raw!$A:$A,Input_Raw!BG:BG),"")</f>
        <v/>
      </c>
      <c r="N236" s="170" t="str">
        <f>IFERROR(_xlfn.XLOOKUP($A236,Input_Raw!$A:$A,Input_Raw!BH:BH),"")</f>
        <v/>
      </c>
      <c r="O236" s="173" t="str">
        <f t="shared" si="17"/>
        <v/>
      </c>
      <c r="P236" s="173" t="str">
        <f>IFERROR(1-SUMIF(WTG_BD!$F:$F,$A236,WTG_BD!$AA:$AA)/($AA236+SUMIF(WTG_BD!$F:$F,$A236,WTG_BD!$AA:$AA)),"")</f>
        <v/>
      </c>
      <c r="Q236" s="173" t="str">
        <f>IFERROR(1-SUMIF(IGA_BD!$F:$F,$A236,IGA_BD!$X:$X)/($AA236+SUMIF(IGA_BD!$F:$F,$A236,IGA_BD!$X:$X)),"")</f>
        <v/>
      </c>
      <c r="R236" s="173" t="str">
        <f>IFERROR(1-SUMIF(Grid_BD!$F:$F,$A236,Grid_BD!$Y:$Y)/($AA236+SUMIF(Grid_BD!$F:$F,$A236,Grid_BD!$Y:$Y)),"")</f>
        <v/>
      </c>
      <c r="S236" s="167"/>
      <c r="T236" s="172"/>
      <c r="U236" s="173"/>
      <c r="V236" s="167"/>
      <c r="W236" s="174" t="str">
        <f t="shared" si="18"/>
        <v/>
      </c>
      <c r="X236" s="167" t="str">
        <f>IFERROR(_xlfn.XLOOKUP($A236,Input_Raw!$A:$A,Input_Raw!$BF:$BF),"")</f>
        <v/>
      </c>
      <c r="Y236" s="167" t="str">
        <f>IFERROR(_xlfn.XLOOKUP($A236,Input_Raw!$A:$A,Input_Raw!BJ:BJ),"")</f>
        <v/>
      </c>
      <c r="Z236" s="167" t="str">
        <f>IFERROR(_xlfn.XLOOKUP($A236,Input_Raw!$A:$A,Input_Raw!BK:BK),"")</f>
        <v/>
      </c>
      <c r="AA236" s="167" t="str">
        <f>IFERROR(_xlfn.XLOOKUP($A236,Input_Raw!$A:$A,Input_Raw!BL:BL),"")</f>
        <v/>
      </c>
      <c r="AB236" s="167" t="str">
        <f>IFERROR(_xlfn.XLOOKUP($A236,Input_Raw!$A:$A,Input_Raw!$BO:$BO),"")</f>
        <v/>
      </c>
      <c r="AC236" s="176">
        <f>IFERROR(_xlfn.XLOOKUP($D236,'Modelling New'!$D:$D,'Modelling New'!$J:$J),"")</f>
        <v>8.33</v>
      </c>
      <c r="AD236" s="166">
        <f>IFERROR(_xlfn.XLOOKUP($D236,'Modelling New'!$D:$D,'Modelling New'!$T:$T)*1000,"")</f>
        <v>405674.73399014788</v>
      </c>
      <c r="AE236" s="174"/>
      <c r="AF236" s="174">
        <f>IFERROR(_xlfn.XLOOKUP($D236,'Modelling New'!$D:$D,'Modelling New'!$W:$W),"")</f>
        <v>0.24078509852216753</v>
      </c>
      <c r="AG236" s="174">
        <f>IFERROR(_xlfn.XLOOKUP($D236,'Modelling New'!$D:$D,'Modelling New'!$AE:$AE),"")</f>
        <v>0.96029999999999993</v>
      </c>
      <c r="AH236" s="174">
        <f>IFERROR(_xlfn.XLOOKUP($D236,'Modelling New'!$D:$D,'Modelling New'!$AF:$AF),"")</f>
        <v>0.995</v>
      </c>
      <c r="AI236" s="177" t="str">
        <f>IFERROR(_xlfn.XLOOKUP($A236,Input_Raw!$A:$A,Input_Raw!$BQ:$BQ),"")</f>
        <v/>
      </c>
      <c r="AJ236" s="167"/>
      <c r="AK236" s="167"/>
      <c r="AL236" s="167"/>
      <c r="AM236" s="167"/>
      <c r="AN236" s="175" t="str">
        <f>IFERROR(_xlfn.XLOOKUP($A236,Input_Raw!$A:$A,Input_Raw!$BN:$BN),"")</f>
        <v/>
      </c>
      <c r="AO236" s="174" t="str">
        <f>IFERROR((_xlfn.XLOOKUP($A236,'WTG Reactive Power'!$A:$A,'WTG Reactive Power'!$AE:$AE))/Table13[[#This Row],[Gen_Exp (kWh)]],"")</f>
        <v/>
      </c>
      <c r="AP236" s="174">
        <f>IFERROR(_xlfn.XLOOKUP($D236,'Modelling New'!$D:$D,'Modelling New'!$AK:$AK),"")</f>
        <v>0.05</v>
      </c>
      <c r="AQ236" s="174">
        <f>IFERROR(_xlfn.XLOOKUP($D236,'Modelling New'!$D:$D,'Modelling New'!$AL:$AL),"")</f>
        <v>0.05</v>
      </c>
      <c r="AR236" s="276">
        <f>IFERROR(_xlfn.XLOOKUP($D236,'Modelling New'!$D:$D,'Modelling New'!$N:$N),"")</f>
        <v>70.2</v>
      </c>
      <c r="AS236" s="276"/>
    </row>
    <row r="237" spans="1:45">
      <c r="A237" s="165">
        <f t="shared" si="19"/>
        <v>45980</v>
      </c>
      <c r="B237" s="166">
        <f>YEAR(Table13[[#This Row],[Date]])+IF(MONTH(Table13[[#This Row],[Date]])&gt;=4,1,0)</f>
        <v>2026</v>
      </c>
      <c r="C237" s="167">
        <f>YEAR(Table13[[#This Row],[Date]])</f>
        <v>2025</v>
      </c>
      <c r="D237" s="168">
        <f>Table13[[#This Row],[Date]]-DAY(Table13[[#This Row],[Date]])+1</f>
        <v>45962</v>
      </c>
      <c r="E237" s="167">
        <f t="shared" si="16"/>
        <v>30</v>
      </c>
      <c r="F237" s="169"/>
      <c r="G237" s="176"/>
      <c r="H237" s="176"/>
      <c r="I237" s="176"/>
      <c r="J237" s="176"/>
      <c r="K237" s="171"/>
      <c r="L237" s="170"/>
      <c r="M237" s="170" t="str">
        <f>IFERROR(_xlfn.XLOOKUP($A237,Input_Raw!$A:$A,Input_Raw!BG:BG),"")</f>
        <v/>
      </c>
      <c r="N237" s="170" t="str">
        <f>IFERROR(_xlfn.XLOOKUP($A237,Input_Raw!$A:$A,Input_Raw!BH:BH),"")</f>
        <v/>
      </c>
      <c r="O237" s="173" t="str">
        <f t="shared" si="17"/>
        <v/>
      </c>
      <c r="P237" s="173" t="str">
        <f>IFERROR(1-SUMIF(WTG_BD!$F:$F,$A237,WTG_BD!$AA:$AA)/($AA237+SUMIF(WTG_BD!$F:$F,$A237,WTG_BD!$AA:$AA)),"")</f>
        <v/>
      </c>
      <c r="Q237" s="173" t="str">
        <f>IFERROR(1-SUMIF(IGA_BD!$F:$F,$A237,IGA_BD!$X:$X)/($AA237+SUMIF(IGA_BD!$F:$F,$A237,IGA_BD!$X:$X)),"")</f>
        <v/>
      </c>
      <c r="R237" s="173" t="str">
        <f>IFERROR(1-SUMIF(Grid_BD!$F:$F,$A237,Grid_BD!$Y:$Y)/($AA237+SUMIF(Grid_BD!$F:$F,$A237,Grid_BD!$Y:$Y)),"")</f>
        <v/>
      </c>
      <c r="S237" s="167"/>
      <c r="T237" s="172"/>
      <c r="U237" s="173"/>
      <c r="V237" s="167"/>
      <c r="W237" s="174" t="str">
        <f t="shared" si="18"/>
        <v/>
      </c>
      <c r="X237" s="167" t="str">
        <f>IFERROR(_xlfn.XLOOKUP($A237,Input_Raw!$A:$A,Input_Raw!$BF:$BF),"")</f>
        <v/>
      </c>
      <c r="Y237" s="167" t="str">
        <f>IFERROR(_xlfn.XLOOKUP($A237,Input_Raw!$A:$A,Input_Raw!BJ:BJ),"")</f>
        <v/>
      </c>
      <c r="Z237" s="167" t="str">
        <f>IFERROR(_xlfn.XLOOKUP($A237,Input_Raw!$A:$A,Input_Raw!BK:BK),"")</f>
        <v/>
      </c>
      <c r="AA237" s="167" t="str">
        <f>IFERROR(_xlfn.XLOOKUP($A237,Input_Raw!$A:$A,Input_Raw!BL:BL),"")</f>
        <v/>
      </c>
      <c r="AB237" s="167" t="str">
        <f>IFERROR(_xlfn.XLOOKUP($A237,Input_Raw!$A:$A,Input_Raw!$BO:$BO),"")</f>
        <v/>
      </c>
      <c r="AC237" s="176">
        <f>IFERROR(_xlfn.XLOOKUP($D237,'Modelling New'!$D:$D,'Modelling New'!$J:$J),"")</f>
        <v>8.33</v>
      </c>
      <c r="AD237" s="166">
        <f>IFERROR(_xlfn.XLOOKUP($D237,'Modelling New'!$D:$D,'Modelling New'!$T:$T)*1000,"")</f>
        <v>405674.73399014788</v>
      </c>
      <c r="AE237" s="174"/>
      <c r="AF237" s="174">
        <f>IFERROR(_xlfn.XLOOKUP($D237,'Modelling New'!$D:$D,'Modelling New'!$W:$W),"")</f>
        <v>0.24078509852216753</v>
      </c>
      <c r="AG237" s="174">
        <f>IFERROR(_xlfn.XLOOKUP($D237,'Modelling New'!$D:$D,'Modelling New'!$AE:$AE),"")</f>
        <v>0.96029999999999993</v>
      </c>
      <c r="AH237" s="174">
        <f>IFERROR(_xlfn.XLOOKUP($D237,'Modelling New'!$D:$D,'Modelling New'!$AF:$AF),"")</f>
        <v>0.995</v>
      </c>
      <c r="AI237" s="177" t="str">
        <f>IFERROR(_xlfn.XLOOKUP($A237,Input_Raw!$A:$A,Input_Raw!$BQ:$BQ),"")</f>
        <v/>
      </c>
      <c r="AJ237" s="167"/>
      <c r="AK237" s="167"/>
      <c r="AL237" s="167"/>
      <c r="AM237" s="167"/>
      <c r="AN237" s="175" t="str">
        <f>IFERROR(_xlfn.XLOOKUP($A237,Input_Raw!$A:$A,Input_Raw!$BN:$BN),"")</f>
        <v/>
      </c>
      <c r="AO237" s="174" t="str">
        <f>IFERROR((_xlfn.XLOOKUP($A237,'WTG Reactive Power'!$A:$A,'WTG Reactive Power'!$AE:$AE))/Table13[[#This Row],[Gen_Exp (kWh)]],"")</f>
        <v/>
      </c>
      <c r="AP237" s="174">
        <f>IFERROR(_xlfn.XLOOKUP($D237,'Modelling New'!$D:$D,'Modelling New'!$AK:$AK),"")</f>
        <v>0.05</v>
      </c>
      <c r="AQ237" s="174">
        <f>IFERROR(_xlfn.XLOOKUP($D237,'Modelling New'!$D:$D,'Modelling New'!$AL:$AL),"")</f>
        <v>0.05</v>
      </c>
      <c r="AR237" s="276">
        <f>IFERROR(_xlfn.XLOOKUP($D237,'Modelling New'!$D:$D,'Modelling New'!$N:$N),"")</f>
        <v>70.2</v>
      </c>
      <c r="AS237" s="276"/>
    </row>
    <row r="238" spans="1:45">
      <c r="A238" s="165">
        <f t="shared" si="19"/>
        <v>45981</v>
      </c>
      <c r="B238" s="166">
        <f>YEAR(Table13[[#This Row],[Date]])+IF(MONTH(Table13[[#This Row],[Date]])&gt;=4,1,0)</f>
        <v>2026</v>
      </c>
      <c r="C238" s="167">
        <f>YEAR(Table13[[#This Row],[Date]])</f>
        <v>2025</v>
      </c>
      <c r="D238" s="168">
        <f>Table13[[#This Row],[Date]]-DAY(Table13[[#This Row],[Date]])+1</f>
        <v>45962</v>
      </c>
      <c r="E238" s="167">
        <f t="shared" si="16"/>
        <v>30</v>
      </c>
      <c r="F238" s="169"/>
      <c r="G238" s="170"/>
      <c r="H238" s="170"/>
      <c r="I238" s="170"/>
      <c r="J238" s="170"/>
      <c r="K238" s="171"/>
      <c r="L238" s="170"/>
      <c r="M238" s="170" t="str">
        <f>IFERROR(_xlfn.XLOOKUP($A238,Input_Raw!$A:$A,Input_Raw!BG:BG),"")</f>
        <v/>
      </c>
      <c r="N238" s="170" t="str">
        <f>IFERROR(_xlfn.XLOOKUP($A238,Input_Raw!$A:$A,Input_Raw!BH:BH),"")</f>
        <v/>
      </c>
      <c r="O238" s="173" t="str">
        <f t="shared" si="17"/>
        <v/>
      </c>
      <c r="P238" s="173" t="str">
        <f>IFERROR(1-SUMIF(WTG_BD!$F:$F,$A238,WTG_BD!$AA:$AA)/($AA238+SUMIF(WTG_BD!$F:$F,$A238,WTG_BD!$AA:$AA)),"")</f>
        <v/>
      </c>
      <c r="Q238" s="173" t="str">
        <f>IFERROR(1-SUMIF(IGA_BD!$F:$F,$A238,IGA_BD!$X:$X)/($AA238+SUMIF(IGA_BD!$F:$F,$A238,IGA_BD!$X:$X)),"")</f>
        <v/>
      </c>
      <c r="R238" s="173" t="str">
        <f>IFERROR(1-SUMIF(Grid_BD!$F:$F,$A238,Grid_BD!$Y:$Y)/($AA238+SUMIF(Grid_BD!$F:$F,$A238,Grid_BD!$Y:$Y)),"")</f>
        <v/>
      </c>
      <c r="S238" s="167"/>
      <c r="T238" s="172"/>
      <c r="U238" s="173"/>
      <c r="V238" s="167"/>
      <c r="W238" s="174" t="str">
        <f t="shared" si="18"/>
        <v/>
      </c>
      <c r="X238" s="167" t="str">
        <f>IFERROR(_xlfn.XLOOKUP($A238,Input_Raw!$A:$A,Input_Raw!$BF:$BF),"")</f>
        <v/>
      </c>
      <c r="Y238" s="167" t="str">
        <f>IFERROR(_xlfn.XLOOKUP($A238,Input_Raw!$A:$A,Input_Raw!BJ:BJ),"")</f>
        <v/>
      </c>
      <c r="Z238" s="167" t="str">
        <f>IFERROR(_xlfn.XLOOKUP($A238,Input_Raw!$A:$A,Input_Raw!BK:BK),"")</f>
        <v/>
      </c>
      <c r="AA238" s="167" t="str">
        <f>IFERROR(_xlfn.XLOOKUP($A238,Input_Raw!$A:$A,Input_Raw!BL:BL),"")</f>
        <v/>
      </c>
      <c r="AB238" s="167" t="str">
        <f>IFERROR(_xlfn.XLOOKUP($A238,Input_Raw!$A:$A,Input_Raw!$BO:$BO),"")</f>
        <v/>
      </c>
      <c r="AC238" s="176">
        <f>IFERROR(_xlfn.XLOOKUP($D238,'Modelling New'!$D:$D,'Modelling New'!$J:$J),"")</f>
        <v>8.33</v>
      </c>
      <c r="AD238" s="166">
        <f>IFERROR(_xlfn.XLOOKUP($D238,'Modelling New'!$D:$D,'Modelling New'!$T:$T)*1000,"")</f>
        <v>405674.73399014788</v>
      </c>
      <c r="AE238" s="174"/>
      <c r="AF238" s="174">
        <f>IFERROR(_xlfn.XLOOKUP($D238,'Modelling New'!$D:$D,'Modelling New'!$W:$W),"")</f>
        <v>0.24078509852216753</v>
      </c>
      <c r="AG238" s="174">
        <f>IFERROR(_xlfn.XLOOKUP($D238,'Modelling New'!$D:$D,'Modelling New'!$AE:$AE),"")</f>
        <v>0.96029999999999993</v>
      </c>
      <c r="AH238" s="174">
        <f>IFERROR(_xlfn.XLOOKUP($D238,'Modelling New'!$D:$D,'Modelling New'!$AF:$AF),"")</f>
        <v>0.995</v>
      </c>
      <c r="AI238" s="177" t="str">
        <f>IFERROR(_xlfn.XLOOKUP($A238,Input_Raw!$A:$A,Input_Raw!$BQ:$BQ),"")</f>
        <v/>
      </c>
      <c r="AJ238" s="167"/>
      <c r="AK238" s="167"/>
      <c r="AL238" s="167"/>
      <c r="AM238" s="167"/>
      <c r="AN238" s="175" t="str">
        <f>IFERROR(_xlfn.XLOOKUP($A238,Input_Raw!$A:$A,Input_Raw!$BN:$BN),"")</f>
        <v/>
      </c>
      <c r="AO238" s="174" t="str">
        <f>IFERROR((_xlfn.XLOOKUP($A238,'WTG Reactive Power'!$A:$A,'WTG Reactive Power'!$AE:$AE))/Table13[[#This Row],[Gen_Exp (kWh)]],"")</f>
        <v/>
      </c>
      <c r="AP238" s="174">
        <f>IFERROR(_xlfn.XLOOKUP($D238,'Modelling New'!$D:$D,'Modelling New'!$AK:$AK),"")</f>
        <v>0.05</v>
      </c>
      <c r="AQ238" s="174">
        <f>IFERROR(_xlfn.XLOOKUP($D238,'Modelling New'!$D:$D,'Modelling New'!$AL:$AL),"")</f>
        <v>0.05</v>
      </c>
      <c r="AR238" s="276">
        <f>IFERROR(_xlfn.XLOOKUP($D238,'Modelling New'!$D:$D,'Modelling New'!$N:$N),"")</f>
        <v>70.2</v>
      </c>
      <c r="AS238" s="276"/>
    </row>
    <row r="239" spans="1:45">
      <c r="A239" s="165">
        <f t="shared" si="19"/>
        <v>45982</v>
      </c>
      <c r="B239" s="166">
        <f>YEAR(Table13[[#This Row],[Date]])+IF(MONTH(Table13[[#This Row],[Date]])&gt;=4,1,0)</f>
        <v>2026</v>
      </c>
      <c r="C239" s="167">
        <f>YEAR(Table13[[#This Row],[Date]])</f>
        <v>2025</v>
      </c>
      <c r="D239" s="168">
        <f>Table13[[#This Row],[Date]]-DAY(Table13[[#This Row],[Date]])+1</f>
        <v>45962</v>
      </c>
      <c r="E239" s="167">
        <f t="shared" si="16"/>
        <v>30</v>
      </c>
      <c r="F239" s="169"/>
      <c r="G239" s="176"/>
      <c r="H239" s="176"/>
      <c r="I239" s="176"/>
      <c r="J239" s="176"/>
      <c r="K239" s="171"/>
      <c r="L239" s="170"/>
      <c r="M239" s="170" t="str">
        <f>IFERROR(_xlfn.XLOOKUP($A239,Input_Raw!$A:$A,Input_Raw!BG:BG),"")</f>
        <v/>
      </c>
      <c r="N239" s="170" t="str">
        <f>IFERROR(_xlfn.XLOOKUP($A239,Input_Raw!$A:$A,Input_Raw!BH:BH),"")</f>
        <v/>
      </c>
      <c r="O239" s="173" t="str">
        <f t="shared" si="17"/>
        <v/>
      </c>
      <c r="P239" s="173" t="str">
        <f>IFERROR(1-SUMIF(WTG_BD!$F:$F,$A239,WTG_BD!$AA:$AA)/($AA239+SUMIF(WTG_BD!$F:$F,$A239,WTG_BD!$AA:$AA)),"")</f>
        <v/>
      </c>
      <c r="Q239" s="173" t="str">
        <f>IFERROR(1-SUMIF(IGA_BD!$F:$F,$A239,IGA_BD!$X:$X)/($AA239+SUMIF(IGA_BD!$F:$F,$A239,IGA_BD!$X:$X)),"")</f>
        <v/>
      </c>
      <c r="R239" s="173" t="str">
        <f>IFERROR(1-SUMIF(Grid_BD!$F:$F,$A239,Grid_BD!$Y:$Y)/($AA239+SUMIF(Grid_BD!$F:$F,$A239,Grid_BD!$Y:$Y)),"")</f>
        <v/>
      </c>
      <c r="S239" s="167"/>
      <c r="T239" s="172"/>
      <c r="U239" s="173"/>
      <c r="V239" s="167"/>
      <c r="W239" s="174" t="str">
        <f t="shared" si="18"/>
        <v/>
      </c>
      <c r="X239" s="167" t="str">
        <f>IFERROR(_xlfn.XLOOKUP($A239,Input_Raw!$A:$A,Input_Raw!$BF:$BF),"")</f>
        <v/>
      </c>
      <c r="Y239" s="167" t="str">
        <f>IFERROR(_xlfn.XLOOKUP($A239,Input_Raw!$A:$A,Input_Raw!BJ:BJ),"")</f>
        <v/>
      </c>
      <c r="Z239" s="167" t="str">
        <f>IFERROR(_xlfn.XLOOKUP($A239,Input_Raw!$A:$A,Input_Raw!BK:BK),"")</f>
        <v/>
      </c>
      <c r="AA239" s="167" t="str">
        <f>IFERROR(_xlfn.XLOOKUP($A239,Input_Raw!$A:$A,Input_Raw!BL:BL),"")</f>
        <v/>
      </c>
      <c r="AB239" s="167" t="str">
        <f>IFERROR(_xlfn.XLOOKUP($A239,Input_Raw!$A:$A,Input_Raw!$BO:$BO),"")</f>
        <v/>
      </c>
      <c r="AC239" s="176">
        <f>IFERROR(_xlfn.XLOOKUP($D239,'Modelling New'!$D:$D,'Modelling New'!$J:$J),"")</f>
        <v>8.33</v>
      </c>
      <c r="AD239" s="166">
        <f>IFERROR(_xlfn.XLOOKUP($D239,'Modelling New'!$D:$D,'Modelling New'!$T:$T)*1000,"")</f>
        <v>405674.73399014788</v>
      </c>
      <c r="AE239" s="174"/>
      <c r="AF239" s="174">
        <f>IFERROR(_xlfn.XLOOKUP($D239,'Modelling New'!$D:$D,'Modelling New'!$W:$W),"")</f>
        <v>0.24078509852216753</v>
      </c>
      <c r="AG239" s="174">
        <f>IFERROR(_xlfn.XLOOKUP($D239,'Modelling New'!$D:$D,'Modelling New'!$AE:$AE),"")</f>
        <v>0.96029999999999993</v>
      </c>
      <c r="AH239" s="174">
        <f>IFERROR(_xlfn.XLOOKUP($D239,'Modelling New'!$D:$D,'Modelling New'!$AF:$AF),"")</f>
        <v>0.995</v>
      </c>
      <c r="AI239" s="177" t="str">
        <f>IFERROR(_xlfn.XLOOKUP($A239,Input_Raw!$A:$A,Input_Raw!$BQ:$BQ),"")</f>
        <v/>
      </c>
      <c r="AJ239" s="167"/>
      <c r="AK239" s="167"/>
      <c r="AL239" s="167"/>
      <c r="AM239" s="167"/>
      <c r="AN239" s="175" t="str">
        <f>IFERROR(_xlfn.XLOOKUP($A239,Input_Raw!$A:$A,Input_Raw!$BN:$BN),"")</f>
        <v/>
      </c>
      <c r="AO239" s="174" t="str">
        <f>IFERROR((_xlfn.XLOOKUP($A239,'WTG Reactive Power'!$A:$A,'WTG Reactive Power'!$AE:$AE))/Table13[[#This Row],[Gen_Exp (kWh)]],"")</f>
        <v/>
      </c>
      <c r="AP239" s="174">
        <f>IFERROR(_xlfn.XLOOKUP($D239,'Modelling New'!$D:$D,'Modelling New'!$AK:$AK),"")</f>
        <v>0.05</v>
      </c>
      <c r="AQ239" s="174">
        <f>IFERROR(_xlfn.XLOOKUP($D239,'Modelling New'!$D:$D,'Modelling New'!$AL:$AL),"")</f>
        <v>0.05</v>
      </c>
      <c r="AR239" s="276">
        <f>IFERROR(_xlfn.XLOOKUP($D239,'Modelling New'!$D:$D,'Modelling New'!$N:$N),"")</f>
        <v>70.2</v>
      </c>
      <c r="AS239" s="276"/>
    </row>
    <row r="240" spans="1:45">
      <c r="A240" s="165">
        <f t="shared" si="19"/>
        <v>45983</v>
      </c>
      <c r="B240" s="166">
        <f>YEAR(Table13[[#This Row],[Date]])+IF(MONTH(Table13[[#This Row],[Date]])&gt;=4,1,0)</f>
        <v>2026</v>
      </c>
      <c r="C240" s="167">
        <f>YEAR(Table13[[#This Row],[Date]])</f>
        <v>2025</v>
      </c>
      <c r="D240" s="168">
        <f>Table13[[#This Row],[Date]]-DAY(Table13[[#This Row],[Date]])+1</f>
        <v>45962</v>
      </c>
      <c r="E240" s="167">
        <f t="shared" si="16"/>
        <v>30</v>
      </c>
      <c r="F240" s="169"/>
      <c r="G240" s="170"/>
      <c r="H240" s="170"/>
      <c r="I240" s="170"/>
      <c r="J240" s="170"/>
      <c r="K240" s="171"/>
      <c r="L240" s="170"/>
      <c r="M240" s="170" t="str">
        <f>IFERROR(_xlfn.XLOOKUP($A240,Input_Raw!$A:$A,Input_Raw!BG:BG),"")</f>
        <v/>
      </c>
      <c r="N240" s="170" t="str">
        <f>IFERROR(_xlfn.XLOOKUP($A240,Input_Raw!$A:$A,Input_Raw!BH:BH),"")</f>
        <v/>
      </c>
      <c r="O240" s="173" t="str">
        <f t="shared" si="17"/>
        <v/>
      </c>
      <c r="P240" s="173" t="str">
        <f>IFERROR(1-SUMIF(WTG_BD!$F:$F,$A240,WTG_BD!$AA:$AA)/($AA240+SUMIF(WTG_BD!$F:$F,$A240,WTG_BD!$AA:$AA)),"")</f>
        <v/>
      </c>
      <c r="Q240" s="173" t="str">
        <f>IFERROR(1-SUMIF(IGA_BD!$F:$F,$A240,IGA_BD!$X:$X)/($AA240+SUMIF(IGA_BD!$F:$F,$A240,IGA_BD!$X:$X)),"")</f>
        <v/>
      </c>
      <c r="R240" s="173" t="str">
        <f>IFERROR(1-SUMIF(Grid_BD!$F:$F,$A240,Grid_BD!$Y:$Y)/($AA240+SUMIF(Grid_BD!$F:$F,$A240,Grid_BD!$Y:$Y)),"")</f>
        <v/>
      </c>
      <c r="S240" s="167"/>
      <c r="T240" s="172"/>
      <c r="U240" s="173"/>
      <c r="V240" s="167"/>
      <c r="W240" s="174" t="str">
        <f t="shared" si="18"/>
        <v/>
      </c>
      <c r="X240" s="167" t="str">
        <f>IFERROR(_xlfn.XLOOKUP($A240,Input_Raw!$A:$A,Input_Raw!$BF:$BF),"")</f>
        <v/>
      </c>
      <c r="Y240" s="167" t="str">
        <f>IFERROR(_xlfn.XLOOKUP($A240,Input_Raw!$A:$A,Input_Raw!BJ:BJ),"")</f>
        <v/>
      </c>
      <c r="Z240" s="167" t="str">
        <f>IFERROR(_xlfn.XLOOKUP($A240,Input_Raw!$A:$A,Input_Raw!BK:BK),"")</f>
        <v/>
      </c>
      <c r="AA240" s="167" t="str">
        <f>IFERROR(_xlfn.XLOOKUP($A240,Input_Raw!$A:$A,Input_Raw!BL:BL),"")</f>
        <v/>
      </c>
      <c r="AB240" s="167" t="str">
        <f>IFERROR(_xlfn.XLOOKUP($A240,Input_Raw!$A:$A,Input_Raw!$BO:$BO),"")</f>
        <v/>
      </c>
      <c r="AC240" s="176">
        <f>IFERROR(_xlfn.XLOOKUP($D240,'Modelling New'!$D:$D,'Modelling New'!$J:$J),"")</f>
        <v>8.33</v>
      </c>
      <c r="AD240" s="166">
        <f>IFERROR(_xlfn.XLOOKUP($D240,'Modelling New'!$D:$D,'Modelling New'!$T:$T)*1000,"")</f>
        <v>405674.73399014788</v>
      </c>
      <c r="AE240" s="174"/>
      <c r="AF240" s="174">
        <f>IFERROR(_xlfn.XLOOKUP($D240,'Modelling New'!$D:$D,'Modelling New'!$W:$W),"")</f>
        <v>0.24078509852216753</v>
      </c>
      <c r="AG240" s="174">
        <f>IFERROR(_xlfn.XLOOKUP($D240,'Modelling New'!$D:$D,'Modelling New'!$AE:$AE),"")</f>
        <v>0.96029999999999993</v>
      </c>
      <c r="AH240" s="174">
        <f>IFERROR(_xlfn.XLOOKUP($D240,'Modelling New'!$D:$D,'Modelling New'!$AF:$AF),"")</f>
        <v>0.995</v>
      </c>
      <c r="AI240" s="177" t="str">
        <f>IFERROR(_xlfn.XLOOKUP($A240,Input_Raw!$A:$A,Input_Raw!$BQ:$BQ),"")</f>
        <v/>
      </c>
      <c r="AJ240" s="167"/>
      <c r="AK240" s="167"/>
      <c r="AL240" s="167"/>
      <c r="AM240" s="167"/>
      <c r="AN240" s="175" t="str">
        <f>IFERROR(_xlfn.XLOOKUP($A240,Input_Raw!$A:$A,Input_Raw!$BN:$BN),"")</f>
        <v/>
      </c>
      <c r="AO240" s="174" t="str">
        <f>IFERROR((_xlfn.XLOOKUP($A240,'WTG Reactive Power'!$A:$A,'WTG Reactive Power'!$AE:$AE))/Table13[[#This Row],[Gen_Exp (kWh)]],"")</f>
        <v/>
      </c>
      <c r="AP240" s="174">
        <f>IFERROR(_xlfn.XLOOKUP($D240,'Modelling New'!$D:$D,'Modelling New'!$AK:$AK),"")</f>
        <v>0.05</v>
      </c>
      <c r="AQ240" s="174">
        <f>IFERROR(_xlfn.XLOOKUP($D240,'Modelling New'!$D:$D,'Modelling New'!$AL:$AL),"")</f>
        <v>0.05</v>
      </c>
      <c r="AR240" s="276">
        <f>IFERROR(_xlfn.XLOOKUP($D240,'Modelling New'!$D:$D,'Modelling New'!$N:$N),"")</f>
        <v>70.2</v>
      </c>
      <c r="AS240" s="276"/>
    </row>
    <row r="241" spans="1:45">
      <c r="A241" s="165">
        <f t="shared" si="19"/>
        <v>45984</v>
      </c>
      <c r="B241" s="166">
        <f>YEAR(Table13[[#This Row],[Date]])+IF(MONTH(Table13[[#This Row],[Date]])&gt;=4,1,0)</f>
        <v>2026</v>
      </c>
      <c r="C241" s="167">
        <f>YEAR(Table13[[#This Row],[Date]])</f>
        <v>2025</v>
      </c>
      <c r="D241" s="168">
        <f>Table13[[#This Row],[Date]]-DAY(Table13[[#This Row],[Date]])+1</f>
        <v>45962</v>
      </c>
      <c r="E241" s="167">
        <f t="shared" si="16"/>
        <v>30</v>
      </c>
      <c r="F241" s="169"/>
      <c r="G241" s="176"/>
      <c r="H241" s="176"/>
      <c r="I241" s="176"/>
      <c r="J241" s="176"/>
      <c r="K241" s="171"/>
      <c r="L241" s="170"/>
      <c r="M241" s="170" t="str">
        <f>IFERROR(_xlfn.XLOOKUP($A241,Input_Raw!$A:$A,Input_Raw!BG:BG),"")</f>
        <v/>
      </c>
      <c r="N241" s="170" t="str">
        <f>IFERROR(_xlfn.XLOOKUP($A241,Input_Raw!$A:$A,Input_Raw!BH:BH),"")</f>
        <v/>
      </c>
      <c r="O241" s="173" t="str">
        <f t="shared" si="17"/>
        <v/>
      </c>
      <c r="P241" s="173" t="str">
        <f>IFERROR(1-SUMIF(WTG_BD!$F:$F,$A241,WTG_BD!$AA:$AA)/($AA241+SUMIF(WTG_BD!$F:$F,$A241,WTG_BD!$AA:$AA)),"")</f>
        <v/>
      </c>
      <c r="Q241" s="173" t="str">
        <f>IFERROR(1-SUMIF(IGA_BD!$F:$F,$A241,IGA_BD!$X:$X)/($AA241+SUMIF(IGA_BD!$F:$F,$A241,IGA_BD!$X:$X)),"")</f>
        <v/>
      </c>
      <c r="R241" s="173" t="str">
        <f>IFERROR(1-SUMIF(Grid_BD!$F:$F,$A241,Grid_BD!$Y:$Y)/($AA241+SUMIF(Grid_BD!$F:$F,$A241,Grid_BD!$Y:$Y)),"")</f>
        <v/>
      </c>
      <c r="S241" s="167"/>
      <c r="T241" s="172"/>
      <c r="U241" s="173"/>
      <c r="V241" s="167"/>
      <c r="W241" s="174" t="str">
        <f t="shared" si="18"/>
        <v/>
      </c>
      <c r="X241" s="167" t="str">
        <f>IFERROR(_xlfn.XLOOKUP($A241,Input_Raw!$A:$A,Input_Raw!$BF:$BF),"")</f>
        <v/>
      </c>
      <c r="Y241" s="167" t="str">
        <f>IFERROR(_xlfn.XLOOKUP($A241,Input_Raw!$A:$A,Input_Raw!BJ:BJ),"")</f>
        <v/>
      </c>
      <c r="Z241" s="167" t="str">
        <f>IFERROR(_xlfn.XLOOKUP($A241,Input_Raw!$A:$A,Input_Raw!BK:BK),"")</f>
        <v/>
      </c>
      <c r="AA241" s="167" t="str">
        <f>IFERROR(_xlfn.XLOOKUP($A241,Input_Raw!$A:$A,Input_Raw!BL:BL),"")</f>
        <v/>
      </c>
      <c r="AB241" s="167" t="str">
        <f>IFERROR(_xlfn.XLOOKUP($A241,Input_Raw!$A:$A,Input_Raw!$BO:$BO),"")</f>
        <v/>
      </c>
      <c r="AC241" s="176">
        <f>IFERROR(_xlfn.XLOOKUP($D241,'Modelling New'!$D:$D,'Modelling New'!$J:$J),"")</f>
        <v>8.33</v>
      </c>
      <c r="AD241" s="166">
        <f>IFERROR(_xlfn.XLOOKUP($D241,'Modelling New'!$D:$D,'Modelling New'!$T:$T)*1000,"")</f>
        <v>405674.73399014788</v>
      </c>
      <c r="AE241" s="174"/>
      <c r="AF241" s="174">
        <f>IFERROR(_xlfn.XLOOKUP($D241,'Modelling New'!$D:$D,'Modelling New'!$W:$W),"")</f>
        <v>0.24078509852216753</v>
      </c>
      <c r="AG241" s="174">
        <f>IFERROR(_xlfn.XLOOKUP($D241,'Modelling New'!$D:$D,'Modelling New'!$AE:$AE),"")</f>
        <v>0.96029999999999993</v>
      </c>
      <c r="AH241" s="174">
        <f>IFERROR(_xlfn.XLOOKUP($D241,'Modelling New'!$D:$D,'Modelling New'!$AF:$AF),"")</f>
        <v>0.995</v>
      </c>
      <c r="AI241" s="177" t="str">
        <f>IFERROR(_xlfn.XLOOKUP($A241,Input_Raw!$A:$A,Input_Raw!$BQ:$BQ),"")</f>
        <v/>
      </c>
      <c r="AJ241" s="167"/>
      <c r="AK241" s="167"/>
      <c r="AL241" s="167"/>
      <c r="AM241" s="167"/>
      <c r="AN241" s="175" t="str">
        <f>IFERROR(_xlfn.XLOOKUP($A241,Input_Raw!$A:$A,Input_Raw!$BN:$BN),"")</f>
        <v/>
      </c>
      <c r="AO241" s="174" t="str">
        <f>IFERROR((_xlfn.XLOOKUP($A241,'WTG Reactive Power'!$A:$A,'WTG Reactive Power'!$AE:$AE))/Table13[[#This Row],[Gen_Exp (kWh)]],"")</f>
        <v/>
      </c>
      <c r="AP241" s="174">
        <f>IFERROR(_xlfn.XLOOKUP($D241,'Modelling New'!$D:$D,'Modelling New'!$AK:$AK),"")</f>
        <v>0.05</v>
      </c>
      <c r="AQ241" s="174">
        <f>IFERROR(_xlfn.XLOOKUP($D241,'Modelling New'!$D:$D,'Modelling New'!$AL:$AL),"")</f>
        <v>0.05</v>
      </c>
      <c r="AR241" s="276">
        <f>IFERROR(_xlfn.XLOOKUP($D241,'Modelling New'!$D:$D,'Modelling New'!$N:$N),"")</f>
        <v>70.2</v>
      </c>
      <c r="AS241" s="276"/>
    </row>
    <row r="242" spans="1:45">
      <c r="A242" s="165">
        <f t="shared" si="19"/>
        <v>45985</v>
      </c>
      <c r="B242" s="166">
        <f>YEAR(Table13[[#This Row],[Date]])+IF(MONTH(Table13[[#This Row],[Date]])&gt;=4,1,0)</f>
        <v>2026</v>
      </c>
      <c r="C242" s="167">
        <f>YEAR(Table13[[#This Row],[Date]])</f>
        <v>2025</v>
      </c>
      <c r="D242" s="168">
        <f>Table13[[#This Row],[Date]]-DAY(Table13[[#This Row],[Date]])+1</f>
        <v>45962</v>
      </c>
      <c r="E242" s="167">
        <f t="shared" si="16"/>
        <v>30</v>
      </c>
      <c r="F242" s="169"/>
      <c r="G242" s="170"/>
      <c r="H242" s="170"/>
      <c r="I242" s="170"/>
      <c r="J242" s="170"/>
      <c r="K242" s="171"/>
      <c r="L242" s="170"/>
      <c r="M242" s="170" t="str">
        <f>IFERROR(_xlfn.XLOOKUP($A242,Input_Raw!$A:$A,Input_Raw!BG:BG),"")</f>
        <v/>
      </c>
      <c r="N242" s="170" t="str">
        <f>IFERROR(_xlfn.XLOOKUP($A242,Input_Raw!$A:$A,Input_Raw!BH:BH),"")</f>
        <v/>
      </c>
      <c r="O242" s="173" t="str">
        <f t="shared" si="17"/>
        <v/>
      </c>
      <c r="P242" s="173" t="str">
        <f>IFERROR(1-SUMIF(WTG_BD!$F:$F,$A242,WTG_BD!$AA:$AA)/($AA242+SUMIF(WTG_BD!$F:$F,$A242,WTG_BD!$AA:$AA)),"")</f>
        <v/>
      </c>
      <c r="Q242" s="173" t="str">
        <f>IFERROR(1-SUMIF(IGA_BD!$F:$F,$A242,IGA_BD!$X:$X)/($AA242+SUMIF(IGA_BD!$F:$F,$A242,IGA_BD!$X:$X)),"")</f>
        <v/>
      </c>
      <c r="R242" s="173" t="str">
        <f>IFERROR(1-SUMIF(Grid_BD!$F:$F,$A242,Grid_BD!$Y:$Y)/($AA242+SUMIF(Grid_BD!$F:$F,$A242,Grid_BD!$Y:$Y)),"")</f>
        <v/>
      </c>
      <c r="S242" s="167"/>
      <c r="T242" s="172"/>
      <c r="U242" s="173"/>
      <c r="V242" s="167"/>
      <c r="W242" s="174" t="str">
        <f t="shared" si="18"/>
        <v/>
      </c>
      <c r="X242" s="167" t="str">
        <f>IFERROR(_xlfn.XLOOKUP($A242,Input_Raw!$A:$A,Input_Raw!$BF:$BF),"")</f>
        <v/>
      </c>
      <c r="Y242" s="167" t="str">
        <f>IFERROR(_xlfn.XLOOKUP($A242,Input_Raw!$A:$A,Input_Raw!BJ:BJ),"")</f>
        <v/>
      </c>
      <c r="Z242" s="167" t="str">
        <f>IFERROR(_xlfn.XLOOKUP($A242,Input_Raw!$A:$A,Input_Raw!BK:BK),"")</f>
        <v/>
      </c>
      <c r="AA242" s="167" t="str">
        <f>IFERROR(_xlfn.XLOOKUP($A242,Input_Raw!$A:$A,Input_Raw!BL:BL),"")</f>
        <v/>
      </c>
      <c r="AB242" s="167" t="str">
        <f>IFERROR(_xlfn.XLOOKUP($A242,Input_Raw!$A:$A,Input_Raw!$BO:$BO),"")</f>
        <v/>
      </c>
      <c r="AC242" s="176">
        <f>IFERROR(_xlfn.XLOOKUP($D242,'Modelling New'!$D:$D,'Modelling New'!$J:$J),"")</f>
        <v>8.33</v>
      </c>
      <c r="AD242" s="166">
        <f>IFERROR(_xlfn.XLOOKUP($D242,'Modelling New'!$D:$D,'Modelling New'!$T:$T)*1000,"")</f>
        <v>405674.73399014788</v>
      </c>
      <c r="AE242" s="174"/>
      <c r="AF242" s="174">
        <f>IFERROR(_xlfn.XLOOKUP($D242,'Modelling New'!$D:$D,'Modelling New'!$W:$W),"")</f>
        <v>0.24078509852216753</v>
      </c>
      <c r="AG242" s="174">
        <f>IFERROR(_xlfn.XLOOKUP($D242,'Modelling New'!$D:$D,'Modelling New'!$AE:$AE),"")</f>
        <v>0.96029999999999993</v>
      </c>
      <c r="AH242" s="174">
        <f>IFERROR(_xlfn.XLOOKUP($D242,'Modelling New'!$D:$D,'Modelling New'!$AF:$AF),"")</f>
        <v>0.995</v>
      </c>
      <c r="AI242" s="177" t="str">
        <f>IFERROR(_xlfn.XLOOKUP($A242,Input_Raw!$A:$A,Input_Raw!$BQ:$BQ),"")</f>
        <v/>
      </c>
      <c r="AJ242" s="167"/>
      <c r="AK242" s="167"/>
      <c r="AL242" s="167"/>
      <c r="AM242" s="167"/>
      <c r="AN242" s="175" t="str">
        <f>IFERROR(_xlfn.XLOOKUP($A242,Input_Raw!$A:$A,Input_Raw!$BN:$BN),"")</f>
        <v/>
      </c>
      <c r="AO242" s="174" t="str">
        <f>IFERROR((_xlfn.XLOOKUP($A242,'WTG Reactive Power'!$A:$A,'WTG Reactive Power'!$AE:$AE))/Table13[[#This Row],[Gen_Exp (kWh)]],"")</f>
        <v/>
      </c>
      <c r="AP242" s="174">
        <f>IFERROR(_xlfn.XLOOKUP($D242,'Modelling New'!$D:$D,'Modelling New'!$AK:$AK),"")</f>
        <v>0.05</v>
      </c>
      <c r="AQ242" s="174">
        <f>IFERROR(_xlfn.XLOOKUP($D242,'Modelling New'!$D:$D,'Modelling New'!$AL:$AL),"")</f>
        <v>0.05</v>
      </c>
      <c r="AR242" s="276">
        <f>IFERROR(_xlfn.XLOOKUP($D242,'Modelling New'!$D:$D,'Modelling New'!$N:$N),"")</f>
        <v>70.2</v>
      </c>
      <c r="AS242" s="276"/>
    </row>
    <row r="243" spans="1:45">
      <c r="A243" s="165">
        <f t="shared" si="19"/>
        <v>45986</v>
      </c>
      <c r="B243" s="166">
        <f>YEAR(Table13[[#This Row],[Date]])+IF(MONTH(Table13[[#This Row],[Date]])&gt;=4,1,0)</f>
        <v>2026</v>
      </c>
      <c r="C243" s="167">
        <f>YEAR(Table13[[#This Row],[Date]])</f>
        <v>2025</v>
      </c>
      <c r="D243" s="168">
        <f>Table13[[#This Row],[Date]]-DAY(Table13[[#This Row],[Date]])+1</f>
        <v>45962</v>
      </c>
      <c r="E243" s="167">
        <f t="shared" si="16"/>
        <v>30</v>
      </c>
      <c r="F243" s="169"/>
      <c r="G243" s="176"/>
      <c r="H243" s="176"/>
      <c r="I243" s="176"/>
      <c r="J243" s="176"/>
      <c r="K243" s="171"/>
      <c r="L243" s="170"/>
      <c r="M243" s="170" t="str">
        <f>IFERROR(_xlfn.XLOOKUP($A243,Input_Raw!$A:$A,Input_Raw!BG:BG),"")</f>
        <v/>
      </c>
      <c r="N243" s="170" t="str">
        <f>IFERROR(_xlfn.XLOOKUP($A243,Input_Raw!$A:$A,Input_Raw!BH:BH),"")</f>
        <v/>
      </c>
      <c r="O243" s="173" t="str">
        <f t="shared" si="17"/>
        <v/>
      </c>
      <c r="P243" s="173" t="str">
        <f>IFERROR(1-SUMIF(WTG_BD!$F:$F,$A243,WTG_BD!$AA:$AA)/($AA243+SUMIF(WTG_BD!$F:$F,$A243,WTG_BD!$AA:$AA)),"")</f>
        <v/>
      </c>
      <c r="Q243" s="173" t="str">
        <f>IFERROR(1-SUMIF(IGA_BD!$F:$F,$A243,IGA_BD!$X:$X)/($AA243+SUMIF(IGA_BD!$F:$F,$A243,IGA_BD!$X:$X)),"")</f>
        <v/>
      </c>
      <c r="R243" s="173" t="str">
        <f>IFERROR(1-SUMIF(Grid_BD!$F:$F,$A243,Grid_BD!$Y:$Y)/($AA243+SUMIF(Grid_BD!$F:$F,$A243,Grid_BD!$Y:$Y)),"")</f>
        <v/>
      </c>
      <c r="S243" s="167"/>
      <c r="T243" s="172"/>
      <c r="U243" s="173"/>
      <c r="V243" s="167"/>
      <c r="W243" s="174" t="str">
        <f t="shared" si="18"/>
        <v/>
      </c>
      <c r="X243" s="167" t="str">
        <f>IFERROR(_xlfn.XLOOKUP($A243,Input_Raw!$A:$A,Input_Raw!$BF:$BF),"")</f>
        <v/>
      </c>
      <c r="Y243" s="167" t="str">
        <f>IFERROR(_xlfn.XLOOKUP($A243,Input_Raw!$A:$A,Input_Raw!BJ:BJ),"")</f>
        <v/>
      </c>
      <c r="Z243" s="167" t="str">
        <f>IFERROR(_xlfn.XLOOKUP($A243,Input_Raw!$A:$A,Input_Raw!BK:BK),"")</f>
        <v/>
      </c>
      <c r="AA243" s="167" t="str">
        <f>IFERROR(_xlfn.XLOOKUP($A243,Input_Raw!$A:$A,Input_Raw!BL:BL),"")</f>
        <v/>
      </c>
      <c r="AB243" s="167" t="str">
        <f>IFERROR(_xlfn.XLOOKUP($A243,Input_Raw!$A:$A,Input_Raw!$BO:$BO),"")</f>
        <v/>
      </c>
      <c r="AC243" s="176">
        <f>IFERROR(_xlfn.XLOOKUP($D243,'Modelling New'!$D:$D,'Modelling New'!$J:$J),"")</f>
        <v>8.33</v>
      </c>
      <c r="AD243" s="166">
        <f>IFERROR(_xlfn.XLOOKUP($D243,'Modelling New'!$D:$D,'Modelling New'!$T:$T)*1000,"")</f>
        <v>405674.73399014788</v>
      </c>
      <c r="AE243" s="174"/>
      <c r="AF243" s="174">
        <f>IFERROR(_xlfn.XLOOKUP($D243,'Modelling New'!$D:$D,'Modelling New'!$W:$W),"")</f>
        <v>0.24078509852216753</v>
      </c>
      <c r="AG243" s="174">
        <f>IFERROR(_xlfn.XLOOKUP($D243,'Modelling New'!$D:$D,'Modelling New'!$AE:$AE),"")</f>
        <v>0.96029999999999993</v>
      </c>
      <c r="AH243" s="174">
        <f>IFERROR(_xlfn.XLOOKUP($D243,'Modelling New'!$D:$D,'Modelling New'!$AF:$AF),"")</f>
        <v>0.995</v>
      </c>
      <c r="AI243" s="177" t="str">
        <f>IFERROR(_xlfn.XLOOKUP($A243,Input_Raw!$A:$A,Input_Raw!$BQ:$BQ),"")</f>
        <v/>
      </c>
      <c r="AJ243" s="167"/>
      <c r="AK243" s="167"/>
      <c r="AL243" s="167"/>
      <c r="AM243" s="167"/>
      <c r="AN243" s="175" t="str">
        <f>IFERROR(_xlfn.XLOOKUP($A243,Input_Raw!$A:$A,Input_Raw!$BN:$BN),"")</f>
        <v/>
      </c>
      <c r="AO243" s="174" t="str">
        <f>IFERROR((_xlfn.XLOOKUP($A243,'WTG Reactive Power'!$A:$A,'WTG Reactive Power'!$AE:$AE))/Table13[[#This Row],[Gen_Exp (kWh)]],"")</f>
        <v/>
      </c>
      <c r="AP243" s="174">
        <f>IFERROR(_xlfn.XLOOKUP($D243,'Modelling New'!$D:$D,'Modelling New'!$AK:$AK),"")</f>
        <v>0.05</v>
      </c>
      <c r="AQ243" s="174">
        <f>IFERROR(_xlfn.XLOOKUP($D243,'Modelling New'!$D:$D,'Modelling New'!$AL:$AL),"")</f>
        <v>0.05</v>
      </c>
      <c r="AR243" s="276">
        <f>IFERROR(_xlfn.XLOOKUP($D243,'Modelling New'!$D:$D,'Modelling New'!$N:$N),"")</f>
        <v>70.2</v>
      </c>
      <c r="AS243" s="276"/>
    </row>
    <row r="244" spans="1:45">
      <c r="A244" s="165">
        <f t="shared" si="19"/>
        <v>45987</v>
      </c>
      <c r="B244" s="166">
        <f>YEAR(Table13[[#This Row],[Date]])+IF(MONTH(Table13[[#This Row],[Date]])&gt;=4,1,0)</f>
        <v>2026</v>
      </c>
      <c r="C244" s="167">
        <f>YEAR(Table13[[#This Row],[Date]])</f>
        <v>2025</v>
      </c>
      <c r="D244" s="168">
        <f>Table13[[#This Row],[Date]]-DAY(Table13[[#This Row],[Date]])+1</f>
        <v>45962</v>
      </c>
      <c r="E244" s="167">
        <f t="shared" si="16"/>
        <v>30</v>
      </c>
      <c r="F244" s="169"/>
      <c r="G244" s="170"/>
      <c r="H244" s="170"/>
      <c r="I244" s="170"/>
      <c r="J244" s="170"/>
      <c r="K244" s="171"/>
      <c r="L244" s="170"/>
      <c r="M244" s="170" t="str">
        <f>IFERROR(_xlfn.XLOOKUP($A244,Input_Raw!$A:$A,Input_Raw!BG:BG),"")</f>
        <v/>
      </c>
      <c r="N244" s="170" t="str">
        <f>IFERROR(_xlfn.XLOOKUP($A244,Input_Raw!$A:$A,Input_Raw!BH:BH),"")</f>
        <v/>
      </c>
      <c r="O244" s="173" t="str">
        <f t="shared" si="17"/>
        <v/>
      </c>
      <c r="P244" s="173" t="str">
        <f>IFERROR(1-SUMIF(WTG_BD!$F:$F,$A244,WTG_BD!$AA:$AA)/($AA244+SUMIF(WTG_BD!$F:$F,$A244,WTG_BD!$AA:$AA)),"")</f>
        <v/>
      </c>
      <c r="Q244" s="173" t="str">
        <f>IFERROR(1-SUMIF(IGA_BD!$F:$F,$A244,IGA_BD!$X:$X)/($AA244+SUMIF(IGA_BD!$F:$F,$A244,IGA_BD!$X:$X)),"")</f>
        <v/>
      </c>
      <c r="R244" s="173" t="str">
        <f>IFERROR(1-SUMIF(Grid_BD!$F:$F,$A244,Grid_BD!$Y:$Y)/($AA244+SUMIF(Grid_BD!$F:$F,$A244,Grid_BD!$Y:$Y)),"")</f>
        <v/>
      </c>
      <c r="S244" s="167"/>
      <c r="T244" s="172"/>
      <c r="U244" s="173"/>
      <c r="V244" s="167"/>
      <c r="W244" s="174" t="str">
        <f t="shared" si="18"/>
        <v/>
      </c>
      <c r="X244" s="167" t="str">
        <f>IFERROR(_xlfn.XLOOKUP($A244,Input_Raw!$A:$A,Input_Raw!$BF:$BF),"")</f>
        <v/>
      </c>
      <c r="Y244" s="167" t="str">
        <f>IFERROR(_xlfn.XLOOKUP($A244,Input_Raw!$A:$A,Input_Raw!BJ:BJ),"")</f>
        <v/>
      </c>
      <c r="Z244" s="167" t="str">
        <f>IFERROR(_xlfn.XLOOKUP($A244,Input_Raw!$A:$A,Input_Raw!BK:BK),"")</f>
        <v/>
      </c>
      <c r="AA244" s="167" t="str">
        <f>IFERROR(_xlfn.XLOOKUP($A244,Input_Raw!$A:$A,Input_Raw!BL:BL),"")</f>
        <v/>
      </c>
      <c r="AB244" s="167" t="str">
        <f>IFERROR(_xlfn.XLOOKUP($A244,Input_Raw!$A:$A,Input_Raw!$BO:$BO),"")</f>
        <v/>
      </c>
      <c r="AC244" s="176">
        <f>IFERROR(_xlfn.XLOOKUP($D244,'Modelling New'!$D:$D,'Modelling New'!$J:$J),"")</f>
        <v>8.33</v>
      </c>
      <c r="AD244" s="166">
        <f>IFERROR(_xlfn.XLOOKUP($D244,'Modelling New'!$D:$D,'Modelling New'!$T:$T)*1000,"")</f>
        <v>405674.73399014788</v>
      </c>
      <c r="AE244" s="174"/>
      <c r="AF244" s="174">
        <f>IFERROR(_xlfn.XLOOKUP($D244,'Modelling New'!$D:$D,'Modelling New'!$W:$W),"")</f>
        <v>0.24078509852216753</v>
      </c>
      <c r="AG244" s="174">
        <f>IFERROR(_xlfn.XLOOKUP($D244,'Modelling New'!$D:$D,'Modelling New'!$AE:$AE),"")</f>
        <v>0.96029999999999993</v>
      </c>
      <c r="AH244" s="174">
        <f>IFERROR(_xlfn.XLOOKUP($D244,'Modelling New'!$D:$D,'Modelling New'!$AF:$AF),"")</f>
        <v>0.995</v>
      </c>
      <c r="AI244" s="177" t="str">
        <f>IFERROR(_xlfn.XLOOKUP($A244,Input_Raw!$A:$A,Input_Raw!$BQ:$BQ),"")</f>
        <v/>
      </c>
      <c r="AJ244" s="167"/>
      <c r="AK244" s="167"/>
      <c r="AL244" s="167"/>
      <c r="AM244" s="167"/>
      <c r="AN244" s="175" t="str">
        <f>IFERROR(_xlfn.XLOOKUP($A244,Input_Raw!$A:$A,Input_Raw!$BN:$BN),"")</f>
        <v/>
      </c>
      <c r="AO244" s="174" t="str">
        <f>IFERROR((_xlfn.XLOOKUP($A244,'WTG Reactive Power'!$A:$A,'WTG Reactive Power'!$AE:$AE))/Table13[[#This Row],[Gen_Exp (kWh)]],"")</f>
        <v/>
      </c>
      <c r="AP244" s="174">
        <f>IFERROR(_xlfn.XLOOKUP($D244,'Modelling New'!$D:$D,'Modelling New'!$AK:$AK),"")</f>
        <v>0.05</v>
      </c>
      <c r="AQ244" s="174">
        <f>IFERROR(_xlfn.XLOOKUP($D244,'Modelling New'!$D:$D,'Modelling New'!$AL:$AL),"")</f>
        <v>0.05</v>
      </c>
      <c r="AR244" s="276">
        <f>IFERROR(_xlfn.XLOOKUP($D244,'Modelling New'!$D:$D,'Modelling New'!$N:$N),"")</f>
        <v>70.2</v>
      </c>
      <c r="AS244" s="276"/>
    </row>
    <row r="245" spans="1:45">
      <c r="A245" s="165">
        <f t="shared" si="19"/>
        <v>45988</v>
      </c>
      <c r="B245" s="166">
        <f>YEAR(Table13[[#This Row],[Date]])+IF(MONTH(Table13[[#This Row],[Date]])&gt;=4,1,0)</f>
        <v>2026</v>
      </c>
      <c r="C245" s="167">
        <f>YEAR(Table13[[#This Row],[Date]])</f>
        <v>2025</v>
      </c>
      <c r="D245" s="168">
        <f>Table13[[#This Row],[Date]]-DAY(Table13[[#This Row],[Date]])+1</f>
        <v>45962</v>
      </c>
      <c r="E245" s="167">
        <f t="shared" si="16"/>
        <v>30</v>
      </c>
      <c r="F245" s="169"/>
      <c r="G245" s="176"/>
      <c r="H245" s="176"/>
      <c r="I245" s="176"/>
      <c r="J245" s="176"/>
      <c r="K245" s="171"/>
      <c r="L245" s="170"/>
      <c r="M245" s="170" t="str">
        <f>IFERROR(_xlfn.XLOOKUP($A245,Input_Raw!$A:$A,Input_Raw!BG:BG),"")</f>
        <v/>
      </c>
      <c r="N245" s="170" t="str">
        <f>IFERROR(_xlfn.XLOOKUP($A245,Input_Raw!$A:$A,Input_Raw!BH:BH),"")</f>
        <v/>
      </c>
      <c r="O245" s="173" t="str">
        <f t="shared" si="17"/>
        <v/>
      </c>
      <c r="P245" s="173" t="str">
        <f>IFERROR(1-SUMIF(WTG_BD!$F:$F,$A245,WTG_BD!$AA:$AA)/($AA245+SUMIF(WTG_BD!$F:$F,$A245,WTG_BD!$AA:$AA)),"")</f>
        <v/>
      </c>
      <c r="Q245" s="173" t="str">
        <f>IFERROR(1-SUMIF(IGA_BD!$F:$F,$A245,IGA_BD!$X:$X)/($AA245+SUMIF(IGA_BD!$F:$F,$A245,IGA_BD!$X:$X)),"")</f>
        <v/>
      </c>
      <c r="R245" s="173" t="str">
        <f>IFERROR(1-SUMIF(Grid_BD!$F:$F,$A245,Grid_BD!$Y:$Y)/($AA245+SUMIF(Grid_BD!$F:$F,$A245,Grid_BD!$Y:$Y)),"")</f>
        <v/>
      </c>
      <c r="S245" s="167"/>
      <c r="T245" s="172"/>
      <c r="U245" s="173"/>
      <c r="V245" s="167"/>
      <c r="W245" s="174" t="str">
        <f t="shared" si="18"/>
        <v/>
      </c>
      <c r="X245" s="167" t="str">
        <f>IFERROR(_xlfn.XLOOKUP($A245,Input_Raw!$A:$A,Input_Raw!$BF:$BF),"")</f>
        <v/>
      </c>
      <c r="Y245" s="167" t="str">
        <f>IFERROR(_xlfn.XLOOKUP($A245,Input_Raw!$A:$A,Input_Raw!BJ:BJ),"")</f>
        <v/>
      </c>
      <c r="Z245" s="167" t="str">
        <f>IFERROR(_xlfn.XLOOKUP($A245,Input_Raw!$A:$A,Input_Raw!BK:BK),"")</f>
        <v/>
      </c>
      <c r="AA245" s="167" t="str">
        <f>IFERROR(_xlfn.XLOOKUP($A245,Input_Raw!$A:$A,Input_Raw!BL:BL),"")</f>
        <v/>
      </c>
      <c r="AB245" s="167" t="str">
        <f>IFERROR(_xlfn.XLOOKUP($A245,Input_Raw!$A:$A,Input_Raw!$BO:$BO),"")</f>
        <v/>
      </c>
      <c r="AC245" s="176">
        <f>IFERROR(_xlfn.XLOOKUP($D245,'Modelling New'!$D:$D,'Modelling New'!$J:$J),"")</f>
        <v>8.33</v>
      </c>
      <c r="AD245" s="166">
        <f>IFERROR(_xlfn.XLOOKUP($D245,'Modelling New'!$D:$D,'Modelling New'!$T:$T)*1000,"")</f>
        <v>405674.73399014788</v>
      </c>
      <c r="AE245" s="174"/>
      <c r="AF245" s="174">
        <f>IFERROR(_xlfn.XLOOKUP($D245,'Modelling New'!$D:$D,'Modelling New'!$W:$W),"")</f>
        <v>0.24078509852216753</v>
      </c>
      <c r="AG245" s="174">
        <f>IFERROR(_xlfn.XLOOKUP($D245,'Modelling New'!$D:$D,'Modelling New'!$AE:$AE),"")</f>
        <v>0.96029999999999993</v>
      </c>
      <c r="AH245" s="174">
        <f>IFERROR(_xlfn.XLOOKUP($D245,'Modelling New'!$D:$D,'Modelling New'!$AF:$AF),"")</f>
        <v>0.995</v>
      </c>
      <c r="AI245" s="177" t="str">
        <f>IFERROR(_xlfn.XLOOKUP($A245,Input_Raw!$A:$A,Input_Raw!$BQ:$BQ),"")</f>
        <v/>
      </c>
      <c r="AJ245" s="167"/>
      <c r="AK245" s="167"/>
      <c r="AL245" s="167"/>
      <c r="AM245" s="167"/>
      <c r="AN245" s="175" t="str">
        <f>IFERROR(_xlfn.XLOOKUP($A245,Input_Raw!$A:$A,Input_Raw!$BN:$BN),"")</f>
        <v/>
      </c>
      <c r="AO245" s="174" t="str">
        <f>IFERROR((_xlfn.XLOOKUP($A245,'WTG Reactive Power'!$A:$A,'WTG Reactive Power'!$AE:$AE))/Table13[[#This Row],[Gen_Exp (kWh)]],"")</f>
        <v/>
      </c>
      <c r="AP245" s="174">
        <f>IFERROR(_xlfn.XLOOKUP($D245,'Modelling New'!$D:$D,'Modelling New'!$AK:$AK),"")</f>
        <v>0.05</v>
      </c>
      <c r="AQ245" s="174">
        <f>IFERROR(_xlfn.XLOOKUP($D245,'Modelling New'!$D:$D,'Modelling New'!$AL:$AL),"")</f>
        <v>0.05</v>
      </c>
      <c r="AR245" s="276">
        <f>IFERROR(_xlfn.XLOOKUP($D245,'Modelling New'!$D:$D,'Modelling New'!$N:$N),"")</f>
        <v>70.2</v>
      </c>
      <c r="AS245" s="276"/>
    </row>
    <row r="246" spans="1:45">
      <c r="A246" s="165">
        <f t="shared" si="19"/>
        <v>45989</v>
      </c>
      <c r="B246" s="166">
        <f>YEAR(Table13[[#This Row],[Date]])+IF(MONTH(Table13[[#This Row],[Date]])&gt;=4,1,0)</f>
        <v>2026</v>
      </c>
      <c r="C246" s="167">
        <f>YEAR(Table13[[#This Row],[Date]])</f>
        <v>2025</v>
      </c>
      <c r="D246" s="168">
        <f>Table13[[#This Row],[Date]]-DAY(Table13[[#This Row],[Date]])+1</f>
        <v>45962</v>
      </c>
      <c r="E246" s="167">
        <f t="shared" si="16"/>
        <v>30</v>
      </c>
      <c r="F246" s="169"/>
      <c r="G246" s="170"/>
      <c r="H246" s="170"/>
      <c r="I246" s="170"/>
      <c r="J246" s="170"/>
      <c r="K246" s="171"/>
      <c r="L246" s="170"/>
      <c r="M246" s="170" t="str">
        <f>IFERROR(_xlfn.XLOOKUP($A246,Input_Raw!$A:$A,Input_Raw!BG:BG),"")</f>
        <v/>
      </c>
      <c r="N246" s="170" t="str">
        <f>IFERROR(_xlfn.XLOOKUP($A246,Input_Raw!$A:$A,Input_Raw!BH:BH),"")</f>
        <v/>
      </c>
      <c r="O246" s="173" t="str">
        <f t="shared" si="17"/>
        <v/>
      </c>
      <c r="P246" s="173" t="str">
        <f>IFERROR(1-SUMIF(WTG_BD!$F:$F,$A246,WTG_BD!$AA:$AA)/($AA246+SUMIF(WTG_BD!$F:$F,$A246,WTG_BD!$AA:$AA)),"")</f>
        <v/>
      </c>
      <c r="Q246" s="173" t="str">
        <f>IFERROR(1-SUMIF(IGA_BD!$F:$F,$A246,IGA_BD!$X:$X)/($AA246+SUMIF(IGA_BD!$F:$F,$A246,IGA_BD!$X:$X)),"")</f>
        <v/>
      </c>
      <c r="R246" s="173" t="str">
        <f>IFERROR(1-SUMIF(Grid_BD!$F:$F,$A246,Grid_BD!$Y:$Y)/($AA246+SUMIF(Grid_BD!$F:$F,$A246,Grid_BD!$Y:$Y)),"")</f>
        <v/>
      </c>
      <c r="S246" s="167"/>
      <c r="T246" s="172"/>
      <c r="U246" s="173"/>
      <c r="V246" s="167"/>
      <c r="W246" s="174" t="str">
        <f t="shared" si="18"/>
        <v/>
      </c>
      <c r="X246" s="167" t="str">
        <f>IFERROR(_xlfn.XLOOKUP($A246,Input_Raw!$A:$A,Input_Raw!$BF:$BF),"")</f>
        <v/>
      </c>
      <c r="Y246" s="167" t="str">
        <f>IFERROR(_xlfn.XLOOKUP($A246,Input_Raw!$A:$A,Input_Raw!BJ:BJ),"")</f>
        <v/>
      </c>
      <c r="Z246" s="167" t="str">
        <f>IFERROR(_xlfn.XLOOKUP($A246,Input_Raw!$A:$A,Input_Raw!BK:BK),"")</f>
        <v/>
      </c>
      <c r="AA246" s="167" t="str">
        <f>IFERROR(_xlfn.XLOOKUP($A246,Input_Raw!$A:$A,Input_Raw!BL:BL),"")</f>
        <v/>
      </c>
      <c r="AB246" s="167" t="str">
        <f>IFERROR(_xlfn.XLOOKUP($A246,Input_Raw!$A:$A,Input_Raw!$BO:$BO),"")</f>
        <v/>
      </c>
      <c r="AC246" s="176">
        <f>IFERROR(_xlfn.XLOOKUP($D246,'Modelling New'!$D:$D,'Modelling New'!$J:$J),"")</f>
        <v>8.33</v>
      </c>
      <c r="AD246" s="166">
        <f>IFERROR(_xlfn.XLOOKUP($D246,'Modelling New'!$D:$D,'Modelling New'!$T:$T)*1000,"")</f>
        <v>405674.73399014788</v>
      </c>
      <c r="AE246" s="174"/>
      <c r="AF246" s="174">
        <f>IFERROR(_xlfn.XLOOKUP($D246,'Modelling New'!$D:$D,'Modelling New'!$W:$W),"")</f>
        <v>0.24078509852216753</v>
      </c>
      <c r="AG246" s="174">
        <f>IFERROR(_xlfn.XLOOKUP($D246,'Modelling New'!$D:$D,'Modelling New'!$AE:$AE),"")</f>
        <v>0.96029999999999993</v>
      </c>
      <c r="AH246" s="174">
        <f>IFERROR(_xlfn.XLOOKUP($D246,'Modelling New'!$D:$D,'Modelling New'!$AF:$AF),"")</f>
        <v>0.995</v>
      </c>
      <c r="AI246" s="177" t="str">
        <f>IFERROR(_xlfn.XLOOKUP($A246,Input_Raw!$A:$A,Input_Raw!$BQ:$BQ),"")</f>
        <v/>
      </c>
      <c r="AJ246" s="167"/>
      <c r="AK246" s="167"/>
      <c r="AL246" s="167"/>
      <c r="AM246" s="167"/>
      <c r="AN246" s="175" t="str">
        <f>IFERROR(_xlfn.XLOOKUP($A246,Input_Raw!$A:$A,Input_Raw!$BN:$BN),"")</f>
        <v/>
      </c>
      <c r="AO246" s="174" t="str">
        <f>IFERROR((_xlfn.XLOOKUP($A246,'WTG Reactive Power'!$A:$A,'WTG Reactive Power'!$AE:$AE))/Table13[[#This Row],[Gen_Exp (kWh)]],"")</f>
        <v/>
      </c>
      <c r="AP246" s="174">
        <f>IFERROR(_xlfn.XLOOKUP($D246,'Modelling New'!$D:$D,'Modelling New'!$AK:$AK),"")</f>
        <v>0.05</v>
      </c>
      <c r="AQ246" s="174">
        <f>IFERROR(_xlfn.XLOOKUP($D246,'Modelling New'!$D:$D,'Modelling New'!$AL:$AL),"")</f>
        <v>0.05</v>
      </c>
      <c r="AR246" s="276">
        <f>IFERROR(_xlfn.XLOOKUP($D246,'Modelling New'!$D:$D,'Modelling New'!$N:$N),"")</f>
        <v>70.2</v>
      </c>
      <c r="AS246" s="276"/>
    </row>
    <row r="247" spans="1:45">
      <c r="A247" s="165">
        <f t="shared" si="19"/>
        <v>45990</v>
      </c>
      <c r="B247" s="166">
        <f>YEAR(Table13[[#This Row],[Date]])+IF(MONTH(Table13[[#This Row],[Date]])&gt;=4,1,0)</f>
        <v>2026</v>
      </c>
      <c r="C247" s="167">
        <f>YEAR(Table13[[#This Row],[Date]])</f>
        <v>2025</v>
      </c>
      <c r="D247" s="168">
        <f>Table13[[#This Row],[Date]]-DAY(Table13[[#This Row],[Date]])+1</f>
        <v>45962</v>
      </c>
      <c r="E247" s="167">
        <f t="shared" si="16"/>
        <v>30</v>
      </c>
      <c r="F247" s="169"/>
      <c r="G247" s="176"/>
      <c r="H247" s="176"/>
      <c r="I247" s="176"/>
      <c r="J247" s="176"/>
      <c r="K247" s="171"/>
      <c r="L247" s="170"/>
      <c r="M247" s="170" t="str">
        <f>IFERROR(_xlfn.XLOOKUP($A247,Input_Raw!$A:$A,Input_Raw!BG:BG),"")</f>
        <v/>
      </c>
      <c r="N247" s="170" t="str">
        <f>IFERROR(_xlfn.XLOOKUP($A247,Input_Raw!$A:$A,Input_Raw!BH:BH),"")</f>
        <v/>
      </c>
      <c r="O247" s="173" t="str">
        <f t="shared" si="17"/>
        <v/>
      </c>
      <c r="P247" s="173" t="str">
        <f>IFERROR(1-SUMIF(WTG_BD!$F:$F,$A247,WTG_BD!$AA:$AA)/($AA247+SUMIF(WTG_BD!$F:$F,$A247,WTG_BD!$AA:$AA)),"")</f>
        <v/>
      </c>
      <c r="Q247" s="173" t="str">
        <f>IFERROR(1-SUMIF(IGA_BD!$F:$F,$A247,IGA_BD!$X:$X)/($AA247+SUMIF(IGA_BD!$F:$F,$A247,IGA_BD!$X:$X)),"")</f>
        <v/>
      </c>
      <c r="R247" s="173" t="str">
        <f>IFERROR(1-SUMIF(Grid_BD!$F:$F,$A247,Grid_BD!$Y:$Y)/($AA247+SUMIF(Grid_BD!$F:$F,$A247,Grid_BD!$Y:$Y)),"")</f>
        <v/>
      </c>
      <c r="S247" s="167"/>
      <c r="T247" s="172"/>
      <c r="U247" s="173"/>
      <c r="V247" s="167"/>
      <c r="W247" s="174" t="str">
        <f t="shared" si="18"/>
        <v/>
      </c>
      <c r="X247" s="167" t="str">
        <f>IFERROR(_xlfn.XLOOKUP($A247,Input_Raw!$A:$A,Input_Raw!$BF:$BF),"")</f>
        <v/>
      </c>
      <c r="Y247" s="167" t="str">
        <f>IFERROR(_xlfn.XLOOKUP($A247,Input_Raw!$A:$A,Input_Raw!BJ:BJ),"")</f>
        <v/>
      </c>
      <c r="Z247" s="167" t="str">
        <f>IFERROR(_xlfn.XLOOKUP($A247,Input_Raw!$A:$A,Input_Raw!BK:BK),"")</f>
        <v/>
      </c>
      <c r="AA247" s="167" t="str">
        <f>IFERROR(_xlfn.XLOOKUP($A247,Input_Raw!$A:$A,Input_Raw!BL:BL),"")</f>
        <v/>
      </c>
      <c r="AB247" s="167" t="str">
        <f>IFERROR(_xlfn.XLOOKUP($A247,Input_Raw!$A:$A,Input_Raw!$BO:$BO),"")</f>
        <v/>
      </c>
      <c r="AC247" s="176">
        <f>IFERROR(_xlfn.XLOOKUP($D247,'Modelling New'!$D:$D,'Modelling New'!$J:$J),"")</f>
        <v>8.33</v>
      </c>
      <c r="AD247" s="166">
        <f>IFERROR(_xlfn.XLOOKUP($D247,'Modelling New'!$D:$D,'Modelling New'!$T:$T)*1000,"")</f>
        <v>405674.73399014788</v>
      </c>
      <c r="AE247" s="174"/>
      <c r="AF247" s="174">
        <f>IFERROR(_xlfn.XLOOKUP($D247,'Modelling New'!$D:$D,'Modelling New'!$W:$W),"")</f>
        <v>0.24078509852216753</v>
      </c>
      <c r="AG247" s="174">
        <f>IFERROR(_xlfn.XLOOKUP($D247,'Modelling New'!$D:$D,'Modelling New'!$AE:$AE),"")</f>
        <v>0.96029999999999993</v>
      </c>
      <c r="AH247" s="174">
        <f>IFERROR(_xlfn.XLOOKUP($D247,'Modelling New'!$D:$D,'Modelling New'!$AF:$AF),"")</f>
        <v>0.995</v>
      </c>
      <c r="AI247" s="177" t="str">
        <f>IFERROR(_xlfn.XLOOKUP($A247,Input_Raw!$A:$A,Input_Raw!$BQ:$BQ),"")</f>
        <v/>
      </c>
      <c r="AJ247" s="167"/>
      <c r="AK247" s="167"/>
      <c r="AL247" s="167"/>
      <c r="AM247" s="167"/>
      <c r="AN247" s="175" t="str">
        <f>IFERROR(_xlfn.XLOOKUP($A247,Input_Raw!$A:$A,Input_Raw!$BN:$BN),"")</f>
        <v/>
      </c>
      <c r="AO247" s="174" t="str">
        <f>IFERROR((_xlfn.XLOOKUP($A247,'WTG Reactive Power'!$A:$A,'WTG Reactive Power'!$AE:$AE))/Table13[[#This Row],[Gen_Exp (kWh)]],"")</f>
        <v/>
      </c>
      <c r="AP247" s="174">
        <f>IFERROR(_xlfn.XLOOKUP($D247,'Modelling New'!$D:$D,'Modelling New'!$AK:$AK),"")</f>
        <v>0.05</v>
      </c>
      <c r="AQ247" s="174">
        <f>IFERROR(_xlfn.XLOOKUP($D247,'Modelling New'!$D:$D,'Modelling New'!$AL:$AL),"")</f>
        <v>0.05</v>
      </c>
      <c r="AR247" s="276">
        <f>IFERROR(_xlfn.XLOOKUP($D247,'Modelling New'!$D:$D,'Modelling New'!$N:$N),"")</f>
        <v>70.2</v>
      </c>
      <c r="AS247" s="276"/>
    </row>
    <row r="248" spans="1:45">
      <c r="A248" s="165">
        <f t="shared" si="19"/>
        <v>45991</v>
      </c>
      <c r="B248" s="166">
        <f>YEAR(Table13[[#This Row],[Date]])+IF(MONTH(Table13[[#This Row],[Date]])&gt;=4,1,0)</f>
        <v>2026</v>
      </c>
      <c r="C248" s="167">
        <f>YEAR(Table13[[#This Row],[Date]])</f>
        <v>2025</v>
      </c>
      <c r="D248" s="168">
        <f>Table13[[#This Row],[Date]]-DAY(Table13[[#This Row],[Date]])+1</f>
        <v>45962</v>
      </c>
      <c r="E248" s="167">
        <f t="shared" si="16"/>
        <v>30</v>
      </c>
      <c r="F248" s="169"/>
      <c r="G248" s="170"/>
      <c r="H248" s="170"/>
      <c r="I248" s="170"/>
      <c r="J248" s="170"/>
      <c r="K248" s="171"/>
      <c r="L248" s="170"/>
      <c r="M248" s="170" t="str">
        <f>IFERROR(_xlfn.XLOOKUP($A248,Input_Raw!$A:$A,Input_Raw!BG:BG),"")</f>
        <v/>
      </c>
      <c r="N248" s="170" t="str">
        <f>IFERROR(_xlfn.XLOOKUP($A248,Input_Raw!$A:$A,Input_Raw!BH:BH),"")</f>
        <v/>
      </c>
      <c r="O248" s="173" t="str">
        <f t="shared" si="17"/>
        <v/>
      </c>
      <c r="P248" s="173" t="str">
        <f>IFERROR(1-SUMIF(WTG_BD!$F:$F,$A248,WTG_BD!$AA:$AA)/($AA248+SUMIF(WTG_BD!$F:$F,$A248,WTG_BD!$AA:$AA)),"")</f>
        <v/>
      </c>
      <c r="Q248" s="173" t="str">
        <f>IFERROR(1-SUMIF(IGA_BD!$F:$F,$A248,IGA_BD!$X:$X)/($AA248+SUMIF(IGA_BD!$F:$F,$A248,IGA_BD!$X:$X)),"")</f>
        <v/>
      </c>
      <c r="R248" s="173" t="str">
        <f>IFERROR(1-SUMIF(Grid_BD!$F:$F,$A248,Grid_BD!$Y:$Y)/($AA248+SUMIF(Grid_BD!$F:$F,$A248,Grid_BD!$Y:$Y)),"")</f>
        <v/>
      </c>
      <c r="S248" s="167"/>
      <c r="T248" s="172"/>
      <c r="U248" s="173"/>
      <c r="V248" s="167"/>
      <c r="W248" s="174" t="str">
        <f t="shared" si="18"/>
        <v/>
      </c>
      <c r="X248" s="167" t="str">
        <f>IFERROR(_xlfn.XLOOKUP($A248,Input_Raw!$A:$A,Input_Raw!$BF:$BF),"")</f>
        <v/>
      </c>
      <c r="Y248" s="167" t="str">
        <f>IFERROR(_xlfn.XLOOKUP($A248,Input_Raw!$A:$A,Input_Raw!BJ:BJ),"")</f>
        <v/>
      </c>
      <c r="Z248" s="167" t="str">
        <f>IFERROR(_xlfn.XLOOKUP($A248,Input_Raw!$A:$A,Input_Raw!BK:BK),"")</f>
        <v/>
      </c>
      <c r="AA248" s="167" t="str">
        <f>IFERROR(_xlfn.XLOOKUP($A248,Input_Raw!$A:$A,Input_Raw!BL:BL),"")</f>
        <v/>
      </c>
      <c r="AB248" s="167" t="str">
        <f>IFERROR(_xlfn.XLOOKUP($A248,Input_Raw!$A:$A,Input_Raw!$BO:$BO),"")</f>
        <v/>
      </c>
      <c r="AC248" s="176">
        <f>IFERROR(_xlfn.XLOOKUP($D248,'Modelling New'!$D:$D,'Modelling New'!$J:$J),"")</f>
        <v>8.33</v>
      </c>
      <c r="AD248" s="166">
        <f>IFERROR(_xlfn.XLOOKUP($D248,'Modelling New'!$D:$D,'Modelling New'!$T:$T)*1000,"")</f>
        <v>405674.73399014788</v>
      </c>
      <c r="AE248" s="174"/>
      <c r="AF248" s="174">
        <f>IFERROR(_xlfn.XLOOKUP($D248,'Modelling New'!$D:$D,'Modelling New'!$W:$W),"")</f>
        <v>0.24078509852216753</v>
      </c>
      <c r="AG248" s="174">
        <f>IFERROR(_xlfn.XLOOKUP($D248,'Modelling New'!$D:$D,'Modelling New'!$AE:$AE),"")</f>
        <v>0.96029999999999993</v>
      </c>
      <c r="AH248" s="174">
        <f>IFERROR(_xlfn.XLOOKUP($D248,'Modelling New'!$D:$D,'Modelling New'!$AF:$AF),"")</f>
        <v>0.995</v>
      </c>
      <c r="AI248" s="177" t="str">
        <f>IFERROR(_xlfn.XLOOKUP($A248,Input_Raw!$A:$A,Input_Raw!$BQ:$BQ),"")</f>
        <v/>
      </c>
      <c r="AJ248" s="167"/>
      <c r="AK248" s="167"/>
      <c r="AL248" s="167"/>
      <c r="AM248" s="167"/>
      <c r="AN248" s="175" t="str">
        <f>IFERROR(_xlfn.XLOOKUP($A248,Input_Raw!$A:$A,Input_Raw!$BN:$BN),"")</f>
        <v/>
      </c>
      <c r="AO248" s="174" t="str">
        <f>IFERROR((_xlfn.XLOOKUP($A248,'WTG Reactive Power'!$A:$A,'WTG Reactive Power'!$AE:$AE))/Table13[[#This Row],[Gen_Exp (kWh)]],"")</f>
        <v/>
      </c>
      <c r="AP248" s="174">
        <f>IFERROR(_xlfn.XLOOKUP($D248,'Modelling New'!$D:$D,'Modelling New'!$AK:$AK),"")</f>
        <v>0.05</v>
      </c>
      <c r="AQ248" s="174">
        <f>IFERROR(_xlfn.XLOOKUP($D248,'Modelling New'!$D:$D,'Modelling New'!$AL:$AL),"")</f>
        <v>0.05</v>
      </c>
      <c r="AR248" s="276">
        <f>IFERROR(_xlfn.XLOOKUP($D248,'Modelling New'!$D:$D,'Modelling New'!$N:$N),"")</f>
        <v>70.2</v>
      </c>
      <c r="AS248" s="276"/>
    </row>
    <row r="249" spans="1:45">
      <c r="A249" s="165">
        <f t="shared" si="19"/>
        <v>45992</v>
      </c>
      <c r="B249" s="166">
        <f>YEAR(Table13[[#This Row],[Date]])+IF(MONTH(Table13[[#This Row],[Date]])&gt;=4,1,0)</f>
        <v>2026</v>
      </c>
      <c r="C249" s="167">
        <f>YEAR(Table13[[#This Row],[Date]])</f>
        <v>2025</v>
      </c>
      <c r="D249" s="168">
        <f>Table13[[#This Row],[Date]]-DAY(Table13[[#This Row],[Date]])+1</f>
        <v>45992</v>
      </c>
      <c r="E249" s="167">
        <f t="shared" si="16"/>
        <v>31</v>
      </c>
      <c r="F249" s="169"/>
      <c r="G249" s="176"/>
      <c r="H249" s="176"/>
      <c r="I249" s="176"/>
      <c r="J249" s="176"/>
      <c r="K249" s="171"/>
      <c r="L249" s="170"/>
      <c r="M249" s="170" t="str">
        <f>IFERROR(_xlfn.XLOOKUP($A249,Input_Raw!$A:$A,Input_Raw!BG:BG),"")</f>
        <v/>
      </c>
      <c r="N249" s="170" t="str">
        <f>IFERROR(_xlfn.XLOOKUP($A249,Input_Raw!$A:$A,Input_Raw!BH:BH),"")</f>
        <v/>
      </c>
      <c r="O249" s="173" t="str">
        <f t="shared" si="17"/>
        <v/>
      </c>
      <c r="P249" s="173" t="str">
        <f>IFERROR(1-SUMIF(WTG_BD!$F:$F,$A249,WTG_BD!$AA:$AA)/($AA249+SUMIF(WTG_BD!$F:$F,$A249,WTG_BD!$AA:$AA)),"")</f>
        <v/>
      </c>
      <c r="Q249" s="173" t="str">
        <f>IFERROR(1-SUMIF(IGA_BD!$F:$F,$A249,IGA_BD!$X:$X)/($AA249+SUMIF(IGA_BD!$F:$F,$A249,IGA_BD!$X:$X)),"")</f>
        <v/>
      </c>
      <c r="R249" s="173" t="str">
        <f>IFERROR(1-SUMIF(Grid_BD!$F:$F,$A249,Grid_BD!$Y:$Y)/($AA249+SUMIF(Grid_BD!$F:$F,$A249,Grid_BD!$Y:$Y)),"")</f>
        <v/>
      </c>
      <c r="S249" s="167"/>
      <c r="T249" s="172"/>
      <c r="U249" s="173"/>
      <c r="V249" s="167"/>
      <c r="W249" s="174" t="str">
        <f t="shared" si="18"/>
        <v/>
      </c>
      <c r="X249" s="167" t="str">
        <f>IFERROR(_xlfn.XLOOKUP($A249,Input_Raw!$A:$A,Input_Raw!$BF:$BF),"")</f>
        <v/>
      </c>
      <c r="Y249" s="167" t="str">
        <f>IFERROR(_xlfn.XLOOKUP($A249,Input_Raw!$A:$A,Input_Raw!BJ:BJ),"")</f>
        <v/>
      </c>
      <c r="Z249" s="167" t="str">
        <f>IFERROR(_xlfn.XLOOKUP($A249,Input_Raw!$A:$A,Input_Raw!BK:BK),"")</f>
        <v/>
      </c>
      <c r="AA249" s="167" t="str">
        <f>IFERROR(_xlfn.XLOOKUP($A249,Input_Raw!$A:$A,Input_Raw!BL:BL),"")</f>
        <v/>
      </c>
      <c r="AB249" s="167" t="str">
        <f>IFERROR(_xlfn.XLOOKUP($A249,Input_Raw!$A:$A,Input_Raw!$BO:$BO),"")</f>
        <v/>
      </c>
      <c r="AC249" s="176">
        <f>IFERROR(_xlfn.XLOOKUP($D249,'Modelling New'!$D:$D,'Modelling New'!$J:$J),"")</f>
        <v>6.95</v>
      </c>
      <c r="AD249" s="166">
        <f>IFERROR(_xlfn.XLOOKUP($D249,'Modelling New'!$D:$D,'Modelling New'!$T:$T)*1000,"")</f>
        <v>574435.4233300495</v>
      </c>
      <c r="AE249" s="174"/>
      <c r="AF249" s="174">
        <f>IFERROR(_xlfn.XLOOKUP($D249,'Modelling New'!$D:$D,'Modelling New'!$W:$W),"")</f>
        <v>0.34095169950738929</v>
      </c>
      <c r="AG249" s="174">
        <f>IFERROR(_xlfn.XLOOKUP($D249,'Modelling New'!$D:$D,'Modelling New'!$AE:$AE),"")</f>
        <v>0.96029999999999993</v>
      </c>
      <c r="AH249" s="174">
        <f>IFERROR(_xlfn.XLOOKUP($D249,'Modelling New'!$D:$D,'Modelling New'!$AF:$AF),"")</f>
        <v>0.995</v>
      </c>
      <c r="AI249" s="177" t="str">
        <f>IFERROR(_xlfn.XLOOKUP($A249,Input_Raw!$A:$A,Input_Raw!$BQ:$BQ),"")</f>
        <v/>
      </c>
      <c r="AJ249" s="167"/>
      <c r="AK249" s="167"/>
      <c r="AL249" s="167"/>
      <c r="AM249" s="167"/>
      <c r="AN249" s="175" t="str">
        <f>IFERROR(_xlfn.XLOOKUP($A249,Input_Raw!$A:$A,Input_Raw!$BN:$BN),"")</f>
        <v/>
      </c>
      <c r="AO249" s="174" t="str">
        <f>IFERROR((_xlfn.XLOOKUP($A249,'WTG Reactive Power'!$A:$A,'WTG Reactive Power'!$AE:$AE))/Table13[[#This Row],[Gen_Exp (kWh)]],"")</f>
        <v/>
      </c>
      <c r="AP249" s="174">
        <f>IFERROR(_xlfn.XLOOKUP($D249,'Modelling New'!$D:$D,'Modelling New'!$AK:$AK),"")</f>
        <v>0.05</v>
      </c>
      <c r="AQ249" s="174">
        <f>IFERROR(_xlfn.XLOOKUP($D249,'Modelling New'!$D:$D,'Modelling New'!$AL:$AL),"")</f>
        <v>0.05</v>
      </c>
      <c r="AR249" s="276">
        <f>IFERROR(_xlfn.XLOOKUP($D249,'Modelling New'!$D:$D,'Modelling New'!$N:$N),"")</f>
        <v>70.2</v>
      </c>
      <c r="AS249" s="276"/>
    </row>
    <row r="250" spans="1:45">
      <c r="A250" s="165">
        <f t="shared" si="19"/>
        <v>45993</v>
      </c>
      <c r="B250" s="166">
        <f>YEAR(Table13[[#This Row],[Date]])+IF(MONTH(Table13[[#This Row],[Date]])&gt;=4,1,0)</f>
        <v>2026</v>
      </c>
      <c r="C250" s="167">
        <f>YEAR(Table13[[#This Row],[Date]])</f>
        <v>2025</v>
      </c>
      <c r="D250" s="168">
        <f>Table13[[#This Row],[Date]]-DAY(Table13[[#This Row],[Date]])+1</f>
        <v>45992</v>
      </c>
      <c r="E250" s="167">
        <f t="shared" si="16"/>
        <v>31</v>
      </c>
      <c r="F250" s="169"/>
      <c r="G250" s="170"/>
      <c r="H250" s="170"/>
      <c r="I250" s="170"/>
      <c r="J250" s="170"/>
      <c r="K250" s="171"/>
      <c r="L250" s="170"/>
      <c r="M250" s="170" t="str">
        <f>IFERROR(_xlfn.XLOOKUP($A250,Input_Raw!$A:$A,Input_Raw!BG:BG),"")</f>
        <v/>
      </c>
      <c r="N250" s="170" t="str">
        <f>IFERROR(_xlfn.XLOOKUP($A250,Input_Raw!$A:$A,Input_Raw!BH:BH),"")</f>
        <v/>
      </c>
      <c r="O250" s="173" t="str">
        <f t="shared" si="17"/>
        <v/>
      </c>
      <c r="P250" s="173" t="str">
        <f>IFERROR(1-SUMIF(WTG_BD!$F:$F,$A250,WTG_BD!$AA:$AA)/($AA250+SUMIF(WTG_BD!$F:$F,$A250,WTG_BD!$AA:$AA)),"")</f>
        <v/>
      </c>
      <c r="Q250" s="173" t="str">
        <f>IFERROR(1-SUMIF(IGA_BD!$F:$F,$A250,IGA_BD!$X:$X)/($AA250+SUMIF(IGA_BD!$F:$F,$A250,IGA_BD!$X:$X)),"")</f>
        <v/>
      </c>
      <c r="R250" s="173" t="str">
        <f>IFERROR(1-SUMIF(Grid_BD!$F:$F,$A250,Grid_BD!$Y:$Y)/($AA250+SUMIF(Grid_BD!$F:$F,$A250,Grid_BD!$Y:$Y)),"")</f>
        <v/>
      </c>
      <c r="S250" s="167"/>
      <c r="T250" s="172"/>
      <c r="U250" s="173"/>
      <c r="V250" s="167"/>
      <c r="W250" s="174" t="str">
        <f t="shared" si="18"/>
        <v/>
      </c>
      <c r="X250" s="167" t="str">
        <f>IFERROR(_xlfn.XLOOKUP($A250,Input_Raw!$A:$A,Input_Raw!$BF:$BF),"")</f>
        <v/>
      </c>
      <c r="Y250" s="167" t="str">
        <f>IFERROR(_xlfn.XLOOKUP($A250,Input_Raw!$A:$A,Input_Raw!BJ:BJ),"")</f>
        <v/>
      </c>
      <c r="Z250" s="167" t="str">
        <f>IFERROR(_xlfn.XLOOKUP($A250,Input_Raw!$A:$A,Input_Raw!BK:BK),"")</f>
        <v/>
      </c>
      <c r="AA250" s="167" t="str">
        <f>IFERROR(_xlfn.XLOOKUP($A250,Input_Raw!$A:$A,Input_Raw!BL:BL),"")</f>
        <v/>
      </c>
      <c r="AB250" s="167" t="str">
        <f>IFERROR(_xlfn.XLOOKUP($A250,Input_Raw!$A:$A,Input_Raw!$BO:$BO),"")</f>
        <v/>
      </c>
      <c r="AC250" s="176">
        <f>IFERROR(_xlfn.XLOOKUP($D250,'Modelling New'!$D:$D,'Modelling New'!$J:$J),"")</f>
        <v>6.95</v>
      </c>
      <c r="AD250" s="166">
        <f>IFERROR(_xlfn.XLOOKUP($D250,'Modelling New'!$D:$D,'Modelling New'!$T:$T)*1000,"")</f>
        <v>574435.4233300495</v>
      </c>
      <c r="AE250" s="174"/>
      <c r="AF250" s="174">
        <f>IFERROR(_xlfn.XLOOKUP($D250,'Modelling New'!$D:$D,'Modelling New'!$W:$W),"")</f>
        <v>0.34095169950738929</v>
      </c>
      <c r="AG250" s="174">
        <f>IFERROR(_xlfn.XLOOKUP($D250,'Modelling New'!$D:$D,'Modelling New'!$AE:$AE),"")</f>
        <v>0.96029999999999993</v>
      </c>
      <c r="AH250" s="174">
        <f>IFERROR(_xlfn.XLOOKUP($D250,'Modelling New'!$D:$D,'Modelling New'!$AF:$AF),"")</f>
        <v>0.995</v>
      </c>
      <c r="AI250" s="177" t="str">
        <f>IFERROR(_xlfn.XLOOKUP($A250,Input_Raw!$A:$A,Input_Raw!$BQ:$BQ),"")</f>
        <v/>
      </c>
      <c r="AJ250" s="167"/>
      <c r="AK250" s="167"/>
      <c r="AL250" s="167"/>
      <c r="AM250" s="167"/>
      <c r="AN250" s="175" t="str">
        <f>IFERROR(_xlfn.XLOOKUP($A250,Input_Raw!$A:$A,Input_Raw!$BN:$BN),"")</f>
        <v/>
      </c>
      <c r="AO250" s="174" t="str">
        <f>IFERROR((_xlfn.XLOOKUP($A250,'WTG Reactive Power'!$A:$A,'WTG Reactive Power'!$AE:$AE))/Table13[[#This Row],[Gen_Exp (kWh)]],"")</f>
        <v/>
      </c>
      <c r="AP250" s="174">
        <f>IFERROR(_xlfn.XLOOKUP($D250,'Modelling New'!$D:$D,'Modelling New'!$AK:$AK),"")</f>
        <v>0.05</v>
      </c>
      <c r="AQ250" s="174">
        <f>IFERROR(_xlfn.XLOOKUP($D250,'Modelling New'!$D:$D,'Modelling New'!$AL:$AL),"")</f>
        <v>0.05</v>
      </c>
      <c r="AR250" s="276">
        <f>IFERROR(_xlfn.XLOOKUP($D250,'Modelling New'!$D:$D,'Modelling New'!$N:$N),"")</f>
        <v>70.2</v>
      </c>
      <c r="AS250" s="276"/>
    </row>
    <row r="251" spans="1:45">
      <c r="A251" s="165">
        <f t="shared" si="19"/>
        <v>45994</v>
      </c>
      <c r="B251" s="166">
        <f>YEAR(Table13[[#This Row],[Date]])+IF(MONTH(Table13[[#This Row],[Date]])&gt;=4,1,0)</f>
        <v>2026</v>
      </c>
      <c r="C251" s="167">
        <f>YEAR(Table13[[#This Row],[Date]])</f>
        <v>2025</v>
      </c>
      <c r="D251" s="168">
        <f>Table13[[#This Row],[Date]]-DAY(Table13[[#This Row],[Date]])+1</f>
        <v>45992</v>
      </c>
      <c r="E251" s="167">
        <f t="shared" si="16"/>
        <v>31</v>
      </c>
      <c r="F251" s="169"/>
      <c r="G251" s="176"/>
      <c r="H251" s="176"/>
      <c r="I251" s="176"/>
      <c r="J251" s="176"/>
      <c r="K251" s="171"/>
      <c r="L251" s="170"/>
      <c r="M251" s="170" t="str">
        <f>IFERROR(_xlfn.XLOOKUP($A251,Input_Raw!$A:$A,Input_Raw!BG:BG),"")</f>
        <v/>
      </c>
      <c r="N251" s="170" t="str">
        <f>IFERROR(_xlfn.XLOOKUP($A251,Input_Raw!$A:$A,Input_Raw!BH:BH),"")</f>
        <v/>
      </c>
      <c r="O251" s="173" t="str">
        <f t="shared" si="17"/>
        <v/>
      </c>
      <c r="P251" s="173" t="str">
        <f>IFERROR(1-SUMIF(WTG_BD!$F:$F,$A251,WTG_BD!$AA:$AA)/($AA251+SUMIF(WTG_BD!$F:$F,$A251,WTG_BD!$AA:$AA)),"")</f>
        <v/>
      </c>
      <c r="Q251" s="173" t="str">
        <f>IFERROR(1-SUMIF(IGA_BD!$F:$F,$A251,IGA_BD!$X:$X)/($AA251+SUMIF(IGA_BD!$F:$F,$A251,IGA_BD!$X:$X)),"")</f>
        <v/>
      </c>
      <c r="R251" s="173" t="str">
        <f>IFERROR(1-SUMIF(Grid_BD!$F:$F,$A251,Grid_BD!$Y:$Y)/($AA251+SUMIF(Grid_BD!$F:$F,$A251,Grid_BD!$Y:$Y)),"")</f>
        <v/>
      </c>
      <c r="S251" s="167"/>
      <c r="T251" s="172"/>
      <c r="U251" s="173"/>
      <c r="V251" s="167"/>
      <c r="W251" s="174" t="str">
        <f t="shared" si="18"/>
        <v/>
      </c>
      <c r="X251" s="167" t="str">
        <f>IFERROR(_xlfn.XLOOKUP($A251,Input_Raw!$A:$A,Input_Raw!$BF:$BF),"")</f>
        <v/>
      </c>
      <c r="Y251" s="167" t="str">
        <f>IFERROR(_xlfn.XLOOKUP($A251,Input_Raw!$A:$A,Input_Raw!BJ:BJ),"")</f>
        <v/>
      </c>
      <c r="Z251" s="167" t="str">
        <f>IFERROR(_xlfn.XLOOKUP($A251,Input_Raw!$A:$A,Input_Raw!BK:BK),"")</f>
        <v/>
      </c>
      <c r="AA251" s="167" t="str">
        <f>IFERROR(_xlfn.XLOOKUP($A251,Input_Raw!$A:$A,Input_Raw!BL:BL),"")</f>
        <v/>
      </c>
      <c r="AB251" s="167" t="str">
        <f>IFERROR(_xlfn.XLOOKUP($A251,Input_Raw!$A:$A,Input_Raw!$BO:$BO),"")</f>
        <v/>
      </c>
      <c r="AC251" s="176">
        <f>IFERROR(_xlfn.XLOOKUP($D251,'Modelling New'!$D:$D,'Modelling New'!$J:$J),"")</f>
        <v>6.95</v>
      </c>
      <c r="AD251" s="166">
        <f>IFERROR(_xlfn.XLOOKUP($D251,'Modelling New'!$D:$D,'Modelling New'!$T:$T)*1000,"")</f>
        <v>574435.4233300495</v>
      </c>
      <c r="AE251" s="174"/>
      <c r="AF251" s="174">
        <f>IFERROR(_xlfn.XLOOKUP($D251,'Modelling New'!$D:$D,'Modelling New'!$W:$W),"")</f>
        <v>0.34095169950738929</v>
      </c>
      <c r="AG251" s="174">
        <f>IFERROR(_xlfn.XLOOKUP($D251,'Modelling New'!$D:$D,'Modelling New'!$AE:$AE),"")</f>
        <v>0.96029999999999993</v>
      </c>
      <c r="AH251" s="174">
        <f>IFERROR(_xlfn.XLOOKUP($D251,'Modelling New'!$D:$D,'Modelling New'!$AF:$AF),"")</f>
        <v>0.995</v>
      </c>
      <c r="AI251" s="177" t="str">
        <f>IFERROR(_xlfn.XLOOKUP($A251,Input_Raw!$A:$A,Input_Raw!$BQ:$BQ),"")</f>
        <v/>
      </c>
      <c r="AJ251" s="167"/>
      <c r="AK251" s="167"/>
      <c r="AL251" s="167"/>
      <c r="AM251" s="167"/>
      <c r="AN251" s="175" t="str">
        <f>IFERROR(_xlfn.XLOOKUP($A251,Input_Raw!$A:$A,Input_Raw!$BN:$BN),"")</f>
        <v/>
      </c>
      <c r="AO251" s="174" t="str">
        <f>IFERROR((_xlfn.XLOOKUP($A251,'WTG Reactive Power'!$A:$A,'WTG Reactive Power'!$AE:$AE))/Table13[[#This Row],[Gen_Exp (kWh)]],"")</f>
        <v/>
      </c>
      <c r="AP251" s="174">
        <f>IFERROR(_xlfn.XLOOKUP($D251,'Modelling New'!$D:$D,'Modelling New'!$AK:$AK),"")</f>
        <v>0.05</v>
      </c>
      <c r="AQ251" s="174">
        <f>IFERROR(_xlfn.XLOOKUP($D251,'Modelling New'!$D:$D,'Modelling New'!$AL:$AL),"")</f>
        <v>0.05</v>
      </c>
      <c r="AR251" s="276">
        <f>IFERROR(_xlfn.XLOOKUP($D251,'Modelling New'!$D:$D,'Modelling New'!$N:$N),"")</f>
        <v>70.2</v>
      </c>
      <c r="AS251" s="276"/>
    </row>
    <row r="252" spans="1:45">
      <c r="A252" s="165">
        <f t="shared" si="19"/>
        <v>45995</v>
      </c>
      <c r="B252" s="166">
        <f>YEAR(Table13[[#This Row],[Date]])+IF(MONTH(Table13[[#This Row],[Date]])&gt;=4,1,0)</f>
        <v>2026</v>
      </c>
      <c r="C252" s="167">
        <f>YEAR(Table13[[#This Row],[Date]])</f>
        <v>2025</v>
      </c>
      <c r="D252" s="168">
        <f>Table13[[#This Row],[Date]]-DAY(Table13[[#This Row],[Date]])+1</f>
        <v>45992</v>
      </c>
      <c r="E252" s="167">
        <f t="shared" si="16"/>
        <v>31</v>
      </c>
      <c r="F252" s="169"/>
      <c r="G252" s="170"/>
      <c r="H252" s="170"/>
      <c r="I252" s="170"/>
      <c r="J252" s="170"/>
      <c r="K252" s="171"/>
      <c r="L252" s="170"/>
      <c r="M252" s="170" t="str">
        <f>IFERROR(_xlfn.XLOOKUP($A252,Input_Raw!$A:$A,Input_Raw!BG:BG),"")</f>
        <v/>
      </c>
      <c r="N252" s="170" t="str">
        <f>IFERROR(_xlfn.XLOOKUP($A252,Input_Raw!$A:$A,Input_Raw!BH:BH),"")</f>
        <v/>
      </c>
      <c r="O252" s="173" t="str">
        <f t="shared" si="17"/>
        <v/>
      </c>
      <c r="P252" s="173" t="str">
        <f>IFERROR(1-SUMIF(WTG_BD!$F:$F,$A252,WTG_BD!$AA:$AA)/($AA252+SUMIF(WTG_BD!$F:$F,$A252,WTG_BD!$AA:$AA)),"")</f>
        <v/>
      </c>
      <c r="Q252" s="173" t="str">
        <f>IFERROR(1-SUMIF(IGA_BD!$F:$F,$A252,IGA_BD!$X:$X)/($AA252+SUMIF(IGA_BD!$F:$F,$A252,IGA_BD!$X:$X)),"")</f>
        <v/>
      </c>
      <c r="R252" s="173" t="str">
        <f>IFERROR(1-SUMIF(Grid_BD!$F:$F,$A252,Grid_BD!$Y:$Y)/($AA252+SUMIF(Grid_BD!$F:$F,$A252,Grid_BD!$Y:$Y)),"")</f>
        <v/>
      </c>
      <c r="S252" s="167"/>
      <c r="T252" s="172"/>
      <c r="U252" s="173"/>
      <c r="V252" s="167"/>
      <c r="W252" s="174" t="str">
        <f t="shared" si="18"/>
        <v/>
      </c>
      <c r="X252" s="167" t="str">
        <f>IFERROR(_xlfn.XLOOKUP($A252,Input_Raw!$A:$A,Input_Raw!$BF:$BF),"")</f>
        <v/>
      </c>
      <c r="Y252" s="167" t="str">
        <f>IFERROR(_xlfn.XLOOKUP($A252,Input_Raw!$A:$A,Input_Raw!BJ:BJ),"")</f>
        <v/>
      </c>
      <c r="Z252" s="167" t="str">
        <f>IFERROR(_xlfn.XLOOKUP($A252,Input_Raw!$A:$A,Input_Raw!BK:BK),"")</f>
        <v/>
      </c>
      <c r="AA252" s="167" t="str">
        <f>IFERROR(_xlfn.XLOOKUP($A252,Input_Raw!$A:$A,Input_Raw!BL:BL),"")</f>
        <v/>
      </c>
      <c r="AB252" s="167" t="str">
        <f>IFERROR(_xlfn.XLOOKUP($A252,Input_Raw!$A:$A,Input_Raw!$BO:$BO),"")</f>
        <v/>
      </c>
      <c r="AC252" s="176">
        <f>IFERROR(_xlfn.XLOOKUP($D252,'Modelling New'!$D:$D,'Modelling New'!$J:$J),"")</f>
        <v>6.95</v>
      </c>
      <c r="AD252" s="166">
        <f>IFERROR(_xlfn.XLOOKUP($D252,'Modelling New'!$D:$D,'Modelling New'!$T:$T)*1000,"")</f>
        <v>574435.4233300495</v>
      </c>
      <c r="AE252" s="174"/>
      <c r="AF252" s="174">
        <f>IFERROR(_xlfn.XLOOKUP($D252,'Modelling New'!$D:$D,'Modelling New'!$W:$W),"")</f>
        <v>0.34095169950738929</v>
      </c>
      <c r="AG252" s="174">
        <f>IFERROR(_xlfn.XLOOKUP($D252,'Modelling New'!$D:$D,'Modelling New'!$AE:$AE),"")</f>
        <v>0.96029999999999993</v>
      </c>
      <c r="AH252" s="174">
        <f>IFERROR(_xlfn.XLOOKUP($D252,'Modelling New'!$D:$D,'Modelling New'!$AF:$AF),"")</f>
        <v>0.995</v>
      </c>
      <c r="AI252" s="177" t="str">
        <f>IFERROR(_xlfn.XLOOKUP($A252,Input_Raw!$A:$A,Input_Raw!$BQ:$BQ),"")</f>
        <v/>
      </c>
      <c r="AJ252" s="167"/>
      <c r="AK252" s="167"/>
      <c r="AL252" s="167"/>
      <c r="AM252" s="167"/>
      <c r="AN252" s="175" t="str">
        <f>IFERROR(_xlfn.XLOOKUP($A252,Input_Raw!$A:$A,Input_Raw!$BN:$BN),"")</f>
        <v/>
      </c>
      <c r="AO252" s="174" t="str">
        <f>IFERROR((_xlfn.XLOOKUP($A252,'WTG Reactive Power'!$A:$A,'WTG Reactive Power'!$AE:$AE))/Table13[[#This Row],[Gen_Exp (kWh)]],"")</f>
        <v/>
      </c>
      <c r="AP252" s="174">
        <f>IFERROR(_xlfn.XLOOKUP($D252,'Modelling New'!$D:$D,'Modelling New'!$AK:$AK),"")</f>
        <v>0.05</v>
      </c>
      <c r="AQ252" s="174">
        <f>IFERROR(_xlfn.XLOOKUP($D252,'Modelling New'!$D:$D,'Modelling New'!$AL:$AL),"")</f>
        <v>0.05</v>
      </c>
      <c r="AR252" s="276">
        <f>IFERROR(_xlfn.XLOOKUP($D252,'Modelling New'!$D:$D,'Modelling New'!$N:$N),"")</f>
        <v>70.2</v>
      </c>
      <c r="AS252" s="276"/>
    </row>
    <row r="253" spans="1:45">
      <c r="A253" s="165">
        <f t="shared" si="19"/>
        <v>45996</v>
      </c>
      <c r="B253" s="166">
        <f>YEAR(Table13[[#This Row],[Date]])+IF(MONTH(Table13[[#This Row],[Date]])&gt;=4,1,0)</f>
        <v>2026</v>
      </c>
      <c r="C253" s="167">
        <f>YEAR(Table13[[#This Row],[Date]])</f>
        <v>2025</v>
      </c>
      <c r="D253" s="168">
        <f>Table13[[#This Row],[Date]]-DAY(Table13[[#This Row],[Date]])+1</f>
        <v>45992</v>
      </c>
      <c r="E253" s="167">
        <f t="shared" si="16"/>
        <v>31</v>
      </c>
      <c r="F253" s="169"/>
      <c r="G253" s="176"/>
      <c r="H253" s="176"/>
      <c r="I253" s="176"/>
      <c r="J253" s="176"/>
      <c r="K253" s="171"/>
      <c r="L253" s="170"/>
      <c r="M253" s="170" t="str">
        <f>IFERROR(_xlfn.XLOOKUP($A253,Input_Raw!$A:$A,Input_Raw!BG:BG),"")</f>
        <v/>
      </c>
      <c r="N253" s="170" t="str">
        <f>IFERROR(_xlfn.XLOOKUP($A253,Input_Raw!$A:$A,Input_Raw!BH:BH),"")</f>
        <v/>
      </c>
      <c r="O253" s="173" t="str">
        <f t="shared" si="17"/>
        <v/>
      </c>
      <c r="P253" s="173" t="str">
        <f>IFERROR(1-SUMIF(WTG_BD!$F:$F,$A253,WTG_BD!$AA:$AA)/($AA253+SUMIF(WTG_BD!$F:$F,$A253,WTG_BD!$AA:$AA)),"")</f>
        <v/>
      </c>
      <c r="Q253" s="173" t="str">
        <f>IFERROR(1-SUMIF(IGA_BD!$F:$F,$A253,IGA_BD!$X:$X)/($AA253+SUMIF(IGA_BD!$F:$F,$A253,IGA_BD!$X:$X)),"")</f>
        <v/>
      </c>
      <c r="R253" s="173" t="str">
        <f>IFERROR(1-SUMIF(Grid_BD!$F:$F,$A253,Grid_BD!$Y:$Y)/($AA253+SUMIF(Grid_BD!$F:$F,$A253,Grid_BD!$Y:$Y)),"")</f>
        <v/>
      </c>
      <c r="S253" s="167"/>
      <c r="T253" s="172"/>
      <c r="U253" s="173"/>
      <c r="V253" s="167"/>
      <c r="W253" s="174" t="str">
        <f t="shared" si="18"/>
        <v/>
      </c>
      <c r="X253" s="167" t="str">
        <f>IFERROR(_xlfn.XLOOKUP($A253,Input_Raw!$A:$A,Input_Raw!$BF:$BF),"")</f>
        <v/>
      </c>
      <c r="Y253" s="167" t="str">
        <f>IFERROR(_xlfn.XLOOKUP($A253,Input_Raw!$A:$A,Input_Raw!BJ:BJ),"")</f>
        <v/>
      </c>
      <c r="Z253" s="167" t="str">
        <f>IFERROR(_xlfn.XLOOKUP($A253,Input_Raw!$A:$A,Input_Raw!BK:BK),"")</f>
        <v/>
      </c>
      <c r="AA253" s="167" t="str">
        <f>IFERROR(_xlfn.XLOOKUP($A253,Input_Raw!$A:$A,Input_Raw!BL:BL),"")</f>
        <v/>
      </c>
      <c r="AB253" s="167" t="str">
        <f>IFERROR(_xlfn.XLOOKUP($A253,Input_Raw!$A:$A,Input_Raw!$BO:$BO),"")</f>
        <v/>
      </c>
      <c r="AC253" s="176">
        <f>IFERROR(_xlfn.XLOOKUP($D253,'Modelling New'!$D:$D,'Modelling New'!$J:$J),"")</f>
        <v>6.95</v>
      </c>
      <c r="AD253" s="166">
        <f>IFERROR(_xlfn.XLOOKUP($D253,'Modelling New'!$D:$D,'Modelling New'!$T:$T)*1000,"")</f>
        <v>574435.4233300495</v>
      </c>
      <c r="AE253" s="174"/>
      <c r="AF253" s="174">
        <f>IFERROR(_xlfn.XLOOKUP($D253,'Modelling New'!$D:$D,'Modelling New'!$W:$W),"")</f>
        <v>0.34095169950738929</v>
      </c>
      <c r="AG253" s="174">
        <f>IFERROR(_xlfn.XLOOKUP($D253,'Modelling New'!$D:$D,'Modelling New'!$AE:$AE),"")</f>
        <v>0.96029999999999993</v>
      </c>
      <c r="AH253" s="174">
        <f>IFERROR(_xlfn.XLOOKUP($D253,'Modelling New'!$D:$D,'Modelling New'!$AF:$AF),"")</f>
        <v>0.995</v>
      </c>
      <c r="AI253" s="177" t="str">
        <f>IFERROR(_xlfn.XLOOKUP($A253,Input_Raw!$A:$A,Input_Raw!$BQ:$BQ),"")</f>
        <v/>
      </c>
      <c r="AJ253" s="167"/>
      <c r="AK253" s="167"/>
      <c r="AL253" s="167"/>
      <c r="AM253" s="167"/>
      <c r="AN253" s="175" t="str">
        <f>IFERROR(_xlfn.XLOOKUP($A253,Input_Raw!$A:$A,Input_Raw!$BN:$BN),"")</f>
        <v/>
      </c>
      <c r="AO253" s="174" t="str">
        <f>IFERROR((_xlfn.XLOOKUP($A253,'WTG Reactive Power'!$A:$A,'WTG Reactive Power'!$AE:$AE))/Table13[[#This Row],[Gen_Exp (kWh)]],"")</f>
        <v/>
      </c>
      <c r="AP253" s="174">
        <f>IFERROR(_xlfn.XLOOKUP($D253,'Modelling New'!$D:$D,'Modelling New'!$AK:$AK),"")</f>
        <v>0.05</v>
      </c>
      <c r="AQ253" s="174">
        <f>IFERROR(_xlfn.XLOOKUP($D253,'Modelling New'!$D:$D,'Modelling New'!$AL:$AL),"")</f>
        <v>0.05</v>
      </c>
      <c r="AR253" s="276">
        <f>IFERROR(_xlfn.XLOOKUP($D253,'Modelling New'!$D:$D,'Modelling New'!$N:$N),"")</f>
        <v>70.2</v>
      </c>
      <c r="AS253" s="276"/>
    </row>
    <row r="254" spans="1:45">
      <c r="A254" s="165">
        <f t="shared" si="19"/>
        <v>45997</v>
      </c>
      <c r="B254" s="166">
        <f>YEAR(Table13[[#This Row],[Date]])+IF(MONTH(Table13[[#This Row],[Date]])&gt;=4,1,0)</f>
        <v>2026</v>
      </c>
      <c r="C254" s="167">
        <f>YEAR(Table13[[#This Row],[Date]])</f>
        <v>2025</v>
      </c>
      <c r="D254" s="168">
        <f>Table13[[#This Row],[Date]]-DAY(Table13[[#This Row],[Date]])+1</f>
        <v>45992</v>
      </c>
      <c r="E254" s="167">
        <f t="shared" si="16"/>
        <v>31</v>
      </c>
      <c r="F254" s="169"/>
      <c r="G254" s="170"/>
      <c r="H254" s="170"/>
      <c r="I254" s="170"/>
      <c r="J254" s="170"/>
      <c r="K254" s="171"/>
      <c r="L254" s="170"/>
      <c r="M254" s="170" t="str">
        <f>IFERROR(_xlfn.XLOOKUP($A254,Input_Raw!$A:$A,Input_Raw!BG:BG),"")</f>
        <v/>
      </c>
      <c r="N254" s="170" t="str">
        <f>IFERROR(_xlfn.XLOOKUP($A254,Input_Raw!$A:$A,Input_Raw!BH:BH),"")</f>
        <v/>
      </c>
      <c r="O254" s="173" t="str">
        <f t="shared" si="17"/>
        <v/>
      </c>
      <c r="P254" s="173" t="str">
        <f>IFERROR(1-SUMIF(WTG_BD!$F:$F,$A254,WTG_BD!$AA:$AA)/($AA254+SUMIF(WTG_BD!$F:$F,$A254,WTG_BD!$AA:$AA)),"")</f>
        <v/>
      </c>
      <c r="Q254" s="173" t="str">
        <f>IFERROR(1-SUMIF(IGA_BD!$F:$F,$A254,IGA_BD!$X:$X)/($AA254+SUMIF(IGA_BD!$F:$F,$A254,IGA_BD!$X:$X)),"")</f>
        <v/>
      </c>
      <c r="R254" s="173" t="str">
        <f>IFERROR(1-SUMIF(Grid_BD!$F:$F,$A254,Grid_BD!$Y:$Y)/($AA254+SUMIF(Grid_BD!$F:$F,$A254,Grid_BD!$Y:$Y)),"")</f>
        <v/>
      </c>
      <c r="S254" s="167"/>
      <c r="T254" s="172"/>
      <c r="U254" s="173"/>
      <c r="V254" s="167"/>
      <c r="W254" s="174" t="str">
        <f t="shared" si="18"/>
        <v/>
      </c>
      <c r="X254" s="167" t="str">
        <f>IFERROR(_xlfn.XLOOKUP($A254,Input_Raw!$A:$A,Input_Raw!$BF:$BF),"")</f>
        <v/>
      </c>
      <c r="Y254" s="167" t="str">
        <f>IFERROR(_xlfn.XLOOKUP($A254,Input_Raw!$A:$A,Input_Raw!BJ:BJ),"")</f>
        <v/>
      </c>
      <c r="Z254" s="167" t="str">
        <f>IFERROR(_xlfn.XLOOKUP($A254,Input_Raw!$A:$A,Input_Raw!BK:BK),"")</f>
        <v/>
      </c>
      <c r="AA254" s="167" t="str">
        <f>IFERROR(_xlfn.XLOOKUP($A254,Input_Raw!$A:$A,Input_Raw!BL:BL),"")</f>
        <v/>
      </c>
      <c r="AB254" s="167" t="str">
        <f>IFERROR(_xlfn.XLOOKUP($A254,Input_Raw!$A:$A,Input_Raw!$BO:$BO),"")</f>
        <v/>
      </c>
      <c r="AC254" s="176">
        <f>IFERROR(_xlfn.XLOOKUP($D254,'Modelling New'!$D:$D,'Modelling New'!$J:$J),"")</f>
        <v>6.95</v>
      </c>
      <c r="AD254" s="166">
        <f>IFERROR(_xlfn.XLOOKUP($D254,'Modelling New'!$D:$D,'Modelling New'!$T:$T)*1000,"")</f>
        <v>574435.4233300495</v>
      </c>
      <c r="AE254" s="174"/>
      <c r="AF254" s="174">
        <f>IFERROR(_xlfn.XLOOKUP($D254,'Modelling New'!$D:$D,'Modelling New'!$W:$W),"")</f>
        <v>0.34095169950738929</v>
      </c>
      <c r="AG254" s="174">
        <f>IFERROR(_xlfn.XLOOKUP($D254,'Modelling New'!$D:$D,'Modelling New'!$AE:$AE),"")</f>
        <v>0.96029999999999993</v>
      </c>
      <c r="AH254" s="174">
        <f>IFERROR(_xlfn.XLOOKUP($D254,'Modelling New'!$D:$D,'Modelling New'!$AF:$AF),"")</f>
        <v>0.995</v>
      </c>
      <c r="AI254" s="177" t="str">
        <f>IFERROR(_xlfn.XLOOKUP($A254,Input_Raw!$A:$A,Input_Raw!$BQ:$BQ),"")</f>
        <v/>
      </c>
      <c r="AJ254" s="167"/>
      <c r="AK254" s="167"/>
      <c r="AL254" s="167"/>
      <c r="AM254" s="167"/>
      <c r="AN254" s="175" t="str">
        <f>IFERROR(_xlfn.XLOOKUP($A254,Input_Raw!$A:$A,Input_Raw!$BN:$BN),"")</f>
        <v/>
      </c>
      <c r="AO254" s="174" t="str">
        <f>IFERROR((_xlfn.XLOOKUP($A254,'WTG Reactive Power'!$A:$A,'WTG Reactive Power'!$AE:$AE))/Table13[[#This Row],[Gen_Exp (kWh)]],"")</f>
        <v/>
      </c>
      <c r="AP254" s="174">
        <f>IFERROR(_xlfn.XLOOKUP($D254,'Modelling New'!$D:$D,'Modelling New'!$AK:$AK),"")</f>
        <v>0.05</v>
      </c>
      <c r="AQ254" s="174">
        <f>IFERROR(_xlfn.XLOOKUP($D254,'Modelling New'!$D:$D,'Modelling New'!$AL:$AL),"")</f>
        <v>0.05</v>
      </c>
      <c r="AR254" s="276">
        <f>IFERROR(_xlfn.XLOOKUP($D254,'Modelling New'!$D:$D,'Modelling New'!$N:$N),"")</f>
        <v>70.2</v>
      </c>
      <c r="AS254" s="276"/>
    </row>
    <row r="255" spans="1:45">
      <c r="A255" s="165">
        <f t="shared" si="19"/>
        <v>45998</v>
      </c>
      <c r="B255" s="166">
        <f>YEAR(Table13[[#This Row],[Date]])+IF(MONTH(Table13[[#This Row],[Date]])&gt;=4,1,0)</f>
        <v>2026</v>
      </c>
      <c r="C255" s="167">
        <f>YEAR(Table13[[#This Row],[Date]])</f>
        <v>2025</v>
      </c>
      <c r="D255" s="168">
        <f>Table13[[#This Row],[Date]]-DAY(Table13[[#This Row],[Date]])+1</f>
        <v>45992</v>
      </c>
      <c r="E255" s="167">
        <f t="shared" si="16"/>
        <v>31</v>
      </c>
      <c r="F255" s="169"/>
      <c r="G255" s="176"/>
      <c r="H255" s="176"/>
      <c r="I255" s="176"/>
      <c r="J255" s="176"/>
      <c r="K255" s="171"/>
      <c r="L255" s="170"/>
      <c r="M255" s="170" t="str">
        <f>IFERROR(_xlfn.XLOOKUP($A255,Input_Raw!$A:$A,Input_Raw!BG:BG),"")</f>
        <v/>
      </c>
      <c r="N255" s="170" t="str">
        <f>IFERROR(_xlfn.XLOOKUP($A255,Input_Raw!$A:$A,Input_Raw!BH:BH),"")</f>
        <v/>
      </c>
      <c r="O255" s="173" t="str">
        <f t="shared" si="17"/>
        <v/>
      </c>
      <c r="P255" s="173" t="str">
        <f>IFERROR(1-SUMIF(WTG_BD!$F:$F,$A255,WTG_BD!$AA:$AA)/($AA255+SUMIF(WTG_BD!$F:$F,$A255,WTG_BD!$AA:$AA)),"")</f>
        <v/>
      </c>
      <c r="Q255" s="173" t="str">
        <f>IFERROR(1-SUMIF(IGA_BD!$F:$F,$A255,IGA_BD!$X:$X)/($AA255+SUMIF(IGA_BD!$F:$F,$A255,IGA_BD!$X:$X)),"")</f>
        <v/>
      </c>
      <c r="R255" s="173" t="str">
        <f>IFERROR(1-SUMIF(Grid_BD!$F:$F,$A255,Grid_BD!$Y:$Y)/($AA255+SUMIF(Grid_BD!$F:$F,$A255,Grid_BD!$Y:$Y)),"")</f>
        <v/>
      </c>
      <c r="S255" s="167"/>
      <c r="T255" s="172"/>
      <c r="U255" s="173"/>
      <c r="V255" s="167"/>
      <c r="W255" s="174" t="str">
        <f t="shared" si="18"/>
        <v/>
      </c>
      <c r="X255" s="167" t="str">
        <f>IFERROR(_xlfn.XLOOKUP($A255,Input_Raw!$A:$A,Input_Raw!$BF:$BF),"")</f>
        <v/>
      </c>
      <c r="Y255" s="167" t="str">
        <f>IFERROR(_xlfn.XLOOKUP($A255,Input_Raw!$A:$A,Input_Raw!BJ:BJ),"")</f>
        <v/>
      </c>
      <c r="Z255" s="167" t="str">
        <f>IFERROR(_xlfn.XLOOKUP($A255,Input_Raw!$A:$A,Input_Raw!BK:BK),"")</f>
        <v/>
      </c>
      <c r="AA255" s="167" t="str">
        <f>IFERROR(_xlfn.XLOOKUP($A255,Input_Raw!$A:$A,Input_Raw!BL:BL),"")</f>
        <v/>
      </c>
      <c r="AB255" s="167" t="str">
        <f>IFERROR(_xlfn.XLOOKUP($A255,Input_Raw!$A:$A,Input_Raw!$BO:$BO),"")</f>
        <v/>
      </c>
      <c r="AC255" s="176">
        <f>IFERROR(_xlfn.XLOOKUP($D255,'Modelling New'!$D:$D,'Modelling New'!$J:$J),"")</f>
        <v>6.95</v>
      </c>
      <c r="AD255" s="166">
        <f>IFERROR(_xlfn.XLOOKUP($D255,'Modelling New'!$D:$D,'Modelling New'!$T:$T)*1000,"")</f>
        <v>574435.4233300495</v>
      </c>
      <c r="AE255" s="174"/>
      <c r="AF255" s="174">
        <f>IFERROR(_xlfn.XLOOKUP($D255,'Modelling New'!$D:$D,'Modelling New'!$W:$W),"")</f>
        <v>0.34095169950738929</v>
      </c>
      <c r="AG255" s="174">
        <f>IFERROR(_xlfn.XLOOKUP($D255,'Modelling New'!$D:$D,'Modelling New'!$AE:$AE),"")</f>
        <v>0.96029999999999993</v>
      </c>
      <c r="AH255" s="174">
        <f>IFERROR(_xlfn.XLOOKUP($D255,'Modelling New'!$D:$D,'Modelling New'!$AF:$AF),"")</f>
        <v>0.995</v>
      </c>
      <c r="AI255" s="177" t="str">
        <f>IFERROR(_xlfn.XLOOKUP($A255,Input_Raw!$A:$A,Input_Raw!$BQ:$BQ),"")</f>
        <v/>
      </c>
      <c r="AJ255" s="167"/>
      <c r="AK255" s="167"/>
      <c r="AL255" s="167"/>
      <c r="AM255" s="167"/>
      <c r="AN255" s="175" t="str">
        <f>IFERROR(_xlfn.XLOOKUP($A255,Input_Raw!$A:$A,Input_Raw!$BN:$BN),"")</f>
        <v/>
      </c>
      <c r="AO255" s="174" t="str">
        <f>IFERROR((_xlfn.XLOOKUP($A255,'WTG Reactive Power'!$A:$A,'WTG Reactive Power'!$AE:$AE))/Table13[[#This Row],[Gen_Exp (kWh)]],"")</f>
        <v/>
      </c>
      <c r="AP255" s="174">
        <f>IFERROR(_xlfn.XLOOKUP($D255,'Modelling New'!$D:$D,'Modelling New'!$AK:$AK),"")</f>
        <v>0.05</v>
      </c>
      <c r="AQ255" s="174">
        <f>IFERROR(_xlfn.XLOOKUP($D255,'Modelling New'!$D:$D,'Modelling New'!$AL:$AL),"")</f>
        <v>0.05</v>
      </c>
      <c r="AR255" s="276">
        <f>IFERROR(_xlfn.XLOOKUP($D255,'Modelling New'!$D:$D,'Modelling New'!$N:$N),"")</f>
        <v>70.2</v>
      </c>
      <c r="AS255" s="276"/>
    </row>
    <row r="256" spans="1:45">
      <c r="A256" s="165">
        <f t="shared" si="19"/>
        <v>45999</v>
      </c>
      <c r="B256" s="166">
        <f>YEAR(Table13[[#This Row],[Date]])+IF(MONTH(Table13[[#This Row],[Date]])&gt;=4,1,0)</f>
        <v>2026</v>
      </c>
      <c r="C256" s="167">
        <f>YEAR(Table13[[#This Row],[Date]])</f>
        <v>2025</v>
      </c>
      <c r="D256" s="168">
        <f>Table13[[#This Row],[Date]]-DAY(Table13[[#This Row],[Date]])+1</f>
        <v>45992</v>
      </c>
      <c r="E256" s="167">
        <f t="shared" si="16"/>
        <v>31</v>
      </c>
      <c r="F256" s="169"/>
      <c r="G256" s="170"/>
      <c r="H256" s="170"/>
      <c r="I256" s="170"/>
      <c r="J256" s="170"/>
      <c r="K256" s="171"/>
      <c r="L256" s="170"/>
      <c r="M256" s="170" t="str">
        <f>IFERROR(_xlfn.XLOOKUP($A256,Input_Raw!$A:$A,Input_Raw!BG:BG),"")</f>
        <v/>
      </c>
      <c r="N256" s="170" t="str">
        <f>IFERROR(_xlfn.XLOOKUP($A256,Input_Raw!$A:$A,Input_Raw!BH:BH),"")</f>
        <v/>
      </c>
      <c r="O256" s="173" t="str">
        <f t="shared" si="17"/>
        <v/>
      </c>
      <c r="P256" s="173" t="str">
        <f>IFERROR(1-SUMIF(WTG_BD!$F:$F,$A256,WTG_BD!$AA:$AA)/($AA256+SUMIF(WTG_BD!$F:$F,$A256,WTG_BD!$AA:$AA)),"")</f>
        <v/>
      </c>
      <c r="Q256" s="173" t="str">
        <f>IFERROR(1-SUMIF(IGA_BD!$F:$F,$A256,IGA_BD!$X:$X)/($AA256+SUMIF(IGA_BD!$F:$F,$A256,IGA_BD!$X:$X)),"")</f>
        <v/>
      </c>
      <c r="R256" s="173" t="str">
        <f>IFERROR(1-SUMIF(Grid_BD!$F:$F,$A256,Grid_BD!$Y:$Y)/($AA256+SUMIF(Grid_BD!$F:$F,$A256,Grid_BD!$Y:$Y)),"")</f>
        <v/>
      </c>
      <c r="S256" s="167"/>
      <c r="T256" s="172"/>
      <c r="U256" s="173"/>
      <c r="V256" s="167"/>
      <c r="W256" s="174" t="str">
        <f t="shared" si="18"/>
        <v/>
      </c>
      <c r="X256" s="167" t="str">
        <f>IFERROR(_xlfn.XLOOKUP($A256,Input_Raw!$A:$A,Input_Raw!$BF:$BF),"")</f>
        <v/>
      </c>
      <c r="Y256" s="167" t="str">
        <f>IFERROR(_xlfn.XLOOKUP($A256,Input_Raw!$A:$A,Input_Raw!BJ:BJ),"")</f>
        <v/>
      </c>
      <c r="Z256" s="167" t="str">
        <f>IFERROR(_xlfn.XLOOKUP($A256,Input_Raw!$A:$A,Input_Raw!BK:BK),"")</f>
        <v/>
      </c>
      <c r="AA256" s="167" t="str">
        <f>IFERROR(_xlfn.XLOOKUP($A256,Input_Raw!$A:$A,Input_Raw!BL:BL),"")</f>
        <v/>
      </c>
      <c r="AB256" s="167" t="str">
        <f>IFERROR(_xlfn.XLOOKUP($A256,Input_Raw!$A:$A,Input_Raw!$BO:$BO),"")</f>
        <v/>
      </c>
      <c r="AC256" s="176">
        <f>IFERROR(_xlfn.XLOOKUP($D256,'Modelling New'!$D:$D,'Modelling New'!$J:$J),"")</f>
        <v>6.95</v>
      </c>
      <c r="AD256" s="166">
        <f>IFERROR(_xlfn.XLOOKUP($D256,'Modelling New'!$D:$D,'Modelling New'!$T:$T)*1000,"")</f>
        <v>574435.4233300495</v>
      </c>
      <c r="AE256" s="174"/>
      <c r="AF256" s="174">
        <f>IFERROR(_xlfn.XLOOKUP($D256,'Modelling New'!$D:$D,'Modelling New'!$W:$W),"")</f>
        <v>0.34095169950738929</v>
      </c>
      <c r="AG256" s="174">
        <f>IFERROR(_xlfn.XLOOKUP($D256,'Modelling New'!$D:$D,'Modelling New'!$AE:$AE),"")</f>
        <v>0.96029999999999993</v>
      </c>
      <c r="AH256" s="174">
        <f>IFERROR(_xlfn.XLOOKUP($D256,'Modelling New'!$D:$D,'Modelling New'!$AF:$AF),"")</f>
        <v>0.995</v>
      </c>
      <c r="AI256" s="177" t="str">
        <f>IFERROR(_xlfn.XLOOKUP($A256,Input_Raw!$A:$A,Input_Raw!$BQ:$BQ),"")</f>
        <v/>
      </c>
      <c r="AJ256" s="167"/>
      <c r="AK256" s="167"/>
      <c r="AL256" s="167"/>
      <c r="AM256" s="167"/>
      <c r="AN256" s="175" t="str">
        <f>IFERROR(_xlfn.XLOOKUP($A256,Input_Raw!$A:$A,Input_Raw!$BN:$BN),"")</f>
        <v/>
      </c>
      <c r="AO256" s="174" t="str">
        <f>IFERROR((_xlfn.XLOOKUP($A256,'WTG Reactive Power'!$A:$A,'WTG Reactive Power'!$AE:$AE))/Table13[[#This Row],[Gen_Exp (kWh)]],"")</f>
        <v/>
      </c>
      <c r="AP256" s="174">
        <f>IFERROR(_xlfn.XLOOKUP($D256,'Modelling New'!$D:$D,'Modelling New'!$AK:$AK),"")</f>
        <v>0.05</v>
      </c>
      <c r="AQ256" s="174">
        <f>IFERROR(_xlfn.XLOOKUP($D256,'Modelling New'!$D:$D,'Modelling New'!$AL:$AL),"")</f>
        <v>0.05</v>
      </c>
      <c r="AR256" s="276">
        <f>IFERROR(_xlfn.XLOOKUP($D256,'Modelling New'!$D:$D,'Modelling New'!$N:$N),"")</f>
        <v>70.2</v>
      </c>
      <c r="AS256" s="276"/>
    </row>
    <row r="257" spans="1:45">
      <c r="A257" s="165">
        <f t="shared" si="19"/>
        <v>46000</v>
      </c>
      <c r="B257" s="166">
        <f>YEAR(Table13[[#This Row],[Date]])+IF(MONTH(Table13[[#This Row],[Date]])&gt;=4,1,0)</f>
        <v>2026</v>
      </c>
      <c r="C257" s="167">
        <f>YEAR(Table13[[#This Row],[Date]])</f>
        <v>2025</v>
      </c>
      <c r="D257" s="168">
        <f>Table13[[#This Row],[Date]]-DAY(Table13[[#This Row],[Date]])+1</f>
        <v>45992</v>
      </c>
      <c r="E257" s="167">
        <f t="shared" si="16"/>
        <v>31</v>
      </c>
      <c r="F257" s="169"/>
      <c r="G257" s="176"/>
      <c r="H257" s="176"/>
      <c r="I257" s="176"/>
      <c r="J257" s="176"/>
      <c r="K257" s="171"/>
      <c r="L257" s="170"/>
      <c r="M257" s="170" t="str">
        <f>IFERROR(_xlfn.XLOOKUP($A257,Input_Raw!$A:$A,Input_Raw!BG:BG),"")</f>
        <v/>
      </c>
      <c r="N257" s="170" t="str">
        <f>IFERROR(_xlfn.XLOOKUP($A257,Input_Raw!$A:$A,Input_Raw!BH:BH),"")</f>
        <v/>
      </c>
      <c r="O257" s="173" t="str">
        <f t="shared" si="17"/>
        <v/>
      </c>
      <c r="P257" s="173" t="str">
        <f>IFERROR(1-SUMIF(WTG_BD!$F:$F,$A257,WTG_BD!$AA:$AA)/($AA257+SUMIF(WTG_BD!$F:$F,$A257,WTG_BD!$AA:$AA)),"")</f>
        <v/>
      </c>
      <c r="Q257" s="173" t="str">
        <f>IFERROR(1-SUMIF(IGA_BD!$F:$F,$A257,IGA_BD!$X:$X)/($AA257+SUMIF(IGA_BD!$F:$F,$A257,IGA_BD!$X:$X)),"")</f>
        <v/>
      </c>
      <c r="R257" s="173" t="str">
        <f>IFERROR(1-SUMIF(Grid_BD!$F:$F,$A257,Grid_BD!$Y:$Y)/($AA257+SUMIF(Grid_BD!$F:$F,$A257,Grid_BD!$Y:$Y)),"")</f>
        <v/>
      </c>
      <c r="S257" s="167"/>
      <c r="T257" s="172"/>
      <c r="U257" s="173"/>
      <c r="V257" s="167"/>
      <c r="W257" s="174" t="str">
        <f t="shared" si="18"/>
        <v/>
      </c>
      <c r="X257" s="167" t="str">
        <f>IFERROR(_xlfn.XLOOKUP($A257,Input_Raw!$A:$A,Input_Raw!$BF:$BF),"")</f>
        <v/>
      </c>
      <c r="Y257" s="167" t="str">
        <f>IFERROR(_xlfn.XLOOKUP($A257,Input_Raw!$A:$A,Input_Raw!BJ:BJ),"")</f>
        <v/>
      </c>
      <c r="Z257" s="167" t="str">
        <f>IFERROR(_xlfn.XLOOKUP($A257,Input_Raw!$A:$A,Input_Raw!BK:BK),"")</f>
        <v/>
      </c>
      <c r="AA257" s="167" t="str">
        <f>IFERROR(_xlfn.XLOOKUP($A257,Input_Raw!$A:$A,Input_Raw!BL:BL),"")</f>
        <v/>
      </c>
      <c r="AB257" s="167" t="str">
        <f>IFERROR(_xlfn.XLOOKUP($A257,Input_Raw!$A:$A,Input_Raw!$BO:$BO),"")</f>
        <v/>
      </c>
      <c r="AC257" s="176">
        <f>IFERROR(_xlfn.XLOOKUP($D257,'Modelling New'!$D:$D,'Modelling New'!$J:$J),"")</f>
        <v>6.95</v>
      </c>
      <c r="AD257" s="166">
        <f>IFERROR(_xlfn.XLOOKUP($D257,'Modelling New'!$D:$D,'Modelling New'!$T:$T)*1000,"")</f>
        <v>574435.4233300495</v>
      </c>
      <c r="AE257" s="174"/>
      <c r="AF257" s="174">
        <f>IFERROR(_xlfn.XLOOKUP($D257,'Modelling New'!$D:$D,'Modelling New'!$W:$W),"")</f>
        <v>0.34095169950738929</v>
      </c>
      <c r="AG257" s="174">
        <f>IFERROR(_xlfn.XLOOKUP($D257,'Modelling New'!$D:$D,'Modelling New'!$AE:$AE),"")</f>
        <v>0.96029999999999993</v>
      </c>
      <c r="AH257" s="174">
        <f>IFERROR(_xlfn.XLOOKUP($D257,'Modelling New'!$D:$D,'Modelling New'!$AF:$AF),"")</f>
        <v>0.995</v>
      </c>
      <c r="AI257" s="177" t="str">
        <f>IFERROR(_xlfn.XLOOKUP($A257,Input_Raw!$A:$A,Input_Raw!$BQ:$BQ),"")</f>
        <v/>
      </c>
      <c r="AJ257" s="167"/>
      <c r="AK257" s="167"/>
      <c r="AL257" s="167"/>
      <c r="AM257" s="167"/>
      <c r="AN257" s="175" t="str">
        <f>IFERROR(_xlfn.XLOOKUP($A257,Input_Raw!$A:$A,Input_Raw!$BN:$BN),"")</f>
        <v/>
      </c>
      <c r="AO257" s="174" t="str">
        <f>IFERROR((_xlfn.XLOOKUP($A257,'WTG Reactive Power'!$A:$A,'WTG Reactive Power'!$AE:$AE))/Table13[[#This Row],[Gen_Exp (kWh)]],"")</f>
        <v/>
      </c>
      <c r="AP257" s="174">
        <f>IFERROR(_xlfn.XLOOKUP($D257,'Modelling New'!$D:$D,'Modelling New'!$AK:$AK),"")</f>
        <v>0.05</v>
      </c>
      <c r="AQ257" s="174">
        <f>IFERROR(_xlfn.XLOOKUP($D257,'Modelling New'!$D:$D,'Modelling New'!$AL:$AL),"")</f>
        <v>0.05</v>
      </c>
      <c r="AR257" s="276">
        <f>IFERROR(_xlfn.XLOOKUP($D257,'Modelling New'!$D:$D,'Modelling New'!$N:$N),"")</f>
        <v>70.2</v>
      </c>
      <c r="AS257" s="276"/>
    </row>
    <row r="258" spans="1:45">
      <c r="A258" s="165">
        <f t="shared" si="19"/>
        <v>46001</v>
      </c>
      <c r="B258" s="166">
        <f>YEAR(Table13[[#This Row],[Date]])+IF(MONTH(Table13[[#This Row],[Date]])&gt;=4,1,0)</f>
        <v>2026</v>
      </c>
      <c r="C258" s="167">
        <f>YEAR(Table13[[#This Row],[Date]])</f>
        <v>2025</v>
      </c>
      <c r="D258" s="168">
        <f>Table13[[#This Row],[Date]]-DAY(Table13[[#This Row],[Date]])+1</f>
        <v>45992</v>
      </c>
      <c r="E258" s="167">
        <f t="shared" si="16"/>
        <v>31</v>
      </c>
      <c r="F258" s="169"/>
      <c r="G258" s="170"/>
      <c r="H258" s="170"/>
      <c r="I258" s="170"/>
      <c r="J258" s="170"/>
      <c r="K258" s="171"/>
      <c r="L258" s="170"/>
      <c r="M258" s="170" t="str">
        <f>IFERROR(_xlfn.XLOOKUP($A258,Input_Raw!$A:$A,Input_Raw!BG:BG),"")</f>
        <v/>
      </c>
      <c r="N258" s="170" t="str">
        <f>IFERROR(_xlfn.XLOOKUP($A258,Input_Raw!$A:$A,Input_Raw!BH:BH),"")</f>
        <v/>
      </c>
      <c r="O258" s="173" t="str">
        <f t="shared" si="17"/>
        <v/>
      </c>
      <c r="P258" s="173" t="str">
        <f>IFERROR(1-SUMIF(WTG_BD!$F:$F,$A258,WTG_BD!$AA:$AA)/($AA258+SUMIF(WTG_BD!$F:$F,$A258,WTG_BD!$AA:$AA)),"")</f>
        <v/>
      </c>
      <c r="Q258" s="173" t="str">
        <f>IFERROR(1-SUMIF(IGA_BD!$F:$F,$A258,IGA_BD!$X:$X)/($AA258+SUMIF(IGA_BD!$F:$F,$A258,IGA_BD!$X:$X)),"")</f>
        <v/>
      </c>
      <c r="R258" s="173" t="str">
        <f>IFERROR(1-SUMIF(Grid_BD!$F:$F,$A258,Grid_BD!$Y:$Y)/($AA258+SUMIF(Grid_BD!$F:$F,$A258,Grid_BD!$Y:$Y)),"")</f>
        <v/>
      </c>
      <c r="S258" s="167"/>
      <c r="T258" s="172"/>
      <c r="U258" s="173"/>
      <c r="V258" s="167"/>
      <c r="W258" s="174" t="str">
        <f t="shared" si="18"/>
        <v/>
      </c>
      <c r="X258" s="167" t="str">
        <f>IFERROR(_xlfn.XLOOKUP($A258,Input_Raw!$A:$A,Input_Raw!$BF:$BF),"")</f>
        <v/>
      </c>
      <c r="Y258" s="167" t="str">
        <f>IFERROR(_xlfn.XLOOKUP($A258,Input_Raw!$A:$A,Input_Raw!BJ:BJ),"")</f>
        <v/>
      </c>
      <c r="Z258" s="167" t="str">
        <f>IFERROR(_xlfn.XLOOKUP($A258,Input_Raw!$A:$A,Input_Raw!BK:BK),"")</f>
        <v/>
      </c>
      <c r="AA258" s="167" t="str">
        <f>IFERROR(_xlfn.XLOOKUP($A258,Input_Raw!$A:$A,Input_Raw!BL:BL),"")</f>
        <v/>
      </c>
      <c r="AB258" s="167" t="str">
        <f>IFERROR(_xlfn.XLOOKUP($A258,Input_Raw!$A:$A,Input_Raw!$BO:$BO),"")</f>
        <v/>
      </c>
      <c r="AC258" s="176">
        <f>IFERROR(_xlfn.XLOOKUP($D258,'Modelling New'!$D:$D,'Modelling New'!$J:$J),"")</f>
        <v>6.95</v>
      </c>
      <c r="AD258" s="166">
        <f>IFERROR(_xlfn.XLOOKUP($D258,'Modelling New'!$D:$D,'Modelling New'!$T:$T)*1000,"")</f>
        <v>574435.4233300495</v>
      </c>
      <c r="AE258" s="174"/>
      <c r="AF258" s="174">
        <f>IFERROR(_xlfn.XLOOKUP($D258,'Modelling New'!$D:$D,'Modelling New'!$W:$W),"")</f>
        <v>0.34095169950738929</v>
      </c>
      <c r="AG258" s="174">
        <f>IFERROR(_xlfn.XLOOKUP($D258,'Modelling New'!$D:$D,'Modelling New'!$AE:$AE),"")</f>
        <v>0.96029999999999993</v>
      </c>
      <c r="AH258" s="174">
        <f>IFERROR(_xlfn.XLOOKUP($D258,'Modelling New'!$D:$D,'Modelling New'!$AF:$AF),"")</f>
        <v>0.995</v>
      </c>
      <c r="AI258" s="177" t="str">
        <f>IFERROR(_xlfn.XLOOKUP($A258,Input_Raw!$A:$A,Input_Raw!$BQ:$BQ),"")</f>
        <v/>
      </c>
      <c r="AJ258" s="167"/>
      <c r="AK258" s="167"/>
      <c r="AL258" s="167"/>
      <c r="AM258" s="167"/>
      <c r="AN258" s="175" t="str">
        <f>IFERROR(_xlfn.XLOOKUP($A258,Input_Raw!$A:$A,Input_Raw!$BN:$BN),"")</f>
        <v/>
      </c>
      <c r="AO258" s="174" t="str">
        <f>IFERROR((_xlfn.XLOOKUP($A258,'WTG Reactive Power'!$A:$A,'WTG Reactive Power'!$AE:$AE))/Table13[[#This Row],[Gen_Exp (kWh)]],"")</f>
        <v/>
      </c>
      <c r="AP258" s="174">
        <f>IFERROR(_xlfn.XLOOKUP($D258,'Modelling New'!$D:$D,'Modelling New'!$AK:$AK),"")</f>
        <v>0.05</v>
      </c>
      <c r="AQ258" s="174">
        <f>IFERROR(_xlfn.XLOOKUP($D258,'Modelling New'!$D:$D,'Modelling New'!$AL:$AL),"")</f>
        <v>0.05</v>
      </c>
      <c r="AR258" s="276">
        <f>IFERROR(_xlfn.XLOOKUP($D258,'Modelling New'!$D:$D,'Modelling New'!$N:$N),"")</f>
        <v>70.2</v>
      </c>
      <c r="AS258" s="276"/>
    </row>
    <row r="259" spans="1:45">
      <c r="A259" s="165">
        <f t="shared" si="19"/>
        <v>46002</v>
      </c>
      <c r="B259" s="166">
        <f>YEAR(Table13[[#This Row],[Date]])+IF(MONTH(Table13[[#This Row],[Date]])&gt;=4,1,0)</f>
        <v>2026</v>
      </c>
      <c r="C259" s="167">
        <f>YEAR(Table13[[#This Row],[Date]])</f>
        <v>2025</v>
      </c>
      <c r="D259" s="168">
        <f>Table13[[#This Row],[Date]]-DAY(Table13[[#This Row],[Date]])+1</f>
        <v>45992</v>
      </c>
      <c r="E259" s="167">
        <f t="shared" si="16"/>
        <v>31</v>
      </c>
      <c r="F259" s="169"/>
      <c r="G259" s="176"/>
      <c r="H259" s="176"/>
      <c r="I259" s="176"/>
      <c r="J259" s="176"/>
      <c r="K259" s="171"/>
      <c r="L259" s="170"/>
      <c r="M259" s="170" t="str">
        <f>IFERROR(_xlfn.XLOOKUP($A259,Input_Raw!$A:$A,Input_Raw!BG:BG),"")</f>
        <v/>
      </c>
      <c r="N259" s="170" t="str">
        <f>IFERROR(_xlfn.XLOOKUP($A259,Input_Raw!$A:$A,Input_Raw!BH:BH),"")</f>
        <v/>
      </c>
      <c r="O259" s="173" t="str">
        <f t="shared" si="17"/>
        <v/>
      </c>
      <c r="P259" s="173" t="str">
        <f>IFERROR(1-SUMIF(WTG_BD!$F:$F,$A259,WTG_BD!$AA:$AA)/($AA259+SUMIF(WTG_BD!$F:$F,$A259,WTG_BD!$AA:$AA)),"")</f>
        <v/>
      </c>
      <c r="Q259" s="173" t="str">
        <f>IFERROR(1-SUMIF(IGA_BD!$F:$F,$A259,IGA_BD!$X:$X)/($AA259+SUMIF(IGA_BD!$F:$F,$A259,IGA_BD!$X:$X)),"")</f>
        <v/>
      </c>
      <c r="R259" s="173" t="str">
        <f>IFERROR(1-SUMIF(Grid_BD!$F:$F,$A259,Grid_BD!$Y:$Y)/($AA259+SUMIF(Grid_BD!$F:$F,$A259,Grid_BD!$Y:$Y)),"")</f>
        <v/>
      </c>
      <c r="S259" s="167"/>
      <c r="T259" s="172"/>
      <c r="U259" s="173"/>
      <c r="V259" s="167"/>
      <c r="W259" s="174" t="str">
        <f t="shared" si="18"/>
        <v/>
      </c>
      <c r="X259" s="167" t="str">
        <f>IFERROR(_xlfn.XLOOKUP($A259,Input_Raw!$A:$A,Input_Raw!$BF:$BF),"")</f>
        <v/>
      </c>
      <c r="Y259" s="167" t="str">
        <f>IFERROR(_xlfn.XLOOKUP($A259,Input_Raw!$A:$A,Input_Raw!BJ:BJ),"")</f>
        <v/>
      </c>
      <c r="Z259" s="167" t="str">
        <f>IFERROR(_xlfn.XLOOKUP($A259,Input_Raw!$A:$A,Input_Raw!BK:BK),"")</f>
        <v/>
      </c>
      <c r="AA259" s="167" t="str">
        <f>IFERROR(_xlfn.XLOOKUP($A259,Input_Raw!$A:$A,Input_Raw!BL:BL),"")</f>
        <v/>
      </c>
      <c r="AB259" s="167" t="str">
        <f>IFERROR(_xlfn.XLOOKUP($A259,Input_Raw!$A:$A,Input_Raw!$BO:$BO),"")</f>
        <v/>
      </c>
      <c r="AC259" s="176">
        <f>IFERROR(_xlfn.XLOOKUP($D259,'Modelling New'!$D:$D,'Modelling New'!$J:$J),"")</f>
        <v>6.95</v>
      </c>
      <c r="AD259" s="166">
        <f>IFERROR(_xlfn.XLOOKUP($D259,'Modelling New'!$D:$D,'Modelling New'!$T:$T)*1000,"")</f>
        <v>574435.4233300495</v>
      </c>
      <c r="AE259" s="174"/>
      <c r="AF259" s="174">
        <f>IFERROR(_xlfn.XLOOKUP($D259,'Modelling New'!$D:$D,'Modelling New'!$W:$W),"")</f>
        <v>0.34095169950738929</v>
      </c>
      <c r="AG259" s="174">
        <f>IFERROR(_xlfn.XLOOKUP($D259,'Modelling New'!$D:$D,'Modelling New'!$AE:$AE),"")</f>
        <v>0.96029999999999993</v>
      </c>
      <c r="AH259" s="174">
        <f>IFERROR(_xlfn.XLOOKUP($D259,'Modelling New'!$D:$D,'Modelling New'!$AF:$AF),"")</f>
        <v>0.995</v>
      </c>
      <c r="AI259" s="177" t="str">
        <f>IFERROR(_xlfn.XLOOKUP($A259,Input_Raw!$A:$A,Input_Raw!$BQ:$BQ),"")</f>
        <v/>
      </c>
      <c r="AJ259" s="167"/>
      <c r="AK259" s="167"/>
      <c r="AL259" s="167"/>
      <c r="AM259" s="167"/>
      <c r="AN259" s="175" t="str">
        <f>IFERROR(_xlfn.XLOOKUP($A259,Input_Raw!$A:$A,Input_Raw!$BN:$BN),"")</f>
        <v/>
      </c>
      <c r="AO259" s="174" t="str">
        <f>IFERROR((_xlfn.XLOOKUP($A259,'WTG Reactive Power'!$A:$A,'WTG Reactive Power'!$AE:$AE))/Table13[[#This Row],[Gen_Exp (kWh)]],"")</f>
        <v/>
      </c>
      <c r="AP259" s="174">
        <f>IFERROR(_xlfn.XLOOKUP($D259,'Modelling New'!$D:$D,'Modelling New'!$AK:$AK),"")</f>
        <v>0.05</v>
      </c>
      <c r="AQ259" s="174">
        <f>IFERROR(_xlfn.XLOOKUP($D259,'Modelling New'!$D:$D,'Modelling New'!$AL:$AL),"")</f>
        <v>0.05</v>
      </c>
      <c r="AR259" s="276">
        <f>IFERROR(_xlfn.XLOOKUP($D259,'Modelling New'!$D:$D,'Modelling New'!$N:$N),"")</f>
        <v>70.2</v>
      </c>
      <c r="AS259" s="276"/>
    </row>
    <row r="260" spans="1:45">
      <c r="A260" s="165">
        <f t="shared" si="19"/>
        <v>46003</v>
      </c>
      <c r="B260" s="166">
        <f>YEAR(Table13[[#This Row],[Date]])+IF(MONTH(Table13[[#This Row],[Date]])&gt;=4,1,0)</f>
        <v>2026</v>
      </c>
      <c r="C260" s="167">
        <f>YEAR(Table13[[#This Row],[Date]])</f>
        <v>2025</v>
      </c>
      <c r="D260" s="168">
        <f>Table13[[#This Row],[Date]]-DAY(Table13[[#This Row],[Date]])+1</f>
        <v>45992</v>
      </c>
      <c r="E260" s="167">
        <f t="shared" si="16"/>
        <v>31</v>
      </c>
      <c r="F260" s="169"/>
      <c r="G260" s="170"/>
      <c r="H260" s="170"/>
      <c r="I260" s="170"/>
      <c r="J260" s="170"/>
      <c r="K260" s="171"/>
      <c r="L260" s="170"/>
      <c r="M260" s="170" t="str">
        <f>IFERROR(_xlfn.XLOOKUP($A260,Input_Raw!$A:$A,Input_Raw!BG:BG),"")</f>
        <v/>
      </c>
      <c r="N260" s="170" t="str">
        <f>IFERROR(_xlfn.XLOOKUP($A260,Input_Raw!$A:$A,Input_Raw!BH:BH),"")</f>
        <v/>
      </c>
      <c r="O260" s="173" t="str">
        <f t="shared" si="17"/>
        <v/>
      </c>
      <c r="P260" s="173" t="str">
        <f>IFERROR(1-SUMIF(WTG_BD!$F:$F,$A260,WTG_BD!$AA:$AA)/($AA260+SUMIF(WTG_BD!$F:$F,$A260,WTG_BD!$AA:$AA)),"")</f>
        <v/>
      </c>
      <c r="Q260" s="173" t="str">
        <f>IFERROR(1-SUMIF(IGA_BD!$F:$F,$A260,IGA_BD!$X:$X)/($AA260+SUMIF(IGA_BD!$F:$F,$A260,IGA_BD!$X:$X)),"")</f>
        <v/>
      </c>
      <c r="R260" s="173" t="str">
        <f>IFERROR(1-SUMIF(Grid_BD!$F:$F,$A260,Grid_BD!$Y:$Y)/($AA260+SUMIF(Grid_BD!$F:$F,$A260,Grid_BD!$Y:$Y)),"")</f>
        <v/>
      </c>
      <c r="S260" s="167"/>
      <c r="T260" s="172"/>
      <c r="U260" s="173"/>
      <c r="V260" s="167"/>
      <c r="W260" s="174" t="str">
        <f t="shared" si="18"/>
        <v/>
      </c>
      <c r="X260" s="167" t="str">
        <f>IFERROR(_xlfn.XLOOKUP($A260,Input_Raw!$A:$A,Input_Raw!$BF:$BF),"")</f>
        <v/>
      </c>
      <c r="Y260" s="167" t="str">
        <f>IFERROR(_xlfn.XLOOKUP($A260,Input_Raw!$A:$A,Input_Raw!BJ:BJ),"")</f>
        <v/>
      </c>
      <c r="Z260" s="167" t="str">
        <f>IFERROR(_xlfn.XLOOKUP($A260,Input_Raw!$A:$A,Input_Raw!BK:BK),"")</f>
        <v/>
      </c>
      <c r="AA260" s="167" t="str">
        <f>IFERROR(_xlfn.XLOOKUP($A260,Input_Raw!$A:$A,Input_Raw!BL:BL),"")</f>
        <v/>
      </c>
      <c r="AB260" s="167" t="str">
        <f>IFERROR(_xlfn.XLOOKUP($A260,Input_Raw!$A:$A,Input_Raw!$BO:$BO),"")</f>
        <v/>
      </c>
      <c r="AC260" s="176">
        <f>IFERROR(_xlfn.XLOOKUP($D260,'Modelling New'!$D:$D,'Modelling New'!$J:$J),"")</f>
        <v>6.95</v>
      </c>
      <c r="AD260" s="166">
        <f>IFERROR(_xlfn.XLOOKUP($D260,'Modelling New'!$D:$D,'Modelling New'!$T:$T)*1000,"")</f>
        <v>574435.4233300495</v>
      </c>
      <c r="AE260" s="174"/>
      <c r="AF260" s="174">
        <f>IFERROR(_xlfn.XLOOKUP($D260,'Modelling New'!$D:$D,'Modelling New'!$W:$W),"")</f>
        <v>0.34095169950738929</v>
      </c>
      <c r="AG260" s="174">
        <f>IFERROR(_xlfn.XLOOKUP($D260,'Modelling New'!$D:$D,'Modelling New'!$AE:$AE),"")</f>
        <v>0.96029999999999993</v>
      </c>
      <c r="AH260" s="174">
        <f>IFERROR(_xlfn.XLOOKUP($D260,'Modelling New'!$D:$D,'Modelling New'!$AF:$AF),"")</f>
        <v>0.995</v>
      </c>
      <c r="AI260" s="177" t="str">
        <f>IFERROR(_xlfn.XLOOKUP($A260,Input_Raw!$A:$A,Input_Raw!$BQ:$BQ),"")</f>
        <v/>
      </c>
      <c r="AJ260" s="167"/>
      <c r="AK260" s="167"/>
      <c r="AL260" s="167"/>
      <c r="AM260" s="167"/>
      <c r="AN260" s="175" t="str">
        <f>IFERROR(_xlfn.XLOOKUP($A260,Input_Raw!$A:$A,Input_Raw!$BN:$BN),"")</f>
        <v/>
      </c>
      <c r="AO260" s="174" t="str">
        <f>IFERROR((_xlfn.XLOOKUP($A260,'WTG Reactive Power'!$A:$A,'WTG Reactive Power'!$AE:$AE))/Table13[[#This Row],[Gen_Exp (kWh)]],"")</f>
        <v/>
      </c>
      <c r="AP260" s="174">
        <f>IFERROR(_xlfn.XLOOKUP($D260,'Modelling New'!$D:$D,'Modelling New'!$AK:$AK),"")</f>
        <v>0.05</v>
      </c>
      <c r="AQ260" s="174">
        <f>IFERROR(_xlfn.XLOOKUP($D260,'Modelling New'!$D:$D,'Modelling New'!$AL:$AL),"")</f>
        <v>0.05</v>
      </c>
      <c r="AR260" s="276">
        <f>IFERROR(_xlfn.XLOOKUP($D260,'Modelling New'!$D:$D,'Modelling New'!$N:$N),"")</f>
        <v>70.2</v>
      </c>
      <c r="AS260" s="276"/>
    </row>
    <row r="261" spans="1:45">
      <c r="A261" s="165">
        <f t="shared" si="19"/>
        <v>46004</v>
      </c>
      <c r="B261" s="166">
        <f>YEAR(Table13[[#This Row],[Date]])+IF(MONTH(Table13[[#This Row],[Date]])&gt;=4,1,0)</f>
        <v>2026</v>
      </c>
      <c r="C261" s="167">
        <f>YEAR(Table13[[#This Row],[Date]])</f>
        <v>2025</v>
      </c>
      <c r="D261" s="168">
        <f>Table13[[#This Row],[Date]]-DAY(Table13[[#This Row],[Date]])+1</f>
        <v>45992</v>
      </c>
      <c r="E261" s="167">
        <f t="shared" si="16"/>
        <v>31</v>
      </c>
      <c r="F261" s="169"/>
      <c r="G261" s="176"/>
      <c r="H261" s="176"/>
      <c r="I261" s="176"/>
      <c r="J261" s="176"/>
      <c r="K261" s="171"/>
      <c r="L261" s="170"/>
      <c r="M261" s="170" t="str">
        <f>IFERROR(_xlfn.XLOOKUP($A261,Input_Raw!$A:$A,Input_Raw!BG:BG),"")</f>
        <v/>
      </c>
      <c r="N261" s="170" t="str">
        <f>IFERROR(_xlfn.XLOOKUP($A261,Input_Raw!$A:$A,Input_Raw!BH:BH),"")</f>
        <v/>
      </c>
      <c r="O261" s="173" t="str">
        <f t="shared" si="17"/>
        <v/>
      </c>
      <c r="P261" s="173" t="str">
        <f>IFERROR(1-SUMIF(WTG_BD!$F:$F,$A261,WTG_BD!$AA:$AA)/($AA261+SUMIF(WTG_BD!$F:$F,$A261,WTG_BD!$AA:$AA)),"")</f>
        <v/>
      </c>
      <c r="Q261" s="173" t="str">
        <f>IFERROR(1-SUMIF(IGA_BD!$F:$F,$A261,IGA_BD!$X:$X)/($AA261+SUMIF(IGA_BD!$F:$F,$A261,IGA_BD!$X:$X)),"")</f>
        <v/>
      </c>
      <c r="R261" s="173" t="str">
        <f>IFERROR(1-SUMIF(Grid_BD!$F:$F,$A261,Grid_BD!$Y:$Y)/($AA261+SUMIF(Grid_BD!$F:$F,$A261,Grid_BD!$Y:$Y)),"")</f>
        <v/>
      </c>
      <c r="S261" s="167"/>
      <c r="T261" s="172"/>
      <c r="U261" s="173"/>
      <c r="V261" s="167"/>
      <c r="W261" s="174" t="str">
        <f t="shared" si="18"/>
        <v/>
      </c>
      <c r="X261" s="167" t="str">
        <f>IFERROR(_xlfn.XLOOKUP($A261,Input_Raw!$A:$A,Input_Raw!$BF:$BF),"")</f>
        <v/>
      </c>
      <c r="Y261" s="167" t="str">
        <f>IFERROR(_xlfn.XLOOKUP($A261,Input_Raw!$A:$A,Input_Raw!BJ:BJ),"")</f>
        <v/>
      </c>
      <c r="Z261" s="167" t="str">
        <f>IFERROR(_xlfn.XLOOKUP($A261,Input_Raw!$A:$A,Input_Raw!BK:BK),"")</f>
        <v/>
      </c>
      <c r="AA261" s="167" t="str">
        <f>IFERROR(_xlfn.XLOOKUP($A261,Input_Raw!$A:$A,Input_Raw!BL:BL),"")</f>
        <v/>
      </c>
      <c r="AB261" s="167" t="str">
        <f>IFERROR(_xlfn.XLOOKUP($A261,Input_Raw!$A:$A,Input_Raw!$BO:$BO),"")</f>
        <v/>
      </c>
      <c r="AC261" s="176">
        <f>IFERROR(_xlfn.XLOOKUP($D261,'Modelling New'!$D:$D,'Modelling New'!$J:$J),"")</f>
        <v>6.95</v>
      </c>
      <c r="AD261" s="166">
        <f>IFERROR(_xlfn.XLOOKUP($D261,'Modelling New'!$D:$D,'Modelling New'!$T:$T)*1000,"")</f>
        <v>574435.4233300495</v>
      </c>
      <c r="AE261" s="174"/>
      <c r="AF261" s="174">
        <f>IFERROR(_xlfn.XLOOKUP($D261,'Modelling New'!$D:$D,'Modelling New'!$W:$W),"")</f>
        <v>0.34095169950738929</v>
      </c>
      <c r="AG261" s="174">
        <f>IFERROR(_xlfn.XLOOKUP($D261,'Modelling New'!$D:$D,'Modelling New'!$AE:$AE),"")</f>
        <v>0.96029999999999993</v>
      </c>
      <c r="AH261" s="174">
        <f>IFERROR(_xlfn.XLOOKUP($D261,'Modelling New'!$D:$D,'Modelling New'!$AF:$AF),"")</f>
        <v>0.995</v>
      </c>
      <c r="AI261" s="177" t="str">
        <f>IFERROR(_xlfn.XLOOKUP($A261,Input_Raw!$A:$A,Input_Raw!$BQ:$BQ),"")</f>
        <v/>
      </c>
      <c r="AJ261" s="167"/>
      <c r="AK261" s="167"/>
      <c r="AL261" s="167"/>
      <c r="AM261" s="167"/>
      <c r="AN261" s="175" t="str">
        <f>IFERROR(_xlfn.XLOOKUP($A261,Input_Raw!$A:$A,Input_Raw!$BN:$BN),"")</f>
        <v/>
      </c>
      <c r="AO261" s="174" t="str">
        <f>IFERROR((_xlfn.XLOOKUP($A261,'WTG Reactive Power'!$A:$A,'WTG Reactive Power'!$AE:$AE))/Table13[[#This Row],[Gen_Exp (kWh)]],"")</f>
        <v/>
      </c>
      <c r="AP261" s="174">
        <f>IFERROR(_xlfn.XLOOKUP($D261,'Modelling New'!$D:$D,'Modelling New'!$AK:$AK),"")</f>
        <v>0.05</v>
      </c>
      <c r="AQ261" s="174">
        <f>IFERROR(_xlfn.XLOOKUP($D261,'Modelling New'!$D:$D,'Modelling New'!$AL:$AL),"")</f>
        <v>0.05</v>
      </c>
      <c r="AR261" s="276">
        <f>IFERROR(_xlfn.XLOOKUP($D261,'Modelling New'!$D:$D,'Modelling New'!$N:$N),"")</f>
        <v>70.2</v>
      </c>
      <c r="AS261" s="276"/>
    </row>
    <row r="262" spans="1:45">
      <c r="A262" s="165">
        <f t="shared" si="19"/>
        <v>46005</v>
      </c>
      <c r="B262" s="166">
        <f>YEAR(Table13[[#This Row],[Date]])+IF(MONTH(Table13[[#This Row],[Date]])&gt;=4,1,0)</f>
        <v>2026</v>
      </c>
      <c r="C262" s="167">
        <f>YEAR(Table13[[#This Row],[Date]])</f>
        <v>2025</v>
      </c>
      <c r="D262" s="168">
        <f>Table13[[#This Row],[Date]]-DAY(Table13[[#This Row],[Date]])+1</f>
        <v>45992</v>
      </c>
      <c r="E262" s="167">
        <f t="shared" si="16"/>
        <v>31</v>
      </c>
      <c r="F262" s="169"/>
      <c r="G262" s="170"/>
      <c r="H262" s="170"/>
      <c r="I262" s="170"/>
      <c r="J262" s="170"/>
      <c r="K262" s="171"/>
      <c r="L262" s="170"/>
      <c r="M262" s="170" t="str">
        <f>IFERROR(_xlfn.XLOOKUP($A262,Input_Raw!$A:$A,Input_Raw!BG:BG),"")</f>
        <v/>
      </c>
      <c r="N262" s="170" t="str">
        <f>IFERROR(_xlfn.XLOOKUP($A262,Input_Raw!$A:$A,Input_Raw!BH:BH),"")</f>
        <v/>
      </c>
      <c r="O262" s="173" t="str">
        <f t="shared" si="17"/>
        <v/>
      </c>
      <c r="P262" s="173" t="str">
        <f>IFERROR(1-SUMIF(WTG_BD!$F:$F,$A262,WTG_BD!$AA:$AA)/($AA262+SUMIF(WTG_BD!$F:$F,$A262,WTG_BD!$AA:$AA)),"")</f>
        <v/>
      </c>
      <c r="Q262" s="173" t="str">
        <f>IFERROR(1-SUMIF(IGA_BD!$F:$F,$A262,IGA_BD!$X:$X)/($AA262+SUMIF(IGA_BD!$F:$F,$A262,IGA_BD!$X:$X)),"")</f>
        <v/>
      </c>
      <c r="R262" s="173" t="str">
        <f>IFERROR(1-SUMIF(Grid_BD!$F:$F,$A262,Grid_BD!$Y:$Y)/($AA262+SUMIF(Grid_BD!$F:$F,$A262,Grid_BD!$Y:$Y)),"")</f>
        <v/>
      </c>
      <c r="S262" s="167"/>
      <c r="T262" s="172"/>
      <c r="U262" s="173"/>
      <c r="V262" s="167"/>
      <c r="W262" s="174" t="str">
        <f t="shared" si="18"/>
        <v/>
      </c>
      <c r="X262" s="167" t="str">
        <f>IFERROR(_xlfn.XLOOKUP($A262,Input_Raw!$A:$A,Input_Raw!$BF:$BF),"")</f>
        <v/>
      </c>
      <c r="Y262" s="167" t="str">
        <f>IFERROR(_xlfn.XLOOKUP($A262,Input_Raw!$A:$A,Input_Raw!BJ:BJ),"")</f>
        <v/>
      </c>
      <c r="Z262" s="167" t="str">
        <f>IFERROR(_xlfn.XLOOKUP($A262,Input_Raw!$A:$A,Input_Raw!BK:BK),"")</f>
        <v/>
      </c>
      <c r="AA262" s="167" t="str">
        <f>IFERROR(_xlfn.XLOOKUP($A262,Input_Raw!$A:$A,Input_Raw!BL:BL),"")</f>
        <v/>
      </c>
      <c r="AB262" s="167" t="str">
        <f>IFERROR(_xlfn.XLOOKUP($A262,Input_Raw!$A:$A,Input_Raw!$BO:$BO),"")</f>
        <v/>
      </c>
      <c r="AC262" s="176">
        <f>IFERROR(_xlfn.XLOOKUP($D262,'Modelling New'!$D:$D,'Modelling New'!$J:$J),"")</f>
        <v>6.95</v>
      </c>
      <c r="AD262" s="166">
        <f>IFERROR(_xlfn.XLOOKUP($D262,'Modelling New'!$D:$D,'Modelling New'!$T:$T)*1000,"")</f>
        <v>574435.4233300495</v>
      </c>
      <c r="AE262" s="174"/>
      <c r="AF262" s="174">
        <f>IFERROR(_xlfn.XLOOKUP($D262,'Modelling New'!$D:$D,'Modelling New'!$W:$W),"")</f>
        <v>0.34095169950738929</v>
      </c>
      <c r="AG262" s="174">
        <f>IFERROR(_xlfn.XLOOKUP($D262,'Modelling New'!$D:$D,'Modelling New'!$AE:$AE),"")</f>
        <v>0.96029999999999993</v>
      </c>
      <c r="AH262" s="174">
        <f>IFERROR(_xlfn.XLOOKUP($D262,'Modelling New'!$D:$D,'Modelling New'!$AF:$AF),"")</f>
        <v>0.995</v>
      </c>
      <c r="AI262" s="177" t="str">
        <f>IFERROR(_xlfn.XLOOKUP($A262,Input_Raw!$A:$A,Input_Raw!$BQ:$BQ),"")</f>
        <v/>
      </c>
      <c r="AJ262" s="167"/>
      <c r="AK262" s="167"/>
      <c r="AL262" s="167"/>
      <c r="AM262" s="167"/>
      <c r="AN262" s="175" t="str">
        <f>IFERROR(_xlfn.XLOOKUP($A262,Input_Raw!$A:$A,Input_Raw!$BN:$BN),"")</f>
        <v/>
      </c>
      <c r="AO262" s="174" t="str">
        <f>IFERROR((_xlfn.XLOOKUP($A262,'WTG Reactive Power'!$A:$A,'WTG Reactive Power'!$AE:$AE))/Table13[[#This Row],[Gen_Exp (kWh)]],"")</f>
        <v/>
      </c>
      <c r="AP262" s="174">
        <f>IFERROR(_xlfn.XLOOKUP($D262,'Modelling New'!$D:$D,'Modelling New'!$AK:$AK),"")</f>
        <v>0.05</v>
      </c>
      <c r="AQ262" s="174">
        <f>IFERROR(_xlfn.XLOOKUP($D262,'Modelling New'!$D:$D,'Modelling New'!$AL:$AL),"")</f>
        <v>0.05</v>
      </c>
      <c r="AR262" s="276">
        <f>IFERROR(_xlfn.XLOOKUP($D262,'Modelling New'!$D:$D,'Modelling New'!$N:$N),"")</f>
        <v>70.2</v>
      </c>
      <c r="AS262" s="276"/>
    </row>
    <row r="263" spans="1:45">
      <c r="A263" s="165">
        <f t="shared" si="19"/>
        <v>46006</v>
      </c>
      <c r="B263" s="166">
        <f>YEAR(Table13[[#This Row],[Date]])+IF(MONTH(Table13[[#This Row],[Date]])&gt;=4,1,0)</f>
        <v>2026</v>
      </c>
      <c r="C263" s="167">
        <f>YEAR(Table13[[#This Row],[Date]])</f>
        <v>2025</v>
      </c>
      <c r="D263" s="168">
        <f>Table13[[#This Row],[Date]]-DAY(Table13[[#This Row],[Date]])+1</f>
        <v>45992</v>
      </c>
      <c r="E263" s="167">
        <f t="shared" si="16"/>
        <v>31</v>
      </c>
      <c r="F263" s="169"/>
      <c r="G263" s="176"/>
      <c r="H263" s="176"/>
      <c r="I263" s="176"/>
      <c r="J263" s="176"/>
      <c r="K263" s="171"/>
      <c r="L263" s="170"/>
      <c r="M263" s="170" t="str">
        <f>IFERROR(_xlfn.XLOOKUP($A263,Input_Raw!$A:$A,Input_Raw!BG:BG),"")</f>
        <v/>
      </c>
      <c r="N263" s="170" t="str">
        <f>IFERROR(_xlfn.XLOOKUP($A263,Input_Raw!$A:$A,Input_Raw!BH:BH),"")</f>
        <v/>
      </c>
      <c r="O263" s="173" t="str">
        <f t="shared" si="17"/>
        <v/>
      </c>
      <c r="P263" s="173" t="str">
        <f>IFERROR(1-SUMIF(WTG_BD!$F:$F,$A263,WTG_BD!$AA:$AA)/($AA263+SUMIF(WTG_BD!$F:$F,$A263,WTG_BD!$AA:$AA)),"")</f>
        <v/>
      </c>
      <c r="Q263" s="173" t="str">
        <f>IFERROR(1-SUMIF(IGA_BD!$F:$F,$A263,IGA_BD!$X:$X)/($AA263+SUMIF(IGA_BD!$F:$F,$A263,IGA_BD!$X:$X)),"")</f>
        <v/>
      </c>
      <c r="R263" s="173" t="str">
        <f>IFERROR(1-SUMIF(Grid_BD!$F:$F,$A263,Grid_BD!$Y:$Y)/($AA263+SUMIF(Grid_BD!$F:$F,$A263,Grid_BD!$Y:$Y)),"")</f>
        <v/>
      </c>
      <c r="S263" s="167"/>
      <c r="T263" s="172"/>
      <c r="U263" s="173"/>
      <c r="V263" s="167"/>
      <c r="W263" s="174" t="str">
        <f t="shared" si="18"/>
        <v/>
      </c>
      <c r="X263" s="167" t="str">
        <f>IFERROR(_xlfn.XLOOKUP($A263,Input_Raw!$A:$A,Input_Raw!$BF:$BF),"")</f>
        <v/>
      </c>
      <c r="Y263" s="167" t="str">
        <f>IFERROR(_xlfn.XLOOKUP($A263,Input_Raw!$A:$A,Input_Raw!BJ:BJ),"")</f>
        <v/>
      </c>
      <c r="Z263" s="167" t="str">
        <f>IFERROR(_xlfn.XLOOKUP($A263,Input_Raw!$A:$A,Input_Raw!BK:BK),"")</f>
        <v/>
      </c>
      <c r="AA263" s="167" t="str">
        <f>IFERROR(_xlfn.XLOOKUP($A263,Input_Raw!$A:$A,Input_Raw!BL:BL),"")</f>
        <v/>
      </c>
      <c r="AB263" s="167" t="str">
        <f>IFERROR(_xlfn.XLOOKUP($A263,Input_Raw!$A:$A,Input_Raw!$BO:$BO),"")</f>
        <v/>
      </c>
      <c r="AC263" s="176">
        <f>IFERROR(_xlfn.XLOOKUP($D263,'Modelling New'!$D:$D,'Modelling New'!$J:$J),"")</f>
        <v>6.95</v>
      </c>
      <c r="AD263" s="166">
        <f>IFERROR(_xlfn.XLOOKUP($D263,'Modelling New'!$D:$D,'Modelling New'!$T:$T)*1000,"")</f>
        <v>574435.4233300495</v>
      </c>
      <c r="AE263" s="174"/>
      <c r="AF263" s="174">
        <f>IFERROR(_xlfn.XLOOKUP($D263,'Modelling New'!$D:$D,'Modelling New'!$W:$W),"")</f>
        <v>0.34095169950738929</v>
      </c>
      <c r="AG263" s="174">
        <f>IFERROR(_xlfn.XLOOKUP($D263,'Modelling New'!$D:$D,'Modelling New'!$AE:$AE),"")</f>
        <v>0.96029999999999993</v>
      </c>
      <c r="AH263" s="174">
        <f>IFERROR(_xlfn.XLOOKUP($D263,'Modelling New'!$D:$D,'Modelling New'!$AF:$AF),"")</f>
        <v>0.995</v>
      </c>
      <c r="AI263" s="177" t="str">
        <f>IFERROR(_xlfn.XLOOKUP($A263,Input_Raw!$A:$A,Input_Raw!$BQ:$BQ),"")</f>
        <v/>
      </c>
      <c r="AJ263" s="167"/>
      <c r="AK263" s="167"/>
      <c r="AL263" s="167"/>
      <c r="AM263" s="167"/>
      <c r="AN263" s="175" t="str">
        <f>IFERROR(_xlfn.XLOOKUP($A263,Input_Raw!$A:$A,Input_Raw!$BN:$BN),"")</f>
        <v/>
      </c>
      <c r="AO263" s="174" t="str">
        <f>IFERROR((_xlfn.XLOOKUP($A263,'WTG Reactive Power'!$A:$A,'WTG Reactive Power'!$AE:$AE))/Table13[[#This Row],[Gen_Exp (kWh)]],"")</f>
        <v/>
      </c>
      <c r="AP263" s="174">
        <f>IFERROR(_xlfn.XLOOKUP($D263,'Modelling New'!$D:$D,'Modelling New'!$AK:$AK),"")</f>
        <v>0.05</v>
      </c>
      <c r="AQ263" s="174">
        <f>IFERROR(_xlfn.XLOOKUP($D263,'Modelling New'!$D:$D,'Modelling New'!$AL:$AL),"")</f>
        <v>0.05</v>
      </c>
      <c r="AR263" s="276">
        <f>IFERROR(_xlfn.XLOOKUP($D263,'Modelling New'!$D:$D,'Modelling New'!$N:$N),"")</f>
        <v>70.2</v>
      </c>
      <c r="AS263" s="276"/>
    </row>
    <row r="264" spans="1:45">
      <c r="A264" s="165">
        <f t="shared" si="19"/>
        <v>46007</v>
      </c>
      <c r="B264" s="166">
        <f>YEAR(Table13[[#This Row],[Date]])+IF(MONTH(Table13[[#This Row],[Date]])&gt;=4,1,0)</f>
        <v>2026</v>
      </c>
      <c r="C264" s="167">
        <f>YEAR(Table13[[#This Row],[Date]])</f>
        <v>2025</v>
      </c>
      <c r="D264" s="168">
        <f>Table13[[#This Row],[Date]]-DAY(Table13[[#This Row],[Date]])+1</f>
        <v>45992</v>
      </c>
      <c r="E264" s="167">
        <f t="shared" si="16"/>
        <v>31</v>
      </c>
      <c r="F264" s="169"/>
      <c r="G264" s="170"/>
      <c r="H264" s="170"/>
      <c r="I264" s="170"/>
      <c r="J264" s="170"/>
      <c r="K264" s="171"/>
      <c r="L264" s="170"/>
      <c r="M264" s="170" t="str">
        <f>IFERROR(_xlfn.XLOOKUP($A264,Input_Raw!$A:$A,Input_Raw!BG:BG),"")</f>
        <v/>
      </c>
      <c r="N264" s="170" t="str">
        <f>IFERROR(_xlfn.XLOOKUP($A264,Input_Raw!$A:$A,Input_Raw!BH:BH),"")</f>
        <v/>
      </c>
      <c r="O264" s="173" t="str">
        <f t="shared" si="17"/>
        <v/>
      </c>
      <c r="P264" s="173" t="str">
        <f>IFERROR(1-SUMIF(WTG_BD!$F:$F,$A264,WTG_BD!$AA:$AA)/($AA264+SUMIF(WTG_BD!$F:$F,$A264,WTG_BD!$AA:$AA)),"")</f>
        <v/>
      </c>
      <c r="Q264" s="173" t="str">
        <f>IFERROR(1-SUMIF(IGA_BD!$F:$F,$A264,IGA_BD!$X:$X)/($AA264+SUMIF(IGA_BD!$F:$F,$A264,IGA_BD!$X:$X)),"")</f>
        <v/>
      </c>
      <c r="R264" s="173" t="str">
        <f>IFERROR(1-SUMIF(Grid_BD!$F:$F,$A264,Grid_BD!$Y:$Y)/($AA264+SUMIF(Grid_BD!$F:$F,$A264,Grid_BD!$Y:$Y)),"")</f>
        <v/>
      </c>
      <c r="S264" s="167"/>
      <c r="T264" s="172"/>
      <c r="U264" s="173"/>
      <c r="V264" s="167"/>
      <c r="W264" s="174" t="str">
        <f t="shared" si="18"/>
        <v/>
      </c>
      <c r="X264" s="167" t="str">
        <f>IFERROR(_xlfn.XLOOKUP($A264,Input_Raw!$A:$A,Input_Raw!$BF:$BF),"")</f>
        <v/>
      </c>
      <c r="Y264" s="167" t="str">
        <f>IFERROR(_xlfn.XLOOKUP($A264,Input_Raw!$A:$A,Input_Raw!BJ:BJ),"")</f>
        <v/>
      </c>
      <c r="Z264" s="167" t="str">
        <f>IFERROR(_xlfn.XLOOKUP($A264,Input_Raw!$A:$A,Input_Raw!BK:BK),"")</f>
        <v/>
      </c>
      <c r="AA264" s="167" t="str">
        <f>IFERROR(_xlfn.XLOOKUP($A264,Input_Raw!$A:$A,Input_Raw!BL:BL),"")</f>
        <v/>
      </c>
      <c r="AB264" s="167" t="str">
        <f>IFERROR(_xlfn.XLOOKUP($A264,Input_Raw!$A:$A,Input_Raw!$BO:$BO),"")</f>
        <v/>
      </c>
      <c r="AC264" s="176">
        <f>IFERROR(_xlfn.XLOOKUP($D264,'Modelling New'!$D:$D,'Modelling New'!$J:$J),"")</f>
        <v>6.95</v>
      </c>
      <c r="AD264" s="166">
        <f>IFERROR(_xlfn.XLOOKUP($D264,'Modelling New'!$D:$D,'Modelling New'!$T:$T)*1000,"")</f>
        <v>574435.4233300495</v>
      </c>
      <c r="AE264" s="174"/>
      <c r="AF264" s="174">
        <f>IFERROR(_xlfn.XLOOKUP($D264,'Modelling New'!$D:$D,'Modelling New'!$W:$W),"")</f>
        <v>0.34095169950738929</v>
      </c>
      <c r="AG264" s="174">
        <f>IFERROR(_xlfn.XLOOKUP($D264,'Modelling New'!$D:$D,'Modelling New'!$AE:$AE),"")</f>
        <v>0.96029999999999993</v>
      </c>
      <c r="AH264" s="174">
        <f>IFERROR(_xlfn.XLOOKUP($D264,'Modelling New'!$D:$D,'Modelling New'!$AF:$AF),"")</f>
        <v>0.995</v>
      </c>
      <c r="AI264" s="177" t="str">
        <f>IFERROR(_xlfn.XLOOKUP($A264,Input_Raw!$A:$A,Input_Raw!$BQ:$BQ),"")</f>
        <v/>
      </c>
      <c r="AJ264" s="167"/>
      <c r="AK264" s="167"/>
      <c r="AL264" s="167"/>
      <c r="AM264" s="167"/>
      <c r="AN264" s="175" t="str">
        <f>IFERROR(_xlfn.XLOOKUP($A264,Input_Raw!$A:$A,Input_Raw!$BN:$BN),"")</f>
        <v/>
      </c>
      <c r="AO264" s="174" t="str">
        <f>IFERROR((_xlfn.XLOOKUP($A264,'WTG Reactive Power'!$A:$A,'WTG Reactive Power'!$AE:$AE))/Table13[[#This Row],[Gen_Exp (kWh)]],"")</f>
        <v/>
      </c>
      <c r="AP264" s="174">
        <f>IFERROR(_xlfn.XLOOKUP($D264,'Modelling New'!$D:$D,'Modelling New'!$AK:$AK),"")</f>
        <v>0.05</v>
      </c>
      <c r="AQ264" s="174">
        <f>IFERROR(_xlfn.XLOOKUP($D264,'Modelling New'!$D:$D,'Modelling New'!$AL:$AL),"")</f>
        <v>0.05</v>
      </c>
      <c r="AR264" s="276">
        <f>IFERROR(_xlfn.XLOOKUP($D264,'Modelling New'!$D:$D,'Modelling New'!$N:$N),"")</f>
        <v>70.2</v>
      </c>
      <c r="AS264" s="276"/>
    </row>
    <row r="265" spans="1:45">
      <c r="A265" s="165">
        <f t="shared" si="19"/>
        <v>46008</v>
      </c>
      <c r="B265" s="166">
        <f>YEAR(Table13[[#This Row],[Date]])+IF(MONTH(Table13[[#This Row],[Date]])&gt;=4,1,0)</f>
        <v>2026</v>
      </c>
      <c r="C265" s="167">
        <f>YEAR(Table13[[#This Row],[Date]])</f>
        <v>2025</v>
      </c>
      <c r="D265" s="168">
        <f>Table13[[#This Row],[Date]]-DAY(Table13[[#This Row],[Date]])+1</f>
        <v>45992</v>
      </c>
      <c r="E265" s="167">
        <f t="shared" si="16"/>
        <v>31</v>
      </c>
      <c r="F265" s="169"/>
      <c r="G265" s="176"/>
      <c r="H265" s="176"/>
      <c r="I265" s="176"/>
      <c r="J265" s="176"/>
      <c r="K265" s="171"/>
      <c r="L265" s="170"/>
      <c r="M265" s="170" t="str">
        <f>IFERROR(_xlfn.XLOOKUP($A265,Input_Raw!$A:$A,Input_Raw!BG:BG),"")</f>
        <v/>
      </c>
      <c r="N265" s="170" t="str">
        <f>IFERROR(_xlfn.XLOOKUP($A265,Input_Raw!$A:$A,Input_Raw!BH:BH),"")</f>
        <v/>
      </c>
      <c r="O265" s="173" t="str">
        <f t="shared" si="17"/>
        <v/>
      </c>
      <c r="P265" s="173" t="str">
        <f>IFERROR(1-SUMIF(WTG_BD!$F:$F,$A265,WTG_BD!$AA:$AA)/($AA265+SUMIF(WTG_BD!$F:$F,$A265,WTG_BD!$AA:$AA)),"")</f>
        <v/>
      </c>
      <c r="Q265" s="173" t="str">
        <f>IFERROR(1-SUMIF(IGA_BD!$F:$F,$A265,IGA_BD!$X:$X)/($AA265+SUMIF(IGA_BD!$F:$F,$A265,IGA_BD!$X:$X)),"")</f>
        <v/>
      </c>
      <c r="R265" s="173" t="str">
        <f>IFERROR(1-SUMIF(Grid_BD!$F:$F,$A265,Grid_BD!$Y:$Y)/($AA265+SUMIF(Grid_BD!$F:$F,$A265,Grid_BD!$Y:$Y)),"")</f>
        <v/>
      </c>
      <c r="S265" s="167"/>
      <c r="T265" s="172"/>
      <c r="U265" s="173"/>
      <c r="V265" s="167"/>
      <c r="W265" s="174" t="str">
        <f t="shared" si="18"/>
        <v/>
      </c>
      <c r="X265" s="167" t="str">
        <f>IFERROR(_xlfn.XLOOKUP($A265,Input_Raw!$A:$A,Input_Raw!$BF:$BF),"")</f>
        <v/>
      </c>
      <c r="Y265" s="167" t="str">
        <f>IFERROR(_xlfn.XLOOKUP($A265,Input_Raw!$A:$A,Input_Raw!BJ:BJ),"")</f>
        <v/>
      </c>
      <c r="Z265" s="167" t="str">
        <f>IFERROR(_xlfn.XLOOKUP($A265,Input_Raw!$A:$A,Input_Raw!BK:BK),"")</f>
        <v/>
      </c>
      <c r="AA265" s="167" t="str">
        <f>IFERROR(_xlfn.XLOOKUP($A265,Input_Raw!$A:$A,Input_Raw!BL:BL),"")</f>
        <v/>
      </c>
      <c r="AB265" s="167" t="str">
        <f>IFERROR(_xlfn.XLOOKUP($A265,Input_Raw!$A:$A,Input_Raw!$BO:$BO),"")</f>
        <v/>
      </c>
      <c r="AC265" s="176">
        <f>IFERROR(_xlfn.XLOOKUP($D265,'Modelling New'!$D:$D,'Modelling New'!$J:$J),"")</f>
        <v>6.95</v>
      </c>
      <c r="AD265" s="166">
        <f>IFERROR(_xlfn.XLOOKUP($D265,'Modelling New'!$D:$D,'Modelling New'!$T:$T)*1000,"")</f>
        <v>574435.4233300495</v>
      </c>
      <c r="AE265" s="174"/>
      <c r="AF265" s="174">
        <f>IFERROR(_xlfn.XLOOKUP($D265,'Modelling New'!$D:$D,'Modelling New'!$W:$W),"")</f>
        <v>0.34095169950738929</v>
      </c>
      <c r="AG265" s="174">
        <f>IFERROR(_xlfn.XLOOKUP($D265,'Modelling New'!$D:$D,'Modelling New'!$AE:$AE),"")</f>
        <v>0.96029999999999993</v>
      </c>
      <c r="AH265" s="174">
        <f>IFERROR(_xlfn.XLOOKUP($D265,'Modelling New'!$D:$D,'Modelling New'!$AF:$AF),"")</f>
        <v>0.995</v>
      </c>
      <c r="AI265" s="177" t="str">
        <f>IFERROR(_xlfn.XLOOKUP($A265,Input_Raw!$A:$A,Input_Raw!$BQ:$BQ),"")</f>
        <v/>
      </c>
      <c r="AJ265" s="167"/>
      <c r="AK265" s="167"/>
      <c r="AL265" s="167"/>
      <c r="AM265" s="167"/>
      <c r="AN265" s="175" t="str">
        <f>IFERROR(_xlfn.XLOOKUP($A265,Input_Raw!$A:$A,Input_Raw!$BN:$BN),"")</f>
        <v/>
      </c>
      <c r="AO265" s="174" t="str">
        <f>IFERROR((_xlfn.XLOOKUP($A265,'WTG Reactive Power'!$A:$A,'WTG Reactive Power'!$AE:$AE))/Table13[[#This Row],[Gen_Exp (kWh)]],"")</f>
        <v/>
      </c>
      <c r="AP265" s="174">
        <f>IFERROR(_xlfn.XLOOKUP($D265,'Modelling New'!$D:$D,'Modelling New'!$AK:$AK),"")</f>
        <v>0.05</v>
      </c>
      <c r="AQ265" s="174">
        <f>IFERROR(_xlfn.XLOOKUP($D265,'Modelling New'!$D:$D,'Modelling New'!$AL:$AL),"")</f>
        <v>0.05</v>
      </c>
      <c r="AR265" s="276">
        <f>IFERROR(_xlfn.XLOOKUP($D265,'Modelling New'!$D:$D,'Modelling New'!$N:$N),"")</f>
        <v>70.2</v>
      </c>
      <c r="AS265" s="276"/>
    </row>
    <row r="266" spans="1:45">
      <c r="A266" s="165">
        <f t="shared" si="19"/>
        <v>46009</v>
      </c>
      <c r="B266" s="166">
        <f>YEAR(Table13[[#This Row],[Date]])+IF(MONTH(Table13[[#This Row],[Date]])&gt;=4,1,0)</f>
        <v>2026</v>
      </c>
      <c r="C266" s="167">
        <f>YEAR(Table13[[#This Row],[Date]])</f>
        <v>2025</v>
      </c>
      <c r="D266" s="168">
        <f>Table13[[#This Row],[Date]]-DAY(Table13[[#This Row],[Date]])+1</f>
        <v>45992</v>
      </c>
      <c r="E266" s="167">
        <f t="shared" si="16"/>
        <v>31</v>
      </c>
      <c r="F266" s="169"/>
      <c r="G266" s="170"/>
      <c r="H266" s="170"/>
      <c r="I266" s="170"/>
      <c r="J266" s="170"/>
      <c r="K266" s="171"/>
      <c r="L266" s="170"/>
      <c r="M266" s="170" t="str">
        <f>IFERROR(_xlfn.XLOOKUP($A266,Input_Raw!$A:$A,Input_Raw!BG:BG),"")</f>
        <v/>
      </c>
      <c r="N266" s="170" t="str">
        <f>IFERROR(_xlfn.XLOOKUP($A266,Input_Raw!$A:$A,Input_Raw!BH:BH),"")</f>
        <v/>
      </c>
      <c r="O266" s="173" t="str">
        <f t="shared" si="17"/>
        <v/>
      </c>
      <c r="P266" s="173" t="str">
        <f>IFERROR(1-SUMIF(WTG_BD!$F:$F,$A266,WTG_BD!$AA:$AA)/($AA266+SUMIF(WTG_BD!$F:$F,$A266,WTG_BD!$AA:$AA)),"")</f>
        <v/>
      </c>
      <c r="Q266" s="173" t="str">
        <f>IFERROR(1-SUMIF(IGA_BD!$F:$F,$A266,IGA_BD!$X:$X)/($AA266+SUMIF(IGA_BD!$F:$F,$A266,IGA_BD!$X:$X)),"")</f>
        <v/>
      </c>
      <c r="R266" s="173" t="str">
        <f>IFERROR(1-SUMIF(Grid_BD!$F:$F,$A266,Grid_BD!$Y:$Y)/($AA266+SUMIF(Grid_BD!$F:$F,$A266,Grid_BD!$Y:$Y)),"")</f>
        <v/>
      </c>
      <c r="S266" s="167"/>
      <c r="T266" s="172"/>
      <c r="U266" s="173"/>
      <c r="V266" s="167"/>
      <c r="W266" s="174" t="str">
        <f t="shared" si="18"/>
        <v/>
      </c>
      <c r="X266" s="167" t="str">
        <f>IFERROR(_xlfn.XLOOKUP($A266,Input_Raw!$A:$A,Input_Raw!$BF:$BF),"")</f>
        <v/>
      </c>
      <c r="Y266" s="167" t="str">
        <f>IFERROR(_xlfn.XLOOKUP($A266,Input_Raw!$A:$A,Input_Raw!BJ:BJ),"")</f>
        <v/>
      </c>
      <c r="Z266" s="167" t="str">
        <f>IFERROR(_xlfn.XLOOKUP($A266,Input_Raw!$A:$A,Input_Raw!BK:BK),"")</f>
        <v/>
      </c>
      <c r="AA266" s="167" t="str">
        <f>IFERROR(_xlfn.XLOOKUP($A266,Input_Raw!$A:$A,Input_Raw!BL:BL),"")</f>
        <v/>
      </c>
      <c r="AB266" s="167" t="str">
        <f>IFERROR(_xlfn.XLOOKUP($A266,Input_Raw!$A:$A,Input_Raw!$BO:$BO),"")</f>
        <v/>
      </c>
      <c r="AC266" s="176">
        <f>IFERROR(_xlfn.XLOOKUP($D266,'Modelling New'!$D:$D,'Modelling New'!$J:$J),"")</f>
        <v>6.95</v>
      </c>
      <c r="AD266" s="166">
        <f>IFERROR(_xlfn.XLOOKUP($D266,'Modelling New'!$D:$D,'Modelling New'!$T:$T)*1000,"")</f>
        <v>574435.4233300495</v>
      </c>
      <c r="AE266" s="174"/>
      <c r="AF266" s="174">
        <f>IFERROR(_xlfn.XLOOKUP($D266,'Modelling New'!$D:$D,'Modelling New'!$W:$W),"")</f>
        <v>0.34095169950738929</v>
      </c>
      <c r="AG266" s="174">
        <f>IFERROR(_xlfn.XLOOKUP($D266,'Modelling New'!$D:$D,'Modelling New'!$AE:$AE),"")</f>
        <v>0.96029999999999993</v>
      </c>
      <c r="AH266" s="174">
        <f>IFERROR(_xlfn.XLOOKUP($D266,'Modelling New'!$D:$D,'Modelling New'!$AF:$AF),"")</f>
        <v>0.995</v>
      </c>
      <c r="AI266" s="177" t="str">
        <f>IFERROR(_xlfn.XLOOKUP($A266,Input_Raw!$A:$A,Input_Raw!$BQ:$BQ),"")</f>
        <v/>
      </c>
      <c r="AJ266" s="167"/>
      <c r="AK266" s="167"/>
      <c r="AL266" s="167"/>
      <c r="AM266" s="167"/>
      <c r="AN266" s="175" t="str">
        <f>IFERROR(_xlfn.XLOOKUP($A266,Input_Raw!$A:$A,Input_Raw!$BN:$BN),"")</f>
        <v/>
      </c>
      <c r="AO266" s="174" t="str">
        <f>IFERROR((_xlfn.XLOOKUP($A266,'WTG Reactive Power'!$A:$A,'WTG Reactive Power'!$AE:$AE))/Table13[[#This Row],[Gen_Exp (kWh)]],"")</f>
        <v/>
      </c>
      <c r="AP266" s="174">
        <f>IFERROR(_xlfn.XLOOKUP($D266,'Modelling New'!$D:$D,'Modelling New'!$AK:$AK),"")</f>
        <v>0.05</v>
      </c>
      <c r="AQ266" s="174">
        <f>IFERROR(_xlfn.XLOOKUP($D266,'Modelling New'!$D:$D,'Modelling New'!$AL:$AL),"")</f>
        <v>0.05</v>
      </c>
      <c r="AR266" s="276">
        <f>IFERROR(_xlfn.XLOOKUP($D266,'Modelling New'!$D:$D,'Modelling New'!$N:$N),"")</f>
        <v>70.2</v>
      </c>
      <c r="AS266" s="276"/>
    </row>
    <row r="267" spans="1:45">
      <c r="A267" s="165">
        <f t="shared" si="19"/>
        <v>46010</v>
      </c>
      <c r="B267" s="166">
        <f>YEAR(Table13[[#This Row],[Date]])+IF(MONTH(Table13[[#This Row],[Date]])&gt;=4,1,0)</f>
        <v>2026</v>
      </c>
      <c r="C267" s="167">
        <f>YEAR(Table13[[#This Row],[Date]])</f>
        <v>2025</v>
      </c>
      <c r="D267" s="168">
        <f>Table13[[#This Row],[Date]]-DAY(Table13[[#This Row],[Date]])+1</f>
        <v>45992</v>
      </c>
      <c r="E267" s="167">
        <f t="shared" si="16"/>
        <v>31</v>
      </c>
      <c r="F267" s="169"/>
      <c r="G267" s="176"/>
      <c r="H267" s="176"/>
      <c r="I267" s="176"/>
      <c r="J267" s="176"/>
      <c r="K267" s="171"/>
      <c r="L267" s="170"/>
      <c r="M267" s="170" t="str">
        <f>IFERROR(_xlfn.XLOOKUP($A267,Input_Raw!$A:$A,Input_Raw!BG:BG),"")</f>
        <v/>
      </c>
      <c r="N267" s="170" t="str">
        <f>IFERROR(_xlfn.XLOOKUP($A267,Input_Raw!$A:$A,Input_Raw!BH:BH),"")</f>
        <v/>
      </c>
      <c r="O267" s="173" t="str">
        <f t="shared" si="17"/>
        <v/>
      </c>
      <c r="P267" s="173" t="str">
        <f>IFERROR(1-SUMIF(WTG_BD!$F:$F,$A267,WTG_BD!$AA:$AA)/($AA267+SUMIF(WTG_BD!$F:$F,$A267,WTG_BD!$AA:$AA)),"")</f>
        <v/>
      </c>
      <c r="Q267" s="173" t="str">
        <f>IFERROR(1-SUMIF(IGA_BD!$F:$F,$A267,IGA_BD!$X:$X)/($AA267+SUMIF(IGA_BD!$F:$F,$A267,IGA_BD!$X:$X)),"")</f>
        <v/>
      </c>
      <c r="R267" s="173" t="str">
        <f>IFERROR(1-SUMIF(Grid_BD!$F:$F,$A267,Grid_BD!$Y:$Y)/($AA267+SUMIF(Grid_BD!$F:$F,$A267,Grid_BD!$Y:$Y)),"")</f>
        <v/>
      </c>
      <c r="S267" s="167"/>
      <c r="T267" s="172"/>
      <c r="U267" s="173"/>
      <c r="V267" s="167"/>
      <c r="W267" s="174" t="str">
        <f t="shared" si="18"/>
        <v/>
      </c>
      <c r="X267" s="167" t="str">
        <f>IFERROR(_xlfn.XLOOKUP($A267,Input_Raw!$A:$A,Input_Raw!$BF:$BF),"")</f>
        <v/>
      </c>
      <c r="Y267" s="167" t="str">
        <f>IFERROR(_xlfn.XLOOKUP($A267,Input_Raw!$A:$A,Input_Raw!BJ:BJ),"")</f>
        <v/>
      </c>
      <c r="Z267" s="167" t="str">
        <f>IFERROR(_xlfn.XLOOKUP($A267,Input_Raw!$A:$A,Input_Raw!BK:BK),"")</f>
        <v/>
      </c>
      <c r="AA267" s="167" t="str">
        <f>IFERROR(_xlfn.XLOOKUP($A267,Input_Raw!$A:$A,Input_Raw!BL:BL),"")</f>
        <v/>
      </c>
      <c r="AB267" s="167" t="str">
        <f>IFERROR(_xlfn.XLOOKUP($A267,Input_Raw!$A:$A,Input_Raw!$BO:$BO),"")</f>
        <v/>
      </c>
      <c r="AC267" s="176">
        <f>IFERROR(_xlfn.XLOOKUP($D267,'Modelling New'!$D:$D,'Modelling New'!$J:$J),"")</f>
        <v>6.95</v>
      </c>
      <c r="AD267" s="166">
        <f>IFERROR(_xlfn.XLOOKUP($D267,'Modelling New'!$D:$D,'Modelling New'!$T:$T)*1000,"")</f>
        <v>574435.4233300495</v>
      </c>
      <c r="AE267" s="174"/>
      <c r="AF267" s="174">
        <f>IFERROR(_xlfn.XLOOKUP($D267,'Modelling New'!$D:$D,'Modelling New'!$W:$W),"")</f>
        <v>0.34095169950738929</v>
      </c>
      <c r="AG267" s="174">
        <f>IFERROR(_xlfn.XLOOKUP($D267,'Modelling New'!$D:$D,'Modelling New'!$AE:$AE),"")</f>
        <v>0.96029999999999993</v>
      </c>
      <c r="AH267" s="174">
        <f>IFERROR(_xlfn.XLOOKUP($D267,'Modelling New'!$D:$D,'Modelling New'!$AF:$AF),"")</f>
        <v>0.995</v>
      </c>
      <c r="AI267" s="177" t="str">
        <f>IFERROR(_xlfn.XLOOKUP($A267,Input_Raw!$A:$A,Input_Raw!$BQ:$BQ),"")</f>
        <v/>
      </c>
      <c r="AJ267" s="167"/>
      <c r="AK267" s="167"/>
      <c r="AL267" s="167"/>
      <c r="AM267" s="167"/>
      <c r="AN267" s="175" t="str">
        <f>IFERROR(_xlfn.XLOOKUP($A267,Input_Raw!$A:$A,Input_Raw!$BN:$BN),"")</f>
        <v/>
      </c>
      <c r="AO267" s="174" t="str">
        <f>IFERROR((_xlfn.XLOOKUP($A267,'WTG Reactive Power'!$A:$A,'WTG Reactive Power'!$AE:$AE))/Table13[[#This Row],[Gen_Exp (kWh)]],"")</f>
        <v/>
      </c>
      <c r="AP267" s="174">
        <f>IFERROR(_xlfn.XLOOKUP($D267,'Modelling New'!$D:$D,'Modelling New'!$AK:$AK),"")</f>
        <v>0.05</v>
      </c>
      <c r="AQ267" s="174">
        <f>IFERROR(_xlfn.XLOOKUP($D267,'Modelling New'!$D:$D,'Modelling New'!$AL:$AL),"")</f>
        <v>0.05</v>
      </c>
      <c r="AR267" s="276">
        <f>IFERROR(_xlfn.XLOOKUP($D267,'Modelling New'!$D:$D,'Modelling New'!$N:$N),"")</f>
        <v>70.2</v>
      </c>
      <c r="AS267" s="276"/>
    </row>
    <row r="268" spans="1:45">
      <c r="A268" s="165">
        <f t="shared" si="19"/>
        <v>46011</v>
      </c>
      <c r="B268" s="166">
        <f>YEAR(Table13[[#This Row],[Date]])+IF(MONTH(Table13[[#This Row],[Date]])&gt;=4,1,0)</f>
        <v>2026</v>
      </c>
      <c r="C268" s="167">
        <f>YEAR(Table13[[#This Row],[Date]])</f>
        <v>2025</v>
      </c>
      <c r="D268" s="168">
        <f>Table13[[#This Row],[Date]]-DAY(Table13[[#This Row],[Date]])+1</f>
        <v>45992</v>
      </c>
      <c r="E268" s="167">
        <f t="shared" si="16"/>
        <v>31</v>
      </c>
      <c r="F268" s="169"/>
      <c r="G268" s="170"/>
      <c r="H268" s="170"/>
      <c r="I268" s="170"/>
      <c r="J268" s="170"/>
      <c r="K268" s="171"/>
      <c r="L268" s="170"/>
      <c r="M268" s="170" t="str">
        <f>IFERROR(_xlfn.XLOOKUP($A268,Input_Raw!$A:$A,Input_Raw!BG:BG),"")</f>
        <v/>
      </c>
      <c r="N268" s="170" t="str">
        <f>IFERROR(_xlfn.XLOOKUP($A268,Input_Raw!$A:$A,Input_Raw!BH:BH),"")</f>
        <v/>
      </c>
      <c r="O268" s="173" t="str">
        <f t="shared" si="17"/>
        <v/>
      </c>
      <c r="P268" s="173" t="str">
        <f>IFERROR(1-SUMIF(WTG_BD!$F:$F,$A268,WTG_BD!$AA:$AA)/($AA268+SUMIF(WTG_BD!$F:$F,$A268,WTG_BD!$AA:$AA)),"")</f>
        <v/>
      </c>
      <c r="Q268" s="173" t="str">
        <f>IFERROR(1-SUMIF(IGA_BD!$F:$F,$A268,IGA_BD!$X:$X)/($AA268+SUMIF(IGA_BD!$F:$F,$A268,IGA_BD!$X:$X)),"")</f>
        <v/>
      </c>
      <c r="R268" s="173" t="str">
        <f>IFERROR(1-SUMIF(Grid_BD!$F:$F,$A268,Grid_BD!$Y:$Y)/($AA268+SUMIF(Grid_BD!$F:$F,$A268,Grid_BD!$Y:$Y)),"")</f>
        <v/>
      </c>
      <c r="S268" s="167"/>
      <c r="T268" s="172"/>
      <c r="U268" s="173"/>
      <c r="V268" s="167"/>
      <c r="W268" s="174" t="str">
        <f t="shared" si="18"/>
        <v/>
      </c>
      <c r="X268" s="167" t="str">
        <f>IFERROR(_xlfn.XLOOKUP($A268,Input_Raw!$A:$A,Input_Raw!$BF:$BF),"")</f>
        <v/>
      </c>
      <c r="Y268" s="167" t="str">
        <f>IFERROR(_xlfn.XLOOKUP($A268,Input_Raw!$A:$A,Input_Raw!BJ:BJ),"")</f>
        <v/>
      </c>
      <c r="Z268" s="167" t="str">
        <f>IFERROR(_xlfn.XLOOKUP($A268,Input_Raw!$A:$A,Input_Raw!BK:BK),"")</f>
        <v/>
      </c>
      <c r="AA268" s="167" t="str">
        <f>IFERROR(_xlfn.XLOOKUP($A268,Input_Raw!$A:$A,Input_Raw!BL:BL),"")</f>
        <v/>
      </c>
      <c r="AB268" s="167" t="str">
        <f>IFERROR(_xlfn.XLOOKUP($A268,Input_Raw!$A:$A,Input_Raw!$BO:$BO),"")</f>
        <v/>
      </c>
      <c r="AC268" s="176">
        <f>IFERROR(_xlfn.XLOOKUP($D268,'Modelling New'!$D:$D,'Modelling New'!$J:$J),"")</f>
        <v>6.95</v>
      </c>
      <c r="AD268" s="166">
        <f>IFERROR(_xlfn.XLOOKUP($D268,'Modelling New'!$D:$D,'Modelling New'!$T:$T)*1000,"")</f>
        <v>574435.4233300495</v>
      </c>
      <c r="AE268" s="174"/>
      <c r="AF268" s="174">
        <f>IFERROR(_xlfn.XLOOKUP($D268,'Modelling New'!$D:$D,'Modelling New'!$W:$W),"")</f>
        <v>0.34095169950738929</v>
      </c>
      <c r="AG268" s="174">
        <f>IFERROR(_xlfn.XLOOKUP($D268,'Modelling New'!$D:$D,'Modelling New'!$AE:$AE),"")</f>
        <v>0.96029999999999993</v>
      </c>
      <c r="AH268" s="174">
        <f>IFERROR(_xlfn.XLOOKUP($D268,'Modelling New'!$D:$D,'Modelling New'!$AF:$AF),"")</f>
        <v>0.995</v>
      </c>
      <c r="AI268" s="177" t="str">
        <f>IFERROR(_xlfn.XLOOKUP($A268,Input_Raw!$A:$A,Input_Raw!$BQ:$BQ),"")</f>
        <v/>
      </c>
      <c r="AJ268" s="167"/>
      <c r="AK268" s="167"/>
      <c r="AL268" s="167"/>
      <c r="AM268" s="167"/>
      <c r="AN268" s="175" t="str">
        <f>IFERROR(_xlfn.XLOOKUP($A268,Input_Raw!$A:$A,Input_Raw!$BN:$BN),"")</f>
        <v/>
      </c>
      <c r="AO268" s="174" t="str">
        <f>IFERROR((_xlfn.XLOOKUP($A268,'WTG Reactive Power'!$A:$A,'WTG Reactive Power'!$AE:$AE))/Table13[[#This Row],[Gen_Exp (kWh)]],"")</f>
        <v/>
      </c>
      <c r="AP268" s="174">
        <f>IFERROR(_xlfn.XLOOKUP($D268,'Modelling New'!$D:$D,'Modelling New'!$AK:$AK),"")</f>
        <v>0.05</v>
      </c>
      <c r="AQ268" s="174">
        <f>IFERROR(_xlfn.XLOOKUP($D268,'Modelling New'!$D:$D,'Modelling New'!$AL:$AL),"")</f>
        <v>0.05</v>
      </c>
      <c r="AR268" s="276">
        <f>IFERROR(_xlfn.XLOOKUP($D268,'Modelling New'!$D:$D,'Modelling New'!$N:$N),"")</f>
        <v>70.2</v>
      </c>
      <c r="AS268" s="276"/>
    </row>
    <row r="269" spans="1:45">
      <c r="A269" s="165">
        <f t="shared" si="19"/>
        <v>46012</v>
      </c>
      <c r="B269" s="166">
        <f>YEAR(Table13[[#This Row],[Date]])+IF(MONTH(Table13[[#This Row],[Date]])&gt;=4,1,0)</f>
        <v>2026</v>
      </c>
      <c r="C269" s="167">
        <f>YEAR(Table13[[#This Row],[Date]])</f>
        <v>2025</v>
      </c>
      <c r="D269" s="168">
        <f>Table13[[#This Row],[Date]]-DAY(Table13[[#This Row],[Date]])+1</f>
        <v>45992</v>
      </c>
      <c r="E269" s="167">
        <f t="shared" si="16"/>
        <v>31</v>
      </c>
      <c r="F269" s="169"/>
      <c r="G269" s="176"/>
      <c r="H269" s="176"/>
      <c r="I269" s="176"/>
      <c r="J269" s="176"/>
      <c r="K269" s="171"/>
      <c r="L269" s="170"/>
      <c r="M269" s="170" t="str">
        <f>IFERROR(_xlfn.XLOOKUP($A269,Input_Raw!$A:$A,Input_Raw!BG:BG),"")</f>
        <v/>
      </c>
      <c r="N269" s="170" t="str">
        <f>IFERROR(_xlfn.XLOOKUP($A269,Input_Raw!$A:$A,Input_Raw!BH:BH),"")</f>
        <v/>
      </c>
      <c r="O269" s="173" t="str">
        <f t="shared" si="17"/>
        <v/>
      </c>
      <c r="P269" s="173" t="str">
        <f>IFERROR(1-SUMIF(WTG_BD!$F:$F,$A269,WTG_BD!$AA:$AA)/($AA269+SUMIF(WTG_BD!$F:$F,$A269,WTG_BD!$AA:$AA)),"")</f>
        <v/>
      </c>
      <c r="Q269" s="173" t="str">
        <f>IFERROR(1-SUMIF(IGA_BD!$F:$F,$A269,IGA_BD!$X:$X)/($AA269+SUMIF(IGA_BD!$F:$F,$A269,IGA_BD!$X:$X)),"")</f>
        <v/>
      </c>
      <c r="R269" s="173" t="str">
        <f>IFERROR(1-SUMIF(Grid_BD!$F:$F,$A269,Grid_BD!$Y:$Y)/($AA269+SUMIF(Grid_BD!$F:$F,$A269,Grid_BD!$Y:$Y)),"")</f>
        <v/>
      </c>
      <c r="S269" s="167"/>
      <c r="T269" s="172"/>
      <c r="U269" s="173"/>
      <c r="V269" s="167"/>
      <c r="W269" s="174" t="str">
        <f t="shared" si="18"/>
        <v/>
      </c>
      <c r="X269" s="167" t="str">
        <f>IFERROR(_xlfn.XLOOKUP($A269,Input_Raw!$A:$A,Input_Raw!$BF:$BF),"")</f>
        <v/>
      </c>
      <c r="Y269" s="167" t="str">
        <f>IFERROR(_xlfn.XLOOKUP($A269,Input_Raw!$A:$A,Input_Raw!BJ:BJ),"")</f>
        <v/>
      </c>
      <c r="Z269" s="167" t="str">
        <f>IFERROR(_xlfn.XLOOKUP($A269,Input_Raw!$A:$A,Input_Raw!BK:BK),"")</f>
        <v/>
      </c>
      <c r="AA269" s="167" t="str">
        <f>IFERROR(_xlfn.XLOOKUP($A269,Input_Raw!$A:$A,Input_Raw!BL:BL),"")</f>
        <v/>
      </c>
      <c r="AB269" s="167" t="str">
        <f>IFERROR(_xlfn.XLOOKUP($A269,Input_Raw!$A:$A,Input_Raw!$BO:$BO),"")</f>
        <v/>
      </c>
      <c r="AC269" s="176">
        <f>IFERROR(_xlfn.XLOOKUP($D269,'Modelling New'!$D:$D,'Modelling New'!$J:$J),"")</f>
        <v>6.95</v>
      </c>
      <c r="AD269" s="166">
        <f>IFERROR(_xlfn.XLOOKUP($D269,'Modelling New'!$D:$D,'Modelling New'!$T:$T)*1000,"")</f>
        <v>574435.4233300495</v>
      </c>
      <c r="AE269" s="174"/>
      <c r="AF269" s="174">
        <f>IFERROR(_xlfn.XLOOKUP($D269,'Modelling New'!$D:$D,'Modelling New'!$W:$W),"")</f>
        <v>0.34095169950738929</v>
      </c>
      <c r="AG269" s="174">
        <f>IFERROR(_xlfn.XLOOKUP($D269,'Modelling New'!$D:$D,'Modelling New'!$AE:$AE),"")</f>
        <v>0.96029999999999993</v>
      </c>
      <c r="AH269" s="174">
        <f>IFERROR(_xlfn.XLOOKUP($D269,'Modelling New'!$D:$D,'Modelling New'!$AF:$AF),"")</f>
        <v>0.995</v>
      </c>
      <c r="AI269" s="177" t="str">
        <f>IFERROR(_xlfn.XLOOKUP($A269,Input_Raw!$A:$A,Input_Raw!$BQ:$BQ),"")</f>
        <v/>
      </c>
      <c r="AJ269" s="167"/>
      <c r="AK269" s="167"/>
      <c r="AL269" s="167"/>
      <c r="AM269" s="167"/>
      <c r="AN269" s="175" t="str">
        <f>IFERROR(_xlfn.XLOOKUP($A269,Input_Raw!$A:$A,Input_Raw!$BN:$BN),"")</f>
        <v/>
      </c>
      <c r="AO269" s="174" t="str">
        <f>IFERROR((_xlfn.XLOOKUP($A269,'WTG Reactive Power'!$A:$A,'WTG Reactive Power'!$AE:$AE))/Table13[[#This Row],[Gen_Exp (kWh)]],"")</f>
        <v/>
      </c>
      <c r="AP269" s="174">
        <f>IFERROR(_xlfn.XLOOKUP($D269,'Modelling New'!$D:$D,'Modelling New'!$AK:$AK),"")</f>
        <v>0.05</v>
      </c>
      <c r="AQ269" s="174">
        <f>IFERROR(_xlfn.XLOOKUP($D269,'Modelling New'!$D:$D,'Modelling New'!$AL:$AL),"")</f>
        <v>0.05</v>
      </c>
      <c r="AR269" s="276">
        <f>IFERROR(_xlfn.XLOOKUP($D269,'Modelling New'!$D:$D,'Modelling New'!$N:$N),"")</f>
        <v>70.2</v>
      </c>
      <c r="AS269" s="276"/>
    </row>
    <row r="270" spans="1:45">
      <c r="A270" s="165">
        <f t="shared" si="19"/>
        <v>46013</v>
      </c>
      <c r="B270" s="166">
        <f>YEAR(Table13[[#This Row],[Date]])+IF(MONTH(Table13[[#This Row],[Date]])&gt;=4,1,0)</f>
        <v>2026</v>
      </c>
      <c r="C270" s="167">
        <f>YEAR(Table13[[#This Row],[Date]])</f>
        <v>2025</v>
      </c>
      <c r="D270" s="168">
        <f>Table13[[#This Row],[Date]]-DAY(Table13[[#This Row],[Date]])+1</f>
        <v>45992</v>
      </c>
      <c r="E270" s="167">
        <f t="shared" si="16"/>
        <v>31</v>
      </c>
      <c r="F270" s="169"/>
      <c r="G270" s="170"/>
      <c r="H270" s="170"/>
      <c r="I270" s="170"/>
      <c r="J270" s="170"/>
      <c r="K270" s="171"/>
      <c r="L270" s="170"/>
      <c r="M270" s="170" t="str">
        <f>IFERROR(_xlfn.XLOOKUP($A270,Input_Raw!$A:$A,Input_Raw!BG:BG),"")</f>
        <v/>
      </c>
      <c r="N270" s="170" t="str">
        <f>IFERROR(_xlfn.XLOOKUP($A270,Input_Raw!$A:$A,Input_Raw!BH:BH),"")</f>
        <v/>
      </c>
      <c r="O270" s="173" t="str">
        <f t="shared" si="17"/>
        <v/>
      </c>
      <c r="P270" s="173" t="str">
        <f>IFERROR(1-SUMIF(WTG_BD!$F:$F,$A270,WTG_BD!$AA:$AA)/($AA270+SUMIF(WTG_BD!$F:$F,$A270,WTG_BD!$AA:$AA)),"")</f>
        <v/>
      </c>
      <c r="Q270" s="173" t="str">
        <f>IFERROR(1-SUMIF(IGA_BD!$F:$F,$A270,IGA_BD!$X:$X)/($AA270+SUMIF(IGA_BD!$F:$F,$A270,IGA_BD!$X:$X)),"")</f>
        <v/>
      </c>
      <c r="R270" s="173" t="str">
        <f>IFERROR(1-SUMIF(Grid_BD!$F:$F,$A270,Grid_BD!$Y:$Y)/($AA270+SUMIF(Grid_BD!$F:$F,$A270,Grid_BD!$Y:$Y)),"")</f>
        <v/>
      </c>
      <c r="S270" s="167"/>
      <c r="T270" s="172"/>
      <c r="U270" s="173"/>
      <c r="V270" s="167"/>
      <c r="W270" s="174" t="str">
        <f t="shared" si="18"/>
        <v/>
      </c>
      <c r="X270" s="167" t="str">
        <f>IFERROR(_xlfn.XLOOKUP($A270,Input_Raw!$A:$A,Input_Raw!$BF:$BF),"")</f>
        <v/>
      </c>
      <c r="Y270" s="167" t="str">
        <f>IFERROR(_xlfn.XLOOKUP($A270,Input_Raw!$A:$A,Input_Raw!BJ:BJ),"")</f>
        <v/>
      </c>
      <c r="Z270" s="167" t="str">
        <f>IFERROR(_xlfn.XLOOKUP($A270,Input_Raw!$A:$A,Input_Raw!BK:BK),"")</f>
        <v/>
      </c>
      <c r="AA270" s="167" t="str">
        <f>IFERROR(_xlfn.XLOOKUP($A270,Input_Raw!$A:$A,Input_Raw!BL:BL),"")</f>
        <v/>
      </c>
      <c r="AB270" s="167" t="str">
        <f>IFERROR(_xlfn.XLOOKUP($A270,Input_Raw!$A:$A,Input_Raw!$BO:$BO),"")</f>
        <v/>
      </c>
      <c r="AC270" s="176">
        <f>IFERROR(_xlfn.XLOOKUP($D270,'Modelling New'!$D:$D,'Modelling New'!$J:$J),"")</f>
        <v>6.95</v>
      </c>
      <c r="AD270" s="166">
        <f>IFERROR(_xlfn.XLOOKUP($D270,'Modelling New'!$D:$D,'Modelling New'!$T:$T)*1000,"")</f>
        <v>574435.4233300495</v>
      </c>
      <c r="AE270" s="174"/>
      <c r="AF270" s="174">
        <f>IFERROR(_xlfn.XLOOKUP($D270,'Modelling New'!$D:$D,'Modelling New'!$W:$W),"")</f>
        <v>0.34095169950738929</v>
      </c>
      <c r="AG270" s="174">
        <f>IFERROR(_xlfn.XLOOKUP($D270,'Modelling New'!$D:$D,'Modelling New'!$AE:$AE),"")</f>
        <v>0.96029999999999993</v>
      </c>
      <c r="AH270" s="174">
        <f>IFERROR(_xlfn.XLOOKUP($D270,'Modelling New'!$D:$D,'Modelling New'!$AF:$AF),"")</f>
        <v>0.995</v>
      </c>
      <c r="AI270" s="177" t="str">
        <f>IFERROR(_xlfn.XLOOKUP($A270,Input_Raw!$A:$A,Input_Raw!$BQ:$BQ),"")</f>
        <v/>
      </c>
      <c r="AJ270" s="167"/>
      <c r="AK270" s="167"/>
      <c r="AL270" s="167"/>
      <c r="AM270" s="167"/>
      <c r="AN270" s="175" t="str">
        <f>IFERROR(_xlfn.XLOOKUP($A270,Input_Raw!$A:$A,Input_Raw!$BN:$BN),"")</f>
        <v/>
      </c>
      <c r="AO270" s="174" t="str">
        <f>IFERROR((_xlfn.XLOOKUP($A270,'WTG Reactive Power'!$A:$A,'WTG Reactive Power'!$AE:$AE))/Table13[[#This Row],[Gen_Exp (kWh)]],"")</f>
        <v/>
      </c>
      <c r="AP270" s="174">
        <f>IFERROR(_xlfn.XLOOKUP($D270,'Modelling New'!$D:$D,'Modelling New'!$AK:$AK),"")</f>
        <v>0.05</v>
      </c>
      <c r="AQ270" s="174">
        <f>IFERROR(_xlfn.XLOOKUP($D270,'Modelling New'!$D:$D,'Modelling New'!$AL:$AL),"")</f>
        <v>0.05</v>
      </c>
      <c r="AR270" s="276">
        <f>IFERROR(_xlfn.XLOOKUP($D270,'Modelling New'!$D:$D,'Modelling New'!$N:$N),"")</f>
        <v>70.2</v>
      </c>
      <c r="AS270" s="276"/>
    </row>
    <row r="271" spans="1:45">
      <c r="A271" s="165">
        <f t="shared" si="19"/>
        <v>46014</v>
      </c>
      <c r="B271" s="166">
        <f>YEAR(Table13[[#This Row],[Date]])+IF(MONTH(Table13[[#This Row],[Date]])&gt;=4,1,0)</f>
        <v>2026</v>
      </c>
      <c r="C271" s="167">
        <f>YEAR(Table13[[#This Row],[Date]])</f>
        <v>2025</v>
      </c>
      <c r="D271" s="168">
        <f>Table13[[#This Row],[Date]]-DAY(Table13[[#This Row],[Date]])+1</f>
        <v>45992</v>
      </c>
      <c r="E271" s="167">
        <f t="shared" si="16"/>
        <v>31</v>
      </c>
      <c r="F271" s="169"/>
      <c r="G271" s="176"/>
      <c r="H271" s="176"/>
      <c r="I271" s="176"/>
      <c r="J271" s="176"/>
      <c r="K271" s="171"/>
      <c r="L271" s="170"/>
      <c r="M271" s="170" t="str">
        <f>IFERROR(_xlfn.XLOOKUP($A271,Input_Raw!$A:$A,Input_Raw!BG:BG),"")</f>
        <v/>
      </c>
      <c r="N271" s="170" t="str">
        <f>IFERROR(_xlfn.XLOOKUP($A271,Input_Raw!$A:$A,Input_Raw!BH:BH),"")</f>
        <v/>
      </c>
      <c r="O271" s="173" t="str">
        <f t="shared" si="17"/>
        <v/>
      </c>
      <c r="P271" s="173" t="str">
        <f>IFERROR(1-SUMIF(WTG_BD!$F:$F,$A271,WTG_BD!$AA:$AA)/($AA271+SUMIF(WTG_BD!$F:$F,$A271,WTG_BD!$AA:$AA)),"")</f>
        <v/>
      </c>
      <c r="Q271" s="173" t="str">
        <f>IFERROR(1-SUMIF(IGA_BD!$F:$F,$A271,IGA_BD!$X:$X)/($AA271+SUMIF(IGA_BD!$F:$F,$A271,IGA_BD!$X:$X)),"")</f>
        <v/>
      </c>
      <c r="R271" s="173" t="str">
        <f>IFERROR(1-SUMIF(Grid_BD!$F:$F,$A271,Grid_BD!$Y:$Y)/($AA271+SUMIF(Grid_BD!$F:$F,$A271,Grid_BD!$Y:$Y)),"")</f>
        <v/>
      </c>
      <c r="S271" s="167"/>
      <c r="T271" s="172"/>
      <c r="U271" s="173"/>
      <c r="V271" s="167"/>
      <c r="W271" s="174" t="str">
        <f t="shared" si="18"/>
        <v/>
      </c>
      <c r="X271" s="167" t="str">
        <f>IFERROR(_xlfn.XLOOKUP($A271,Input_Raw!$A:$A,Input_Raw!$BF:$BF),"")</f>
        <v/>
      </c>
      <c r="Y271" s="167" t="str">
        <f>IFERROR(_xlfn.XLOOKUP($A271,Input_Raw!$A:$A,Input_Raw!BJ:BJ),"")</f>
        <v/>
      </c>
      <c r="Z271" s="167" t="str">
        <f>IFERROR(_xlfn.XLOOKUP($A271,Input_Raw!$A:$A,Input_Raw!BK:BK),"")</f>
        <v/>
      </c>
      <c r="AA271" s="167" t="str">
        <f>IFERROR(_xlfn.XLOOKUP($A271,Input_Raw!$A:$A,Input_Raw!BL:BL),"")</f>
        <v/>
      </c>
      <c r="AB271" s="167" t="str">
        <f>IFERROR(_xlfn.XLOOKUP($A271,Input_Raw!$A:$A,Input_Raw!$BO:$BO),"")</f>
        <v/>
      </c>
      <c r="AC271" s="176">
        <f>IFERROR(_xlfn.XLOOKUP($D271,'Modelling New'!$D:$D,'Modelling New'!$J:$J),"")</f>
        <v>6.95</v>
      </c>
      <c r="AD271" s="166">
        <f>IFERROR(_xlfn.XLOOKUP($D271,'Modelling New'!$D:$D,'Modelling New'!$T:$T)*1000,"")</f>
        <v>574435.4233300495</v>
      </c>
      <c r="AE271" s="174"/>
      <c r="AF271" s="174">
        <f>IFERROR(_xlfn.XLOOKUP($D271,'Modelling New'!$D:$D,'Modelling New'!$W:$W),"")</f>
        <v>0.34095169950738929</v>
      </c>
      <c r="AG271" s="174">
        <f>IFERROR(_xlfn.XLOOKUP($D271,'Modelling New'!$D:$D,'Modelling New'!$AE:$AE),"")</f>
        <v>0.96029999999999993</v>
      </c>
      <c r="AH271" s="174">
        <f>IFERROR(_xlfn.XLOOKUP($D271,'Modelling New'!$D:$D,'Modelling New'!$AF:$AF),"")</f>
        <v>0.995</v>
      </c>
      <c r="AI271" s="177" t="str">
        <f>IFERROR(_xlfn.XLOOKUP($A271,Input_Raw!$A:$A,Input_Raw!$BQ:$BQ),"")</f>
        <v/>
      </c>
      <c r="AJ271" s="167"/>
      <c r="AK271" s="167"/>
      <c r="AL271" s="167"/>
      <c r="AM271" s="167"/>
      <c r="AN271" s="175" t="str">
        <f>IFERROR(_xlfn.XLOOKUP($A271,Input_Raw!$A:$A,Input_Raw!$BN:$BN),"")</f>
        <v/>
      </c>
      <c r="AO271" s="174" t="str">
        <f>IFERROR((_xlfn.XLOOKUP($A271,'WTG Reactive Power'!$A:$A,'WTG Reactive Power'!$AE:$AE))/Table13[[#This Row],[Gen_Exp (kWh)]],"")</f>
        <v/>
      </c>
      <c r="AP271" s="174">
        <f>IFERROR(_xlfn.XLOOKUP($D271,'Modelling New'!$D:$D,'Modelling New'!$AK:$AK),"")</f>
        <v>0.05</v>
      </c>
      <c r="AQ271" s="174">
        <f>IFERROR(_xlfn.XLOOKUP($D271,'Modelling New'!$D:$D,'Modelling New'!$AL:$AL),"")</f>
        <v>0.05</v>
      </c>
      <c r="AR271" s="276">
        <f>IFERROR(_xlfn.XLOOKUP($D271,'Modelling New'!$D:$D,'Modelling New'!$N:$N),"")</f>
        <v>70.2</v>
      </c>
      <c r="AS271" s="276"/>
    </row>
    <row r="272" spans="1:45">
      <c r="A272" s="165">
        <f t="shared" si="19"/>
        <v>46015</v>
      </c>
      <c r="B272" s="166">
        <f>YEAR(Table13[[#This Row],[Date]])+IF(MONTH(Table13[[#This Row],[Date]])&gt;=4,1,0)</f>
        <v>2026</v>
      </c>
      <c r="C272" s="167">
        <f>YEAR(Table13[[#This Row],[Date]])</f>
        <v>2025</v>
      </c>
      <c r="D272" s="168">
        <f>Table13[[#This Row],[Date]]-DAY(Table13[[#This Row],[Date]])+1</f>
        <v>45992</v>
      </c>
      <c r="E272" s="167">
        <f t="shared" si="16"/>
        <v>31</v>
      </c>
      <c r="F272" s="169"/>
      <c r="G272" s="170"/>
      <c r="H272" s="170"/>
      <c r="I272" s="170"/>
      <c r="J272" s="170"/>
      <c r="K272" s="171"/>
      <c r="L272" s="170"/>
      <c r="M272" s="170" t="str">
        <f>IFERROR(_xlfn.XLOOKUP($A272,Input_Raw!$A:$A,Input_Raw!BG:BG),"")</f>
        <v/>
      </c>
      <c r="N272" s="170" t="str">
        <f>IFERROR(_xlfn.XLOOKUP($A272,Input_Raw!$A:$A,Input_Raw!BH:BH),"")</f>
        <v/>
      </c>
      <c r="O272" s="173" t="str">
        <f t="shared" si="17"/>
        <v/>
      </c>
      <c r="P272" s="173" t="str">
        <f>IFERROR(1-SUMIF(WTG_BD!$F:$F,$A272,WTG_BD!$AA:$AA)/($AA272+SUMIF(WTG_BD!$F:$F,$A272,WTG_BD!$AA:$AA)),"")</f>
        <v/>
      </c>
      <c r="Q272" s="173" t="str">
        <f>IFERROR(1-SUMIF(IGA_BD!$F:$F,$A272,IGA_BD!$X:$X)/($AA272+SUMIF(IGA_BD!$F:$F,$A272,IGA_BD!$X:$X)),"")</f>
        <v/>
      </c>
      <c r="R272" s="173" t="str">
        <f>IFERROR(1-SUMIF(Grid_BD!$F:$F,$A272,Grid_BD!$Y:$Y)/($AA272+SUMIF(Grid_BD!$F:$F,$A272,Grid_BD!$Y:$Y)),"")</f>
        <v/>
      </c>
      <c r="S272" s="167"/>
      <c r="T272" s="172"/>
      <c r="U272" s="173"/>
      <c r="V272" s="167"/>
      <c r="W272" s="174" t="str">
        <f t="shared" si="18"/>
        <v/>
      </c>
      <c r="X272" s="167" t="str">
        <f>IFERROR(_xlfn.XLOOKUP($A272,Input_Raw!$A:$A,Input_Raw!$BF:$BF),"")</f>
        <v/>
      </c>
      <c r="Y272" s="167" t="str">
        <f>IFERROR(_xlfn.XLOOKUP($A272,Input_Raw!$A:$A,Input_Raw!BJ:BJ),"")</f>
        <v/>
      </c>
      <c r="Z272" s="167" t="str">
        <f>IFERROR(_xlfn.XLOOKUP($A272,Input_Raw!$A:$A,Input_Raw!BK:BK),"")</f>
        <v/>
      </c>
      <c r="AA272" s="167" t="str">
        <f>IFERROR(_xlfn.XLOOKUP($A272,Input_Raw!$A:$A,Input_Raw!BL:BL),"")</f>
        <v/>
      </c>
      <c r="AB272" s="167" t="str">
        <f>IFERROR(_xlfn.XLOOKUP($A272,Input_Raw!$A:$A,Input_Raw!$BO:$BO),"")</f>
        <v/>
      </c>
      <c r="AC272" s="176">
        <f>IFERROR(_xlfn.XLOOKUP($D272,'Modelling New'!$D:$D,'Modelling New'!$J:$J),"")</f>
        <v>6.95</v>
      </c>
      <c r="AD272" s="166">
        <f>IFERROR(_xlfn.XLOOKUP($D272,'Modelling New'!$D:$D,'Modelling New'!$T:$T)*1000,"")</f>
        <v>574435.4233300495</v>
      </c>
      <c r="AE272" s="174"/>
      <c r="AF272" s="174">
        <f>IFERROR(_xlfn.XLOOKUP($D272,'Modelling New'!$D:$D,'Modelling New'!$W:$W),"")</f>
        <v>0.34095169950738929</v>
      </c>
      <c r="AG272" s="174">
        <f>IFERROR(_xlfn.XLOOKUP($D272,'Modelling New'!$D:$D,'Modelling New'!$AE:$AE),"")</f>
        <v>0.96029999999999993</v>
      </c>
      <c r="AH272" s="174">
        <f>IFERROR(_xlfn.XLOOKUP($D272,'Modelling New'!$D:$D,'Modelling New'!$AF:$AF),"")</f>
        <v>0.995</v>
      </c>
      <c r="AI272" s="177" t="str">
        <f>IFERROR(_xlfn.XLOOKUP($A272,Input_Raw!$A:$A,Input_Raw!$BQ:$BQ),"")</f>
        <v/>
      </c>
      <c r="AJ272" s="167"/>
      <c r="AK272" s="167"/>
      <c r="AL272" s="167"/>
      <c r="AM272" s="167"/>
      <c r="AN272" s="175" t="str">
        <f>IFERROR(_xlfn.XLOOKUP($A272,Input_Raw!$A:$A,Input_Raw!$BN:$BN),"")</f>
        <v/>
      </c>
      <c r="AO272" s="174" t="str">
        <f>IFERROR((_xlfn.XLOOKUP($A272,'WTG Reactive Power'!$A:$A,'WTG Reactive Power'!$AE:$AE))/Table13[[#This Row],[Gen_Exp (kWh)]],"")</f>
        <v/>
      </c>
      <c r="AP272" s="174">
        <f>IFERROR(_xlfn.XLOOKUP($D272,'Modelling New'!$D:$D,'Modelling New'!$AK:$AK),"")</f>
        <v>0.05</v>
      </c>
      <c r="AQ272" s="174">
        <f>IFERROR(_xlfn.XLOOKUP($D272,'Modelling New'!$D:$D,'Modelling New'!$AL:$AL),"")</f>
        <v>0.05</v>
      </c>
      <c r="AR272" s="276">
        <f>IFERROR(_xlfn.XLOOKUP($D272,'Modelling New'!$D:$D,'Modelling New'!$N:$N),"")</f>
        <v>70.2</v>
      </c>
      <c r="AS272" s="276"/>
    </row>
    <row r="273" spans="1:45">
      <c r="A273" s="165">
        <f t="shared" si="19"/>
        <v>46016</v>
      </c>
      <c r="B273" s="166">
        <f>YEAR(Table13[[#This Row],[Date]])+IF(MONTH(Table13[[#This Row],[Date]])&gt;=4,1,0)</f>
        <v>2026</v>
      </c>
      <c r="C273" s="167">
        <f>YEAR(Table13[[#This Row],[Date]])</f>
        <v>2025</v>
      </c>
      <c r="D273" s="168">
        <f>Table13[[#This Row],[Date]]-DAY(Table13[[#This Row],[Date]])+1</f>
        <v>45992</v>
      </c>
      <c r="E273" s="167">
        <f t="shared" si="16"/>
        <v>31</v>
      </c>
      <c r="F273" s="169"/>
      <c r="G273" s="176"/>
      <c r="H273" s="176"/>
      <c r="I273" s="176"/>
      <c r="J273" s="176"/>
      <c r="K273" s="171"/>
      <c r="L273" s="170"/>
      <c r="M273" s="170" t="str">
        <f>IFERROR(_xlfn.XLOOKUP($A273,Input_Raw!$A:$A,Input_Raw!BG:BG),"")</f>
        <v/>
      </c>
      <c r="N273" s="170" t="str">
        <f>IFERROR(_xlfn.XLOOKUP($A273,Input_Raw!$A:$A,Input_Raw!BH:BH),"")</f>
        <v/>
      </c>
      <c r="O273" s="173" t="str">
        <f t="shared" si="17"/>
        <v/>
      </c>
      <c r="P273" s="173" t="str">
        <f>IFERROR(1-SUMIF(WTG_BD!$F:$F,$A273,WTG_BD!$AA:$AA)/($AA273+SUMIF(WTG_BD!$F:$F,$A273,WTG_BD!$AA:$AA)),"")</f>
        <v/>
      </c>
      <c r="Q273" s="173" t="str">
        <f>IFERROR(1-SUMIF(IGA_BD!$F:$F,$A273,IGA_BD!$X:$X)/($AA273+SUMIF(IGA_BD!$F:$F,$A273,IGA_BD!$X:$X)),"")</f>
        <v/>
      </c>
      <c r="R273" s="173" t="str">
        <f>IFERROR(1-SUMIF(Grid_BD!$F:$F,$A273,Grid_BD!$Y:$Y)/($AA273+SUMIF(Grid_BD!$F:$F,$A273,Grid_BD!$Y:$Y)),"")</f>
        <v/>
      </c>
      <c r="S273" s="167"/>
      <c r="T273" s="172"/>
      <c r="U273" s="173"/>
      <c r="V273" s="167"/>
      <c r="W273" s="174" t="str">
        <f t="shared" si="18"/>
        <v/>
      </c>
      <c r="X273" s="167" t="str">
        <f>IFERROR(_xlfn.XLOOKUP($A273,Input_Raw!$A:$A,Input_Raw!$BF:$BF),"")</f>
        <v/>
      </c>
      <c r="Y273" s="167" t="str">
        <f>IFERROR(_xlfn.XLOOKUP($A273,Input_Raw!$A:$A,Input_Raw!BJ:BJ),"")</f>
        <v/>
      </c>
      <c r="Z273" s="167" t="str">
        <f>IFERROR(_xlfn.XLOOKUP($A273,Input_Raw!$A:$A,Input_Raw!BK:BK),"")</f>
        <v/>
      </c>
      <c r="AA273" s="167" t="str">
        <f>IFERROR(_xlfn.XLOOKUP($A273,Input_Raw!$A:$A,Input_Raw!BL:BL),"")</f>
        <v/>
      </c>
      <c r="AB273" s="167" t="str">
        <f>IFERROR(_xlfn.XLOOKUP($A273,Input_Raw!$A:$A,Input_Raw!$BO:$BO),"")</f>
        <v/>
      </c>
      <c r="AC273" s="176">
        <f>IFERROR(_xlfn.XLOOKUP($D273,'Modelling New'!$D:$D,'Modelling New'!$J:$J),"")</f>
        <v>6.95</v>
      </c>
      <c r="AD273" s="166">
        <f>IFERROR(_xlfn.XLOOKUP($D273,'Modelling New'!$D:$D,'Modelling New'!$T:$T)*1000,"")</f>
        <v>574435.4233300495</v>
      </c>
      <c r="AE273" s="174"/>
      <c r="AF273" s="174">
        <f>IFERROR(_xlfn.XLOOKUP($D273,'Modelling New'!$D:$D,'Modelling New'!$W:$W),"")</f>
        <v>0.34095169950738929</v>
      </c>
      <c r="AG273" s="174">
        <f>IFERROR(_xlfn.XLOOKUP($D273,'Modelling New'!$D:$D,'Modelling New'!$AE:$AE),"")</f>
        <v>0.96029999999999993</v>
      </c>
      <c r="AH273" s="174">
        <f>IFERROR(_xlfn.XLOOKUP($D273,'Modelling New'!$D:$D,'Modelling New'!$AF:$AF),"")</f>
        <v>0.995</v>
      </c>
      <c r="AI273" s="177" t="str">
        <f>IFERROR(_xlfn.XLOOKUP($A273,Input_Raw!$A:$A,Input_Raw!$BQ:$BQ),"")</f>
        <v/>
      </c>
      <c r="AJ273" s="167"/>
      <c r="AK273" s="167"/>
      <c r="AL273" s="167"/>
      <c r="AM273" s="167"/>
      <c r="AN273" s="175" t="str">
        <f>IFERROR(_xlfn.XLOOKUP($A273,Input_Raw!$A:$A,Input_Raw!$BN:$BN),"")</f>
        <v/>
      </c>
      <c r="AO273" s="174" t="str">
        <f>IFERROR((_xlfn.XLOOKUP($A273,'WTG Reactive Power'!$A:$A,'WTG Reactive Power'!$AE:$AE))/Table13[[#This Row],[Gen_Exp (kWh)]],"")</f>
        <v/>
      </c>
      <c r="AP273" s="174">
        <f>IFERROR(_xlfn.XLOOKUP($D273,'Modelling New'!$D:$D,'Modelling New'!$AK:$AK),"")</f>
        <v>0.05</v>
      </c>
      <c r="AQ273" s="174">
        <f>IFERROR(_xlfn.XLOOKUP($D273,'Modelling New'!$D:$D,'Modelling New'!$AL:$AL),"")</f>
        <v>0.05</v>
      </c>
      <c r="AR273" s="276">
        <f>IFERROR(_xlfn.XLOOKUP($D273,'Modelling New'!$D:$D,'Modelling New'!$N:$N),"")</f>
        <v>70.2</v>
      </c>
      <c r="AS273" s="276"/>
    </row>
    <row r="274" spans="1:45">
      <c r="A274" s="165">
        <f t="shared" si="19"/>
        <v>46017</v>
      </c>
      <c r="B274" s="166">
        <f>YEAR(Table13[[#This Row],[Date]])+IF(MONTH(Table13[[#This Row],[Date]])&gt;=4,1,0)</f>
        <v>2026</v>
      </c>
      <c r="C274" s="167">
        <f>YEAR(Table13[[#This Row],[Date]])</f>
        <v>2025</v>
      </c>
      <c r="D274" s="168">
        <f>Table13[[#This Row],[Date]]-DAY(Table13[[#This Row],[Date]])+1</f>
        <v>45992</v>
      </c>
      <c r="E274" s="167">
        <f t="shared" si="16"/>
        <v>31</v>
      </c>
      <c r="F274" s="169"/>
      <c r="G274" s="170"/>
      <c r="H274" s="170"/>
      <c r="I274" s="170"/>
      <c r="J274" s="170"/>
      <c r="K274" s="171"/>
      <c r="L274" s="170"/>
      <c r="M274" s="170" t="str">
        <f>IFERROR(_xlfn.XLOOKUP($A274,Input_Raw!$A:$A,Input_Raw!BG:BG),"")</f>
        <v/>
      </c>
      <c r="N274" s="170" t="str">
        <f>IFERROR(_xlfn.XLOOKUP($A274,Input_Raw!$A:$A,Input_Raw!BH:BH),"")</f>
        <v/>
      </c>
      <c r="O274" s="173" t="str">
        <f t="shared" si="17"/>
        <v/>
      </c>
      <c r="P274" s="173" t="str">
        <f>IFERROR(1-SUMIF(WTG_BD!$F:$F,$A274,WTG_BD!$AA:$AA)/($AA274+SUMIF(WTG_BD!$F:$F,$A274,WTG_BD!$AA:$AA)),"")</f>
        <v/>
      </c>
      <c r="Q274" s="173" t="str">
        <f>IFERROR(1-SUMIF(IGA_BD!$F:$F,$A274,IGA_BD!$X:$X)/($AA274+SUMIF(IGA_BD!$F:$F,$A274,IGA_BD!$X:$X)),"")</f>
        <v/>
      </c>
      <c r="R274" s="173" t="str">
        <f>IFERROR(1-SUMIF(Grid_BD!$F:$F,$A274,Grid_BD!$Y:$Y)/($AA274+SUMIF(Grid_BD!$F:$F,$A274,Grid_BD!$Y:$Y)),"")</f>
        <v/>
      </c>
      <c r="S274" s="167"/>
      <c r="T274" s="172"/>
      <c r="U274" s="173"/>
      <c r="V274" s="167"/>
      <c r="W274" s="174" t="str">
        <f t="shared" si="18"/>
        <v/>
      </c>
      <c r="X274" s="167" t="str">
        <f>IFERROR(_xlfn.XLOOKUP($A274,Input_Raw!$A:$A,Input_Raw!$BF:$BF),"")</f>
        <v/>
      </c>
      <c r="Y274" s="167" t="str">
        <f>IFERROR(_xlfn.XLOOKUP($A274,Input_Raw!$A:$A,Input_Raw!BJ:BJ),"")</f>
        <v/>
      </c>
      <c r="Z274" s="167" t="str">
        <f>IFERROR(_xlfn.XLOOKUP($A274,Input_Raw!$A:$A,Input_Raw!BK:BK),"")</f>
        <v/>
      </c>
      <c r="AA274" s="167" t="str">
        <f>IFERROR(_xlfn.XLOOKUP($A274,Input_Raw!$A:$A,Input_Raw!BL:BL),"")</f>
        <v/>
      </c>
      <c r="AB274" s="167" t="str">
        <f>IFERROR(_xlfn.XLOOKUP($A274,Input_Raw!$A:$A,Input_Raw!$BO:$BO),"")</f>
        <v/>
      </c>
      <c r="AC274" s="176">
        <f>IFERROR(_xlfn.XLOOKUP($D274,'Modelling New'!$D:$D,'Modelling New'!$J:$J),"")</f>
        <v>6.95</v>
      </c>
      <c r="AD274" s="166">
        <f>IFERROR(_xlfn.XLOOKUP($D274,'Modelling New'!$D:$D,'Modelling New'!$T:$T)*1000,"")</f>
        <v>574435.4233300495</v>
      </c>
      <c r="AE274" s="174"/>
      <c r="AF274" s="174">
        <f>IFERROR(_xlfn.XLOOKUP($D274,'Modelling New'!$D:$D,'Modelling New'!$W:$W),"")</f>
        <v>0.34095169950738929</v>
      </c>
      <c r="AG274" s="174">
        <f>IFERROR(_xlfn.XLOOKUP($D274,'Modelling New'!$D:$D,'Modelling New'!$AE:$AE),"")</f>
        <v>0.96029999999999993</v>
      </c>
      <c r="AH274" s="174">
        <f>IFERROR(_xlfn.XLOOKUP($D274,'Modelling New'!$D:$D,'Modelling New'!$AF:$AF),"")</f>
        <v>0.995</v>
      </c>
      <c r="AI274" s="177" t="str">
        <f>IFERROR(_xlfn.XLOOKUP($A274,Input_Raw!$A:$A,Input_Raw!$BQ:$BQ),"")</f>
        <v/>
      </c>
      <c r="AJ274" s="167"/>
      <c r="AK274" s="167"/>
      <c r="AL274" s="167"/>
      <c r="AM274" s="167"/>
      <c r="AN274" s="175" t="str">
        <f>IFERROR(_xlfn.XLOOKUP($A274,Input_Raw!$A:$A,Input_Raw!$BN:$BN),"")</f>
        <v/>
      </c>
      <c r="AO274" s="174" t="str">
        <f>IFERROR((_xlfn.XLOOKUP($A274,'WTG Reactive Power'!$A:$A,'WTG Reactive Power'!$AE:$AE))/Table13[[#This Row],[Gen_Exp (kWh)]],"")</f>
        <v/>
      </c>
      <c r="AP274" s="174">
        <f>IFERROR(_xlfn.XLOOKUP($D274,'Modelling New'!$D:$D,'Modelling New'!$AK:$AK),"")</f>
        <v>0.05</v>
      </c>
      <c r="AQ274" s="174">
        <f>IFERROR(_xlfn.XLOOKUP($D274,'Modelling New'!$D:$D,'Modelling New'!$AL:$AL),"")</f>
        <v>0.05</v>
      </c>
      <c r="AR274" s="276">
        <f>IFERROR(_xlfn.XLOOKUP($D274,'Modelling New'!$D:$D,'Modelling New'!$N:$N),"")</f>
        <v>70.2</v>
      </c>
      <c r="AS274" s="276"/>
    </row>
    <row r="275" spans="1:45">
      <c r="A275" s="165">
        <f t="shared" si="19"/>
        <v>46018</v>
      </c>
      <c r="B275" s="166">
        <f>YEAR(Table13[[#This Row],[Date]])+IF(MONTH(Table13[[#This Row],[Date]])&gt;=4,1,0)</f>
        <v>2026</v>
      </c>
      <c r="C275" s="167">
        <f>YEAR(Table13[[#This Row],[Date]])</f>
        <v>2025</v>
      </c>
      <c r="D275" s="168">
        <f>Table13[[#This Row],[Date]]-DAY(Table13[[#This Row],[Date]])+1</f>
        <v>45992</v>
      </c>
      <c r="E275" s="167">
        <f t="shared" si="16"/>
        <v>31</v>
      </c>
      <c r="F275" s="169"/>
      <c r="G275" s="176"/>
      <c r="H275" s="176"/>
      <c r="I275" s="176"/>
      <c r="J275" s="176"/>
      <c r="K275" s="171"/>
      <c r="L275" s="170"/>
      <c r="M275" s="170" t="str">
        <f>IFERROR(_xlfn.XLOOKUP($A275,Input_Raw!$A:$A,Input_Raw!BG:BG),"")</f>
        <v/>
      </c>
      <c r="N275" s="170" t="str">
        <f>IFERROR(_xlfn.XLOOKUP($A275,Input_Raw!$A:$A,Input_Raw!BH:BH),"")</f>
        <v/>
      </c>
      <c r="O275" s="173" t="str">
        <f t="shared" si="17"/>
        <v/>
      </c>
      <c r="P275" s="173" t="str">
        <f>IFERROR(1-SUMIF(WTG_BD!$F:$F,$A275,WTG_BD!$AA:$AA)/($AA275+SUMIF(WTG_BD!$F:$F,$A275,WTG_BD!$AA:$AA)),"")</f>
        <v/>
      </c>
      <c r="Q275" s="173" t="str">
        <f>IFERROR(1-SUMIF(IGA_BD!$F:$F,$A275,IGA_BD!$X:$X)/($AA275+SUMIF(IGA_BD!$F:$F,$A275,IGA_BD!$X:$X)),"")</f>
        <v/>
      </c>
      <c r="R275" s="173" t="str">
        <f>IFERROR(1-SUMIF(Grid_BD!$F:$F,$A275,Grid_BD!$Y:$Y)/($AA275+SUMIF(Grid_BD!$F:$F,$A275,Grid_BD!$Y:$Y)),"")</f>
        <v/>
      </c>
      <c r="S275" s="167"/>
      <c r="T275" s="172"/>
      <c r="U275" s="173"/>
      <c r="V275" s="167"/>
      <c r="W275" s="174" t="str">
        <f t="shared" si="18"/>
        <v/>
      </c>
      <c r="X275" s="167" t="str">
        <f>IFERROR(_xlfn.XLOOKUP($A275,Input_Raw!$A:$A,Input_Raw!$BF:$BF),"")</f>
        <v/>
      </c>
      <c r="Y275" s="167" t="str">
        <f>IFERROR(_xlfn.XLOOKUP($A275,Input_Raw!$A:$A,Input_Raw!BJ:BJ),"")</f>
        <v/>
      </c>
      <c r="Z275" s="167" t="str">
        <f>IFERROR(_xlfn.XLOOKUP($A275,Input_Raw!$A:$A,Input_Raw!BK:BK),"")</f>
        <v/>
      </c>
      <c r="AA275" s="167" t="str">
        <f>IFERROR(_xlfn.XLOOKUP($A275,Input_Raw!$A:$A,Input_Raw!BL:BL),"")</f>
        <v/>
      </c>
      <c r="AB275" s="167" t="str">
        <f>IFERROR(_xlfn.XLOOKUP($A275,Input_Raw!$A:$A,Input_Raw!$BO:$BO),"")</f>
        <v/>
      </c>
      <c r="AC275" s="176">
        <f>IFERROR(_xlfn.XLOOKUP($D275,'Modelling New'!$D:$D,'Modelling New'!$J:$J),"")</f>
        <v>6.95</v>
      </c>
      <c r="AD275" s="166">
        <f>IFERROR(_xlfn.XLOOKUP($D275,'Modelling New'!$D:$D,'Modelling New'!$T:$T)*1000,"")</f>
        <v>574435.4233300495</v>
      </c>
      <c r="AE275" s="174"/>
      <c r="AF275" s="174">
        <f>IFERROR(_xlfn.XLOOKUP($D275,'Modelling New'!$D:$D,'Modelling New'!$W:$W),"")</f>
        <v>0.34095169950738929</v>
      </c>
      <c r="AG275" s="174">
        <f>IFERROR(_xlfn.XLOOKUP($D275,'Modelling New'!$D:$D,'Modelling New'!$AE:$AE),"")</f>
        <v>0.96029999999999993</v>
      </c>
      <c r="AH275" s="174">
        <f>IFERROR(_xlfn.XLOOKUP($D275,'Modelling New'!$D:$D,'Modelling New'!$AF:$AF),"")</f>
        <v>0.995</v>
      </c>
      <c r="AI275" s="177" t="str">
        <f>IFERROR(_xlfn.XLOOKUP($A275,Input_Raw!$A:$A,Input_Raw!$BQ:$BQ),"")</f>
        <v/>
      </c>
      <c r="AJ275" s="167"/>
      <c r="AK275" s="167"/>
      <c r="AL275" s="167"/>
      <c r="AM275" s="167"/>
      <c r="AN275" s="175" t="str">
        <f>IFERROR(_xlfn.XLOOKUP($A275,Input_Raw!$A:$A,Input_Raw!$BN:$BN),"")</f>
        <v/>
      </c>
      <c r="AO275" s="174" t="str">
        <f>IFERROR((_xlfn.XLOOKUP($A275,'WTG Reactive Power'!$A:$A,'WTG Reactive Power'!$AE:$AE))/Table13[[#This Row],[Gen_Exp (kWh)]],"")</f>
        <v/>
      </c>
      <c r="AP275" s="174">
        <f>IFERROR(_xlfn.XLOOKUP($D275,'Modelling New'!$D:$D,'Modelling New'!$AK:$AK),"")</f>
        <v>0.05</v>
      </c>
      <c r="AQ275" s="174">
        <f>IFERROR(_xlfn.XLOOKUP($D275,'Modelling New'!$D:$D,'Modelling New'!$AL:$AL),"")</f>
        <v>0.05</v>
      </c>
      <c r="AR275" s="276">
        <f>IFERROR(_xlfn.XLOOKUP($D275,'Modelling New'!$D:$D,'Modelling New'!$N:$N),"")</f>
        <v>70.2</v>
      </c>
      <c r="AS275" s="276"/>
    </row>
    <row r="276" spans="1:45">
      <c r="A276" s="165">
        <f t="shared" si="19"/>
        <v>46019</v>
      </c>
      <c r="B276" s="166">
        <f>YEAR(Table13[[#This Row],[Date]])+IF(MONTH(Table13[[#This Row],[Date]])&gt;=4,1,0)</f>
        <v>2026</v>
      </c>
      <c r="C276" s="167">
        <f>YEAR(Table13[[#This Row],[Date]])</f>
        <v>2025</v>
      </c>
      <c r="D276" s="168">
        <f>Table13[[#This Row],[Date]]-DAY(Table13[[#This Row],[Date]])+1</f>
        <v>45992</v>
      </c>
      <c r="E276" s="167">
        <f t="shared" si="16"/>
        <v>31</v>
      </c>
      <c r="F276" s="169"/>
      <c r="G276" s="170"/>
      <c r="H276" s="170"/>
      <c r="I276" s="170"/>
      <c r="J276" s="170"/>
      <c r="K276" s="171"/>
      <c r="L276" s="170"/>
      <c r="M276" s="170" t="str">
        <f>IFERROR(_xlfn.XLOOKUP($A276,Input_Raw!$A:$A,Input_Raw!BG:BG),"")</f>
        <v/>
      </c>
      <c r="N276" s="170" t="str">
        <f>IFERROR(_xlfn.XLOOKUP($A276,Input_Raw!$A:$A,Input_Raw!BH:BH),"")</f>
        <v/>
      </c>
      <c r="O276" s="173" t="str">
        <f t="shared" si="17"/>
        <v/>
      </c>
      <c r="P276" s="173" t="str">
        <f>IFERROR(1-SUMIF(WTG_BD!$F:$F,$A276,WTG_BD!$AA:$AA)/($AA276+SUMIF(WTG_BD!$F:$F,$A276,WTG_BD!$AA:$AA)),"")</f>
        <v/>
      </c>
      <c r="Q276" s="173" t="str">
        <f>IFERROR(1-SUMIF(IGA_BD!$F:$F,$A276,IGA_BD!$X:$X)/($AA276+SUMIF(IGA_BD!$F:$F,$A276,IGA_BD!$X:$X)),"")</f>
        <v/>
      </c>
      <c r="R276" s="173" t="str">
        <f>IFERROR(1-SUMIF(Grid_BD!$F:$F,$A276,Grid_BD!$Y:$Y)/($AA276+SUMIF(Grid_BD!$F:$F,$A276,Grid_BD!$Y:$Y)),"")</f>
        <v/>
      </c>
      <c r="S276" s="167"/>
      <c r="T276" s="172"/>
      <c r="U276" s="173"/>
      <c r="V276" s="167"/>
      <c r="W276" s="174" t="str">
        <f t="shared" si="18"/>
        <v/>
      </c>
      <c r="X276" s="167" t="str">
        <f>IFERROR(_xlfn.XLOOKUP($A276,Input_Raw!$A:$A,Input_Raw!$BF:$BF),"")</f>
        <v/>
      </c>
      <c r="Y276" s="167" t="str">
        <f>IFERROR(_xlfn.XLOOKUP($A276,Input_Raw!$A:$A,Input_Raw!BJ:BJ),"")</f>
        <v/>
      </c>
      <c r="Z276" s="167" t="str">
        <f>IFERROR(_xlfn.XLOOKUP($A276,Input_Raw!$A:$A,Input_Raw!BK:BK),"")</f>
        <v/>
      </c>
      <c r="AA276" s="167" t="str">
        <f>IFERROR(_xlfn.XLOOKUP($A276,Input_Raw!$A:$A,Input_Raw!BL:BL),"")</f>
        <v/>
      </c>
      <c r="AB276" s="167" t="str">
        <f>IFERROR(_xlfn.XLOOKUP($A276,Input_Raw!$A:$A,Input_Raw!$BO:$BO),"")</f>
        <v/>
      </c>
      <c r="AC276" s="176">
        <f>IFERROR(_xlfn.XLOOKUP($D276,'Modelling New'!$D:$D,'Modelling New'!$J:$J),"")</f>
        <v>6.95</v>
      </c>
      <c r="AD276" s="166">
        <f>IFERROR(_xlfn.XLOOKUP($D276,'Modelling New'!$D:$D,'Modelling New'!$T:$T)*1000,"")</f>
        <v>574435.4233300495</v>
      </c>
      <c r="AE276" s="174"/>
      <c r="AF276" s="174">
        <f>IFERROR(_xlfn.XLOOKUP($D276,'Modelling New'!$D:$D,'Modelling New'!$W:$W),"")</f>
        <v>0.34095169950738929</v>
      </c>
      <c r="AG276" s="174">
        <f>IFERROR(_xlfn.XLOOKUP($D276,'Modelling New'!$D:$D,'Modelling New'!$AE:$AE),"")</f>
        <v>0.96029999999999993</v>
      </c>
      <c r="AH276" s="174">
        <f>IFERROR(_xlfn.XLOOKUP($D276,'Modelling New'!$D:$D,'Modelling New'!$AF:$AF),"")</f>
        <v>0.995</v>
      </c>
      <c r="AI276" s="177" t="str">
        <f>IFERROR(_xlfn.XLOOKUP($A276,Input_Raw!$A:$A,Input_Raw!$BQ:$BQ),"")</f>
        <v/>
      </c>
      <c r="AJ276" s="167"/>
      <c r="AK276" s="167"/>
      <c r="AL276" s="167"/>
      <c r="AM276" s="167"/>
      <c r="AN276" s="175" t="str">
        <f>IFERROR(_xlfn.XLOOKUP($A276,Input_Raw!$A:$A,Input_Raw!$BN:$BN),"")</f>
        <v/>
      </c>
      <c r="AO276" s="174" t="str">
        <f>IFERROR((_xlfn.XLOOKUP($A276,'WTG Reactive Power'!$A:$A,'WTG Reactive Power'!$AE:$AE))/Table13[[#This Row],[Gen_Exp (kWh)]],"")</f>
        <v/>
      </c>
      <c r="AP276" s="174">
        <f>IFERROR(_xlfn.XLOOKUP($D276,'Modelling New'!$D:$D,'Modelling New'!$AK:$AK),"")</f>
        <v>0.05</v>
      </c>
      <c r="AQ276" s="174">
        <f>IFERROR(_xlfn.XLOOKUP($D276,'Modelling New'!$D:$D,'Modelling New'!$AL:$AL),"")</f>
        <v>0.05</v>
      </c>
      <c r="AR276" s="276">
        <f>IFERROR(_xlfn.XLOOKUP($D276,'Modelling New'!$D:$D,'Modelling New'!$N:$N),"")</f>
        <v>70.2</v>
      </c>
      <c r="AS276" s="276"/>
    </row>
    <row r="277" spans="1:45">
      <c r="A277" s="165">
        <f t="shared" si="19"/>
        <v>46020</v>
      </c>
      <c r="B277" s="166">
        <f>YEAR(Table13[[#This Row],[Date]])+IF(MONTH(Table13[[#This Row],[Date]])&gt;=4,1,0)</f>
        <v>2026</v>
      </c>
      <c r="C277" s="167">
        <f>YEAR(Table13[[#This Row],[Date]])</f>
        <v>2025</v>
      </c>
      <c r="D277" s="168">
        <f>Table13[[#This Row],[Date]]-DAY(Table13[[#This Row],[Date]])+1</f>
        <v>45992</v>
      </c>
      <c r="E277" s="167">
        <f t="shared" si="16"/>
        <v>31</v>
      </c>
      <c r="F277" s="169"/>
      <c r="G277" s="176"/>
      <c r="H277" s="176"/>
      <c r="I277" s="176"/>
      <c r="J277" s="176"/>
      <c r="K277" s="171"/>
      <c r="L277" s="170"/>
      <c r="M277" s="170" t="str">
        <f>IFERROR(_xlfn.XLOOKUP($A277,Input_Raw!$A:$A,Input_Raw!BG:BG),"")</f>
        <v/>
      </c>
      <c r="N277" s="170" t="str">
        <f>IFERROR(_xlfn.XLOOKUP($A277,Input_Raw!$A:$A,Input_Raw!BH:BH),"")</f>
        <v/>
      </c>
      <c r="O277" s="173" t="str">
        <f t="shared" si="17"/>
        <v/>
      </c>
      <c r="P277" s="173" t="str">
        <f>IFERROR(1-SUMIF(WTG_BD!$F:$F,$A277,WTG_BD!$AA:$AA)/($AA277+SUMIF(WTG_BD!$F:$F,$A277,WTG_BD!$AA:$AA)),"")</f>
        <v/>
      </c>
      <c r="Q277" s="173" t="str">
        <f>IFERROR(1-SUMIF(IGA_BD!$F:$F,$A277,IGA_BD!$X:$X)/($AA277+SUMIF(IGA_BD!$F:$F,$A277,IGA_BD!$X:$X)),"")</f>
        <v/>
      </c>
      <c r="R277" s="173" t="str">
        <f>IFERROR(1-SUMIF(Grid_BD!$F:$F,$A277,Grid_BD!$Y:$Y)/($AA277+SUMIF(Grid_BD!$F:$F,$A277,Grid_BD!$Y:$Y)),"")</f>
        <v/>
      </c>
      <c r="S277" s="167"/>
      <c r="T277" s="172"/>
      <c r="U277" s="173"/>
      <c r="V277" s="167"/>
      <c r="W277" s="174" t="str">
        <f t="shared" si="18"/>
        <v/>
      </c>
      <c r="X277" s="167" t="str">
        <f>IFERROR(_xlfn.XLOOKUP($A277,Input_Raw!$A:$A,Input_Raw!$BF:$BF),"")</f>
        <v/>
      </c>
      <c r="Y277" s="167" t="str">
        <f>IFERROR(_xlfn.XLOOKUP($A277,Input_Raw!$A:$A,Input_Raw!BJ:BJ),"")</f>
        <v/>
      </c>
      <c r="Z277" s="167" t="str">
        <f>IFERROR(_xlfn.XLOOKUP($A277,Input_Raw!$A:$A,Input_Raw!BK:BK),"")</f>
        <v/>
      </c>
      <c r="AA277" s="167" t="str">
        <f>IFERROR(_xlfn.XLOOKUP($A277,Input_Raw!$A:$A,Input_Raw!BL:BL),"")</f>
        <v/>
      </c>
      <c r="AB277" s="167" t="str">
        <f>IFERROR(_xlfn.XLOOKUP($A277,Input_Raw!$A:$A,Input_Raw!$BO:$BO),"")</f>
        <v/>
      </c>
      <c r="AC277" s="176">
        <f>IFERROR(_xlfn.XLOOKUP($D277,'Modelling New'!$D:$D,'Modelling New'!$J:$J),"")</f>
        <v>6.95</v>
      </c>
      <c r="AD277" s="166">
        <f>IFERROR(_xlfn.XLOOKUP($D277,'Modelling New'!$D:$D,'Modelling New'!$T:$T)*1000,"")</f>
        <v>574435.4233300495</v>
      </c>
      <c r="AE277" s="174"/>
      <c r="AF277" s="174">
        <f>IFERROR(_xlfn.XLOOKUP($D277,'Modelling New'!$D:$D,'Modelling New'!$W:$W),"")</f>
        <v>0.34095169950738929</v>
      </c>
      <c r="AG277" s="174">
        <f>IFERROR(_xlfn.XLOOKUP($D277,'Modelling New'!$D:$D,'Modelling New'!$AE:$AE),"")</f>
        <v>0.96029999999999993</v>
      </c>
      <c r="AH277" s="174">
        <f>IFERROR(_xlfn.XLOOKUP($D277,'Modelling New'!$D:$D,'Modelling New'!$AF:$AF),"")</f>
        <v>0.995</v>
      </c>
      <c r="AI277" s="177" t="str">
        <f>IFERROR(_xlfn.XLOOKUP($A277,Input_Raw!$A:$A,Input_Raw!$BQ:$BQ),"")</f>
        <v/>
      </c>
      <c r="AJ277" s="167"/>
      <c r="AK277" s="167"/>
      <c r="AL277" s="167"/>
      <c r="AM277" s="167"/>
      <c r="AN277" s="175" t="str">
        <f>IFERROR(_xlfn.XLOOKUP($A277,Input_Raw!$A:$A,Input_Raw!$BN:$BN),"")</f>
        <v/>
      </c>
      <c r="AO277" s="174" t="str">
        <f>IFERROR((_xlfn.XLOOKUP($A277,'WTG Reactive Power'!$A:$A,'WTG Reactive Power'!$AE:$AE))/Table13[[#This Row],[Gen_Exp (kWh)]],"")</f>
        <v/>
      </c>
      <c r="AP277" s="174">
        <f>IFERROR(_xlfn.XLOOKUP($D277,'Modelling New'!$D:$D,'Modelling New'!$AK:$AK),"")</f>
        <v>0.05</v>
      </c>
      <c r="AQ277" s="174">
        <f>IFERROR(_xlfn.XLOOKUP($D277,'Modelling New'!$D:$D,'Modelling New'!$AL:$AL),"")</f>
        <v>0.05</v>
      </c>
      <c r="AR277" s="276">
        <f>IFERROR(_xlfn.XLOOKUP($D277,'Modelling New'!$D:$D,'Modelling New'!$N:$N),"")</f>
        <v>70.2</v>
      </c>
      <c r="AS277" s="276"/>
    </row>
    <row r="278" spans="1:45">
      <c r="A278" s="165">
        <f t="shared" si="19"/>
        <v>46021</v>
      </c>
      <c r="B278" s="166">
        <f>YEAR(Table13[[#This Row],[Date]])+IF(MONTH(Table13[[#This Row],[Date]])&gt;=4,1,0)</f>
        <v>2026</v>
      </c>
      <c r="C278" s="167">
        <f>YEAR(Table13[[#This Row],[Date]])</f>
        <v>2025</v>
      </c>
      <c r="D278" s="168">
        <f>Table13[[#This Row],[Date]]-DAY(Table13[[#This Row],[Date]])+1</f>
        <v>45992</v>
      </c>
      <c r="E278" s="167">
        <f t="shared" si="16"/>
        <v>31</v>
      </c>
      <c r="F278" s="169"/>
      <c r="G278" s="170"/>
      <c r="H278" s="170"/>
      <c r="I278" s="170"/>
      <c r="J278" s="170"/>
      <c r="K278" s="171"/>
      <c r="L278" s="170"/>
      <c r="M278" s="170" t="str">
        <f>IFERROR(_xlfn.XLOOKUP($A278,Input_Raw!$A:$A,Input_Raw!BG:BG),"")</f>
        <v/>
      </c>
      <c r="N278" s="170" t="str">
        <f>IFERROR(_xlfn.XLOOKUP($A278,Input_Raw!$A:$A,Input_Raw!BH:BH),"")</f>
        <v/>
      </c>
      <c r="O278" s="173" t="str">
        <f t="shared" si="17"/>
        <v/>
      </c>
      <c r="P278" s="173" t="str">
        <f>IFERROR(1-SUMIF(WTG_BD!$F:$F,$A278,WTG_BD!$AA:$AA)/($AA278+SUMIF(WTG_BD!$F:$F,$A278,WTG_BD!$AA:$AA)),"")</f>
        <v/>
      </c>
      <c r="Q278" s="173" t="str">
        <f>IFERROR(1-SUMIF(IGA_BD!$F:$F,$A278,IGA_BD!$X:$X)/($AA278+SUMIF(IGA_BD!$F:$F,$A278,IGA_BD!$X:$X)),"")</f>
        <v/>
      </c>
      <c r="R278" s="173" t="str">
        <f>IFERROR(1-SUMIF(Grid_BD!$F:$F,$A278,Grid_BD!$Y:$Y)/($AA278+SUMIF(Grid_BD!$F:$F,$A278,Grid_BD!$Y:$Y)),"")</f>
        <v/>
      </c>
      <c r="S278" s="167"/>
      <c r="T278" s="172"/>
      <c r="U278" s="173"/>
      <c r="V278" s="167"/>
      <c r="W278" s="174" t="str">
        <f t="shared" si="18"/>
        <v/>
      </c>
      <c r="X278" s="167" t="str">
        <f>IFERROR(_xlfn.XLOOKUP($A278,Input_Raw!$A:$A,Input_Raw!$BF:$BF),"")</f>
        <v/>
      </c>
      <c r="Y278" s="167" t="str">
        <f>IFERROR(_xlfn.XLOOKUP($A278,Input_Raw!$A:$A,Input_Raw!BJ:BJ),"")</f>
        <v/>
      </c>
      <c r="Z278" s="167" t="str">
        <f>IFERROR(_xlfn.XLOOKUP($A278,Input_Raw!$A:$A,Input_Raw!BK:BK),"")</f>
        <v/>
      </c>
      <c r="AA278" s="167" t="str">
        <f>IFERROR(_xlfn.XLOOKUP($A278,Input_Raw!$A:$A,Input_Raw!BL:BL),"")</f>
        <v/>
      </c>
      <c r="AB278" s="167" t="str">
        <f>IFERROR(_xlfn.XLOOKUP($A278,Input_Raw!$A:$A,Input_Raw!$BO:$BO),"")</f>
        <v/>
      </c>
      <c r="AC278" s="176">
        <f>IFERROR(_xlfn.XLOOKUP($D278,'Modelling New'!$D:$D,'Modelling New'!$J:$J),"")</f>
        <v>6.95</v>
      </c>
      <c r="AD278" s="166">
        <f>IFERROR(_xlfn.XLOOKUP($D278,'Modelling New'!$D:$D,'Modelling New'!$T:$T)*1000,"")</f>
        <v>574435.4233300495</v>
      </c>
      <c r="AE278" s="174"/>
      <c r="AF278" s="174">
        <f>IFERROR(_xlfn.XLOOKUP($D278,'Modelling New'!$D:$D,'Modelling New'!$W:$W),"")</f>
        <v>0.34095169950738929</v>
      </c>
      <c r="AG278" s="174">
        <f>IFERROR(_xlfn.XLOOKUP($D278,'Modelling New'!$D:$D,'Modelling New'!$AE:$AE),"")</f>
        <v>0.96029999999999993</v>
      </c>
      <c r="AH278" s="174">
        <f>IFERROR(_xlfn.XLOOKUP($D278,'Modelling New'!$D:$D,'Modelling New'!$AF:$AF),"")</f>
        <v>0.995</v>
      </c>
      <c r="AI278" s="177" t="str">
        <f>IFERROR(_xlfn.XLOOKUP($A278,Input_Raw!$A:$A,Input_Raw!$BQ:$BQ),"")</f>
        <v/>
      </c>
      <c r="AJ278" s="167"/>
      <c r="AK278" s="167"/>
      <c r="AL278" s="167"/>
      <c r="AM278" s="167"/>
      <c r="AN278" s="175" t="str">
        <f>IFERROR(_xlfn.XLOOKUP($A278,Input_Raw!$A:$A,Input_Raw!$BN:$BN),"")</f>
        <v/>
      </c>
      <c r="AO278" s="174" t="str">
        <f>IFERROR((_xlfn.XLOOKUP($A278,'WTG Reactive Power'!$A:$A,'WTG Reactive Power'!$AE:$AE))/Table13[[#This Row],[Gen_Exp (kWh)]],"")</f>
        <v/>
      </c>
      <c r="AP278" s="174">
        <f>IFERROR(_xlfn.XLOOKUP($D278,'Modelling New'!$D:$D,'Modelling New'!$AK:$AK),"")</f>
        <v>0.05</v>
      </c>
      <c r="AQ278" s="174">
        <f>IFERROR(_xlfn.XLOOKUP($D278,'Modelling New'!$D:$D,'Modelling New'!$AL:$AL),"")</f>
        <v>0.05</v>
      </c>
      <c r="AR278" s="276">
        <f>IFERROR(_xlfn.XLOOKUP($D278,'Modelling New'!$D:$D,'Modelling New'!$N:$N),"")</f>
        <v>70.2</v>
      </c>
      <c r="AS278" s="276"/>
    </row>
    <row r="279" spans="1:45">
      <c r="A279" s="165">
        <f t="shared" si="19"/>
        <v>46022</v>
      </c>
      <c r="B279" s="166">
        <f>YEAR(Table13[[#This Row],[Date]])+IF(MONTH(Table13[[#This Row],[Date]])&gt;=4,1,0)</f>
        <v>2026</v>
      </c>
      <c r="C279" s="167">
        <f>YEAR(Table13[[#This Row],[Date]])</f>
        <v>2025</v>
      </c>
      <c r="D279" s="168">
        <f>Table13[[#This Row],[Date]]-DAY(Table13[[#This Row],[Date]])+1</f>
        <v>45992</v>
      </c>
      <c r="E279" s="167">
        <f t="shared" si="16"/>
        <v>31</v>
      </c>
      <c r="F279" s="169"/>
      <c r="G279" s="176"/>
      <c r="H279" s="176"/>
      <c r="I279" s="176"/>
      <c r="J279" s="176"/>
      <c r="K279" s="171"/>
      <c r="L279" s="170"/>
      <c r="M279" s="170" t="str">
        <f>IFERROR(_xlfn.XLOOKUP($A279,Input_Raw!$A:$A,Input_Raw!BG:BG),"")</f>
        <v/>
      </c>
      <c r="N279" s="170" t="str">
        <f>IFERROR(_xlfn.XLOOKUP($A279,Input_Raw!$A:$A,Input_Raw!BH:BH),"")</f>
        <v/>
      </c>
      <c r="O279" s="173" t="str">
        <f t="shared" si="17"/>
        <v/>
      </c>
      <c r="P279" s="173" t="str">
        <f>IFERROR(1-SUMIF(WTG_BD!$F:$F,$A279,WTG_BD!$AA:$AA)/($AA279+SUMIF(WTG_BD!$F:$F,$A279,WTG_BD!$AA:$AA)),"")</f>
        <v/>
      </c>
      <c r="Q279" s="173" t="str">
        <f>IFERROR(1-SUMIF(IGA_BD!$F:$F,$A279,IGA_BD!$X:$X)/($AA279+SUMIF(IGA_BD!$F:$F,$A279,IGA_BD!$X:$X)),"")</f>
        <v/>
      </c>
      <c r="R279" s="173" t="str">
        <f>IFERROR(1-SUMIF(Grid_BD!$F:$F,$A279,Grid_BD!$Y:$Y)/($AA279+SUMIF(Grid_BD!$F:$F,$A279,Grid_BD!$Y:$Y)),"")</f>
        <v/>
      </c>
      <c r="S279" s="167"/>
      <c r="T279" s="172"/>
      <c r="U279" s="173"/>
      <c r="V279" s="167"/>
      <c r="W279" s="174" t="str">
        <f t="shared" si="18"/>
        <v/>
      </c>
      <c r="X279" s="167" t="str">
        <f>IFERROR(_xlfn.XLOOKUP($A279,Input_Raw!$A:$A,Input_Raw!$BF:$BF),"")</f>
        <v/>
      </c>
      <c r="Y279" s="167" t="str">
        <f>IFERROR(_xlfn.XLOOKUP($A279,Input_Raw!$A:$A,Input_Raw!BJ:BJ),"")</f>
        <v/>
      </c>
      <c r="Z279" s="167" t="str">
        <f>IFERROR(_xlfn.XLOOKUP($A279,Input_Raw!$A:$A,Input_Raw!BK:BK),"")</f>
        <v/>
      </c>
      <c r="AA279" s="167" t="str">
        <f>IFERROR(_xlfn.XLOOKUP($A279,Input_Raw!$A:$A,Input_Raw!BL:BL),"")</f>
        <v/>
      </c>
      <c r="AB279" s="167" t="str">
        <f>IFERROR(_xlfn.XLOOKUP($A279,Input_Raw!$A:$A,Input_Raw!$BO:$BO),"")</f>
        <v/>
      </c>
      <c r="AC279" s="176">
        <f>IFERROR(_xlfn.XLOOKUP($D279,'Modelling New'!$D:$D,'Modelling New'!$J:$J),"")</f>
        <v>6.95</v>
      </c>
      <c r="AD279" s="166">
        <f>IFERROR(_xlfn.XLOOKUP($D279,'Modelling New'!$D:$D,'Modelling New'!$T:$T)*1000,"")</f>
        <v>574435.4233300495</v>
      </c>
      <c r="AE279" s="174"/>
      <c r="AF279" s="174">
        <f>IFERROR(_xlfn.XLOOKUP($D279,'Modelling New'!$D:$D,'Modelling New'!$W:$W),"")</f>
        <v>0.34095169950738929</v>
      </c>
      <c r="AG279" s="174">
        <f>IFERROR(_xlfn.XLOOKUP($D279,'Modelling New'!$D:$D,'Modelling New'!$AE:$AE),"")</f>
        <v>0.96029999999999993</v>
      </c>
      <c r="AH279" s="174">
        <f>IFERROR(_xlfn.XLOOKUP($D279,'Modelling New'!$D:$D,'Modelling New'!$AF:$AF),"")</f>
        <v>0.995</v>
      </c>
      <c r="AI279" s="177" t="str">
        <f>IFERROR(_xlfn.XLOOKUP($A279,Input_Raw!$A:$A,Input_Raw!$BQ:$BQ),"")</f>
        <v/>
      </c>
      <c r="AJ279" s="167"/>
      <c r="AK279" s="167"/>
      <c r="AL279" s="167"/>
      <c r="AM279" s="167"/>
      <c r="AN279" s="175" t="str">
        <f>IFERROR(_xlfn.XLOOKUP($A279,Input_Raw!$A:$A,Input_Raw!$BN:$BN),"")</f>
        <v/>
      </c>
      <c r="AO279" s="174" t="str">
        <f>IFERROR((_xlfn.XLOOKUP($A279,'WTG Reactive Power'!$A:$A,'WTG Reactive Power'!$AE:$AE))/Table13[[#This Row],[Gen_Exp (kWh)]],"")</f>
        <v/>
      </c>
      <c r="AP279" s="174">
        <f>IFERROR(_xlfn.XLOOKUP($D279,'Modelling New'!$D:$D,'Modelling New'!$AK:$AK),"")</f>
        <v>0.05</v>
      </c>
      <c r="AQ279" s="174">
        <f>IFERROR(_xlfn.XLOOKUP($D279,'Modelling New'!$D:$D,'Modelling New'!$AL:$AL),"")</f>
        <v>0.05</v>
      </c>
      <c r="AR279" s="276">
        <f>IFERROR(_xlfn.XLOOKUP($D279,'Modelling New'!$D:$D,'Modelling New'!$N:$N),"")</f>
        <v>70.2</v>
      </c>
      <c r="AS279" s="276"/>
    </row>
    <row r="280" spans="1:45">
      <c r="A280" s="165">
        <f t="shared" si="19"/>
        <v>46023</v>
      </c>
      <c r="B280" s="166">
        <f>YEAR(Table13[[#This Row],[Date]])+IF(MONTH(Table13[[#This Row],[Date]])&gt;=4,1,0)</f>
        <v>2026</v>
      </c>
      <c r="C280" s="167">
        <f>YEAR(Table13[[#This Row],[Date]])</f>
        <v>2026</v>
      </c>
      <c r="D280" s="168">
        <f>Table13[[#This Row],[Date]]-DAY(Table13[[#This Row],[Date]])+1</f>
        <v>46023</v>
      </c>
      <c r="E280" s="167">
        <f t="shared" ref="E280:E343" si="20">DAY(EOMONTH(A280,0))</f>
        <v>31</v>
      </c>
      <c r="F280" s="169"/>
      <c r="G280" s="170"/>
      <c r="H280" s="170"/>
      <c r="I280" s="170"/>
      <c r="J280" s="170"/>
      <c r="K280" s="171"/>
      <c r="L280" s="170"/>
      <c r="M280" s="170" t="str">
        <f>IFERROR(_xlfn.XLOOKUP($A280,Input_Raw!$A:$A,Input_Raw!BG:BG),"")</f>
        <v/>
      </c>
      <c r="N280" s="170" t="str">
        <f>IFERROR(_xlfn.XLOOKUP($A280,Input_Raw!$A:$A,Input_Raw!BH:BH),"")</f>
        <v/>
      </c>
      <c r="O280" s="173" t="str">
        <f t="shared" ref="O280:O343" si="21">IFERROR(P280*Q280,"")</f>
        <v/>
      </c>
      <c r="P280" s="173" t="str">
        <f>IFERROR(1-SUMIF(WTG_BD!$F:$F,$A280,WTG_BD!$AA:$AA)/($AA280+SUMIF(WTG_BD!$F:$F,$A280,WTG_BD!$AA:$AA)),"")</f>
        <v/>
      </c>
      <c r="Q280" s="173" t="str">
        <f>IFERROR(1-SUMIF(IGA_BD!$F:$F,$A280,IGA_BD!$X:$X)/($AA280+SUMIF(IGA_BD!$F:$F,$A280,IGA_BD!$X:$X)),"")</f>
        <v/>
      </c>
      <c r="R280" s="173" t="str">
        <f>IFERROR(1-SUMIF(Grid_BD!$F:$F,$A280,Grid_BD!$Y:$Y)/($AA280+SUMIF(Grid_BD!$F:$F,$A280,Grid_BD!$Y:$Y)),"")</f>
        <v/>
      </c>
      <c r="S280" s="167"/>
      <c r="T280" s="172"/>
      <c r="U280" s="173"/>
      <c r="V280" s="167"/>
      <c r="W280" s="174" t="str">
        <f t="shared" ref="W280:W343" si="22">IFERROR(AA280/(24*AR280*1000),"")</f>
        <v/>
      </c>
      <c r="X280" s="167" t="str">
        <f>IFERROR(_xlfn.XLOOKUP($A280,Input_Raw!$A:$A,Input_Raw!$BF:$BF),"")</f>
        <v/>
      </c>
      <c r="Y280" s="167" t="str">
        <f>IFERROR(_xlfn.XLOOKUP($A280,Input_Raw!$A:$A,Input_Raw!BJ:BJ),"")</f>
        <v/>
      </c>
      <c r="Z280" s="167" t="str">
        <f>IFERROR(_xlfn.XLOOKUP($A280,Input_Raw!$A:$A,Input_Raw!BK:BK),"")</f>
        <v/>
      </c>
      <c r="AA280" s="167" t="str">
        <f>IFERROR(_xlfn.XLOOKUP($A280,Input_Raw!$A:$A,Input_Raw!BL:BL),"")</f>
        <v/>
      </c>
      <c r="AB280" s="167" t="str">
        <f>IFERROR(_xlfn.XLOOKUP($A280,Input_Raw!$A:$A,Input_Raw!$BO:$BO),"")</f>
        <v/>
      </c>
      <c r="AC280" s="176">
        <f>IFERROR(_xlfn.XLOOKUP($D280,'Modelling New'!$D:$D,'Modelling New'!$J:$J),"")</f>
        <v>5.57</v>
      </c>
      <c r="AD280" s="166">
        <f>IFERROR(_xlfn.XLOOKUP($D280,'Modelling New'!$D:$D,'Modelling New'!$T:$T)*1000,"")</f>
        <v>613380.19779310341</v>
      </c>
      <c r="AE280" s="174"/>
      <c r="AF280" s="174">
        <f>IFERROR(_xlfn.XLOOKUP($D280,'Modelling New'!$D:$D,'Modelling New'!$W:$W),"")</f>
        <v>0.36406706896551722</v>
      </c>
      <c r="AG280" s="174">
        <f>IFERROR(_xlfn.XLOOKUP($D280,'Modelling New'!$D:$D,'Modelling New'!$AE:$AE),"")</f>
        <v>0.96029999999999993</v>
      </c>
      <c r="AH280" s="174">
        <f>IFERROR(_xlfn.XLOOKUP($D280,'Modelling New'!$D:$D,'Modelling New'!$AF:$AF),"")</f>
        <v>0.995</v>
      </c>
      <c r="AI280" s="177" t="str">
        <f>IFERROR(_xlfn.XLOOKUP($A280,Input_Raw!$A:$A,Input_Raw!$BQ:$BQ),"")</f>
        <v/>
      </c>
      <c r="AJ280" s="167"/>
      <c r="AK280" s="167"/>
      <c r="AL280" s="167"/>
      <c r="AM280" s="167"/>
      <c r="AN280" s="175" t="str">
        <f>IFERROR(_xlfn.XLOOKUP($A280,Input_Raw!$A:$A,Input_Raw!$BN:$BN),"")</f>
        <v/>
      </c>
      <c r="AO280" s="174" t="str">
        <f>IFERROR((_xlfn.XLOOKUP($A280,'WTG Reactive Power'!$A:$A,'WTG Reactive Power'!$AE:$AE))/Table13[[#This Row],[Gen_Exp (kWh)]],"")</f>
        <v/>
      </c>
      <c r="AP280" s="174">
        <f>IFERROR(_xlfn.XLOOKUP($D280,'Modelling New'!$D:$D,'Modelling New'!$AK:$AK),"")</f>
        <v>0.05</v>
      </c>
      <c r="AQ280" s="174">
        <f>IFERROR(_xlfn.XLOOKUP($D280,'Modelling New'!$D:$D,'Modelling New'!$AL:$AL),"")</f>
        <v>0.05</v>
      </c>
      <c r="AR280" s="276">
        <f>IFERROR(_xlfn.XLOOKUP($D280,'Modelling New'!$D:$D,'Modelling New'!$N:$N),"")</f>
        <v>70.2</v>
      </c>
      <c r="AS280" s="276"/>
    </row>
    <row r="281" spans="1:45">
      <c r="A281" s="165">
        <f t="shared" si="19"/>
        <v>46024</v>
      </c>
      <c r="B281" s="166">
        <f>YEAR(Table13[[#This Row],[Date]])+IF(MONTH(Table13[[#This Row],[Date]])&gt;=4,1,0)</f>
        <v>2026</v>
      </c>
      <c r="C281" s="167">
        <f>YEAR(Table13[[#This Row],[Date]])</f>
        <v>2026</v>
      </c>
      <c r="D281" s="168">
        <f>Table13[[#This Row],[Date]]-DAY(Table13[[#This Row],[Date]])+1</f>
        <v>46023</v>
      </c>
      <c r="E281" s="167">
        <f t="shared" si="20"/>
        <v>31</v>
      </c>
      <c r="F281" s="169"/>
      <c r="G281" s="176"/>
      <c r="H281" s="176"/>
      <c r="I281" s="176"/>
      <c r="J281" s="176"/>
      <c r="K281" s="171"/>
      <c r="L281" s="170"/>
      <c r="M281" s="170" t="str">
        <f>IFERROR(_xlfn.XLOOKUP($A281,Input_Raw!$A:$A,Input_Raw!BG:BG),"")</f>
        <v/>
      </c>
      <c r="N281" s="170" t="str">
        <f>IFERROR(_xlfn.XLOOKUP($A281,Input_Raw!$A:$A,Input_Raw!BH:BH),"")</f>
        <v/>
      </c>
      <c r="O281" s="173" t="str">
        <f t="shared" si="21"/>
        <v/>
      </c>
      <c r="P281" s="173" t="str">
        <f>IFERROR(1-SUMIF(WTG_BD!$F:$F,$A281,WTG_BD!$AA:$AA)/($AA281+SUMIF(WTG_BD!$F:$F,$A281,WTG_BD!$AA:$AA)),"")</f>
        <v/>
      </c>
      <c r="Q281" s="173" t="str">
        <f>IFERROR(1-SUMIF(IGA_BD!$F:$F,$A281,IGA_BD!$X:$X)/($AA281+SUMIF(IGA_BD!$F:$F,$A281,IGA_BD!$X:$X)),"")</f>
        <v/>
      </c>
      <c r="R281" s="173" t="str">
        <f>IFERROR(1-SUMIF(Grid_BD!$F:$F,$A281,Grid_BD!$Y:$Y)/($AA281+SUMIF(Grid_BD!$F:$F,$A281,Grid_BD!$Y:$Y)),"")</f>
        <v/>
      </c>
      <c r="S281" s="167"/>
      <c r="T281" s="172"/>
      <c r="U281" s="173"/>
      <c r="V281" s="167"/>
      <c r="W281" s="174" t="str">
        <f t="shared" si="22"/>
        <v/>
      </c>
      <c r="X281" s="167" t="str">
        <f>IFERROR(_xlfn.XLOOKUP($A281,Input_Raw!$A:$A,Input_Raw!$BF:$BF),"")</f>
        <v/>
      </c>
      <c r="Y281" s="167" t="str">
        <f>IFERROR(_xlfn.XLOOKUP($A281,Input_Raw!$A:$A,Input_Raw!BJ:BJ),"")</f>
        <v/>
      </c>
      <c r="Z281" s="167" t="str">
        <f>IFERROR(_xlfn.XLOOKUP($A281,Input_Raw!$A:$A,Input_Raw!BK:BK),"")</f>
        <v/>
      </c>
      <c r="AA281" s="167" t="str">
        <f>IFERROR(_xlfn.XLOOKUP($A281,Input_Raw!$A:$A,Input_Raw!BL:BL),"")</f>
        <v/>
      </c>
      <c r="AB281" s="167" t="str">
        <f>IFERROR(_xlfn.XLOOKUP($A281,Input_Raw!$A:$A,Input_Raw!$BO:$BO),"")</f>
        <v/>
      </c>
      <c r="AC281" s="176">
        <f>IFERROR(_xlfn.XLOOKUP($D281,'Modelling New'!$D:$D,'Modelling New'!$J:$J),"")</f>
        <v>5.57</v>
      </c>
      <c r="AD281" s="166">
        <f>IFERROR(_xlfn.XLOOKUP($D281,'Modelling New'!$D:$D,'Modelling New'!$T:$T)*1000,"")</f>
        <v>613380.19779310341</v>
      </c>
      <c r="AE281" s="174"/>
      <c r="AF281" s="174">
        <f>IFERROR(_xlfn.XLOOKUP($D281,'Modelling New'!$D:$D,'Modelling New'!$W:$W),"")</f>
        <v>0.36406706896551722</v>
      </c>
      <c r="AG281" s="174">
        <f>IFERROR(_xlfn.XLOOKUP($D281,'Modelling New'!$D:$D,'Modelling New'!$AE:$AE),"")</f>
        <v>0.96029999999999993</v>
      </c>
      <c r="AH281" s="174">
        <f>IFERROR(_xlfn.XLOOKUP($D281,'Modelling New'!$D:$D,'Modelling New'!$AF:$AF),"")</f>
        <v>0.995</v>
      </c>
      <c r="AI281" s="177" t="str">
        <f>IFERROR(_xlfn.XLOOKUP($A281,Input_Raw!$A:$A,Input_Raw!$BQ:$BQ),"")</f>
        <v/>
      </c>
      <c r="AJ281" s="167"/>
      <c r="AK281" s="167"/>
      <c r="AL281" s="167"/>
      <c r="AM281" s="167"/>
      <c r="AN281" s="175" t="str">
        <f>IFERROR(_xlfn.XLOOKUP($A281,Input_Raw!$A:$A,Input_Raw!$BN:$BN),"")</f>
        <v/>
      </c>
      <c r="AO281" s="174" t="str">
        <f>IFERROR((_xlfn.XLOOKUP($A281,'WTG Reactive Power'!$A:$A,'WTG Reactive Power'!$AE:$AE))/Table13[[#This Row],[Gen_Exp (kWh)]],"")</f>
        <v/>
      </c>
      <c r="AP281" s="174">
        <f>IFERROR(_xlfn.XLOOKUP($D281,'Modelling New'!$D:$D,'Modelling New'!$AK:$AK),"")</f>
        <v>0.05</v>
      </c>
      <c r="AQ281" s="174">
        <f>IFERROR(_xlfn.XLOOKUP($D281,'Modelling New'!$D:$D,'Modelling New'!$AL:$AL),"")</f>
        <v>0.05</v>
      </c>
      <c r="AR281" s="276">
        <f>IFERROR(_xlfn.XLOOKUP($D281,'Modelling New'!$D:$D,'Modelling New'!$N:$N),"")</f>
        <v>70.2</v>
      </c>
      <c r="AS281" s="276"/>
    </row>
    <row r="282" spans="1:45">
      <c r="A282" s="165">
        <f t="shared" ref="A282:A345" si="23">A281+1</f>
        <v>46025</v>
      </c>
      <c r="B282" s="166">
        <f>YEAR(Table13[[#This Row],[Date]])+IF(MONTH(Table13[[#This Row],[Date]])&gt;=4,1,0)</f>
        <v>2026</v>
      </c>
      <c r="C282" s="167">
        <f>YEAR(Table13[[#This Row],[Date]])</f>
        <v>2026</v>
      </c>
      <c r="D282" s="168">
        <f>Table13[[#This Row],[Date]]-DAY(Table13[[#This Row],[Date]])+1</f>
        <v>46023</v>
      </c>
      <c r="E282" s="167">
        <f t="shared" si="20"/>
        <v>31</v>
      </c>
      <c r="F282" s="169"/>
      <c r="G282" s="170"/>
      <c r="H282" s="170"/>
      <c r="I282" s="170"/>
      <c r="J282" s="170"/>
      <c r="K282" s="171"/>
      <c r="L282" s="170"/>
      <c r="M282" s="170" t="str">
        <f>IFERROR(_xlfn.XLOOKUP($A282,Input_Raw!$A:$A,Input_Raw!BG:BG),"")</f>
        <v/>
      </c>
      <c r="N282" s="170" t="str">
        <f>IFERROR(_xlfn.XLOOKUP($A282,Input_Raw!$A:$A,Input_Raw!BH:BH),"")</f>
        <v/>
      </c>
      <c r="O282" s="173" t="str">
        <f t="shared" si="21"/>
        <v/>
      </c>
      <c r="P282" s="173" t="str">
        <f>IFERROR(1-SUMIF(WTG_BD!$F:$F,$A282,WTG_BD!$AA:$AA)/($AA282+SUMIF(WTG_BD!$F:$F,$A282,WTG_BD!$AA:$AA)),"")</f>
        <v/>
      </c>
      <c r="Q282" s="173" t="str">
        <f>IFERROR(1-SUMIF(IGA_BD!$F:$F,$A282,IGA_BD!$X:$X)/($AA282+SUMIF(IGA_BD!$F:$F,$A282,IGA_BD!$X:$X)),"")</f>
        <v/>
      </c>
      <c r="R282" s="173" t="str">
        <f>IFERROR(1-SUMIF(Grid_BD!$F:$F,$A282,Grid_BD!$Y:$Y)/($AA282+SUMIF(Grid_BD!$F:$F,$A282,Grid_BD!$Y:$Y)),"")</f>
        <v/>
      </c>
      <c r="S282" s="167"/>
      <c r="T282" s="172"/>
      <c r="U282" s="173"/>
      <c r="V282" s="167"/>
      <c r="W282" s="174" t="str">
        <f t="shared" si="22"/>
        <v/>
      </c>
      <c r="X282" s="167" t="str">
        <f>IFERROR(_xlfn.XLOOKUP($A282,Input_Raw!$A:$A,Input_Raw!$BF:$BF),"")</f>
        <v/>
      </c>
      <c r="Y282" s="167" t="str">
        <f>IFERROR(_xlfn.XLOOKUP($A282,Input_Raw!$A:$A,Input_Raw!BJ:BJ),"")</f>
        <v/>
      </c>
      <c r="Z282" s="167" t="str">
        <f>IFERROR(_xlfn.XLOOKUP($A282,Input_Raw!$A:$A,Input_Raw!BK:BK),"")</f>
        <v/>
      </c>
      <c r="AA282" s="167" t="str">
        <f>IFERROR(_xlfn.XLOOKUP($A282,Input_Raw!$A:$A,Input_Raw!BL:BL),"")</f>
        <v/>
      </c>
      <c r="AB282" s="167" t="str">
        <f>IFERROR(_xlfn.XLOOKUP($A282,Input_Raw!$A:$A,Input_Raw!$BO:$BO),"")</f>
        <v/>
      </c>
      <c r="AC282" s="176">
        <f>IFERROR(_xlfn.XLOOKUP($D282,'Modelling New'!$D:$D,'Modelling New'!$J:$J),"")</f>
        <v>5.57</v>
      </c>
      <c r="AD282" s="166">
        <f>IFERROR(_xlfn.XLOOKUP($D282,'Modelling New'!$D:$D,'Modelling New'!$T:$T)*1000,"")</f>
        <v>613380.19779310341</v>
      </c>
      <c r="AE282" s="174"/>
      <c r="AF282" s="174">
        <f>IFERROR(_xlfn.XLOOKUP($D282,'Modelling New'!$D:$D,'Modelling New'!$W:$W),"")</f>
        <v>0.36406706896551722</v>
      </c>
      <c r="AG282" s="174">
        <f>IFERROR(_xlfn.XLOOKUP($D282,'Modelling New'!$D:$D,'Modelling New'!$AE:$AE),"")</f>
        <v>0.96029999999999993</v>
      </c>
      <c r="AH282" s="174">
        <f>IFERROR(_xlfn.XLOOKUP($D282,'Modelling New'!$D:$D,'Modelling New'!$AF:$AF),"")</f>
        <v>0.995</v>
      </c>
      <c r="AI282" s="177" t="str">
        <f>IFERROR(_xlfn.XLOOKUP($A282,Input_Raw!$A:$A,Input_Raw!$BQ:$BQ),"")</f>
        <v/>
      </c>
      <c r="AJ282" s="167"/>
      <c r="AK282" s="167"/>
      <c r="AL282" s="167"/>
      <c r="AM282" s="167"/>
      <c r="AN282" s="175" t="str">
        <f>IFERROR(_xlfn.XLOOKUP($A282,Input_Raw!$A:$A,Input_Raw!$BN:$BN),"")</f>
        <v/>
      </c>
      <c r="AO282" s="174" t="str">
        <f>IFERROR((_xlfn.XLOOKUP($A282,'WTG Reactive Power'!$A:$A,'WTG Reactive Power'!$AE:$AE))/Table13[[#This Row],[Gen_Exp (kWh)]],"")</f>
        <v/>
      </c>
      <c r="AP282" s="174">
        <f>IFERROR(_xlfn.XLOOKUP($D282,'Modelling New'!$D:$D,'Modelling New'!$AK:$AK),"")</f>
        <v>0.05</v>
      </c>
      <c r="AQ282" s="174">
        <f>IFERROR(_xlfn.XLOOKUP($D282,'Modelling New'!$D:$D,'Modelling New'!$AL:$AL),"")</f>
        <v>0.05</v>
      </c>
      <c r="AR282" s="276">
        <f>IFERROR(_xlfn.XLOOKUP($D282,'Modelling New'!$D:$D,'Modelling New'!$N:$N),"")</f>
        <v>70.2</v>
      </c>
      <c r="AS282" s="276"/>
    </row>
    <row r="283" spans="1:45">
      <c r="A283" s="165">
        <f t="shared" si="23"/>
        <v>46026</v>
      </c>
      <c r="B283" s="166">
        <f>YEAR(Table13[[#This Row],[Date]])+IF(MONTH(Table13[[#This Row],[Date]])&gt;=4,1,0)</f>
        <v>2026</v>
      </c>
      <c r="C283" s="167">
        <f>YEAR(Table13[[#This Row],[Date]])</f>
        <v>2026</v>
      </c>
      <c r="D283" s="168">
        <f>Table13[[#This Row],[Date]]-DAY(Table13[[#This Row],[Date]])+1</f>
        <v>46023</v>
      </c>
      <c r="E283" s="167">
        <f t="shared" si="20"/>
        <v>31</v>
      </c>
      <c r="F283" s="169"/>
      <c r="G283" s="176"/>
      <c r="H283" s="176"/>
      <c r="I283" s="176"/>
      <c r="J283" s="176"/>
      <c r="K283" s="171"/>
      <c r="L283" s="170"/>
      <c r="M283" s="170" t="str">
        <f>IFERROR(_xlfn.XLOOKUP($A283,Input_Raw!$A:$A,Input_Raw!BG:BG),"")</f>
        <v/>
      </c>
      <c r="N283" s="170" t="str">
        <f>IFERROR(_xlfn.XLOOKUP($A283,Input_Raw!$A:$A,Input_Raw!BH:BH),"")</f>
        <v/>
      </c>
      <c r="O283" s="173" t="str">
        <f t="shared" si="21"/>
        <v/>
      </c>
      <c r="P283" s="173" t="str">
        <f>IFERROR(1-SUMIF(WTG_BD!$F:$F,$A283,WTG_BD!$AA:$AA)/($AA283+SUMIF(WTG_BD!$F:$F,$A283,WTG_BD!$AA:$AA)),"")</f>
        <v/>
      </c>
      <c r="Q283" s="173" t="str">
        <f>IFERROR(1-SUMIF(IGA_BD!$F:$F,$A283,IGA_BD!$X:$X)/($AA283+SUMIF(IGA_BD!$F:$F,$A283,IGA_BD!$X:$X)),"")</f>
        <v/>
      </c>
      <c r="R283" s="173" t="str">
        <f>IFERROR(1-SUMIF(Grid_BD!$F:$F,$A283,Grid_BD!$Y:$Y)/($AA283+SUMIF(Grid_BD!$F:$F,$A283,Grid_BD!$Y:$Y)),"")</f>
        <v/>
      </c>
      <c r="S283" s="167"/>
      <c r="T283" s="172"/>
      <c r="U283" s="173"/>
      <c r="V283" s="167"/>
      <c r="W283" s="174" t="str">
        <f t="shared" si="22"/>
        <v/>
      </c>
      <c r="X283" s="167" t="str">
        <f>IFERROR(_xlfn.XLOOKUP($A283,Input_Raw!$A:$A,Input_Raw!$BF:$BF),"")</f>
        <v/>
      </c>
      <c r="Y283" s="167" t="str">
        <f>IFERROR(_xlfn.XLOOKUP($A283,Input_Raw!$A:$A,Input_Raw!BJ:BJ),"")</f>
        <v/>
      </c>
      <c r="Z283" s="167" t="str">
        <f>IFERROR(_xlfn.XLOOKUP($A283,Input_Raw!$A:$A,Input_Raw!BK:BK),"")</f>
        <v/>
      </c>
      <c r="AA283" s="167" t="str">
        <f>IFERROR(_xlfn.XLOOKUP($A283,Input_Raw!$A:$A,Input_Raw!BL:BL),"")</f>
        <v/>
      </c>
      <c r="AB283" s="167" t="str">
        <f>IFERROR(_xlfn.XLOOKUP($A283,Input_Raw!$A:$A,Input_Raw!$BO:$BO),"")</f>
        <v/>
      </c>
      <c r="AC283" s="176">
        <f>IFERROR(_xlfn.XLOOKUP($D283,'Modelling New'!$D:$D,'Modelling New'!$J:$J),"")</f>
        <v>5.57</v>
      </c>
      <c r="AD283" s="166">
        <f>IFERROR(_xlfn.XLOOKUP($D283,'Modelling New'!$D:$D,'Modelling New'!$T:$T)*1000,"")</f>
        <v>613380.19779310341</v>
      </c>
      <c r="AE283" s="174"/>
      <c r="AF283" s="174">
        <f>IFERROR(_xlfn.XLOOKUP($D283,'Modelling New'!$D:$D,'Modelling New'!$W:$W),"")</f>
        <v>0.36406706896551722</v>
      </c>
      <c r="AG283" s="174">
        <f>IFERROR(_xlfn.XLOOKUP($D283,'Modelling New'!$D:$D,'Modelling New'!$AE:$AE),"")</f>
        <v>0.96029999999999993</v>
      </c>
      <c r="AH283" s="174">
        <f>IFERROR(_xlfn.XLOOKUP($D283,'Modelling New'!$D:$D,'Modelling New'!$AF:$AF),"")</f>
        <v>0.995</v>
      </c>
      <c r="AI283" s="177" t="str">
        <f>IFERROR(_xlfn.XLOOKUP($A283,Input_Raw!$A:$A,Input_Raw!$BQ:$BQ),"")</f>
        <v/>
      </c>
      <c r="AJ283" s="167"/>
      <c r="AK283" s="167"/>
      <c r="AL283" s="167"/>
      <c r="AM283" s="167"/>
      <c r="AN283" s="175" t="str">
        <f>IFERROR(_xlfn.XLOOKUP($A283,Input_Raw!$A:$A,Input_Raw!$BN:$BN),"")</f>
        <v/>
      </c>
      <c r="AO283" s="174" t="str">
        <f>IFERROR((_xlfn.XLOOKUP($A283,'WTG Reactive Power'!$A:$A,'WTG Reactive Power'!$AE:$AE))/Table13[[#This Row],[Gen_Exp (kWh)]],"")</f>
        <v/>
      </c>
      <c r="AP283" s="174">
        <f>IFERROR(_xlfn.XLOOKUP($D283,'Modelling New'!$D:$D,'Modelling New'!$AK:$AK),"")</f>
        <v>0.05</v>
      </c>
      <c r="AQ283" s="174">
        <f>IFERROR(_xlfn.XLOOKUP($D283,'Modelling New'!$D:$D,'Modelling New'!$AL:$AL),"")</f>
        <v>0.05</v>
      </c>
      <c r="AR283" s="276">
        <f>IFERROR(_xlfn.XLOOKUP($D283,'Modelling New'!$D:$D,'Modelling New'!$N:$N),"")</f>
        <v>70.2</v>
      </c>
      <c r="AS283" s="276"/>
    </row>
    <row r="284" spans="1:45">
      <c r="A284" s="165">
        <f t="shared" si="23"/>
        <v>46027</v>
      </c>
      <c r="B284" s="166">
        <f>YEAR(Table13[[#This Row],[Date]])+IF(MONTH(Table13[[#This Row],[Date]])&gt;=4,1,0)</f>
        <v>2026</v>
      </c>
      <c r="C284" s="167">
        <f>YEAR(Table13[[#This Row],[Date]])</f>
        <v>2026</v>
      </c>
      <c r="D284" s="168">
        <f>Table13[[#This Row],[Date]]-DAY(Table13[[#This Row],[Date]])+1</f>
        <v>46023</v>
      </c>
      <c r="E284" s="167">
        <f t="shared" si="20"/>
        <v>31</v>
      </c>
      <c r="F284" s="169"/>
      <c r="G284" s="170"/>
      <c r="H284" s="170"/>
      <c r="I284" s="170"/>
      <c r="J284" s="170"/>
      <c r="K284" s="171"/>
      <c r="L284" s="170"/>
      <c r="M284" s="170" t="str">
        <f>IFERROR(_xlfn.XLOOKUP($A284,Input_Raw!$A:$A,Input_Raw!BG:BG),"")</f>
        <v/>
      </c>
      <c r="N284" s="170" t="str">
        <f>IFERROR(_xlfn.XLOOKUP($A284,Input_Raw!$A:$A,Input_Raw!BH:BH),"")</f>
        <v/>
      </c>
      <c r="O284" s="173" t="str">
        <f t="shared" si="21"/>
        <v/>
      </c>
      <c r="P284" s="173" t="str">
        <f>IFERROR(1-SUMIF(WTG_BD!$F:$F,$A284,WTG_BD!$AA:$AA)/($AA284+SUMIF(WTG_BD!$F:$F,$A284,WTG_BD!$AA:$AA)),"")</f>
        <v/>
      </c>
      <c r="Q284" s="173" t="str">
        <f>IFERROR(1-SUMIF(IGA_BD!$F:$F,$A284,IGA_BD!$X:$X)/($AA284+SUMIF(IGA_BD!$F:$F,$A284,IGA_BD!$X:$X)),"")</f>
        <v/>
      </c>
      <c r="R284" s="173" t="str">
        <f>IFERROR(1-SUMIF(Grid_BD!$F:$F,$A284,Grid_BD!$Y:$Y)/($AA284+SUMIF(Grid_BD!$F:$F,$A284,Grid_BD!$Y:$Y)),"")</f>
        <v/>
      </c>
      <c r="S284" s="167"/>
      <c r="T284" s="172"/>
      <c r="U284" s="173"/>
      <c r="V284" s="167"/>
      <c r="W284" s="174" t="str">
        <f t="shared" si="22"/>
        <v/>
      </c>
      <c r="X284" s="167" t="str">
        <f>IFERROR(_xlfn.XLOOKUP($A284,Input_Raw!$A:$A,Input_Raw!$BF:$BF),"")</f>
        <v/>
      </c>
      <c r="Y284" s="167" t="str">
        <f>IFERROR(_xlfn.XLOOKUP($A284,Input_Raw!$A:$A,Input_Raw!BJ:BJ),"")</f>
        <v/>
      </c>
      <c r="Z284" s="167" t="str">
        <f>IFERROR(_xlfn.XLOOKUP($A284,Input_Raw!$A:$A,Input_Raw!BK:BK),"")</f>
        <v/>
      </c>
      <c r="AA284" s="167" t="str">
        <f>IFERROR(_xlfn.XLOOKUP($A284,Input_Raw!$A:$A,Input_Raw!BL:BL),"")</f>
        <v/>
      </c>
      <c r="AB284" s="167" t="str">
        <f>IFERROR(_xlfn.XLOOKUP($A284,Input_Raw!$A:$A,Input_Raw!$BO:$BO),"")</f>
        <v/>
      </c>
      <c r="AC284" s="176">
        <f>IFERROR(_xlfn.XLOOKUP($D284,'Modelling New'!$D:$D,'Modelling New'!$J:$J),"")</f>
        <v>5.57</v>
      </c>
      <c r="AD284" s="166">
        <f>IFERROR(_xlfn.XLOOKUP($D284,'Modelling New'!$D:$D,'Modelling New'!$T:$T)*1000,"")</f>
        <v>613380.19779310341</v>
      </c>
      <c r="AE284" s="174"/>
      <c r="AF284" s="174">
        <f>IFERROR(_xlfn.XLOOKUP($D284,'Modelling New'!$D:$D,'Modelling New'!$W:$W),"")</f>
        <v>0.36406706896551722</v>
      </c>
      <c r="AG284" s="174">
        <f>IFERROR(_xlfn.XLOOKUP($D284,'Modelling New'!$D:$D,'Modelling New'!$AE:$AE),"")</f>
        <v>0.96029999999999993</v>
      </c>
      <c r="AH284" s="174">
        <f>IFERROR(_xlfn.XLOOKUP($D284,'Modelling New'!$D:$D,'Modelling New'!$AF:$AF),"")</f>
        <v>0.995</v>
      </c>
      <c r="AI284" s="177" t="str">
        <f>IFERROR(_xlfn.XLOOKUP($A284,Input_Raw!$A:$A,Input_Raw!$BQ:$BQ),"")</f>
        <v/>
      </c>
      <c r="AJ284" s="167"/>
      <c r="AK284" s="167"/>
      <c r="AL284" s="167"/>
      <c r="AM284" s="167"/>
      <c r="AN284" s="175" t="str">
        <f>IFERROR(_xlfn.XLOOKUP($A284,Input_Raw!$A:$A,Input_Raw!$BN:$BN),"")</f>
        <v/>
      </c>
      <c r="AO284" s="174" t="str">
        <f>IFERROR((_xlfn.XLOOKUP($A284,'WTG Reactive Power'!$A:$A,'WTG Reactive Power'!$AE:$AE))/Table13[[#This Row],[Gen_Exp (kWh)]],"")</f>
        <v/>
      </c>
      <c r="AP284" s="174">
        <f>IFERROR(_xlfn.XLOOKUP($D284,'Modelling New'!$D:$D,'Modelling New'!$AK:$AK),"")</f>
        <v>0.05</v>
      </c>
      <c r="AQ284" s="174">
        <f>IFERROR(_xlfn.XLOOKUP($D284,'Modelling New'!$D:$D,'Modelling New'!$AL:$AL),"")</f>
        <v>0.05</v>
      </c>
      <c r="AR284" s="276">
        <f>IFERROR(_xlfn.XLOOKUP($D284,'Modelling New'!$D:$D,'Modelling New'!$N:$N),"")</f>
        <v>70.2</v>
      </c>
      <c r="AS284" s="276"/>
    </row>
    <row r="285" spans="1:45">
      <c r="A285" s="165">
        <f t="shared" si="23"/>
        <v>46028</v>
      </c>
      <c r="B285" s="166">
        <f>YEAR(Table13[[#This Row],[Date]])+IF(MONTH(Table13[[#This Row],[Date]])&gt;=4,1,0)</f>
        <v>2026</v>
      </c>
      <c r="C285" s="167">
        <f>YEAR(Table13[[#This Row],[Date]])</f>
        <v>2026</v>
      </c>
      <c r="D285" s="168">
        <f>Table13[[#This Row],[Date]]-DAY(Table13[[#This Row],[Date]])+1</f>
        <v>46023</v>
      </c>
      <c r="E285" s="167">
        <f t="shared" si="20"/>
        <v>31</v>
      </c>
      <c r="F285" s="169"/>
      <c r="G285" s="176"/>
      <c r="H285" s="176"/>
      <c r="I285" s="176"/>
      <c r="J285" s="176"/>
      <c r="K285" s="171"/>
      <c r="L285" s="170"/>
      <c r="M285" s="170" t="str">
        <f>IFERROR(_xlfn.XLOOKUP($A285,Input_Raw!$A:$A,Input_Raw!BG:BG),"")</f>
        <v/>
      </c>
      <c r="N285" s="170" t="str">
        <f>IFERROR(_xlfn.XLOOKUP($A285,Input_Raw!$A:$A,Input_Raw!BH:BH),"")</f>
        <v/>
      </c>
      <c r="O285" s="173" t="str">
        <f t="shared" si="21"/>
        <v/>
      </c>
      <c r="P285" s="173" t="str">
        <f>IFERROR(1-SUMIF(WTG_BD!$F:$F,$A285,WTG_BD!$AA:$AA)/($AA285+SUMIF(WTG_BD!$F:$F,$A285,WTG_BD!$AA:$AA)),"")</f>
        <v/>
      </c>
      <c r="Q285" s="173" t="str">
        <f>IFERROR(1-SUMIF(IGA_BD!$F:$F,$A285,IGA_BD!$X:$X)/($AA285+SUMIF(IGA_BD!$F:$F,$A285,IGA_BD!$X:$X)),"")</f>
        <v/>
      </c>
      <c r="R285" s="173" t="str">
        <f>IFERROR(1-SUMIF(Grid_BD!$F:$F,$A285,Grid_BD!$Y:$Y)/($AA285+SUMIF(Grid_BD!$F:$F,$A285,Grid_BD!$Y:$Y)),"")</f>
        <v/>
      </c>
      <c r="S285" s="167"/>
      <c r="T285" s="172"/>
      <c r="U285" s="173"/>
      <c r="V285" s="167"/>
      <c r="W285" s="174" t="str">
        <f t="shared" si="22"/>
        <v/>
      </c>
      <c r="X285" s="167" t="str">
        <f>IFERROR(_xlfn.XLOOKUP($A285,Input_Raw!$A:$A,Input_Raw!$BF:$BF),"")</f>
        <v/>
      </c>
      <c r="Y285" s="167" t="str">
        <f>IFERROR(_xlfn.XLOOKUP($A285,Input_Raw!$A:$A,Input_Raw!BJ:BJ),"")</f>
        <v/>
      </c>
      <c r="Z285" s="167" t="str">
        <f>IFERROR(_xlfn.XLOOKUP($A285,Input_Raw!$A:$A,Input_Raw!BK:BK),"")</f>
        <v/>
      </c>
      <c r="AA285" s="167" t="str">
        <f>IFERROR(_xlfn.XLOOKUP($A285,Input_Raw!$A:$A,Input_Raw!BL:BL),"")</f>
        <v/>
      </c>
      <c r="AB285" s="167" t="str">
        <f>IFERROR(_xlfn.XLOOKUP($A285,Input_Raw!$A:$A,Input_Raw!$BO:$BO),"")</f>
        <v/>
      </c>
      <c r="AC285" s="176">
        <f>IFERROR(_xlfn.XLOOKUP($D285,'Modelling New'!$D:$D,'Modelling New'!$J:$J),"")</f>
        <v>5.57</v>
      </c>
      <c r="AD285" s="166">
        <f>IFERROR(_xlfn.XLOOKUP($D285,'Modelling New'!$D:$D,'Modelling New'!$T:$T)*1000,"")</f>
        <v>613380.19779310341</v>
      </c>
      <c r="AE285" s="174"/>
      <c r="AF285" s="174">
        <f>IFERROR(_xlfn.XLOOKUP($D285,'Modelling New'!$D:$D,'Modelling New'!$W:$W),"")</f>
        <v>0.36406706896551722</v>
      </c>
      <c r="AG285" s="174">
        <f>IFERROR(_xlfn.XLOOKUP($D285,'Modelling New'!$D:$D,'Modelling New'!$AE:$AE),"")</f>
        <v>0.96029999999999993</v>
      </c>
      <c r="AH285" s="174">
        <f>IFERROR(_xlfn.XLOOKUP($D285,'Modelling New'!$D:$D,'Modelling New'!$AF:$AF),"")</f>
        <v>0.995</v>
      </c>
      <c r="AI285" s="177" t="str">
        <f>IFERROR(_xlfn.XLOOKUP($A285,Input_Raw!$A:$A,Input_Raw!$BQ:$BQ),"")</f>
        <v/>
      </c>
      <c r="AJ285" s="167"/>
      <c r="AK285" s="167"/>
      <c r="AL285" s="167"/>
      <c r="AM285" s="167"/>
      <c r="AN285" s="175" t="str">
        <f>IFERROR(_xlfn.XLOOKUP($A285,Input_Raw!$A:$A,Input_Raw!$BN:$BN),"")</f>
        <v/>
      </c>
      <c r="AO285" s="174" t="str">
        <f>IFERROR((_xlfn.XLOOKUP($A285,'WTG Reactive Power'!$A:$A,'WTG Reactive Power'!$AE:$AE))/Table13[[#This Row],[Gen_Exp (kWh)]],"")</f>
        <v/>
      </c>
      <c r="AP285" s="174">
        <f>IFERROR(_xlfn.XLOOKUP($D285,'Modelling New'!$D:$D,'Modelling New'!$AK:$AK),"")</f>
        <v>0.05</v>
      </c>
      <c r="AQ285" s="174">
        <f>IFERROR(_xlfn.XLOOKUP($D285,'Modelling New'!$D:$D,'Modelling New'!$AL:$AL),"")</f>
        <v>0.05</v>
      </c>
      <c r="AR285" s="276">
        <f>IFERROR(_xlfn.XLOOKUP($D285,'Modelling New'!$D:$D,'Modelling New'!$N:$N),"")</f>
        <v>70.2</v>
      </c>
      <c r="AS285" s="276"/>
    </row>
    <row r="286" spans="1:45">
      <c r="A286" s="165">
        <f t="shared" si="23"/>
        <v>46029</v>
      </c>
      <c r="B286" s="166">
        <f>YEAR(Table13[[#This Row],[Date]])+IF(MONTH(Table13[[#This Row],[Date]])&gt;=4,1,0)</f>
        <v>2026</v>
      </c>
      <c r="C286" s="167">
        <f>YEAR(Table13[[#This Row],[Date]])</f>
        <v>2026</v>
      </c>
      <c r="D286" s="168">
        <f>Table13[[#This Row],[Date]]-DAY(Table13[[#This Row],[Date]])+1</f>
        <v>46023</v>
      </c>
      <c r="E286" s="167">
        <f t="shared" si="20"/>
        <v>31</v>
      </c>
      <c r="F286" s="169"/>
      <c r="G286" s="170"/>
      <c r="H286" s="170"/>
      <c r="I286" s="170"/>
      <c r="J286" s="170"/>
      <c r="K286" s="171"/>
      <c r="L286" s="170"/>
      <c r="M286" s="170" t="str">
        <f>IFERROR(_xlfn.XLOOKUP($A286,Input_Raw!$A:$A,Input_Raw!BG:BG),"")</f>
        <v/>
      </c>
      <c r="N286" s="170" t="str">
        <f>IFERROR(_xlfn.XLOOKUP($A286,Input_Raw!$A:$A,Input_Raw!BH:BH),"")</f>
        <v/>
      </c>
      <c r="O286" s="173" t="str">
        <f t="shared" si="21"/>
        <v/>
      </c>
      <c r="P286" s="173" t="str">
        <f>IFERROR(1-SUMIF(WTG_BD!$F:$F,$A286,WTG_BD!$AA:$AA)/($AA286+SUMIF(WTG_BD!$F:$F,$A286,WTG_BD!$AA:$AA)),"")</f>
        <v/>
      </c>
      <c r="Q286" s="173" t="str">
        <f>IFERROR(1-SUMIF(IGA_BD!$F:$F,$A286,IGA_BD!$X:$X)/($AA286+SUMIF(IGA_BD!$F:$F,$A286,IGA_BD!$X:$X)),"")</f>
        <v/>
      </c>
      <c r="R286" s="173" t="str">
        <f>IFERROR(1-SUMIF(Grid_BD!$F:$F,$A286,Grid_BD!$Y:$Y)/($AA286+SUMIF(Grid_BD!$F:$F,$A286,Grid_BD!$Y:$Y)),"")</f>
        <v/>
      </c>
      <c r="S286" s="167"/>
      <c r="T286" s="172"/>
      <c r="U286" s="173"/>
      <c r="V286" s="167"/>
      <c r="W286" s="174" t="str">
        <f t="shared" si="22"/>
        <v/>
      </c>
      <c r="X286" s="167" t="str">
        <f>IFERROR(_xlfn.XLOOKUP($A286,Input_Raw!$A:$A,Input_Raw!$BF:$BF),"")</f>
        <v/>
      </c>
      <c r="Y286" s="167" t="str">
        <f>IFERROR(_xlfn.XLOOKUP($A286,Input_Raw!$A:$A,Input_Raw!BJ:BJ),"")</f>
        <v/>
      </c>
      <c r="Z286" s="167" t="str">
        <f>IFERROR(_xlfn.XLOOKUP($A286,Input_Raw!$A:$A,Input_Raw!BK:BK),"")</f>
        <v/>
      </c>
      <c r="AA286" s="167" t="str">
        <f>IFERROR(_xlfn.XLOOKUP($A286,Input_Raw!$A:$A,Input_Raw!BL:BL),"")</f>
        <v/>
      </c>
      <c r="AB286" s="167" t="str">
        <f>IFERROR(_xlfn.XLOOKUP($A286,Input_Raw!$A:$A,Input_Raw!$BO:$BO),"")</f>
        <v/>
      </c>
      <c r="AC286" s="176">
        <f>IFERROR(_xlfn.XLOOKUP($D286,'Modelling New'!$D:$D,'Modelling New'!$J:$J),"")</f>
        <v>5.57</v>
      </c>
      <c r="AD286" s="166">
        <f>IFERROR(_xlfn.XLOOKUP($D286,'Modelling New'!$D:$D,'Modelling New'!$T:$T)*1000,"")</f>
        <v>613380.19779310341</v>
      </c>
      <c r="AE286" s="174"/>
      <c r="AF286" s="174">
        <f>IFERROR(_xlfn.XLOOKUP($D286,'Modelling New'!$D:$D,'Modelling New'!$W:$W),"")</f>
        <v>0.36406706896551722</v>
      </c>
      <c r="AG286" s="174">
        <f>IFERROR(_xlfn.XLOOKUP($D286,'Modelling New'!$D:$D,'Modelling New'!$AE:$AE),"")</f>
        <v>0.96029999999999993</v>
      </c>
      <c r="AH286" s="174">
        <f>IFERROR(_xlfn.XLOOKUP($D286,'Modelling New'!$D:$D,'Modelling New'!$AF:$AF),"")</f>
        <v>0.995</v>
      </c>
      <c r="AI286" s="177" t="str">
        <f>IFERROR(_xlfn.XLOOKUP($A286,Input_Raw!$A:$A,Input_Raw!$BQ:$BQ),"")</f>
        <v/>
      </c>
      <c r="AJ286" s="167"/>
      <c r="AK286" s="167"/>
      <c r="AL286" s="167"/>
      <c r="AM286" s="167"/>
      <c r="AN286" s="175" t="str">
        <f>IFERROR(_xlfn.XLOOKUP($A286,Input_Raw!$A:$A,Input_Raw!$BN:$BN),"")</f>
        <v/>
      </c>
      <c r="AO286" s="174" t="str">
        <f>IFERROR((_xlfn.XLOOKUP($A286,'WTG Reactive Power'!$A:$A,'WTG Reactive Power'!$AE:$AE))/Table13[[#This Row],[Gen_Exp (kWh)]],"")</f>
        <v/>
      </c>
      <c r="AP286" s="174">
        <f>IFERROR(_xlfn.XLOOKUP($D286,'Modelling New'!$D:$D,'Modelling New'!$AK:$AK),"")</f>
        <v>0.05</v>
      </c>
      <c r="AQ286" s="174">
        <f>IFERROR(_xlfn.XLOOKUP($D286,'Modelling New'!$D:$D,'Modelling New'!$AL:$AL),"")</f>
        <v>0.05</v>
      </c>
      <c r="AR286" s="276">
        <f>IFERROR(_xlfn.XLOOKUP($D286,'Modelling New'!$D:$D,'Modelling New'!$N:$N),"")</f>
        <v>70.2</v>
      </c>
      <c r="AS286" s="276"/>
    </row>
    <row r="287" spans="1:45">
      <c r="A287" s="165">
        <f t="shared" si="23"/>
        <v>46030</v>
      </c>
      <c r="B287" s="166">
        <f>YEAR(Table13[[#This Row],[Date]])+IF(MONTH(Table13[[#This Row],[Date]])&gt;=4,1,0)</f>
        <v>2026</v>
      </c>
      <c r="C287" s="167">
        <f>YEAR(Table13[[#This Row],[Date]])</f>
        <v>2026</v>
      </c>
      <c r="D287" s="168">
        <f>Table13[[#This Row],[Date]]-DAY(Table13[[#This Row],[Date]])+1</f>
        <v>46023</v>
      </c>
      <c r="E287" s="167">
        <f t="shared" si="20"/>
        <v>31</v>
      </c>
      <c r="F287" s="169"/>
      <c r="G287" s="176"/>
      <c r="H287" s="176"/>
      <c r="I287" s="176"/>
      <c r="J287" s="176"/>
      <c r="K287" s="171"/>
      <c r="L287" s="170"/>
      <c r="M287" s="170" t="str">
        <f>IFERROR(_xlfn.XLOOKUP($A287,Input_Raw!$A:$A,Input_Raw!BG:BG),"")</f>
        <v/>
      </c>
      <c r="N287" s="170" t="str">
        <f>IFERROR(_xlfn.XLOOKUP($A287,Input_Raw!$A:$A,Input_Raw!BH:BH),"")</f>
        <v/>
      </c>
      <c r="O287" s="173" t="str">
        <f t="shared" si="21"/>
        <v/>
      </c>
      <c r="P287" s="173" t="str">
        <f>IFERROR(1-SUMIF(WTG_BD!$F:$F,$A287,WTG_BD!$AA:$AA)/($AA287+SUMIF(WTG_BD!$F:$F,$A287,WTG_BD!$AA:$AA)),"")</f>
        <v/>
      </c>
      <c r="Q287" s="173" t="str">
        <f>IFERROR(1-SUMIF(IGA_BD!$F:$F,$A287,IGA_BD!$X:$X)/($AA287+SUMIF(IGA_BD!$F:$F,$A287,IGA_BD!$X:$X)),"")</f>
        <v/>
      </c>
      <c r="R287" s="173" t="str">
        <f>IFERROR(1-SUMIF(Grid_BD!$F:$F,$A287,Grid_BD!$Y:$Y)/($AA287+SUMIF(Grid_BD!$F:$F,$A287,Grid_BD!$Y:$Y)),"")</f>
        <v/>
      </c>
      <c r="S287" s="167"/>
      <c r="T287" s="172"/>
      <c r="U287" s="173"/>
      <c r="V287" s="167"/>
      <c r="W287" s="174" t="str">
        <f t="shared" si="22"/>
        <v/>
      </c>
      <c r="X287" s="167" t="str">
        <f>IFERROR(_xlfn.XLOOKUP($A287,Input_Raw!$A:$A,Input_Raw!$BF:$BF),"")</f>
        <v/>
      </c>
      <c r="Y287" s="167" t="str">
        <f>IFERROR(_xlfn.XLOOKUP($A287,Input_Raw!$A:$A,Input_Raw!BJ:BJ),"")</f>
        <v/>
      </c>
      <c r="Z287" s="167" t="str">
        <f>IFERROR(_xlfn.XLOOKUP($A287,Input_Raw!$A:$A,Input_Raw!BK:BK),"")</f>
        <v/>
      </c>
      <c r="AA287" s="167" t="str">
        <f>IFERROR(_xlfn.XLOOKUP($A287,Input_Raw!$A:$A,Input_Raw!BL:BL),"")</f>
        <v/>
      </c>
      <c r="AB287" s="167" t="str">
        <f>IFERROR(_xlfn.XLOOKUP($A287,Input_Raw!$A:$A,Input_Raw!$BO:$BO),"")</f>
        <v/>
      </c>
      <c r="AC287" s="176">
        <f>IFERROR(_xlfn.XLOOKUP($D287,'Modelling New'!$D:$D,'Modelling New'!$J:$J),"")</f>
        <v>5.57</v>
      </c>
      <c r="AD287" s="166">
        <f>IFERROR(_xlfn.XLOOKUP($D287,'Modelling New'!$D:$D,'Modelling New'!$T:$T)*1000,"")</f>
        <v>613380.19779310341</v>
      </c>
      <c r="AE287" s="174"/>
      <c r="AF287" s="174">
        <f>IFERROR(_xlfn.XLOOKUP($D287,'Modelling New'!$D:$D,'Modelling New'!$W:$W),"")</f>
        <v>0.36406706896551722</v>
      </c>
      <c r="AG287" s="174">
        <f>IFERROR(_xlfn.XLOOKUP($D287,'Modelling New'!$D:$D,'Modelling New'!$AE:$AE),"")</f>
        <v>0.96029999999999993</v>
      </c>
      <c r="AH287" s="174">
        <f>IFERROR(_xlfn.XLOOKUP($D287,'Modelling New'!$D:$D,'Modelling New'!$AF:$AF),"")</f>
        <v>0.995</v>
      </c>
      <c r="AI287" s="177" t="str">
        <f>IFERROR(_xlfn.XLOOKUP($A287,Input_Raw!$A:$A,Input_Raw!$BQ:$BQ),"")</f>
        <v/>
      </c>
      <c r="AJ287" s="167"/>
      <c r="AK287" s="167"/>
      <c r="AL287" s="167"/>
      <c r="AM287" s="167"/>
      <c r="AN287" s="175" t="str">
        <f>IFERROR(_xlfn.XLOOKUP($A287,Input_Raw!$A:$A,Input_Raw!$BN:$BN),"")</f>
        <v/>
      </c>
      <c r="AO287" s="174" t="str">
        <f>IFERROR((_xlfn.XLOOKUP($A287,'WTG Reactive Power'!$A:$A,'WTG Reactive Power'!$AE:$AE))/Table13[[#This Row],[Gen_Exp (kWh)]],"")</f>
        <v/>
      </c>
      <c r="AP287" s="174">
        <f>IFERROR(_xlfn.XLOOKUP($D287,'Modelling New'!$D:$D,'Modelling New'!$AK:$AK),"")</f>
        <v>0.05</v>
      </c>
      <c r="AQ287" s="174">
        <f>IFERROR(_xlfn.XLOOKUP($D287,'Modelling New'!$D:$D,'Modelling New'!$AL:$AL),"")</f>
        <v>0.05</v>
      </c>
      <c r="AR287" s="276">
        <f>IFERROR(_xlfn.XLOOKUP($D287,'Modelling New'!$D:$D,'Modelling New'!$N:$N),"")</f>
        <v>70.2</v>
      </c>
      <c r="AS287" s="276"/>
    </row>
    <row r="288" spans="1:45">
      <c r="A288" s="165">
        <f t="shared" si="23"/>
        <v>46031</v>
      </c>
      <c r="B288" s="166">
        <f>YEAR(Table13[[#This Row],[Date]])+IF(MONTH(Table13[[#This Row],[Date]])&gt;=4,1,0)</f>
        <v>2026</v>
      </c>
      <c r="C288" s="167">
        <f>YEAR(Table13[[#This Row],[Date]])</f>
        <v>2026</v>
      </c>
      <c r="D288" s="168">
        <f>Table13[[#This Row],[Date]]-DAY(Table13[[#This Row],[Date]])+1</f>
        <v>46023</v>
      </c>
      <c r="E288" s="167">
        <f t="shared" si="20"/>
        <v>31</v>
      </c>
      <c r="F288" s="169"/>
      <c r="G288" s="170"/>
      <c r="H288" s="170"/>
      <c r="I288" s="170"/>
      <c r="J288" s="170"/>
      <c r="K288" s="171"/>
      <c r="L288" s="170"/>
      <c r="M288" s="170" t="str">
        <f>IFERROR(_xlfn.XLOOKUP($A288,Input_Raw!$A:$A,Input_Raw!BG:BG),"")</f>
        <v/>
      </c>
      <c r="N288" s="170" t="str">
        <f>IFERROR(_xlfn.XLOOKUP($A288,Input_Raw!$A:$A,Input_Raw!BH:BH),"")</f>
        <v/>
      </c>
      <c r="O288" s="173" t="str">
        <f t="shared" si="21"/>
        <v/>
      </c>
      <c r="P288" s="173" t="str">
        <f>IFERROR(1-SUMIF(WTG_BD!$F:$F,$A288,WTG_BD!$AA:$AA)/($AA288+SUMIF(WTG_BD!$F:$F,$A288,WTG_BD!$AA:$AA)),"")</f>
        <v/>
      </c>
      <c r="Q288" s="173" t="str">
        <f>IFERROR(1-SUMIF(IGA_BD!$F:$F,$A288,IGA_BD!$X:$X)/($AA288+SUMIF(IGA_BD!$F:$F,$A288,IGA_BD!$X:$X)),"")</f>
        <v/>
      </c>
      <c r="R288" s="173" t="str">
        <f>IFERROR(1-SUMIF(Grid_BD!$F:$F,$A288,Grid_BD!$Y:$Y)/($AA288+SUMIF(Grid_BD!$F:$F,$A288,Grid_BD!$Y:$Y)),"")</f>
        <v/>
      </c>
      <c r="S288" s="167"/>
      <c r="T288" s="172"/>
      <c r="U288" s="173"/>
      <c r="V288" s="167"/>
      <c r="W288" s="174" t="str">
        <f t="shared" si="22"/>
        <v/>
      </c>
      <c r="X288" s="167" t="str">
        <f>IFERROR(_xlfn.XLOOKUP($A288,Input_Raw!$A:$A,Input_Raw!$BF:$BF),"")</f>
        <v/>
      </c>
      <c r="Y288" s="167" t="str">
        <f>IFERROR(_xlfn.XLOOKUP($A288,Input_Raw!$A:$A,Input_Raw!BJ:BJ),"")</f>
        <v/>
      </c>
      <c r="Z288" s="167" t="str">
        <f>IFERROR(_xlfn.XLOOKUP($A288,Input_Raw!$A:$A,Input_Raw!BK:BK),"")</f>
        <v/>
      </c>
      <c r="AA288" s="167" t="str">
        <f>IFERROR(_xlfn.XLOOKUP($A288,Input_Raw!$A:$A,Input_Raw!BL:BL),"")</f>
        <v/>
      </c>
      <c r="AB288" s="167" t="str">
        <f>IFERROR(_xlfn.XLOOKUP($A288,Input_Raw!$A:$A,Input_Raw!$BO:$BO),"")</f>
        <v/>
      </c>
      <c r="AC288" s="176">
        <f>IFERROR(_xlfn.XLOOKUP($D288,'Modelling New'!$D:$D,'Modelling New'!$J:$J),"")</f>
        <v>5.57</v>
      </c>
      <c r="AD288" s="166">
        <f>IFERROR(_xlfn.XLOOKUP($D288,'Modelling New'!$D:$D,'Modelling New'!$T:$T)*1000,"")</f>
        <v>613380.19779310341</v>
      </c>
      <c r="AE288" s="174"/>
      <c r="AF288" s="174">
        <f>IFERROR(_xlfn.XLOOKUP($D288,'Modelling New'!$D:$D,'Modelling New'!$W:$W),"")</f>
        <v>0.36406706896551722</v>
      </c>
      <c r="AG288" s="174">
        <f>IFERROR(_xlfn.XLOOKUP($D288,'Modelling New'!$D:$D,'Modelling New'!$AE:$AE),"")</f>
        <v>0.96029999999999993</v>
      </c>
      <c r="AH288" s="174">
        <f>IFERROR(_xlfn.XLOOKUP($D288,'Modelling New'!$D:$D,'Modelling New'!$AF:$AF),"")</f>
        <v>0.995</v>
      </c>
      <c r="AI288" s="177" t="str">
        <f>IFERROR(_xlfn.XLOOKUP($A288,Input_Raw!$A:$A,Input_Raw!$BQ:$BQ),"")</f>
        <v/>
      </c>
      <c r="AJ288" s="167"/>
      <c r="AK288" s="167"/>
      <c r="AL288" s="167"/>
      <c r="AM288" s="167"/>
      <c r="AN288" s="175" t="str">
        <f>IFERROR(_xlfn.XLOOKUP($A288,Input_Raw!$A:$A,Input_Raw!$BN:$BN),"")</f>
        <v/>
      </c>
      <c r="AO288" s="174" t="str">
        <f>IFERROR((_xlfn.XLOOKUP($A288,'WTG Reactive Power'!$A:$A,'WTG Reactive Power'!$AE:$AE))/Table13[[#This Row],[Gen_Exp (kWh)]],"")</f>
        <v/>
      </c>
      <c r="AP288" s="174">
        <f>IFERROR(_xlfn.XLOOKUP($D288,'Modelling New'!$D:$D,'Modelling New'!$AK:$AK),"")</f>
        <v>0.05</v>
      </c>
      <c r="AQ288" s="174">
        <f>IFERROR(_xlfn.XLOOKUP($D288,'Modelling New'!$D:$D,'Modelling New'!$AL:$AL),"")</f>
        <v>0.05</v>
      </c>
      <c r="AR288" s="276">
        <f>IFERROR(_xlfn.XLOOKUP($D288,'Modelling New'!$D:$D,'Modelling New'!$N:$N),"")</f>
        <v>70.2</v>
      </c>
      <c r="AS288" s="276"/>
    </row>
    <row r="289" spans="1:45">
      <c r="A289" s="165">
        <f t="shared" si="23"/>
        <v>46032</v>
      </c>
      <c r="B289" s="166">
        <f>YEAR(Table13[[#This Row],[Date]])+IF(MONTH(Table13[[#This Row],[Date]])&gt;=4,1,0)</f>
        <v>2026</v>
      </c>
      <c r="C289" s="167">
        <f>YEAR(Table13[[#This Row],[Date]])</f>
        <v>2026</v>
      </c>
      <c r="D289" s="168">
        <f>Table13[[#This Row],[Date]]-DAY(Table13[[#This Row],[Date]])+1</f>
        <v>46023</v>
      </c>
      <c r="E289" s="167">
        <f t="shared" si="20"/>
        <v>31</v>
      </c>
      <c r="F289" s="169"/>
      <c r="G289" s="176"/>
      <c r="H289" s="176"/>
      <c r="I289" s="176"/>
      <c r="J289" s="176"/>
      <c r="K289" s="171"/>
      <c r="L289" s="170"/>
      <c r="M289" s="170" t="str">
        <f>IFERROR(_xlfn.XLOOKUP($A289,Input_Raw!$A:$A,Input_Raw!BG:BG),"")</f>
        <v/>
      </c>
      <c r="N289" s="170" t="str">
        <f>IFERROR(_xlfn.XLOOKUP($A289,Input_Raw!$A:$A,Input_Raw!BH:BH),"")</f>
        <v/>
      </c>
      <c r="O289" s="173" t="str">
        <f t="shared" si="21"/>
        <v/>
      </c>
      <c r="P289" s="173" t="str">
        <f>IFERROR(1-SUMIF(WTG_BD!$F:$F,$A289,WTG_BD!$AA:$AA)/($AA289+SUMIF(WTG_BD!$F:$F,$A289,WTG_BD!$AA:$AA)),"")</f>
        <v/>
      </c>
      <c r="Q289" s="173" t="str">
        <f>IFERROR(1-SUMIF(IGA_BD!$F:$F,$A289,IGA_BD!$X:$X)/($AA289+SUMIF(IGA_BD!$F:$F,$A289,IGA_BD!$X:$X)),"")</f>
        <v/>
      </c>
      <c r="R289" s="173" t="str">
        <f>IFERROR(1-SUMIF(Grid_BD!$F:$F,$A289,Grid_BD!$Y:$Y)/($AA289+SUMIF(Grid_BD!$F:$F,$A289,Grid_BD!$Y:$Y)),"")</f>
        <v/>
      </c>
      <c r="S289" s="167"/>
      <c r="T289" s="172"/>
      <c r="U289" s="173"/>
      <c r="V289" s="167"/>
      <c r="W289" s="174" t="str">
        <f t="shared" si="22"/>
        <v/>
      </c>
      <c r="X289" s="167" t="str">
        <f>IFERROR(_xlfn.XLOOKUP($A289,Input_Raw!$A:$A,Input_Raw!$BF:$BF),"")</f>
        <v/>
      </c>
      <c r="Y289" s="167" t="str">
        <f>IFERROR(_xlfn.XLOOKUP($A289,Input_Raw!$A:$A,Input_Raw!BJ:BJ),"")</f>
        <v/>
      </c>
      <c r="Z289" s="167" t="str">
        <f>IFERROR(_xlfn.XLOOKUP($A289,Input_Raw!$A:$A,Input_Raw!BK:BK),"")</f>
        <v/>
      </c>
      <c r="AA289" s="167" t="str">
        <f>IFERROR(_xlfn.XLOOKUP($A289,Input_Raw!$A:$A,Input_Raw!BL:BL),"")</f>
        <v/>
      </c>
      <c r="AB289" s="167" t="str">
        <f>IFERROR(_xlfn.XLOOKUP($A289,Input_Raw!$A:$A,Input_Raw!$BO:$BO),"")</f>
        <v/>
      </c>
      <c r="AC289" s="176">
        <f>IFERROR(_xlfn.XLOOKUP($D289,'Modelling New'!$D:$D,'Modelling New'!$J:$J),"")</f>
        <v>5.57</v>
      </c>
      <c r="AD289" s="166">
        <f>IFERROR(_xlfn.XLOOKUP($D289,'Modelling New'!$D:$D,'Modelling New'!$T:$T)*1000,"")</f>
        <v>613380.19779310341</v>
      </c>
      <c r="AE289" s="174"/>
      <c r="AF289" s="174">
        <f>IFERROR(_xlfn.XLOOKUP($D289,'Modelling New'!$D:$D,'Modelling New'!$W:$W),"")</f>
        <v>0.36406706896551722</v>
      </c>
      <c r="AG289" s="174">
        <f>IFERROR(_xlfn.XLOOKUP($D289,'Modelling New'!$D:$D,'Modelling New'!$AE:$AE),"")</f>
        <v>0.96029999999999993</v>
      </c>
      <c r="AH289" s="174">
        <f>IFERROR(_xlfn.XLOOKUP($D289,'Modelling New'!$D:$D,'Modelling New'!$AF:$AF),"")</f>
        <v>0.995</v>
      </c>
      <c r="AI289" s="177" t="str">
        <f>IFERROR(_xlfn.XLOOKUP($A289,Input_Raw!$A:$A,Input_Raw!$BQ:$BQ),"")</f>
        <v/>
      </c>
      <c r="AJ289" s="167"/>
      <c r="AK289" s="167"/>
      <c r="AL289" s="167"/>
      <c r="AM289" s="167"/>
      <c r="AN289" s="175" t="str">
        <f>IFERROR(_xlfn.XLOOKUP($A289,Input_Raw!$A:$A,Input_Raw!$BN:$BN),"")</f>
        <v/>
      </c>
      <c r="AO289" s="174" t="str">
        <f>IFERROR((_xlfn.XLOOKUP($A289,'WTG Reactive Power'!$A:$A,'WTG Reactive Power'!$AE:$AE))/Table13[[#This Row],[Gen_Exp (kWh)]],"")</f>
        <v/>
      </c>
      <c r="AP289" s="174">
        <f>IFERROR(_xlfn.XLOOKUP($D289,'Modelling New'!$D:$D,'Modelling New'!$AK:$AK),"")</f>
        <v>0.05</v>
      </c>
      <c r="AQ289" s="174">
        <f>IFERROR(_xlfn.XLOOKUP($D289,'Modelling New'!$D:$D,'Modelling New'!$AL:$AL),"")</f>
        <v>0.05</v>
      </c>
      <c r="AR289" s="276">
        <f>IFERROR(_xlfn.XLOOKUP($D289,'Modelling New'!$D:$D,'Modelling New'!$N:$N),"")</f>
        <v>70.2</v>
      </c>
      <c r="AS289" s="276"/>
    </row>
    <row r="290" spans="1:45">
      <c r="A290" s="165">
        <f t="shared" si="23"/>
        <v>46033</v>
      </c>
      <c r="B290" s="166">
        <f>YEAR(Table13[[#This Row],[Date]])+IF(MONTH(Table13[[#This Row],[Date]])&gt;=4,1,0)</f>
        <v>2026</v>
      </c>
      <c r="C290" s="167">
        <f>YEAR(Table13[[#This Row],[Date]])</f>
        <v>2026</v>
      </c>
      <c r="D290" s="168">
        <f>Table13[[#This Row],[Date]]-DAY(Table13[[#This Row],[Date]])+1</f>
        <v>46023</v>
      </c>
      <c r="E290" s="167">
        <f t="shared" si="20"/>
        <v>31</v>
      </c>
      <c r="F290" s="169"/>
      <c r="G290" s="170"/>
      <c r="H290" s="170"/>
      <c r="I290" s="170"/>
      <c r="J290" s="170"/>
      <c r="K290" s="171"/>
      <c r="L290" s="170"/>
      <c r="M290" s="170" t="str">
        <f>IFERROR(_xlfn.XLOOKUP($A290,Input_Raw!$A:$A,Input_Raw!BG:BG),"")</f>
        <v/>
      </c>
      <c r="N290" s="170" t="str">
        <f>IFERROR(_xlfn.XLOOKUP($A290,Input_Raw!$A:$A,Input_Raw!BH:BH),"")</f>
        <v/>
      </c>
      <c r="O290" s="173" t="str">
        <f t="shared" si="21"/>
        <v/>
      </c>
      <c r="P290" s="173" t="str">
        <f>IFERROR(1-SUMIF(WTG_BD!$F:$F,$A290,WTG_BD!$AA:$AA)/($AA290+SUMIF(WTG_BD!$F:$F,$A290,WTG_BD!$AA:$AA)),"")</f>
        <v/>
      </c>
      <c r="Q290" s="173" t="str">
        <f>IFERROR(1-SUMIF(IGA_BD!$F:$F,$A290,IGA_BD!$X:$X)/($AA290+SUMIF(IGA_BD!$F:$F,$A290,IGA_BD!$X:$X)),"")</f>
        <v/>
      </c>
      <c r="R290" s="173" t="str">
        <f>IFERROR(1-SUMIF(Grid_BD!$F:$F,$A290,Grid_BD!$Y:$Y)/($AA290+SUMIF(Grid_BD!$F:$F,$A290,Grid_BD!$Y:$Y)),"")</f>
        <v/>
      </c>
      <c r="S290" s="167"/>
      <c r="T290" s="172"/>
      <c r="U290" s="173"/>
      <c r="V290" s="167"/>
      <c r="W290" s="174" t="str">
        <f t="shared" si="22"/>
        <v/>
      </c>
      <c r="X290" s="167" t="str">
        <f>IFERROR(_xlfn.XLOOKUP($A290,Input_Raw!$A:$A,Input_Raw!$BF:$BF),"")</f>
        <v/>
      </c>
      <c r="Y290" s="167" t="str">
        <f>IFERROR(_xlfn.XLOOKUP($A290,Input_Raw!$A:$A,Input_Raw!BJ:BJ),"")</f>
        <v/>
      </c>
      <c r="Z290" s="167" t="str">
        <f>IFERROR(_xlfn.XLOOKUP($A290,Input_Raw!$A:$A,Input_Raw!BK:BK),"")</f>
        <v/>
      </c>
      <c r="AA290" s="167" t="str">
        <f>IFERROR(_xlfn.XLOOKUP($A290,Input_Raw!$A:$A,Input_Raw!BL:BL),"")</f>
        <v/>
      </c>
      <c r="AB290" s="167" t="str">
        <f>IFERROR(_xlfn.XLOOKUP($A290,Input_Raw!$A:$A,Input_Raw!$BO:$BO),"")</f>
        <v/>
      </c>
      <c r="AC290" s="176">
        <f>IFERROR(_xlfn.XLOOKUP($D290,'Modelling New'!$D:$D,'Modelling New'!$J:$J),"")</f>
        <v>5.57</v>
      </c>
      <c r="AD290" s="166">
        <f>IFERROR(_xlfn.XLOOKUP($D290,'Modelling New'!$D:$D,'Modelling New'!$T:$T)*1000,"")</f>
        <v>613380.19779310341</v>
      </c>
      <c r="AE290" s="174"/>
      <c r="AF290" s="174">
        <f>IFERROR(_xlfn.XLOOKUP($D290,'Modelling New'!$D:$D,'Modelling New'!$W:$W),"")</f>
        <v>0.36406706896551722</v>
      </c>
      <c r="AG290" s="174">
        <f>IFERROR(_xlfn.XLOOKUP($D290,'Modelling New'!$D:$D,'Modelling New'!$AE:$AE),"")</f>
        <v>0.96029999999999993</v>
      </c>
      <c r="AH290" s="174">
        <f>IFERROR(_xlfn.XLOOKUP($D290,'Modelling New'!$D:$D,'Modelling New'!$AF:$AF),"")</f>
        <v>0.995</v>
      </c>
      <c r="AI290" s="177" t="str">
        <f>IFERROR(_xlfn.XLOOKUP($A290,Input_Raw!$A:$A,Input_Raw!$BQ:$BQ),"")</f>
        <v/>
      </c>
      <c r="AJ290" s="167"/>
      <c r="AK290" s="167"/>
      <c r="AL290" s="167"/>
      <c r="AM290" s="167"/>
      <c r="AN290" s="175" t="str">
        <f>IFERROR(_xlfn.XLOOKUP($A290,Input_Raw!$A:$A,Input_Raw!$BN:$BN),"")</f>
        <v/>
      </c>
      <c r="AO290" s="174" t="str">
        <f>IFERROR((_xlfn.XLOOKUP($A290,'WTG Reactive Power'!$A:$A,'WTG Reactive Power'!$AE:$AE))/Table13[[#This Row],[Gen_Exp (kWh)]],"")</f>
        <v/>
      </c>
      <c r="AP290" s="174">
        <f>IFERROR(_xlfn.XLOOKUP($D290,'Modelling New'!$D:$D,'Modelling New'!$AK:$AK),"")</f>
        <v>0.05</v>
      </c>
      <c r="AQ290" s="174">
        <f>IFERROR(_xlfn.XLOOKUP($D290,'Modelling New'!$D:$D,'Modelling New'!$AL:$AL),"")</f>
        <v>0.05</v>
      </c>
      <c r="AR290" s="276">
        <f>IFERROR(_xlfn.XLOOKUP($D290,'Modelling New'!$D:$D,'Modelling New'!$N:$N),"")</f>
        <v>70.2</v>
      </c>
      <c r="AS290" s="276"/>
    </row>
    <row r="291" spans="1:45">
      <c r="A291" s="165">
        <f t="shared" si="23"/>
        <v>46034</v>
      </c>
      <c r="B291" s="166">
        <f>YEAR(Table13[[#This Row],[Date]])+IF(MONTH(Table13[[#This Row],[Date]])&gt;=4,1,0)</f>
        <v>2026</v>
      </c>
      <c r="C291" s="167">
        <f>YEAR(Table13[[#This Row],[Date]])</f>
        <v>2026</v>
      </c>
      <c r="D291" s="168">
        <f>Table13[[#This Row],[Date]]-DAY(Table13[[#This Row],[Date]])+1</f>
        <v>46023</v>
      </c>
      <c r="E291" s="167">
        <f t="shared" si="20"/>
        <v>31</v>
      </c>
      <c r="F291" s="169"/>
      <c r="G291" s="176"/>
      <c r="H291" s="176"/>
      <c r="I291" s="176"/>
      <c r="J291" s="176"/>
      <c r="K291" s="171"/>
      <c r="L291" s="170"/>
      <c r="M291" s="170" t="str">
        <f>IFERROR(_xlfn.XLOOKUP($A291,Input_Raw!$A:$A,Input_Raw!BG:BG),"")</f>
        <v/>
      </c>
      <c r="N291" s="170" t="str">
        <f>IFERROR(_xlfn.XLOOKUP($A291,Input_Raw!$A:$A,Input_Raw!BH:BH),"")</f>
        <v/>
      </c>
      <c r="O291" s="173" t="str">
        <f t="shared" si="21"/>
        <v/>
      </c>
      <c r="P291" s="173" t="str">
        <f>IFERROR(1-SUMIF(WTG_BD!$F:$F,$A291,WTG_BD!$AA:$AA)/($AA291+SUMIF(WTG_BD!$F:$F,$A291,WTG_BD!$AA:$AA)),"")</f>
        <v/>
      </c>
      <c r="Q291" s="173" t="str">
        <f>IFERROR(1-SUMIF(IGA_BD!$F:$F,$A291,IGA_BD!$X:$X)/($AA291+SUMIF(IGA_BD!$F:$F,$A291,IGA_BD!$X:$X)),"")</f>
        <v/>
      </c>
      <c r="R291" s="173" t="str">
        <f>IFERROR(1-SUMIF(Grid_BD!$F:$F,$A291,Grid_BD!$Y:$Y)/($AA291+SUMIF(Grid_BD!$F:$F,$A291,Grid_BD!$Y:$Y)),"")</f>
        <v/>
      </c>
      <c r="S291" s="167"/>
      <c r="T291" s="172"/>
      <c r="U291" s="173"/>
      <c r="V291" s="167"/>
      <c r="W291" s="174" t="str">
        <f t="shared" si="22"/>
        <v/>
      </c>
      <c r="X291" s="167" t="str">
        <f>IFERROR(_xlfn.XLOOKUP($A291,Input_Raw!$A:$A,Input_Raw!$BF:$BF),"")</f>
        <v/>
      </c>
      <c r="Y291" s="167" t="str">
        <f>IFERROR(_xlfn.XLOOKUP($A291,Input_Raw!$A:$A,Input_Raw!BJ:BJ),"")</f>
        <v/>
      </c>
      <c r="Z291" s="167" t="str">
        <f>IFERROR(_xlfn.XLOOKUP($A291,Input_Raw!$A:$A,Input_Raw!BK:BK),"")</f>
        <v/>
      </c>
      <c r="AA291" s="167" t="str">
        <f>IFERROR(_xlfn.XLOOKUP($A291,Input_Raw!$A:$A,Input_Raw!BL:BL),"")</f>
        <v/>
      </c>
      <c r="AB291" s="167" t="str">
        <f>IFERROR(_xlfn.XLOOKUP($A291,Input_Raw!$A:$A,Input_Raw!$BO:$BO),"")</f>
        <v/>
      </c>
      <c r="AC291" s="176">
        <f>IFERROR(_xlfn.XLOOKUP($D291,'Modelling New'!$D:$D,'Modelling New'!$J:$J),"")</f>
        <v>5.57</v>
      </c>
      <c r="AD291" s="166">
        <f>IFERROR(_xlfn.XLOOKUP($D291,'Modelling New'!$D:$D,'Modelling New'!$T:$T)*1000,"")</f>
        <v>613380.19779310341</v>
      </c>
      <c r="AE291" s="174"/>
      <c r="AF291" s="174">
        <f>IFERROR(_xlfn.XLOOKUP($D291,'Modelling New'!$D:$D,'Modelling New'!$W:$W),"")</f>
        <v>0.36406706896551722</v>
      </c>
      <c r="AG291" s="174">
        <f>IFERROR(_xlfn.XLOOKUP($D291,'Modelling New'!$D:$D,'Modelling New'!$AE:$AE),"")</f>
        <v>0.96029999999999993</v>
      </c>
      <c r="AH291" s="174">
        <f>IFERROR(_xlfn.XLOOKUP($D291,'Modelling New'!$D:$D,'Modelling New'!$AF:$AF),"")</f>
        <v>0.995</v>
      </c>
      <c r="AI291" s="177" t="str">
        <f>IFERROR(_xlfn.XLOOKUP($A291,Input_Raw!$A:$A,Input_Raw!$BQ:$BQ),"")</f>
        <v/>
      </c>
      <c r="AJ291" s="167"/>
      <c r="AK291" s="167"/>
      <c r="AL291" s="167"/>
      <c r="AM291" s="167"/>
      <c r="AN291" s="175" t="str">
        <f>IFERROR(_xlfn.XLOOKUP($A291,Input_Raw!$A:$A,Input_Raw!$BN:$BN),"")</f>
        <v/>
      </c>
      <c r="AO291" s="174" t="str">
        <f>IFERROR((_xlfn.XLOOKUP($A291,'WTG Reactive Power'!$A:$A,'WTG Reactive Power'!$AE:$AE))/Table13[[#This Row],[Gen_Exp (kWh)]],"")</f>
        <v/>
      </c>
      <c r="AP291" s="174">
        <f>IFERROR(_xlfn.XLOOKUP($D291,'Modelling New'!$D:$D,'Modelling New'!$AK:$AK),"")</f>
        <v>0.05</v>
      </c>
      <c r="AQ291" s="174">
        <f>IFERROR(_xlfn.XLOOKUP($D291,'Modelling New'!$D:$D,'Modelling New'!$AL:$AL),"")</f>
        <v>0.05</v>
      </c>
      <c r="AR291" s="276">
        <f>IFERROR(_xlfn.XLOOKUP($D291,'Modelling New'!$D:$D,'Modelling New'!$N:$N),"")</f>
        <v>70.2</v>
      </c>
      <c r="AS291" s="276"/>
    </row>
    <row r="292" spans="1:45">
      <c r="A292" s="165">
        <f t="shared" si="23"/>
        <v>46035</v>
      </c>
      <c r="B292" s="166">
        <f>YEAR(Table13[[#This Row],[Date]])+IF(MONTH(Table13[[#This Row],[Date]])&gt;=4,1,0)</f>
        <v>2026</v>
      </c>
      <c r="C292" s="167">
        <f>YEAR(Table13[[#This Row],[Date]])</f>
        <v>2026</v>
      </c>
      <c r="D292" s="168">
        <f>Table13[[#This Row],[Date]]-DAY(Table13[[#This Row],[Date]])+1</f>
        <v>46023</v>
      </c>
      <c r="E292" s="167">
        <f t="shared" si="20"/>
        <v>31</v>
      </c>
      <c r="F292" s="169"/>
      <c r="G292" s="170"/>
      <c r="H292" s="170"/>
      <c r="I292" s="170"/>
      <c r="J292" s="170"/>
      <c r="K292" s="171"/>
      <c r="L292" s="170"/>
      <c r="M292" s="170" t="str">
        <f>IFERROR(_xlfn.XLOOKUP($A292,Input_Raw!$A:$A,Input_Raw!BG:BG),"")</f>
        <v/>
      </c>
      <c r="N292" s="170" t="str">
        <f>IFERROR(_xlfn.XLOOKUP($A292,Input_Raw!$A:$A,Input_Raw!BH:BH),"")</f>
        <v/>
      </c>
      <c r="O292" s="173" t="str">
        <f t="shared" si="21"/>
        <v/>
      </c>
      <c r="P292" s="173" t="str">
        <f>IFERROR(1-SUMIF(WTG_BD!$F:$F,$A292,WTG_BD!$AA:$AA)/($AA292+SUMIF(WTG_BD!$F:$F,$A292,WTG_BD!$AA:$AA)),"")</f>
        <v/>
      </c>
      <c r="Q292" s="173" t="str">
        <f>IFERROR(1-SUMIF(IGA_BD!$F:$F,$A292,IGA_BD!$X:$X)/($AA292+SUMIF(IGA_BD!$F:$F,$A292,IGA_BD!$X:$X)),"")</f>
        <v/>
      </c>
      <c r="R292" s="173" t="str">
        <f>IFERROR(1-SUMIF(Grid_BD!$F:$F,$A292,Grid_BD!$Y:$Y)/($AA292+SUMIF(Grid_BD!$F:$F,$A292,Grid_BD!$Y:$Y)),"")</f>
        <v/>
      </c>
      <c r="S292" s="167"/>
      <c r="T292" s="172"/>
      <c r="U292" s="173"/>
      <c r="V292" s="167"/>
      <c r="W292" s="174" t="str">
        <f t="shared" si="22"/>
        <v/>
      </c>
      <c r="X292" s="167" t="str">
        <f>IFERROR(_xlfn.XLOOKUP($A292,Input_Raw!$A:$A,Input_Raw!$BF:$BF),"")</f>
        <v/>
      </c>
      <c r="Y292" s="167" t="str">
        <f>IFERROR(_xlfn.XLOOKUP($A292,Input_Raw!$A:$A,Input_Raw!BJ:BJ),"")</f>
        <v/>
      </c>
      <c r="Z292" s="167" t="str">
        <f>IFERROR(_xlfn.XLOOKUP($A292,Input_Raw!$A:$A,Input_Raw!BK:BK),"")</f>
        <v/>
      </c>
      <c r="AA292" s="167" t="str">
        <f>IFERROR(_xlfn.XLOOKUP($A292,Input_Raw!$A:$A,Input_Raw!BL:BL),"")</f>
        <v/>
      </c>
      <c r="AB292" s="167" t="str">
        <f>IFERROR(_xlfn.XLOOKUP($A292,Input_Raw!$A:$A,Input_Raw!$BO:$BO),"")</f>
        <v/>
      </c>
      <c r="AC292" s="176">
        <f>IFERROR(_xlfn.XLOOKUP($D292,'Modelling New'!$D:$D,'Modelling New'!$J:$J),"")</f>
        <v>5.57</v>
      </c>
      <c r="AD292" s="166">
        <f>IFERROR(_xlfn.XLOOKUP($D292,'Modelling New'!$D:$D,'Modelling New'!$T:$T)*1000,"")</f>
        <v>613380.19779310341</v>
      </c>
      <c r="AE292" s="174"/>
      <c r="AF292" s="174">
        <f>IFERROR(_xlfn.XLOOKUP($D292,'Modelling New'!$D:$D,'Modelling New'!$W:$W),"")</f>
        <v>0.36406706896551722</v>
      </c>
      <c r="AG292" s="174">
        <f>IFERROR(_xlfn.XLOOKUP($D292,'Modelling New'!$D:$D,'Modelling New'!$AE:$AE),"")</f>
        <v>0.96029999999999993</v>
      </c>
      <c r="AH292" s="174">
        <f>IFERROR(_xlfn.XLOOKUP($D292,'Modelling New'!$D:$D,'Modelling New'!$AF:$AF),"")</f>
        <v>0.995</v>
      </c>
      <c r="AI292" s="177" t="str">
        <f>IFERROR(_xlfn.XLOOKUP($A292,Input_Raw!$A:$A,Input_Raw!$BQ:$BQ),"")</f>
        <v/>
      </c>
      <c r="AJ292" s="167"/>
      <c r="AK292" s="167"/>
      <c r="AL292" s="167"/>
      <c r="AM292" s="167"/>
      <c r="AN292" s="175" t="str">
        <f>IFERROR(_xlfn.XLOOKUP($A292,Input_Raw!$A:$A,Input_Raw!$BN:$BN),"")</f>
        <v/>
      </c>
      <c r="AO292" s="174" t="str">
        <f>IFERROR((_xlfn.XLOOKUP($A292,'WTG Reactive Power'!$A:$A,'WTG Reactive Power'!$AE:$AE))/Table13[[#This Row],[Gen_Exp (kWh)]],"")</f>
        <v/>
      </c>
      <c r="AP292" s="174">
        <f>IFERROR(_xlfn.XLOOKUP($D292,'Modelling New'!$D:$D,'Modelling New'!$AK:$AK),"")</f>
        <v>0.05</v>
      </c>
      <c r="AQ292" s="174">
        <f>IFERROR(_xlfn.XLOOKUP($D292,'Modelling New'!$D:$D,'Modelling New'!$AL:$AL),"")</f>
        <v>0.05</v>
      </c>
      <c r="AR292" s="276">
        <f>IFERROR(_xlfn.XLOOKUP($D292,'Modelling New'!$D:$D,'Modelling New'!$N:$N),"")</f>
        <v>70.2</v>
      </c>
      <c r="AS292" s="276"/>
    </row>
    <row r="293" spans="1:45">
      <c r="A293" s="165">
        <f t="shared" si="23"/>
        <v>46036</v>
      </c>
      <c r="B293" s="166">
        <f>YEAR(Table13[[#This Row],[Date]])+IF(MONTH(Table13[[#This Row],[Date]])&gt;=4,1,0)</f>
        <v>2026</v>
      </c>
      <c r="C293" s="167">
        <f>YEAR(Table13[[#This Row],[Date]])</f>
        <v>2026</v>
      </c>
      <c r="D293" s="168">
        <f>Table13[[#This Row],[Date]]-DAY(Table13[[#This Row],[Date]])+1</f>
        <v>46023</v>
      </c>
      <c r="E293" s="167">
        <f t="shared" si="20"/>
        <v>31</v>
      </c>
      <c r="F293" s="169"/>
      <c r="G293" s="176"/>
      <c r="H293" s="176"/>
      <c r="I293" s="176"/>
      <c r="J293" s="176"/>
      <c r="K293" s="171"/>
      <c r="L293" s="170"/>
      <c r="M293" s="170" t="str">
        <f>IFERROR(_xlfn.XLOOKUP($A293,Input_Raw!$A:$A,Input_Raw!BG:BG),"")</f>
        <v/>
      </c>
      <c r="N293" s="170" t="str">
        <f>IFERROR(_xlfn.XLOOKUP($A293,Input_Raw!$A:$A,Input_Raw!BH:BH),"")</f>
        <v/>
      </c>
      <c r="O293" s="173" t="str">
        <f t="shared" si="21"/>
        <v/>
      </c>
      <c r="P293" s="173" t="str">
        <f>IFERROR(1-SUMIF(WTG_BD!$F:$F,$A293,WTG_BD!$AA:$AA)/($AA293+SUMIF(WTG_BD!$F:$F,$A293,WTG_BD!$AA:$AA)),"")</f>
        <v/>
      </c>
      <c r="Q293" s="173" t="str">
        <f>IFERROR(1-SUMIF(IGA_BD!$F:$F,$A293,IGA_BD!$X:$X)/($AA293+SUMIF(IGA_BD!$F:$F,$A293,IGA_BD!$X:$X)),"")</f>
        <v/>
      </c>
      <c r="R293" s="173" t="str">
        <f>IFERROR(1-SUMIF(Grid_BD!$F:$F,$A293,Grid_BD!$Y:$Y)/($AA293+SUMIF(Grid_BD!$F:$F,$A293,Grid_BD!$Y:$Y)),"")</f>
        <v/>
      </c>
      <c r="S293" s="167"/>
      <c r="T293" s="172"/>
      <c r="U293" s="173"/>
      <c r="V293" s="167"/>
      <c r="W293" s="174" t="str">
        <f t="shared" si="22"/>
        <v/>
      </c>
      <c r="X293" s="167" t="str">
        <f>IFERROR(_xlfn.XLOOKUP($A293,Input_Raw!$A:$A,Input_Raw!$BF:$BF),"")</f>
        <v/>
      </c>
      <c r="Y293" s="167" t="str">
        <f>IFERROR(_xlfn.XLOOKUP($A293,Input_Raw!$A:$A,Input_Raw!BJ:BJ),"")</f>
        <v/>
      </c>
      <c r="Z293" s="167" t="str">
        <f>IFERROR(_xlfn.XLOOKUP($A293,Input_Raw!$A:$A,Input_Raw!BK:BK),"")</f>
        <v/>
      </c>
      <c r="AA293" s="167" t="str">
        <f>IFERROR(_xlfn.XLOOKUP($A293,Input_Raw!$A:$A,Input_Raw!BL:BL),"")</f>
        <v/>
      </c>
      <c r="AB293" s="167" t="str">
        <f>IFERROR(_xlfn.XLOOKUP($A293,Input_Raw!$A:$A,Input_Raw!$BO:$BO),"")</f>
        <v/>
      </c>
      <c r="AC293" s="176">
        <f>IFERROR(_xlfn.XLOOKUP($D293,'Modelling New'!$D:$D,'Modelling New'!$J:$J),"")</f>
        <v>5.57</v>
      </c>
      <c r="AD293" s="166">
        <f>IFERROR(_xlfn.XLOOKUP($D293,'Modelling New'!$D:$D,'Modelling New'!$T:$T)*1000,"")</f>
        <v>613380.19779310341</v>
      </c>
      <c r="AE293" s="174"/>
      <c r="AF293" s="174">
        <f>IFERROR(_xlfn.XLOOKUP($D293,'Modelling New'!$D:$D,'Modelling New'!$W:$W),"")</f>
        <v>0.36406706896551722</v>
      </c>
      <c r="AG293" s="174">
        <f>IFERROR(_xlfn.XLOOKUP($D293,'Modelling New'!$D:$D,'Modelling New'!$AE:$AE),"")</f>
        <v>0.96029999999999993</v>
      </c>
      <c r="AH293" s="174">
        <f>IFERROR(_xlfn.XLOOKUP($D293,'Modelling New'!$D:$D,'Modelling New'!$AF:$AF),"")</f>
        <v>0.995</v>
      </c>
      <c r="AI293" s="177" t="str">
        <f>IFERROR(_xlfn.XLOOKUP($A293,Input_Raw!$A:$A,Input_Raw!$BQ:$BQ),"")</f>
        <v/>
      </c>
      <c r="AJ293" s="167"/>
      <c r="AK293" s="167"/>
      <c r="AL293" s="167"/>
      <c r="AM293" s="167"/>
      <c r="AN293" s="175" t="str">
        <f>IFERROR(_xlfn.XLOOKUP($A293,Input_Raw!$A:$A,Input_Raw!$BN:$BN),"")</f>
        <v/>
      </c>
      <c r="AO293" s="174" t="str">
        <f>IFERROR((_xlfn.XLOOKUP($A293,'WTG Reactive Power'!$A:$A,'WTG Reactive Power'!$AE:$AE))/Table13[[#This Row],[Gen_Exp (kWh)]],"")</f>
        <v/>
      </c>
      <c r="AP293" s="174">
        <f>IFERROR(_xlfn.XLOOKUP($D293,'Modelling New'!$D:$D,'Modelling New'!$AK:$AK),"")</f>
        <v>0.05</v>
      </c>
      <c r="AQ293" s="174">
        <f>IFERROR(_xlfn.XLOOKUP($D293,'Modelling New'!$D:$D,'Modelling New'!$AL:$AL),"")</f>
        <v>0.05</v>
      </c>
      <c r="AR293" s="276">
        <f>IFERROR(_xlfn.XLOOKUP($D293,'Modelling New'!$D:$D,'Modelling New'!$N:$N),"")</f>
        <v>70.2</v>
      </c>
      <c r="AS293" s="276"/>
    </row>
    <row r="294" spans="1:45">
      <c r="A294" s="165">
        <f t="shared" si="23"/>
        <v>46037</v>
      </c>
      <c r="B294" s="166">
        <f>YEAR(Table13[[#This Row],[Date]])+IF(MONTH(Table13[[#This Row],[Date]])&gt;=4,1,0)</f>
        <v>2026</v>
      </c>
      <c r="C294" s="167">
        <f>YEAR(Table13[[#This Row],[Date]])</f>
        <v>2026</v>
      </c>
      <c r="D294" s="168">
        <f>Table13[[#This Row],[Date]]-DAY(Table13[[#This Row],[Date]])+1</f>
        <v>46023</v>
      </c>
      <c r="E294" s="167">
        <f t="shared" si="20"/>
        <v>31</v>
      </c>
      <c r="F294" s="169"/>
      <c r="G294" s="170"/>
      <c r="H294" s="170"/>
      <c r="I294" s="170"/>
      <c r="J294" s="170"/>
      <c r="K294" s="171"/>
      <c r="L294" s="170"/>
      <c r="M294" s="170" t="str">
        <f>IFERROR(_xlfn.XLOOKUP($A294,Input_Raw!$A:$A,Input_Raw!BG:BG),"")</f>
        <v/>
      </c>
      <c r="N294" s="170" t="str">
        <f>IFERROR(_xlfn.XLOOKUP($A294,Input_Raw!$A:$A,Input_Raw!BH:BH),"")</f>
        <v/>
      </c>
      <c r="O294" s="173" t="str">
        <f t="shared" si="21"/>
        <v/>
      </c>
      <c r="P294" s="173" t="str">
        <f>IFERROR(1-SUMIF(WTG_BD!$F:$F,$A294,WTG_BD!$AA:$AA)/($AA294+SUMIF(WTG_BD!$F:$F,$A294,WTG_BD!$AA:$AA)),"")</f>
        <v/>
      </c>
      <c r="Q294" s="173" t="str">
        <f>IFERROR(1-SUMIF(IGA_BD!$F:$F,$A294,IGA_BD!$X:$X)/($AA294+SUMIF(IGA_BD!$F:$F,$A294,IGA_BD!$X:$X)),"")</f>
        <v/>
      </c>
      <c r="R294" s="173" t="str">
        <f>IFERROR(1-SUMIF(Grid_BD!$F:$F,$A294,Grid_BD!$Y:$Y)/($AA294+SUMIF(Grid_BD!$F:$F,$A294,Grid_BD!$Y:$Y)),"")</f>
        <v/>
      </c>
      <c r="S294" s="167"/>
      <c r="T294" s="172"/>
      <c r="U294" s="173"/>
      <c r="V294" s="167"/>
      <c r="W294" s="174" t="str">
        <f t="shared" si="22"/>
        <v/>
      </c>
      <c r="X294" s="167" t="str">
        <f>IFERROR(_xlfn.XLOOKUP($A294,Input_Raw!$A:$A,Input_Raw!$BF:$BF),"")</f>
        <v/>
      </c>
      <c r="Y294" s="167" t="str">
        <f>IFERROR(_xlfn.XLOOKUP($A294,Input_Raw!$A:$A,Input_Raw!BJ:BJ),"")</f>
        <v/>
      </c>
      <c r="Z294" s="167" t="str">
        <f>IFERROR(_xlfn.XLOOKUP($A294,Input_Raw!$A:$A,Input_Raw!BK:BK),"")</f>
        <v/>
      </c>
      <c r="AA294" s="167" t="str">
        <f>IFERROR(_xlfn.XLOOKUP($A294,Input_Raw!$A:$A,Input_Raw!BL:BL),"")</f>
        <v/>
      </c>
      <c r="AB294" s="167" t="str">
        <f>IFERROR(_xlfn.XLOOKUP($A294,Input_Raw!$A:$A,Input_Raw!$BO:$BO),"")</f>
        <v/>
      </c>
      <c r="AC294" s="176">
        <f>IFERROR(_xlfn.XLOOKUP($D294,'Modelling New'!$D:$D,'Modelling New'!$J:$J),"")</f>
        <v>5.57</v>
      </c>
      <c r="AD294" s="166">
        <f>IFERROR(_xlfn.XLOOKUP($D294,'Modelling New'!$D:$D,'Modelling New'!$T:$T)*1000,"")</f>
        <v>613380.19779310341</v>
      </c>
      <c r="AE294" s="174"/>
      <c r="AF294" s="174">
        <f>IFERROR(_xlfn.XLOOKUP($D294,'Modelling New'!$D:$D,'Modelling New'!$W:$W),"")</f>
        <v>0.36406706896551722</v>
      </c>
      <c r="AG294" s="174">
        <f>IFERROR(_xlfn.XLOOKUP($D294,'Modelling New'!$D:$D,'Modelling New'!$AE:$AE),"")</f>
        <v>0.96029999999999993</v>
      </c>
      <c r="AH294" s="174">
        <f>IFERROR(_xlfn.XLOOKUP($D294,'Modelling New'!$D:$D,'Modelling New'!$AF:$AF),"")</f>
        <v>0.995</v>
      </c>
      <c r="AI294" s="177" t="str">
        <f>IFERROR(_xlfn.XLOOKUP($A294,Input_Raw!$A:$A,Input_Raw!$BQ:$BQ),"")</f>
        <v/>
      </c>
      <c r="AJ294" s="167"/>
      <c r="AK294" s="167"/>
      <c r="AL294" s="167"/>
      <c r="AM294" s="167"/>
      <c r="AN294" s="175" t="str">
        <f>IFERROR(_xlfn.XLOOKUP($A294,Input_Raw!$A:$A,Input_Raw!$BN:$BN),"")</f>
        <v/>
      </c>
      <c r="AO294" s="174" t="str">
        <f>IFERROR((_xlfn.XLOOKUP($A294,'WTG Reactive Power'!$A:$A,'WTG Reactive Power'!$AE:$AE))/Table13[[#This Row],[Gen_Exp (kWh)]],"")</f>
        <v/>
      </c>
      <c r="AP294" s="174">
        <f>IFERROR(_xlfn.XLOOKUP($D294,'Modelling New'!$D:$D,'Modelling New'!$AK:$AK),"")</f>
        <v>0.05</v>
      </c>
      <c r="AQ294" s="174">
        <f>IFERROR(_xlfn.XLOOKUP($D294,'Modelling New'!$D:$D,'Modelling New'!$AL:$AL),"")</f>
        <v>0.05</v>
      </c>
      <c r="AR294" s="276">
        <f>IFERROR(_xlfn.XLOOKUP($D294,'Modelling New'!$D:$D,'Modelling New'!$N:$N),"")</f>
        <v>70.2</v>
      </c>
      <c r="AS294" s="276"/>
    </row>
    <row r="295" spans="1:45">
      <c r="A295" s="165">
        <f t="shared" si="23"/>
        <v>46038</v>
      </c>
      <c r="B295" s="166">
        <f>YEAR(Table13[[#This Row],[Date]])+IF(MONTH(Table13[[#This Row],[Date]])&gt;=4,1,0)</f>
        <v>2026</v>
      </c>
      <c r="C295" s="167">
        <f>YEAR(Table13[[#This Row],[Date]])</f>
        <v>2026</v>
      </c>
      <c r="D295" s="168">
        <f>Table13[[#This Row],[Date]]-DAY(Table13[[#This Row],[Date]])+1</f>
        <v>46023</v>
      </c>
      <c r="E295" s="167">
        <f t="shared" si="20"/>
        <v>31</v>
      </c>
      <c r="F295" s="169"/>
      <c r="G295" s="176"/>
      <c r="H295" s="176"/>
      <c r="I295" s="176"/>
      <c r="J295" s="176"/>
      <c r="K295" s="171"/>
      <c r="L295" s="170"/>
      <c r="M295" s="170" t="str">
        <f>IFERROR(_xlfn.XLOOKUP($A295,Input_Raw!$A:$A,Input_Raw!BG:BG),"")</f>
        <v/>
      </c>
      <c r="N295" s="170" t="str">
        <f>IFERROR(_xlfn.XLOOKUP($A295,Input_Raw!$A:$A,Input_Raw!BH:BH),"")</f>
        <v/>
      </c>
      <c r="O295" s="173" t="str">
        <f t="shared" si="21"/>
        <v/>
      </c>
      <c r="P295" s="173" t="str">
        <f>IFERROR(1-SUMIF(WTG_BD!$F:$F,$A295,WTG_BD!$AA:$AA)/($AA295+SUMIF(WTG_BD!$F:$F,$A295,WTG_BD!$AA:$AA)),"")</f>
        <v/>
      </c>
      <c r="Q295" s="173" t="str">
        <f>IFERROR(1-SUMIF(IGA_BD!$F:$F,$A295,IGA_BD!$X:$X)/($AA295+SUMIF(IGA_BD!$F:$F,$A295,IGA_BD!$X:$X)),"")</f>
        <v/>
      </c>
      <c r="R295" s="173" t="str">
        <f>IFERROR(1-SUMIF(Grid_BD!$F:$F,$A295,Grid_BD!$Y:$Y)/($AA295+SUMIF(Grid_BD!$F:$F,$A295,Grid_BD!$Y:$Y)),"")</f>
        <v/>
      </c>
      <c r="S295" s="167"/>
      <c r="T295" s="172"/>
      <c r="U295" s="173"/>
      <c r="V295" s="167"/>
      <c r="W295" s="174" t="str">
        <f t="shared" si="22"/>
        <v/>
      </c>
      <c r="X295" s="167" t="str">
        <f>IFERROR(_xlfn.XLOOKUP($A295,Input_Raw!$A:$A,Input_Raw!$BF:$BF),"")</f>
        <v/>
      </c>
      <c r="Y295" s="167" t="str">
        <f>IFERROR(_xlfn.XLOOKUP($A295,Input_Raw!$A:$A,Input_Raw!BJ:BJ),"")</f>
        <v/>
      </c>
      <c r="Z295" s="167" t="str">
        <f>IFERROR(_xlfn.XLOOKUP($A295,Input_Raw!$A:$A,Input_Raw!BK:BK),"")</f>
        <v/>
      </c>
      <c r="AA295" s="167" t="str">
        <f>IFERROR(_xlfn.XLOOKUP($A295,Input_Raw!$A:$A,Input_Raw!BL:BL),"")</f>
        <v/>
      </c>
      <c r="AB295" s="167" t="str">
        <f>IFERROR(_xlfn.XLOOKUP($A295,Input_Raw!$A:$A,Input_Raw!$BO:$BO),"")</f>
        <v/>
      </c>
      <c r="AC295" s="176">
        <f>IFERROR(_xlfn.XLOOKUP($D295,'Modelling New'!$D:$D,'Modelling New'!$J:$J),"")</f>
        <v>5.57</v>
      </c>
      <c r="AD295" s="166">
        <f>IFERROR(_xlfn.XLOOKUP($D295,'Modelling New'!$D:$D,'Modelling New'!$T:$T)*1000,"")</f>
        <v>613380.19779310341</v>
      </c>
      <c r="AE295" s="174"/>
      <c r="AF295" s="174">
        <f>IFERROR(_xlfn.XLOOKUP($D295,'Modelling New'!$D:$D,'Modelling New'!$W:$W),"")</f>
        <v>0.36406706896551722</v>
      </c>
      <c r="AG295" s="174">
        <f>IFERROR(_xlfn.XLOOKUP($D295,'Modelling New'!$D:$D,'Modelling New'!$AE:$AE),"")</f>
        <v>0.96029999999999993</v>
      </c>
      <c r="AH295" s="174">
        <f>IFERROR(_xlfn.XLOOKUP($D295,'Modelling New'!$D:$D,'Modelling New'!$AF:$AF),"")</f>
        <v>0.995</v>
      </c>
      <c r="AI295" s="177" t="str">
        <f>IFERROR(_xlfn.XLOOKUP($A295,Input_Raw!$A:$A,Input_Raw!$BQ:$BQ),"")</f>
        <v/>
      </c>
      <c r="AJ295" s="167"/>
      <c r="AK295" s="167"/>
      <c r="AL295" s="167"/>
      <c r="AM295" s="167"/>
      <c r="AN295" s="175" t="str">
        <f>IFERROR(_xlfn.XLOOKUP($A295,Input_Raw!$A:$A,Input_Raw!$BN:$BN),"")</f>
        <v/>
      </c>
      <c r="AO295" s="174" t="str">
        <f>IFERROR((_xlfn.XLOOKUP($A295,'WTG Reactive Power'!$A:$A,'WTG Reactive Power'!$AE:$AE))/Table13[[#This Row],[Gen_Exp (kWh)]],"")</f>
        <v/>
      </c>
      <c r="AP295" s="174">
        <f>IFERROR(_xlfn.XLOOKUP($D295,'Modelling New'!$D:$D,'Modelling New'!$AK:$AK),"")</f>
        <v>0.05</v>
      </c>
      <c r="AQ295" s="174">
        <f>IFERROR(_xlfn.XLOOKUP($D295,'Modelling New'!$D:$D,'Modelling New'!$AL:$AL),"")</f>
        <v>0.05</v>
      </c>
      <c r="AR295" s="276">
        <f>IFERROR(_xlfn.XLOOKUP($D295,'Modelling New'!$D:$D,'Modelling New'!$N:$N),"")</f>
        <v>70.2</v>
      </c>
      <c r="AS295" s="276"/>
    </row>
    <row r="296" spans="1:45">
      <c r="A296" s="165">
        <f t="shared" si="23"/>
        <v>46039</v>
      </c>
      <c r="B296" s="166">
        <f>YEAR(Table13[[#This Row],[Date]])+IF(MONTH(Table13[[#This Row],[Date]])&gt;=4,1,0)</f>
        <v>2026</v>
      </c>
      <c r="C296" s="167">
        <f>YEAR(Table13[[#This Row],[Date]])</f>
        <v>2026</v>
      </c>
      <c r="D296" s="168">
        <f>Table13[[#This Row],[Date]]-DAY(Table13[[#This Row],[Date]])+1</f>
        <v>46023</v>
      </c>
      <c r="E296" s="167">
        <f t="shared" si="20"/>
        <v>31</v>
      </c>
      <c r="F296" s="169"/>
      <c r="G296" s="170"/>
      <c r="H296" s="170"/>
      <c r="I296" s="170"/>
      <c r="J296" s="170"/>
      <c r="K296" s="171"/>
      <c r="L296" s="170"/>
      <c r="M296" s="170" t="str">
        <f>IFERROR(_xlfn.XLOOKUP($A296,Input_Raw!$A:$A,Input_Raw!BG:BG),"")</f>
        <v/>
      </c>
      <c r="N296" s="170" t="str">
        <f>IFERROR(_xlfn.XLOOKUP($A296,Input_Raw!$A:$A,Input_Raw!BH:BH),"")</f>
        <v/>
      </c>
      <c r="O296" s="173" t="str">
        <f t="shared" si="21"/>
        <v/>
      </c>
      <c r="P296" s="173" t="str">
        <f>IFERROR(1-SUMIF(WTG_BD!$F:$F,$A296,WTG_BD!$AA:$AA)/($AA296+SUMIF(WTG_BD!$F:$F,$A296,WTG_BD!$AA:$AA)),"")</f>
        <v/>
      </c>
      <c r="Q296" s="173" t="str">
        <f>IFERROR(1-SUMIF(IGA_BD!$F:$F,$A296,IGA_BD!$X:$X)/($AA296+SUMIF(IGA_BD!$F:$F,$A296,IGA_BD!$X:$X)),"")</f>
        <v/>
      </c>
      <c r="R296" s="173" t="str">
        <f>IFERROR(1-SUMIF(Grid_BD!$F:$F,$A296,Grid_BD!$Y:$Y)/($AA296+SUMIF(Grid_BD!$F:$F,$A296,Grid_BD!$Y:$Y)),"")</f>
        <v/>
      </c>
      <c r="S296" s="167"/>
      <c r="T296" s="172"/>
      <c r="U296" s="173"/>
      <c r="V296" s="167"/>
      <c r="W296" s="174" t="str">
        <f t="shared" si="22"/>
        <v/>
      </c>
      <c r="X296" s="167" t="str">
        <f>IFERROR(_xlfn.XLOOKUP($A296,Input_Raw!$A:$A,Input_Raw!$BF:$BF),"")</f>
        <v/>
      </c>
      <c r="Y296" s="167" t="str">
        <f>IFERROR(_xlfn.XLOOKUP($A296,Input_Raw!$A:$A,Input_Raw!BJ:BJ),"")</f>
        <v/>
      </c>
      <c r="Z296" s="167" t="str">
        <f>IFERROR(_xlfn.XLOOKUP($A296,Input_Raw!$A:$A,Input_Raw!BK:BK),"")</f>
        <v/>
      </c>
      <c r="AA296" s="167" t="str">
        <f>IFERROR(_xlfn.XLOOKUP($A296,Input_Raw!$A:$A,Input_Raw!BL:BL),"")</f>
        <v/>
      </c>
      <c r="AB296" s="167" t="str">
        <f>IFERROR(_xlfn.XLOOKUP($A296,Input_Raw!$A:$A,Input_Raw!$BO:$BO),"")</f>
        <v/>
      </c>
      <c r="AC296" s="176">
        <f>IFERROR(_xlfn.XLOOKUP($D296,'Modelling New'!$D:$D,'Modelling New'!$J:$J),"")</f>
        <v>5.57</v>
      </c>
      <c r="AD296" s="166">
        <f>IFERROR(_xlfn.XLOOKUP($D296,'Modelling New'!$D:$D,'Modelling New'!$T:$T)*1000,"")</f>
        <v>613380.19779310341</v>
      </c>
      <c r="AE296" s="174"/>
      <c r="AF296" s="174">
        <f>IFERROR(_xlfn.XLOOKUP($D296,'Modelling New'!$D:$D,'Modelling New'!$W:$W),"")</f>
        <v>0.36406706896551722</v>
      </c>
      <c r="AG296" s="174">
        <f>IFERROR(_xlfn.XLOOKUP($D296,'Modelling New'!$D:$D,'Modelling New'!$AE:$AE),"")</f>
        <v>0.96029999999999993</v>
      </c>
      <c r="AH296" s="174">
        <f>IFERROR(_xlfn.XLOOKUP($D296,'Modelling New'!$D:$D,'Modelling New'!$AF:$AF),"")</f>
        <v>0.995</v>
      </c>
      <c r="AI296" s="177" t="str">
        <f>IFERROR(_xlfn.XLOOKUP($A296,Input_Raw!$A:$A,Input_Raw!$BQ:$BQ),"")</f>
        <v/>
      </c>
      <c r="AJ296" s="167"/>
      <c r="AK296" s="167"/>
      <c r="AL296" s="167"/>
      <c r="AM296" s="167"/>
      <c r="AN296" s="175" t="str">
        <f>IFERROR(_xlfn.XLOOKUP($A296,Input_Raw!$A:$A,Input_Raw!$BN:$BN),"")</f>
        <v/>
      </c>
      <c r="AO296" s="174" t="str">
        <f>IFERROR((_xlfn.XLOOKUP($A296,'WTG Reactive Power'!$A:$A,'WTG Reactive Power'!$AE:$AE))/Table13[[#This Row],[Gen_Exp (kWh)]],"")</f>
        <v/>
      </c>
      <c r="AP296" s="174">
        <f>IFERROR(_xlfn.XLOOKUP($D296,'Modelling New'!$D:$D,'Modelling New'!$AK:$AK),"")</f>
        <v>0.05</v>
      </c>
      <c r="AQ296" s="174">
        <f>IFERROR(_xlfn.XLOOKUP($D296,'Modelling New'!$D:$D,'Modelling New'!$AL:$AL),"")</f>
        <v>0.05</v>
      </c>
      <c r="AR296" s="276">
        <f>IFERROR(_xlfn.XLOOKUP($D296,'Modelling New'!$D:$D,'Modelling New'!$N:$N),"")</f>
        <v>70.2</v>
      </c>
      <c r="AS296" s="276"/>
    </row>
    <row r="297" spans="1:45">
      <c r="A297" s="165">
        <f t="shared" si="23"/>
        <v>46040</v>
      </c>
      <c r="B297" s="166">
        <f>YEAR(Table13[[#This Row],[Date]])+IF(MONTH(Table13[[#This Row],[Date]])&gt;=4,1,0)</f>
        <v>2026</v>
      </c>
      <c r="C297" s="167">
        <f>YEAR(Table13[[#This Row],[Date]])</f>
        <v>2026</v>
      </c>
      <c r="D297" s="168">
        <f>Table13[[#This Row],[Date]]-DAY(Table13[[#This Row],[Date]])+1</f>
        <v>46023</v>
      </c>
      <c r="E297" s="167">
        <f t="shared" si="20"/>
        <v>31</v>
      </c>
      <c r="F297" s="169"/>
      <c r="G297" s="176"/>
      <c r="H297" s="176"/>
      <c r="I297" s="176"/>
      <c r="J297" s="176"/>
      <c r="K297" s="171"/>
      <c r="L297" s="170"/>
      <c r="M297" s="170" t="str">
        <f>IFERROR(_xlfn.XLOOKUP($A297,Input_Raw!$A:$A,Input_Raw!BG:BG),"")</f>
        <v/>
      </c>
      <c r="N297" s="170" t="str">
        <f>IFERROR(_xlfn.XLOOKUP($A297,Input_Raw!$A:$A,Input_Raw!BH:BH),"")</f>
        <v/>
      </c>
      <c r="O297" s="173" t="str">
        <f t="shared" si="21"/>
        <v/>
      </c>
      <c r="P297" s="173" t="str">
        <f>IFERROR(1-SUMIF(WTG_BD!$F:$F,$A297,WTG_BD!$AA:$AA)/($AA297+SUMIF(WTG_BD!$F:$F,$A297,WTG_BD!$AA:$AA)),"")</f>
        <v/>
      </c>
      <c r="Q297" s="173" t="str">
        <f>IFERROR(1-SUMIF(IGA_BD!$F:$F,$A297,IGA_BD!$X:$X)/($AA297+SUMIF(IGA_BD!$F:$F,$A297,IGA_BD!$X:$X)),"")</f>
        <v/>
      </c>
      <c r="R297" s="173" t="str">
        <f>IFERROR(1-SUMIF(Grid_BD!$F:$F,$A297,Grid_BD!$Y:$Y)/($AA297+SUMIF(Grid_BD!$F:$F,$A297,Grid_BD!$Y:$Y)),"")</f>
        <v/>
      </c>
      <c r="S297" s="167"/>
      <c r="T297" s="172"/>
      <c r="U297" s="173"/>
      <c r="V297" s="167"/>
      <c r="W297" s="174" t="str">
        <f t="shared" si="22"/>
        <v/>
      </c>
      <c r="X297" s="167" t="str">
        <f>IFERROR(_xlfn.XLOOKUP($A297,Input_Raw!$A:$A,Input_Raw!$BF:$BF),"")</f>
        <v/>
      </c>
      <c r="Y297" s="167" t="str">
        <f>IFERROR(_xlfn.XLOOKUP($A297,Input_Raw!$A:$A,Input_Raw!BJ:BJ),"")</f>
        <v/>
      </c>
      <c r="Z297" s="167" t="str">
        <f>IFERROR(_xlfn.XLOOKUP($A297,Input_Raw!$A:$A,Input_Raw!BK:BK),"")</f>
        <v/>
      </c>
      <c r="AA297" s="167" t="str">
        <f>IFERROR(_xlfn.XLOOKUP($A297,Input_Raw!$A:$A,Input_Raw!BL:BL),"")</f>
        <v/>
      </c>
      <c r="AB297" s="167" t="str">
        <f>IFERROR(_xlfn.XLOOKUP($A297,Input_Raw!$A:$A,Input_Raw!$BO:$BO),"")</f>
        <v/>
      </c>
      <c r="AC297" s="176">
        <f>IFERROR(_xlfn.XLOOKUP($D297,'Modelling New'!$D:$D,'Modelling New'!$J:$J),"")</f>
        <v>5.57</v>
      </c>
      <c r="AD297" s="166">
        <f>IFERROR(_xlfn.XLOOKUP($D297,'Modelling New'!$D:$D,'Modelling New'!$T:$T)*1000,"")</f>
        <v>613380.19779310341</v>
      </c>
      <c r="AE297" s="174"/>
      <c r="AF297" s="174">
        <f>IFERROR(_xlfn.XLOOKUP($D297,'Modelling New'!$D:$D,'Modelling New'!$W:$W),"")</f>
        <v>0.36406706896551722</v>
      </c>
      <c r="AG297" s="174">
        <f>IFERROR(_xlfn.XLOOKUP($D297,'Modelling New'!$D:$D,'Modelling New'!$AE:$AE),"")</f>
        <v>0.96029999999999993</v>
      </c>
      <c r="AH297" s="174">
        <f>IFERROR(_xlfn.XLOOKUP($D297,'Modelling New'!$D:$D,'Modelling New'!$AF:$AF),"")</f>
        <v>0.995</v>
      </c>
      <c r="AI297" s="177" t="str">
        <f>IFERROR(_xlfn.XLOOKUP($A297,Input_Raw!$A:$A,Input_Raw!$BQ:$BQ),"")</f>
        <v/>
      </c>
      <c r="AJ297" s="167"/>
      <c r="AK297" s="167"/>
      <c r="AL297" s="167"/>
      <c r="AM297" s="167"/>
      <c r="AN297" s="175" t="str">
        <f>IFERROR(_xlfn.XLOOKUP($A297,Input_Raw!$A:$A,Input_Raw!$BN:$BN),"")</f>
        <v/>
      </c>
      <c r="AO297" s="174" t="str">
        <f>IFERROR((_xlfn.XLOOKUP($A297,'WTG Reactive Power'!$A:$A,'WTG Reactive Power'!$AE:$AE))/Table13[[#This Row],[Gen_Exp (kWh)]],"")</f>
        <v/>
      </c>
      <c r="AP297" s="174">
        <f>IFERROR(_xlfn.XLOOKUP($D297,'Modelling New'!$D:$D,'Modelling New'!$AK:$AK),"")</f>
        <v>0.05</v>
      </c>
      <c r="AQ297" s="174">
        <f>IFERROR(_xlfn.XLOOKUP($D297,'Modelling New'!$D:$D,'Modelling New'!$AL:$AL),"")</f>
        <v>0.05</v>
      </c>
      <c r="AR297" s="276">
        <f>IFERROR(_xlfn.XLOOKUP($D297,'Modelling New'!$D:$D,'Modelling New'!$N:$N),"")</f>
        <v>70.2</v>
      </c>
      <c r="AS297" s="276"/>
    </row>
    <row r="298" spans="1:45">
      <c r="A298" s="165">
        <f t="shared" si="23"/>
        <v>46041</v>
      </c>
      <c r="B298" s="166">
        <f>YEAR(Table13[[#This Row],[Date]])+IF(MONTH(Table13[[#This Row],[Date]])&gt;=4,1,0)</f>
        <v>2026</v>
      </c>
      <c r="C298" s="167">
        <f>YEAR(Table13[[#This Row],[Date]])</f>
        <v>2026</v>
      </c>
      <c r="D298" s="168">
        <f>Table13[[#This Row],[Date]]-DAY(Table13[[#This Row],[Date]])+1</f>
        <v>46023</v>
      </c>
      <c r="E298" s="167">
        <f t="shared" si="20"/>
        <v>31</v>
      </c>
      <c r="F298" s="169"/>
      <c r="G298" s="170"/>
      <c r="H298" s="170"/>
      <c r="I298" s="170"/>
      <c r="J298" s="170"/>
      <c r="K298" s="171"/>
      <c r="L298" s="170"/>
      <c r="M298" s="170" t="str">
        <f>IFERROR(_xlfn.XLOOKUP($A298,Input_Raw!$A:$A,Input_Raw!BG:BG),"")</f>
        <v/>
      </c>
      <c r="N298" s="170" t="str">
        <f>IFERROR(_xlfn.XLOOKUP($A298,Input_Raw!$A:$A,Input_Raw!BH:BH),"")</f>
        <v/>
      </c>
      <c r="O298" s="173" t="str">
        <f t="shared" si="21"/>
        <v/>
      </c>
      <c r="P298" s="173" t="str">
        <f>IFERROR(1-SUMIF(WTG_BD!$F:$F,$A298,WTG_BD!$AA:$AA)/($AA298+SUMIF(WTG_BD!$F:$F,$A298,WTG_BD!$AA:$AA)),"")</f>
        <v/>
      </c>
      <c r="Q298" s="173" t="str">
        <f>IFERROR(1-SUMIF(IGA_BD!$F:$F,$A298,IGA_BD!$X:$X)/($AA298+SUMIF(IGA_BD!$F:$F,$A298,IGA_BD!$X:$X)),"")</f>
        <v/>
      </c>
      <c r="R298" s="173" t="str">
        <f>IFERROR(1-SUMIF(Grid_BD!$F:$F,$A298,Grid_BD!$Y:$Y)/($AA298+SUMIF(Grid_BD!$F:$F,$A298,Grid_BD!$Y:$Y)),"")</f>
        <v/>
      </c>
      <c r="S298" s="167"/>
      <c r="T298" s="172"/>
      <c r="U298" s="173"/>
      <c r="V298" s="167"/>
      <c r="W298" s="174" t="str">
        <f t="shared" si="22"/>
        <v/>
      </c>
      <c r="X298" s="167" t="str">
        <f>IFERROR(_xlfn.XLOOKUP($A298,Input_Raw!$A:$A,Input_Raw!$BF:$BF),"")</f>
        <v/>
      </c>
      <c r="Y298" s="167" t="str">
        <f>IFERROR(_xlfn.XLOOKUP($A298,Input_Raw!$A:$A,Input_Raw!BJ:BJ),"")</f>
        <v/>
      </c>
      <c r="Z298" s="167" t="str">
        <f>IFERROR(_xlfn.XLOOKUP($A298,Input_Raw!$A:$A,Input_Raw!BK:BK),"")</f>
        <v/>
      </c>
      <c r="AA298" s="167" t="str">
        <f>IFERROR(_xlfn.XLOOKUP($A298,Input_Raw!$A:$A,Input_Raw!BL:BL),"")</f>
        <v/>
      </c>
      <c r="AB298" s="167" t="str">
        <f>IFERROR(_xlfn.XLOOKUP($A298,Input_Raw!$A:$A,Input_Raw!$BO:$BO),"")</f>
        <v/>
      </c>
      <c r="AC298" s="176">
        <f>IFERROR(_xlfn.XLOOKUP($D298,'Modelling New'!$D:$D,'Modelling New'!$J:$J),"")</f>
        <v>5.57</v>
      </c>
      <c r="AD298" s="166">
        <f>IFERROR(_xlfn.XLOOKUP($D298,'Modelling New'!$D:$D,'Modelling New'!$T:$T)*1000,"")</f>
        <v>613380.19779310341</v>
      </c>
      <c r="AE298" s="174"/>
      <c r="AF298" s="174">
        <f>IFERROR(_xlfn.XLOOKUP($D298,'Modelling New'!$D:$D,'Modelling New'!$W:$W),"")</f>
        <v>0.36406706896551722</v>
      </c>
      <c r="AG298" s="174">
        <f>IFERROR(_xlfn.XLOOKUP($D298,'Modelling New'!$D:$D,'Modelling New'!$AE:$AE),"")</f>
        <v>0.96029999999999993</v>
      </c>
      <c r="AH298" s="174">
        <f>IFERROR(_xlfn.XLOOKUP($D298,'Modelling New'!$D:$D,'Modelling New'!$AF:$AF),"")</f>
        <v>0.995</v>
      </c>
      <c r="AI298" s="177" t="str">
        <f>IFERROR(_xlfn.XLOOKUP($A298,Input_Raw!$A:$A,Input_Raw!$BQ:$BQ),"")</f>
        <v/>
      </c>
      <c r="AJ298" s="167"/>
      <c r="AK298" s="167"/>
      <c r="AL298" s="167"/>
      <c r="AM298" s="167"/>
      <c r="AN298" s="175" t="str">
        <f>IFERROR(_xlfn.XLOOKUP($A298,Input_Raw!$A:$A,Input_Raw!$BN:$BN),"")</f>
        <v/>
      </c>
      <c r="AO298" s="174" t="str">
        <f>IFERROR((_xlfn.XLOOKUP($A298,'WTG Reactive Power'!$A:$A,'WTG Reactive Power'!$AE:$AE))/Table13[[#This Row],[Gen_Exp (kWh)]],"")</f>
        <v/>
      </c>
      <c r="AP298" s="174">
        <f>IFERROR(_xlfn.XLOOKUP($D298,'Modelling New'!$D:$D,'Modelling New'!$AK:$AK),"")</f>
        <v>0.05</v>
      </c>
      <c r="AQ298" s="174">
        <f>IFERROR(_xlfn.XLOOKUP($D298,'Modelling New'!$D:$D,'Modelling New'!$AL:$AL),"")</f>
        <v>0.05</v>
      </c>
      <c r="AR298" s="276">
        <f>IFERROR(_xlfn.XLOOKUP($D298,'Modelling New'!$D:$D,'Modelling New'!$N:$N),"")</f>
        <v>70.2</v>
      </c>
      <c r="AS298" s="276"/>
    </row>
    <row r="299" spans="1:45">
      <c r="A299" s="165">
        <f t="shared" si="23"/>
        <v>46042</v>
      </c>
      <c r="B299" s="166">
        <f>YEAR(Table13[[#This Row],[Date]])+IF(MONTH(Table13[[#This Row],[Date]])&gt;=4,1,0)</f>
        <v>2026</v>
      </c>
      <c r="C299" s="167">
        <f>YEAR(Table13[[#This Row],[Date]])</f>
        <v>2026</v>
      </c>
      <c r="D299" s="168">
        <f>Table13[[#This Row],[Date]]-DAY(Table13[[#This Row],[Date]])+1</f>
        <v>46023</v>
      </c>
      <c r="E299" s="167">
        <f t="shared" si="20"/>
        <v>31</v>
      </c>
      <c r="F299" s="169"/>
      <c r="G299" s="176"/>
      <c r="H299" s="176"/>
      <c r="I299" s="176"/>
      <c r="J299" s="176"/>
      <c r="K299" s="171"/>
      <c r="L299" s="170"/>
      <c r="M299" s="170" t="str">
        <f>IFERROR(_xlfn.XLOOKUP($A299,Input_Raw!$A:$A,Input_Raw!BG:BG),"")</f>
        <v/>
      </c>
      <c r="N299" s="170" t="str">
        <f>IFERROR(_xlfn.XLOOKUP($A299,Input_Raw!$A:$A,Input_Raw!BH:BH),"")</f>
        <v/>
      </c>
      <c r="O299" s="173" t="str">
        <f t="shared" si="21"/>
        <v/>
      </c>
      <c r="P299" s="173" t="str">
        <f>IFERROR(1-SUMIF(WTG_BD!$F:$F,$A299,WTG_BD!$AA:$AA)/($AA299+SUMIF(WTG_BD!$F:$F,$A299,WTG_BD!$AA:$AA)),"")</f>
        <v/>
      </c>
      <c r="Q299" s="173" t="str">
        <f>IFERROR(1-SUMIF(IGA_BD!$F:$F,$A299,IGA_BD!$X:$X)/($AA299+SUMIF(IGA_BD!$F:$F,$A299,IGA_BD!$X:$X)),"")</f>
        <v/>
      </c>
      <c r="R299" s="173" t="str">
        <f>IFERROR(1-SUMIF(Grid_BD!$F:$F,$A299,Grid_BD!$Y:$Y)/($AA299+SUMIF(Grid_BD!$F:$F,$A299,Grid_BD!$Y:$Y)),"")</f>
        <v/>
      </c>
      <c r="S299" s="167"/>
      <c r="T299" s="172"/>
      <c r="U299" s="173"/>
      <c r="V299" s="167"/>
      <c r="W299" s="174" t="str">
        <f t="shared" si="22"/>
        <v/>
      </c>
      <c r="X299" s="167" t="str">
        <f>IFERROR(_xlfn.XLOOKUP($A299,Input_Raw!$A:$A,Input_Raw!$BF:$BF),"")</f>
        <v/>
      </c>
      <c r="Y299" s="167" t="str">
        <f>IFERROR(_xlfn.XLOOKUP($A299,Input_Raw!$A:$A,Input_Raw!BJ:BJ),"")</f>
        <v/>
      </c>
      <c r="Z299" s="167" t="str">
        <f>IFERROR(_xlfn.XLOOKUP($A299,Input_Raw!$A:$A,Input_Raw!BK:BK),"")</f>
        <v/>
      </c>
      <c r="AA299" s="167" t="str">
        <f>IFERROR(_xlfn.XLOOKUP($A299,Input_Raw!$A:$A,Input_Raw!BL:BL),"")</f>
        <v/>
      </c>
      <c r="AB299" s="167" t="str">
        <f>IFERROR(_xlfn.XLOOKUP($A299,Input_Raw!$A:$A,Input_Raw!$BO:$BO),"")</f>
        <v/>
      </c>
      <c r="AC299" s="176">
        <f>IFERROR(_xlfn.XLOOKUP($D299,'Modelling New'!$D:$D,'Modelling New'!$J:$J),"")</f>
        <v>5.57</v>
      </c>
      <c r="AD299" s="166">
        <f>IFERROR(_xlfn.XLOOKUP($D299,'Modelling New'!$D:$D,'Modelling New'!$T:$T)*1000,"")</f>
        <v>613380.19779310341</v>
      </c>
      <c r="AE299" s="174"/>
      <c r="AF299" s="174">
        <f>IFERROR(_xlfn.XLOOKUP($D299,'Modelling New'!$D:$D,'Modelling New'!$W:$W),"")</f>
        <v>0.36406706896551722</v>
      </c>
      <c r="AG299" s="174">
        <f>IFERROR(_xlfn.XLOOKUP($D299,'Modelling New'!$D:$D,'Modelling New'!$AE:$AE),"")</f>
        <v>0.96029999999999993</v>
      </c>
      <c r="AH299" s="174">
        <f>IFERROR(_xlfn.XLOOKUP($D299,'Modelling New'!$D:$D,'Modelling New'!$AF:$AF),"")</f>
        <v>0.995</v>
      </c>
      <c r="AI299" s="177" t="str">
        <f>IFERROR(_xlfn.XLOOKUP($A299,Input_Raw!$A:$A,Input_Raw!$BQ:$BQ),"")</f>
        <v/>
      </c>
      <c r="AJ299" s="167"/>
      <c r="AK299" s="167"/>
      <c r="AL299" s="167"/>
      <c r="AM299" s="167"/>
      <c r="AN299" s="175" t="str">
        <f>IFERROR(_xlfn.XLOOKUP($A299,Input_Raw!$A:$A,Input_Raw!$BN:$BN),"")</f>
        <v/>
      </c>
      <c r="AO299" s="174" t="str">
        <f>IFERROR((_xlfn.XLOOKUP($A299,'WTG Reactive Power'!$A:$A,'WTG Reactive Power'!$AE:$AE))/Table13[[#This Row],[Gen_Exp (kWh)]],"")</f>
        <v/>
      </c>
      <c r="AP299" s="174">
        <f>IFERROR(_xlfn.XLOOKUP($D299,'Modelling New'!$D:$D,'Modelling New'!$AK:$AK),"")</f>
        <v>0.05</v>
      </c>
      <c r="AQ299" s="174">
        <f>IFERROR(_xlfn.XLOOKUP($D299,'Modelling New'!$D:$D,'Modelling New'!$AL:$AL),"")</f>
        <v>0.05</v>
      </c>
      <c r="AR299" s="276">
        <f>IFERROR(_xlfn.XLOOKUP($D299,'Modelling New'!$D:$D,'Modelling New'!$N:$N),"")</f>
        <v>70.2</v>
      </c>
      <c r="AS299" s="276"/>
    </row>
    <row r="300" spans="1:45">
      <c r="A300" s="165">
        <f t="shared" si="23"/>
        <v>46043</v>
      </c>
      <c r="B300" s="166">
        <f>YEAR(Table13[[#This Row],[Date]])+IF(MONTH(Table13[[#This Row],[Date]])&gt;=4,1,0)</f>
        <v>2026</v>
      </c>
      <c r="C300" s="167">
        <f>YEAR(Table13[[#This Row],[Date]])</f>
        <v>2026</v>
      </c>
      <c r="D300" s="168">
        <f>Table13[[#This Row],[Date]]-DAY(Table13[[#This Row],[Date]])+1</f>
        <v>46023</v>
      </c>
      <c r="E300" s="167">
        <f t="shared" si="20"/>
        <v>31</v>
      </c>
      <c r="F300" s="169"/>
      <c r="G300" s="170"/>
      <c r="H300" s="170"/>
      <c r="I300" s="170"/>
      <c r="J300" s="170"/>
      <c r="K300" s="171"/>
      <c r="L300" s="170"/>
      <c r="M300" s="170" t="str">
        <f>IFERROR(_xlfn.XLOOKUP($A300,Input_Raw!$A:$A,Input_Raw!BG:BG),"")</f>
        <v/>
      </c>
      <c r="N300" s="170" t="str">
        <f>IFERROR(_xlfn.XLOOKUP($A300,Input_Raw!$A:$A,Input_Raw!BH:BH),"")</f>
        <v/>
      </c>
      <c r="O300" s="173" t="str">
        <f t="shared" si="21"/>
        <v/>
      </c>
      <c r="P300" s="173" t="str">
        <f>IFERROR(1-SUMIF(WTG_BD!$F:$F,$A300,WTG_BD!$AA:$AA)/($AA300+SUMIF(WTG_BD!$F:$F,$A300,WTG_BD!$AA:$AA)),"")</f>
        <v/>
      </c>
      <c r="Q300" s="173" t="str">
        <f>IFERROR(1-SUMIF(IGA_BD!$F:$F,$A300,IGA_BD!$X:$X)/($AA300+SUMIF(IGA_BD!$F:$F,$A300,IGA_BD!$X:$X)),"")</f>
        <v/>
      </c>
      <c r="R300" s="173" t="str">
        <f>IFERROR(1-SUMIF(Grid_BD!$F:$F,$A300,Grid_BD!$Y:$Y)/($AA300+SUMIF(Grid_BD!$F:$F,$A300,Grid_BD!$Y:$Y)),"")</f>
        <v/>
      </c>
      <c r="S300" s="167"/>
      <c r="T300" s="172"/>
      <c r="U300" s="173"/>
      <c r="V300" s="167"/>
      <c r="W300" s="174" t="str">
        <f t="shared" si="22"/>
        <v/>
      </c>
      <c r="X300" s="167" t="str">
        <f>IFERROR(_xlfn.XLOOKUP($A300,Input_Raw!$A:$A,Input_Raw!$BF:$BF),"")</f>
        <v/>
      </c>
      <c r="Y300" s="167" t="str">
        <f>IFERROR(_xlfn.XLOOKUP($A300,Input_Raw!$A:$A,Input_Raw!BJ:BJ),"")</f>
        <v/>
      </c>
      <c r="Z300" s="167" t="str">
        <f>IFERROR(_xlfn.XLOOKUP($A300,Input_Raw!$A:$A,Input_Raw!BK:BK),"")</f>
        <v/>
      </c>
      <c r="AA300" s="167" t="str">
        <f>IFERROR(_xlfn.XLOOKUP($A300,Input_Raw!$A:$A,Input_Raw!BL:BL),"")</f>
        <v/>
      </c>
      <c r="AB300" s="167" t="str">
        <f>IFERROR(_xlfn.XLOOKUP($A300,Input_Raw!$A:$A,Input_Raw!$BO:$BO),"")</f>
        <v/>
      </c>
      <c r="AC300" s="176">
        <f>IFERROR(_xlfn.XLOOKUP($D300,'Modelling New'!$D:$D,'Modelling New'!$J:$J),"")</f>
        <v>5.57</v>
      </c>
      <c r="AD300" s="166">
        <f>IFERROR(_xlfn.XLOOKUP($D300,'Modelling New'!$D:$D,'Modelling New'!$T:$T)*1000,"")</f>
        <v>613380.19779310341</v>
      </c>
      <c r="AE300" s="174"/>
      <c r="AF300" s="174">
        <f>IFERROR(_xlfn.XLOOKUP($D300,'Modelling New'!$D:$D,'Modelling New'!$W:$W),"")</f>
        <v>0.36406706896551722</v>
      </c>
      <c r="AG300" s="174">
        <f>IFERROR(_xlfn.XLOOKUP($D300,'Modelling New'!$D:$D,'Modelling New'!$AE:$AE),"")</f>
        <v>0.96029999999999993</v>
      </c>
      <c r="AH300" s="174">
        <f>IFERROR(_xlfn.XLOOKUP($D300,'Modelling New'!$D:$D,'Modelling New'!$AF:$AF),"")</f>
        <v>0.995</v>
      </c>
      <c r="AI300" s="177" t="str">
        <f>IFERROR(_xlfn.XLOOKUP($A300,Input_Raw!$A:$A,Input_Raw!$BQ:$BQ),"")</f>
        <v/>
      </c>
      <c r="AJ300" s="167"/>
      <c r="AK300" s="167"/>
      <c r="AL300" s="167"/>
      <c r="AM300" s="167"/>
      <c r="AN300" s="175" t="str">
        <f>IFERROR(_xlfn.XLOOKUP($A300,Input_Raw!$A:$A,Input_Raw!$BN:$BN),"")</f>
        <v/>
      </c>
      <c r="AO300" s="174" t="str">
        <f>IFERROR((_xlfn.XLOOKUP($A300,'WTG Reactive Power'!$A:$A,'WTG Reactive Power'!$AE:$AE))/Table13[[#This Row],[Gen_Exp (kWh)]],"")</f>
        <v/>
      </c>
      <c r="AP300" s="174">
        <f>IFERROR(_xlfn.XLOOKUP($D300,'Modelling New'!$D:$D,'Modelling New'!$AK:$AK),"")</f>
        <v>0.05</v>
      </c>
      <c r="AQ300" s="174">
        <f>IFERROR(_xlfn.XLOOKUP($D300,'Modelling New'!$D:$D,'Modelling New'!$AL:$AL),"")</f>
        <v>0.05</v>
      </c>
      <c r="AR300" s="276">
        <f>IFERROR(_xlfn.XLOOKUP($D300,'Modelling New'!$D:$D,'Modelling New'!$N:$N),"")</f>
        <v>70.2</v>
      </c>
      <c r="AS300" s="276"/>
    </row>
    <row r="301" spans="1:45">
      <c r="A301" s="165">
        <f t="shared" si="23"/>
        <v>46044</v>
      </c>
      <c r="B301" s="166">
        <f>YEAR(Table13[[#This Row],[Date]])+IF(MONTH(Table13[[#This Row],[Date]])&gt;=4,1,0)</f>
        <v>2026</v>
      </c>
      <c r="C301" s="167">
        <f>YEAR(Table13[[#This Row],[Date]])</f>
        <v>2026</v>
      </c>
      <c r="D301" s="168">
        <f>Table13[[#This Row],[Date]]-DAY(Table13[[#This Row],[Date]])+1</f>
        <v>46023</v>
      </c>
      <c r="E301" s="167">
        <f t="shared" si="20"/>
        <v>31</v>
      </c>
      <c r="F301" s="169"/>
      <c r="G301" s="176"/>
      <c r="H301" s="176"/>
      <c r="I301" s="176"/>
      <c r="J301" s="176"/>
      <c r="K301" s="171"/>
      <c r="L301" s="170"/>
      <c r="M301" s="170" t="str">
        <f>IFERROR(_xlfn.XLOOKUP($A301,Input_Raw!$A:$A,Input_Raw!BG:BG),"")</f>
        <v/>
      </c>
      <c r="N301" s="170" t="str">
        <f>IFERROR(_xlfn.XLOOKUP($A301,Input_Raw!$A:$A,Input_Raw!BH:BH),"")</f>
        <v/>
      </c>
      <c r="O301" s="173" t="str">
        <f t="shared" si="21"/>
        <v/>
      </c>
      <c r="P301" s="173" t="str">
        <f>IFERROR(1-SUMIF(WTG_BD!$F:$F,$A301,WTG_BD!$AA:$AA)/($AA301+SUMIF(WTG_BD!$F:$F,$A301,WTG_BD!$AA:$AA)),"")</f>
        <v/>
      </c>
      <c r="Q301" s="173" t="str">
        <f>IFERROR(1-SUMIF(IGA_BD!$F:$F,$A301,IGA_BD!$X:$X)/($AA301+SUMIF(IGA_BD!$F:$F,$A301,IGA_BD!$X:$X)),"")</f>
        <v/>
      </c>
      <c r="R301" s="173" t="str">
        <f>IFERROR(1-SUMIF(Grid_BD!$F:$F,$A301,Grid_BD!$Y:$Y)/($AA301+SUMIF(Grid_BD!$F:$F,$A301,Grid_BD!$Y:$Y)),"")</f>
        <v/>
      </c>
      <c r="S301" s="167"/>
      <c r="T301" s="172"/>
      <c r="U301" s="173"/>
      <c r="V301" s="167"/>
      <c r="W301" s="174" t="str">
        <f t="shared" si="22"/>
        <v/>
      </c>
      <c r="X301" s="167" t="str">
        <f>IFERROR(_xlfn.XLOOKUP($A301,Input_Raw!$A:$A,Input_Raw!$BF:$BF),"")</f>
        <v/>
      </c>
      <c r="Y301" s="167" t="str">
        <f>IFERROR(_xlfn.XLOOKUP($A301,Input_Raw!$A:$A,Input_Raw!BJ:BJ),"")</f>
        <v/>
      </c>
      <c r="Z301" s="167" t="str">
        <f>IFERROR(_xlfn.XLOOKUP($A301,Input_Raw!$A:$A,Input_Raw!BK:BK),"")</f>
        <v/>
      </c>
      <c r="AA301" s="167" t="str">
        <f>IFERROR(_xlfn.XLOOKUP($A301,Input_Raw!$A:$A,Input_Raw!BL:BL),"")</f>
        <v/>
      </c>
      <c r="AB301" s="167" t="str">
        <f>IFERROR(_xlfn.XLOOKUP($A301,Input_Raw!$A:$A,Input_Raw!$BO:$BO),"")</f>
        <v/>
      </c>
      <c r="AC301" s="176">
        <f>IFERROR(_xlfn.XLOOKUP($D301,'Modelling New'!$D:$D,'Modelling New'!$J:$J),"")</f>
        <v>5.57</v>
      </c>
      <c r="AD301" s="166">
        <f>IFERROR(_xlfn.XLOOKUP($D301,'Modelling New'!$D:$D,'Modelling New'!$T:$T)*1000,"")</f>
        <v>613380.19779310341</v>
      </c>
      <c r="AE301" s="174"/>
      <c r="AF301" s="174">
        <f>IFERROR(_xlfn.XLOOKUP($D301,'Modelling New'!$D:$D,'Modelling New'!$W:$W),"")</f>
        <v>0.36406706896551722</v>
      </c>
      <c r="AG301" s="174">
        <f>IFERROR(_xlfn.XLOOKUP($D301,'Modelling New'!$D:$D,'Modelling New'!$AE:$AE),"")</f>
        <v>0.96029999999999993</v>
      </c>
      <c r="AH301" s="174">
        <f>IFERROR(_xlfn.XLOOKUP($D301,'Modelling New'!$D:$D,'Modelling New'!$AF:$AF),"")</f>
        <v>0.995</v>
      </c>
      <c r="AI301" s="177" t="str">
        <f>IFERROR(_xlfn.XLOOKUP($A301,Input_Raw!$A:$A,Input_Raw!$BQ:$BQ),"")</f>
        <v/>
      </c>
      <c r="AJ301" s="167"/>
      <c r="AK301" s="167"/>
      <c r="AL301" s="167"/>
      <c r="AM301" s="167"/>
      <c r="AN301" s="175" t="str">
        <f>IFERROR(_xlfn.XLOOKUP($A301,Input_Raw!$A:$A,Input_Raw!$BN:$BN),"")</f>
        <v/>
      </c>
      <c r="AO301" s="174" t="str">
        <f>IFERROR((_xlfn.XLOOKUP($A301,'WTG Reactive Power'!$A:$A,'WTG Reactive Power'!$AE:$AE))/Table13[[#This Row],[Gen_Exp (kWh)]],"")</f>
        <v/>
      </c>
      <c r="AP301" s="174">
        <f>IFERROR(_xlfn.XLOOKUP($D301,'Modelling New'!$D:$D,'Modelling New'!$AK:$AK),"")</f>
        <v>0.05</v>
      </c>
      <c r="AQ301" s="174">
        <f>IFERROR(_xlfn.XLOOKUP($D301,'Modelling New'!$D:$D,'Modelling New'!$AL:$AL),"")</f>
        <v>0.05</v>
      </c>
      <c r="AR301" s="276">
        <f>IFERROR(_xlfn.XLOOKUP($D301,'Modelling New'!$D:$D,'Modelling New'!$N:$N),"")</f>
        <v>70.2</v>
      </c>
      <c r="AS301" s="276"/>
    </row>
    <row r="302" spans="1:45">
      <c r="A302" s="165">
        <f t="shared" si="23"/>
        <v>46045</v>
      </c>
      <c r="B302" s="166">
        <f>YEAR(Table13[[#This Row],[Date]])+IF(MONTH(Table13[[#This Row],[Date]])&gt;=4,1,0)</f>
        <v>2026</v>
      </c>
      <c r="C302" s="167">
        <f>YEAR(Table13[[#This Row],[Date]])</f>
        <v>2026</v>
      </c>
      <c r="D302" s="168">
        <f>Table13[[#This Row],[Date]]-DAY(Table13[[#This Row],[Date]])+1</f>
        <v>46023</v>
      </c>
      <c r="E302" s="167">
        <f t="shared" si="20"/>
        <v>31</v>
      </c>
      <c r="F302" s="169"/>
      <c r="G302" s="170"/>
      <c r="H302" s="170"/>
      <c r="I302" s="170"/>
      <c r="J302" s="170"/>
      <c r="K302" s="171"/>
      <c r="L302" s="170"/>
      <c r="M302" s="170" t="str">
        <f>IFERROR(_xlfn.XLOOKUP($A302,Input_Raw!$A:$A,Input_Raw!BG:BG),"")</f>
        <v/>
      </c>
      <c r="N302" s="170" t="str">
        <f>IFERROR(_xlfn.XLOOKUP($A302,Input_Raw!$A:$A,Input_Raw!BH:BH),"")</f>
        <v/>
      </c>
      <c r="O302" s="173" t="str">
        <f t="shared" si="21"/>
        <v/>
      </c>
      <c r="P302" s="173" t="str">
        <f>IFERROR(1-SUMIF(WTG_BD!$F:$F,$A302,WTG_BD!$AA:$AA)/($AA302+SUMIF(WTG_BD!$F:$F,$A302,WTG_BD!$AA:$AA)),"")</f>
        <v/>
      </c>
      <c r="Q302" s="173" t="str">
        <f>IFERROR(1-SUMIF(IGA_BD!$F:$F,$A302,IGA_BD!$X:$X)/($AA302+SUMIF(IGA_BD!$F:$F,$A302,IGA_BD!$X:$X)),"")</f>
        <v/>
      </c>
      <c r="R302" s="173" t="str">
        <f>IFERROR(1-SUMIF(Grid_BD!$F:$F,$A302,Grid_BD!$Y:$Y)/($AA302+SUMIF(Grid_BD!$F:$F,$A302,Grid_BD!$Y:$Y)),"")</f>
        <v/>
      </c>
      <c r="S302" s="167"/>
      <c r="T302" s="172"/>
      <c r="U302" s="173"/>
      <c r="V302" s="167"/>
      <c r="W302" s="174" t="str">
        <f t="shared" si="22"/>
        <v/>
      </c>
      <c r="X302" s="167" t="str">
        <f>IFERROR(_xlfn.XLOOKUP($A302,Input_Raw!$A:$A,Input_Raw!$BF:$BF),"")</f>
        <v/>
      </c>
      <c r="Y302" s="167" t="str">
        <f>IFERROR(_xlfn.XLOOKUP($A302,Input_Raw!$A:$A,Input_Raw!BJ:BJ),"")</f>
        <v/>
      </c>
      <c r="Z302" s="167" t="str">
        <f>IFERROR(_xlfn.XLOOKUP($A302,Input_Raw!$A:$A,Input_Raw!BK:BK),"")</f>
        <v/>
      </c>
      <c r="AA302" s="167" t="str">
        <f>IFERROR(_xlfn.XLOOKUP($A302,Input_Raw!$A:$A,Input_Raw!BL:BL),"")</f>
        <v/>
      </c>
      <c r="AB302" s="167" t="str">
        <f>IFERROR(_xlfn.XLOOKUP($A302,Input_Raw!$A:$A,Input_Raw!$BO:$BO),"")</f>
        <v/>
      </c>
      <c r="AC302" s="176">
        <f>IFERROR(_xlfn.XLOOKUP($D302,'Modelling New'!$D:$D,'Modelling New'!$J:$J),"")</f>
        <v>5.57</v>
      </c>
      <c r="AD302" s="166">
        <f>IFERROR(_xlfn.XLOOKUP($D302,'Modelling New'!$D:$D,'Modelling New'!$T:$T)*1000,"")</f>
        <v>613380.19779310341</v>
      </c>
      <c r="AE302" s="174"/>
      <c r="AF302" s="174">
        <f>IFERROR(_xlfn.XLOOKUP($D302,'Modelling New'!$D:$D,'Modelling New'!$W:$W),"")</f>
        <v>0.36406706896551722</v>
      </c>
      <c r="AG302" s="174">
        <f>IFERROR(_xlfn.XLOOKUP($D302,'Modelling New'!$D:$D,'Modelling New'!$AE:$AE),"")</f>
        <v>0.96029999999999993</v>
      </c>
      <c r="AH302" s="174">
        <f>IFERROR(_xlfn.XLOOKUP($D302,'Modelling New'!$D:$D,'Modelling New'!$AF:$AF),"")</f>
        <v>0.995</v>
      </c>
      <c r="AI302" s="177" t="str">
        <f>IFERROR(_xlfn.XLOOKUP($A302,Input_Raw!$A:$A,Input_Raw!$BQ:$BQ),"")</f>
        <v/>
      </c>
      <c r="AJ302" s="167"/>
      <c r="AK302" s="167"/>
      <c r="AL302" s="167"/>
      <c r="AM302" s="167"/>
      <c r="AN302" s="175" t="str">
        <f>IFERROR(_xlfn.XLOOKUP($A302,Input_Raw!$A:$A,Input_Raw!$BN:$BN),"")</f>
        <v/>
      </c>
      <c r="AO302" s="174" t="str">
        <f>IFERROR((_xlfn.XLOOKUP($A302,'WTG Reactive Power'!$A:$A,'WTG Reactive Power'!$AE:$AE))/Table13[[#This Row],[Gen_Exp (kWh)]],"")</f>
        <v/>
      </c>
      <c r="AP302" s="174">
        <f>IFERROR(_xlfn.XLOOKUP($D302,'Modelling New'!$D:$D,'Modelling New'!$AK:$AK),"")</f>
        <v>0.05</v>
      </c>
      <c r="AQ302" s="174">
        <f>IFERROR(_xlfn.XLOOKUP($D302,'Modelling New'!$D:$D,'Modelling New'!$AL:$AL),"")</f>
        <v>0.05</v>
      </c>
      <c r="AR302" s="276">
        <f>IFERROR(_xlfn.XLOOKUP($D302,'Modelling New'!$D:$D,'Modelling New'!$N:$N),"")</f>
        <v>70.2</v>
      </c>
      <c r="AS302" s="276"/>
    </row>
    <row r="303" spans="1:45">
      <c r="A303" s="165">
        <f t="shared" si="23"/>
        <v>46046</v>
      </c>
      <c r="B303" s="166">
        <f>YEAR(Table13[[#This Row],[Date]])+IF(MONTH(Table13[[#This Row],[Date]])&gt;=4,1,0)</f>
        <v>2026</v>
      </c>
      <c r="C303" s="167">
        <f>YEAR(Table13[[#This Row],[Date]])</f>
        <v>2026</v>
      </c>
      <c r="D303" s="168">
        <f>Table13[[#This Row],[Date]]-DAY(Table13[[#This Row],[Date]])+1</f>
        <v>46023</v>
      </c>
      <c r="E303" s="167">
        <f t="shared" si="20"/>
        <v>31</v>
      </c>
      <c r="F303" s="169"/>
      <c r="G303" s="176"/>
      <c r="H303" s="176"/>
      <c r="I303" s="176"/>
      <c r="J303" s="176"/>
      <c r="K303" s="171"/>
      <c r="L303" s="170"/>
      <c r="M303" s="170" t="str">
        <f>IFERROR(_xlfn.XLOOKUP($A303,Input_Raw!$A:$A,Input_Raw!BG:BG),"")</f>
        <v/>
      </c>
      <c r="N303" s="170" t="str">
        <f>IFERROR(_xlfn.XLOOKUP($A303,Input_Raw!$A:$A,Input_Raw!BH:BH),"")</f>
        <v/>
      </c>
      <c r="O303" s="173" t="str">
        <f t="shared" si="21"/>
        <v/>
      </c>
      <c r="P303" s="173" t="str">
        <f>IFERROR(1-SUMIF(WTG_BD!$F:$F,$A303,WTG_BD!$AA:$AA)/($AA303+SUMIF(WTG_BD!$F:$F,$A303,WTG_BD!$AA:$AA)),"")</f>
        <v/>
      </c>
      <c r="Q303" s="173" t="str">
        <f>IFERROR(1-SUMIF(IGA_BD!$F:$F,$A303,IGA_BD!$X:$X)/($AA303+SUMIF(IGA_BD!$F:$F,$A303,IGA_BD!$X:$X)),"")</f>
        <v/>
      </c>
      <c r="R303" s="173" t="str">
        <f>IFERROR(1-SUMIF(Grid_BD!$F:$F,$A303,Grid_BD!$Y:$Y)/($AA303+SUMIF(Grid_BD!$F:$F,$A303,Grid_BD!$Y:$Y)),"")</f>
        <v/>
      </c>
      <c r="S303" s="167"/>
      <c r="T303" s="172"/>
      <c r="U303" s="173"/>
      <c r="V303" s="167"/>
      <c r="W303" s="174" t="str">
        <f t="shared" si="22"/>
        <v/>
      </c>
      <c r="X303" s="167" t="str">
        <f>IFERROR(_xlfn.XLOOKUP($A303,Input_Raw!$A:$A,Input_Raw!$BF:$BF),"")</f>
        <v/>
      </c>
      <c r="Y303" s="167" t="str">
        <f>IFERROR(_xlfn.XLOOKUP($A303,Input_Raw!$A:$A,Input_Raw!BJ:BJ),"")</f>
        <v/>
      </c>
      <c r="Z303" s="167" t="str">
        <f>IFERROR(_xlfn.XLOOKUP($A303,Input_Raw!$A:$A,Input_Raw!BK:BK),"")</f>
        <v/>
      </c>
      <c r="AA303" s="167" t="str">
        <f>IFERROR(_xlfn.XLOOKUP($A303,Input_Raw!$A:$A,Input_Raw!BL:BL),"")</f>
        <v/>
      </c>
      <c r="AB303" s="167" t="str">
        <f>IFERROR(_xlfn.XLOOKUP($A303,Input_Raw!$A:$A,Input_Raw!$BO:$BO),"")</f>
        <v/>
      </c>
      <c r="AC303" s="176">
        <f>IFERROR(_xlfn.XLOOKUP($D303,'Modelling New'!$D:$D,'Modelling New'!$J:$J),"")</f>
        <v>5.57</v>
      </c>
      <c r="AD303" s="166">
        <f>IFERROR(_xlfn.XLOOKUP($D303,'Modelling New'!$D:$D,'Modelling New'!$T:$T)*1000,"")</f>
        <v>613380.19779310341</v>
      </c>
      <c r="AE303" s="174"/>
      <c r="AF303" s="174">
        <f>IFERROR(_xlfn.XLOOKUP($D303,'Modelling New'!$D:$D,'Modelling New'!$W:$W),"")</f>
        <v>0.36406706896551722</v>
      </c>
      <c r="AG303" s="174">
        <f>IFERROR(_xlfn.XLOOKUP($D303,'Modelling New'!$D:$D,'Modelling New'!$AE:$AE),"")</f>
        <v>0.96029999999999993</v>
      </c>
      <c r="AH303" s="174">
        <f>IFERROR(_xlfn.XLOOKUP($D303,'Modelling New'!$D:$D,'Modelling New'!$AF:$AF),"")</f>
        <v>0.995</v>
      </c>
      <c r="AI303" s="177" t="str">
        <f>IFERROR(_xlfn.XLOOKUP($A303,Input_Raw!$A:$A,Input_Raw!$BQ:$BQ),"")</f>
        <v/>
      </c>
      <c r="AJ303" s="167"/>
      <c r="AK303" s="167"/>
      <c r="AL303" s="167"/>
      <c r="AM303" s="167"/>
      <c r="AN303" s="175" t="str">
        <f>IFERROR(_xlfn.XLOOKUP($A303,Input_Raw!$A:$A,Input_Raw!$BN:$BN),"")</f>
        <v/>
      </c>
      <c r="AO303" s="174" t="str">
        <f>IFERROR((_xlfn.XLOOKUP($A303,'WTG Reactive Power'!$A:$A,'WTG Reactive Power'!$AE:$AE))/Table13[[#This Row],[Gen_Exp (kWh)]],"")</f>
        <v/>
      </c>
      <c r="AP303" s="174">
        <f>IFERROR(_xlfn.XLOOKUP($D303,'Modelling New'!$D:$D,'Modelling New'!$AK:$AK),"")</f>
        <v>0.05</v>
      </c>
      <c r="AQ303" s="174">
        <f>IFERROR(_xlfn.XLOOKUP($D303,'Modelling New'!$D:$D,'Modelling New'!$AL:$AL),"")</f>
        <v>0.05</v>
      </c>
      <c r="AR303" s="276">
        <f>IFERROR(_xlfn.XLOOKUP($D303,'Modelling New'!$D:$D,'Modelling New'!$N:$N),"")</f>
        <v>70.2</v>
      </c>
      <c r="AS303" s="276"/>
    </row>
    <row r="304" spans="1:45">
      <c r="A304" s="165">
        <f t="shared" si="23"/>
        <v>46047</v>
      </c>
      <c r="B304" s="166">
        <f>YEAR(Table13[[#This Row],[Date]])+IF(MONTH(Table13[[#This Row],[Date]])&gt;=4,1,0)</f>
        <v>2026</v>
      </c>
      <c r="C304" s="167">
        <f>YEAR(Table13[[#This Row],[Date]])</f>
        <v>2026</v>
      </c>
      <c r="D304" s="168">
        <f>Table13[[#This Row],[Date]]-DAY(Table13[[#This Row],[Date]])+1</f>
        <v>46023</v>
      </c>
      <c r="E304" s="167">
        <f t="shared" si="20"/>
        <v>31</v>
      </c>
      <c r="F304" s="169"/>
      <c r="G304" s="170"/>
      <c r="H304" s="170"/>
      <c r="I304" s="170"/>
      <c r="J304" s="170"/>
      <c r="K304" s="171"/>
      <c r="L304" s="170"/>
      <c r="M304" s="170" t="str">
        <f>IFERROR(_xlfn.XLOOKUP($A304,Input_Raw!$A:$A,Input_Raw!BG:BG),"")</f>
        <v/>
      </c>
      <c r="N304" s="170" t="str">
        <f>IFERROR(_xlfn.XLOOKUP($A304,Input_Raw!$A:$A,Input_Raw!BH:BH),"")</f>
        <v/>
      </c>
      <c r="O304" s="173" t="str">
        <f t="shared" si="21"/>
        <v/>
      </c>
      <c r="P304" s="173" t="str">
        <f>IFERROR(1-SUMIF(WTG_BD!$F:$F,$A304,WTG_BD!$AA:$AA)/($AA304+SUMIF(WTG_BD!$F:$F,$A304,WTG_BD!$AA:$AA)),"")</f>
        <v/>
      </c>
      <c r="Q304" s="173" t="str">
        <f>IFERROR(1-SUMIF(IGA_BD!$F:$F,$A304,IGA_BD!$X:$X)/($AA304+SUMIF(IGA_BD!$F:$F,$A304,IGA_BD!$X:$X)),"")</f>
        <v/>
      </c>
      <c r="R304" s="173" t="str">
        <f>IFERROR(1-SUMIF(Grid_BD!$F:$F,$A304,Grid_BD!$Y:$Y)/($AA304+SUMIF(Grid_BD!$F:$F,$A304,Grid_BD!$Y:$Y)),"")</f>
        <v/>
      </c>
      <c r="S304" s="167"/>
      <c r="T304" s="172"/>
      <c r="U304" s="173"/>
      <c r="V304" s="167"/>
      <c r="W304" s="174" t="str">
        <f t="shared" si="22"/>
        <v/>
      </c>
      <c r="X304" s="167" t="str">
        <f>IFERROR(_xlfn.XLOOKUP($A304,Input_Raw!$A:$A,Input_Raw!$BF:$BF),"")</f>
        <v/>
      </c>
      <c r="Y304" s="167" t="str">
        <f>IFERROR(_xlfn.XLOOKUP($A304,Input_Raw!$A:$A,Input_Raw!BJ:BJ),"")</f>
        <v/>
      </c>
      <c r="Z304" s="167" t="str">
        <f>IFERROR(_xlfn.XLOOKUP($A304,Input_Raw!$A:$A,Input_Raw!BK:BK),"")</f>
        <v/>
      </c>
      <c r="AA304" s="167" t="str">
        <f>IFERROR(_xlfn.XLOOKUP($A304,Input_Raw!$A:$A,Input_Raw!BL:BL),"")</f>
        <v/>
      </c>
      <c r="AB304" s="167" t="str">
        <f>IFERROR(_xlfn.XLOOKUP($A304,Input_Raw!$A:$A,Input_Raw!$BO:$BO),"")</f>
        <v/>
      </c>
      <c r="AC304" s="176">
        <f>IFERROR(_xlfn.XLOOKUP($D304,'Modelling New'!$D:$D,'Modelling New'!$J:$J),"")</f>
        <v>5.57</v>
      </c>
      <c r="AD304" s="166">
        <f>IFERROR(_xlfn.XLOOKUP($D304,'Modelling New'!$D:$D,'Modelling New'!$T:$T)*1000,"")</f>
        <v>613380.19779310341</v>
      </c>
      <c r="AE304" s="174"/>
      <c r="AF304" s="174">
        <f>IFERROR(_xlfn.XLOOKUP($D304,'Modelling New'!$D:$D,'Modelling New'!$W:$W),"")</f>
        <v>0.36406706896551722</v>
      </c>
      <c r="AG304" s="174">
        <f>IFERROR(_xlfn.XLOOKUP($D304,'Modelling New'!$D:$D,'Modelling New'!$AE:$AE),"")</f>
        <v>0.96029999999999993</v>
      </c>
      <c r="AH304" s="174">
        <f>IFERROR(_xlfn.XLOOKUP($D304,'Modelling New'!$D:$D,'Modelling New'!$AF:$AF),"")</f>
        <v>0.995</v>
      </c>
      <c r="AI304" s="177" t="str">
        <f>IFERROR(_xlfn.XLOOKUP($A304,Input_Raw!$A:$A,Input_Raw!$BQ:$BQ),"")</f>
        <v/>
      </c>
      <c r="AJ304" s="167"/>
      <c r="AK304" s="167"/>
      <c r="AL304" s="167"/>
      <c r="AM304" s="167"/>
      <c r="AN304" s="175" t="str">
        <f>IFERROR(_xlfn.XLOOKUP($A304,Input_Raw!$A:$A,Input_Raw!$BN:$BN),"")</f>
        <v/>
      </c>
      <c r="AO304" s="174" t="str">
        <f>IFERROR((_xlfn.XLOOKUP($A304,'WTG Reactive Power'!$A:$A,'WTG Reactive Power'!$AE:$AE))/Table13[[#This Row],[Gen_Exp (kWh)]],"")</f>
        <v/>
      </c>
      <c r="AP304" s="174">
        <f>IFERROR(_xlfn.XLOOKUP($D304,'Modelling New'!$D:$D,'Modelling New'!$AK:$AK),"")</f>
        <v>0.05</v>
      </c>
      <c r="AQ304" s="174">
        <f>IFERROR(_xlfn.XLOOKUP($D304,'Modelling New'!$D:$D,'Modelling New'!$AL:$AL),"")</f>
        <v>0.05</v>
      </c>
      <c r="AR304" s="276">
        <f>IFERROR(_xlfn.XLOOKUP($D304,'Modelling New'!$D:$D,'Modelling New'!$N:$N),"")</f>
        <v>70.2</v>
      </c>
      <c r="AS304" s="276"/>
    </row>
    <row r="305" spans="1:45">
      <c r="A305" s="165">
        <f t="shared" si="23"/>
        <v>46048</v>
      </c>
      <c r="B305" s="166">
        <f>YEAR(Table13[[#This Row],[Date]])+IF(MONTH(Table13[[#This Row],[Date]])&gt;=4,1,0)</f>
        <v>2026</v>
      </c>
      <c r="C305" s="167">
        <f>YEAR(Table13[[#This Row],[Date]])</f>
        <v>2026</v>
      </c>
      <c r="D305" s="168">
        <f>Table13[[#This Row],[Date]]-DAY(Table13[[#This Row],[Date]])+1</f>
        <v>46023</v>
      </c>
      <c r="E305" s="167">
        <f t="shared" si="20"/>
        <v>31</v>
      </c>
      <c r="F305" s="169"/>
      <c r="G305" s="176"/>
      <c r="H305" s="176"/>
      <c r="I305" s="176"/>
      <c r="J305" s="176"/>
      <c r="K305" s="171"/>
      <c r="L305" s="170"/>
      <c r="M305" s="170" t="str">
        <f>IFERROR(_xlfn.XLOOKUP($A305,Input_Raw!$A:$A,Input_Raw!BG:BG),"")</f>
        <v/>
      </c>
      <c r="N305" s="170" t="str">
        <f>IFERROR(_xlfn.XLOOKUP($A305,Input_Raw!$A:$A,Input_Raw!BH:BH),"")</f>
        <v/>
      </c>
      <c r="O305" s="173" t="str">
        <f t="shared" si="21"/>
        <v/>
      </c>
      <c r="P305" s="173" t="str">
        <f>IFERROR(1-SUMIF(WTG_BD!$F:$F,$A305,WTG_BD!$AA:$AA)/($AA305+SUMIF(WTG_BD!$F:$F,$A305,WTG_BD!$AA:$AA)),"")</f>
        <v/>
      </c>
      <c r="Q305" s="173" t="str">
        <f>IFERROR(1-SUMIF(IGA_BD!$F:$F,$A305,IGA_BD!$X:$X)/($AA305+SUMIF(IGA_BD!$F:$F,$A305,IGA_BD!$X:$X)),"")</f>
        <v/>
      </c>
      <c r="R305" s="173" t="str">
        <f>IFERROR(1-SUMIF(Grid_BD!$F:$F,$A305,Grid_BD!$Y:$Y)/($AA305+SUMIF(Grid_BD!$F:$F,$A305,Grid_BD!$Y:$Y)),"")</f>
        <v/>
      </c>
      <c r="S305" s="167"/>
      <c r="T305" s="172"/>
      <c r="U305" s="173"/>
      <c r="V305" s="167"/>
      <c r="W305" s="174" t="str">
        <f t="shared" si="22"/>
        <v/>
      </c>
      <c r="X305" s="167" t="str">
        <f>IFERROR(_xlfn.XLOOKUP($A305,Input_Raw!$A:$A,Input_Raw!$BF:$BF),"")</f>
        <v/>
      </c>
      <c r="Y305" s="167" t="str">
        <f>IFERROR(_xlfn.XLOOKUP($A305,Input_Raw!$A:$A,Input_Raw!BJ:BJ),"")</f>
        <v/>
      </c>
      <c r="Z305" s="167" t="str">
        <f>IFERROR(_xlfn.XLOOKUP($A305,Input_Raw!$A:$A,Input_Raw!BK:BK),"")</f>
        <v/>
      </c>
      <c r="AA305" s="167" t="str">
        <f>IFERROR(_xlfn.XLOOKUP($A305,Input_Raw!$A:$A,Input_Raw!BL:BL),"")</f>
        <v/>
      </c>
      <c r="AB305" s="167" t="str">
        <f>IFERROR(_xlfn.XLOOKUP($A305,Input_Raw!$A:$A,Input_Raw!$BO:$BO),"")</f>
        <v/>
      </c>
      <c r="AC305" s="176">
        <f>IFERROR(_xlfn.XLOOKUP($D305,'Modelling New'!$D:$D,'Modelling New'!$J:$J),"")</f>
        <v>5.57</v>
      </c>
      <c r="AD305" s="166">
        <f>IFERROR(_xlfn.XLOOKUP($D305,'Modelling New'!$D:$D,'Modelling New'!$T:$T)*1000,"")</f>
        <v>613380.19779310341</v>
      </c>
      <c r="AE305" s="174"/>
      <c r="AF305" s="174">
        <f>IFERROR(_xlfn.XLOOKUP($D305,'Modelling New'!$D:$D,'Modelling New'!$W:$W),"")</f>
        <v>0.36406706896551722</v>
      </c>
      <c r="AG305" s="174">
        <f>IFERROR(_xlfn.XLOOKUP($D305,'Modelling New'!$D:$D,'Modelling New'!$AE:$AE),"")</f>
        <v>0.96029999999999993</v>
      </c>
      <c r="AH305" s="174">
        <f>IFERROR(_xlfn.XLOOKUP($D305,'Modelling New'!$D:$D,'Modelling New'!$AF:$AF),"")</f>
        <v>0.995</v>
      </c>
      <c r="AI305" s="177" t="str">
        <f>IFERROR(_xlfn.XLOOKUP($A305,Input_Raw!$A:$A,Input_Raw!$BQ:$BQ),"")</f>
        <v/>
      </c>
      <c r="AJ305" s="167"/>
      <c r="AK305" s="167"/>
      <c r="AL305" s="167"/>
      <c r="AM305" s="167"/>
      <c r="AN305" s="175" t="str">
        <f>IFERROR(_xlfn.XLOOKUP($A305,Input_Raw!$A:$A,Input_Raw!$BN:$BN),"")</f>
        <v/>
      </c>
      <c r="AO305" s="174" t="str">
        <f>IFERROR((_xlfn.XLOOKUP($A305,'WTG Reactive Power'!$A:$A,'WTG Reactive Power'!$AE:$AE))/Table13[[#This Row],[Gen_Exp (kWh)]],"")</f>
        <v/>
      </c>
      <c r="AP305" s="174">
        <f>IFERROR(_xlfn.XLOOKUP($D305,'Modelling New'!$D:$D,'Modelling New'!$AK:$AK),"")</f>
        <v>0.05</v>
      </c>
      <c r="AQ305" s="174">
        <f>IFERROR(_xlfn.XLOOKUP($D305,'Modelling New'!$D:$D,'Modelling New'!$AL:$AL),"")</f>
        <v>0.05</v>
      </c>
      <c r="AR305" s="276">
        <f>IFERROR(_xlfn.XLOOKUP($D305,'Modelling New'!$D:$D,'Modelling New'!$N:$N),"")</f>
        <v>70.2</v>
      </c>
      <c r="AS305" s="276"/>
    </row>
    <row r="306" spans="1:45">
      <c r="A306" s="165">
        <f t="shared" si="23"/>
        <v>46049</v>
      </c>
      <c r="B306" s="166">
        <f>YEAR(Table13[[#This Row],[Date]])+IF(MONTH(Table13[[#This Row],[Date]])&gt;=4,1,0)</f>
        <v>2026</v>
      </c>
      <c r="C306" s="167">
        <f>YEAR(Table13[[#This Row],[Date]])</f>
        <v>2026</v>
      </c>
      <c r="D306" s="168">
        <f>Table13[[#This Row],[Date]]-DAY(Table13[[#This Row],[Date]])+1</f>
        <v>46023</v>
      </c>
      <c r="E306" s="167">
        <f t="shared" si="20"/>
        <v>31</v>
      </c>
      <c r="F306" s="169"/>
      <c r="G306" s="170"/>
      <c r="H306" s="170"/>
      <c r="I306" s="170"/>
      <c r="J306" s="170"/>
      <c r="K306" s="171"/>
      <c r="L306" s="170"/>
      <c r="M306" s="170" t="str">
        <f>IFERROR(_xlfn.XLOOKUP($A306,Input_Raw!$A:$A,Input_Raw!BG:BG),"")</f>
        <v/>
      </c>
      <c r="N306" s="170" t="str">
        <f>IFERROR(_xlfn.XLOOKUP($A306,Input_Raw!$A:$A,Input_Raw!BH:BH),"")</f>
        <v/>
      </c>
      <c r="O306" s="173" t="str">
        <f t="shared" si="21"/>
        <v/>
      </c>
      <c r="P306" s="173" t="str">
        <f>IFERROR(1-SUMIF(WTG_BD!$F:$F,$A306,WTG_BD!$AA:$AA)/($AA306+SUMIF(WTG_BD!$F:$F,$A306,WTG_BD!$AA:$AA)),"")</f>
        <v/>
      </c>
      <c r="Q306" s="173" t="str">
        <f>IFERROR(1-SUMIF(IGA_BD!$F:$F,$A306,IGA_BD!$X:$X)/($AA306+SUMIF(IGA_BD!$F:$F,$A306,IGA_BD!$X:$X)),"")</f>
        <v/>
      </c>
      <c r="R306" s="173" t="str">
        <f>IFERROR(1-SUMIF(Grid_BD!$F:$F,$A306,Grid_BD!$Y:$Y)/($AA306+SUMIF(Grid_BD!$F:$F,$A306,Grid_BD!$Y:$Y)),"")</f>
        <v/>
      </c>
      <c r="S306" s="167"/>
      <c r="T306" s="172"/>
      <c r="U306" s="173"/>
      <c r="V306" s="167"/>
      <c r="W306" s="174" t="str">
        <f t="shared" si="22"/>
        <v/>
      </c>
      <c r="X306" s="167" t="str">
        <f>IFERROR(_xlfn.XLOOKUP($A306,Input_Raw!$A:$A,Input_Raw!$BF:$BF),"")</f>
        <v/>
      </c>
      <c r="Y306" s="167" t="str">
        <f>IFERROR(_xlfn.XLOOKUP($A306,Input_Raw!$A:$A,Input_Raw!BJ:BJ),"")</f>
        <v/>
      </c>
      <c r="Z306" s="167" t="str">
        <f>IFERROR(_xlfn.XLOOKUP($A306,Input_Raw!$A:$A,Input_Raw!BK:BK),"")</f>
        <v/>
      </c>
      <c r="AA306" s="167" t="str">
        <f>IFERROR(_xlfn.XLOOKUP($A306,Input_Raw!$A:$A,Input_Raw!BL:BL),"")</f>
        <v/>
      </c>
      <c r="AB306" s="167" t="str">
        <f>IFERROR(_xlfn.XLOOKUP($A306,Input_Raw!$A:$A,Input_Raw!$BO:$BO),"")</f>
        <v/>
      </c>
      <c r="AC306" s="176">
        <f>IFERROR(_xlfn.XLOOKUP($D306,'Modelling New'!$D:$D,'Modelling New'!$J:$J),"")</f>
        <v>5.57</v>
      </c>
      <c r="AD306" s="166">
        <f>IFERROR(_xlfn.XLOOKUP($D306,'Modelling New'!$D:$D,'Modelling New'!$T:$T)*1000,"")</f>
        <v>613380.19779310341</v>
      </c>
      <c r="AE306" s="174"/>
      <c r="AF306" s="174">
        <f>IFERROR(_xlfn.XLOOKUP($D306,'Modelling New'!$D:$D,'Modelling New'!$W:$W),"")</f>
        <v>0.36406706896551722</v>
      </c>
      <c r="AG306" s="174">
        <f>IFERROR(_xlfn.XLOOKUP($D306,'Modelling New'!$D:$D,'Modelling New'!$AE:$AE),"")</f>
        <v>0.96029999999999993</v>
      </c>
      <c r="AH306" s="174">
        <f>IFERROR(_xlfn.XLOOKUP($D306,'Modelling New'!$D:$D,'Modelling New'!$AF:$AF),"")</f>
        <v>0.995</v>
      </c>
      <c r="AI306" s="177" t="str">
        <f>IFERROR(_xlfn.XLOOKUP($A306,Input_Raw!$A:$A,Input_Raw!$BQ:$BQ),"")</f>
        <v/>
      </c>
      <c r="AJ306" s="167"/>
      <c r="AK306" s="167"/>
      <c r="AL306" s="167"/>
      <c r="AM306" s="167"/>
      <c r="AN306" s="175" t="str">
        <f>IFERROR(_xlfn.XLOOKUP($A306,Input_Raw!$A:$A,Input_Raw!$BN:$BN),"")</f>
        <v/>
      </c>
      <c r="AO306" s="174" t="str">
        <f>IFERROR((_xlfn.XLOOKUP($A306,'WTG Reactive Power'!$A:$A,'WTG Reactive Power'!$AE:$AE))/Table13[[#This Row],[Gen_Exp (kWh)]],"")</f>
        <v/>
      </c>
      <c r="AP306" s="174">
        <f>IFERROR(_xlfn.XLOOKUP($D306,'Modelling New'!$D:$D,'Modelling New'!$AK:$AK),"")</f>
        <v>0.05</v>
      </c>
      <c r="AQ306" s="174">
        <f>IFERROR(_xlfn.XLOOKUP($D306,'Modelling New'!$D:$D,'Modelling New'!$AL:$AL),"")</f>
        <v>0.05</v>
      </c>
      <c r="AR306" s="276">
        <f>IFERROR(_xlfn.XLOOKUP($D306,'Modelling New'!$D:$D,'Modelling New'!$N:$N),"")</f>
        <v>70.2</v>
      </c>
      <c r="AS306" s="276"/>
    </row>
    <row r="307" spans="1:45">
      <c r="A307" s="165">
        <f t="shared" si="23"/>
        <v>46050</v>
      </c>
      <c r="B307" s="166">
        <f>YEAR(Table13[[#This Row],[Date]])+IF(MONTH(Table13[[#This Row],[Date]])&gt;=4,1,0)</f>
        <v>2026</v>
      </c>
      <c r="C307" s="167">
        <f>YEAR(Table13[[#This Row],[Date]])</f>
        <v>2026</v>
      </c>
      <c r="D307" s="168">
        <f>Table13[[#This Row],[Date]]-DAY(Table13[[#This Row],[Date]])+1</f>
        <v>46023</v>
      </c>
      <c r="E307" s="167">
        <f t="shared" si="20"/>
        <v>31</v>
      </c>
      <c r="F307" s="169"/>
      <c r="G307" s="176"/>
      <c r="H307" s="176"/>
      <c r="I307" s="176"/>
      <c r="J307" s="176"/>
      <c r="K307" s="171"/>
      <c r="L307" s="170"/>
      <c r="M307" s="170" t="str">
        <f>IFERROR(_xlfn.XLOOKUP($A307,Input_Raw!$A:$A,Input_Raw!BG:BG),"")</f>
        <v/>
      </c>
      <c r="N307" s="170" t="str">
        <f>IFERROR(_xlfn.XLOOKUP($A307,Input_Raw!$A:$A,Input_Raw!BH:BH),"")</f>
        <v/>
      </c>
      <c r="O307" s="173" t="str">
        <f t="shared" si="21"/>
        <v/>
      </c>
      <c r="P307" s="173" t="str">
        <f>IFERROR(1-SUMIF(WTG_BD!$F:$F,$A307,WTG_BD!$AA:$AA)/($AA307+SUMIF(WTG_BD!$F:$F,$A307,WTG_BD!$AA:$AA)),"")</f>
        <v/>
      </c>
      <c r="Q307" s="173" t="str">
        <f>IFERROR(1-SUMIF(IGA_BD!$F:$F,$A307,IGA_BD!$X:$X)/($AA307+SUMIF(IGA_BD!$F:$F,$A307,IGA_BD!$X:$X)),"")</f>
        <v/>
      </c>
      <c r="R307" s="173" t="str">
        <f>IFERROR(1-SUMIF(Grid_BD!$F:$F,$A307,Grid_BD!$Y:$Y)/($AA307+SUMIF(Grid_BD!$F:$F,$A307,Grid_BD!$Y:$Y)),"")</f>
        <v/>
      </c>
      <c r="S307" s="167"/>
      <c r="T307" s="172"/>
      <c r="U307" s="173"/>
      <c r="V307" s="167"/>
      <c r="W307" s="174" t="str">
        <f t="shared" si="22"/>
        <v/>
      </c>
      <c r="X307" s="167" t="str">
        <f>IFERROR(_xlfn.XLOOKUP($A307,Input_Raw!$A:$A,Input_Raw!$BF:$BF),"")</f>
        <v/>
      </c>
      <c r="Y307" s="167" t="str">
        <f>IFERROR(_xlfn.XLOOKUP($A307,Input_Raw!$A:$A,Input_Raw!BJ:BJ),"")</f>
        <v/>
      </c>
      <c r="Z307" s="167" t="str">
        <f>IFERROR(_xlfn.XLOOKUP($A307,Input_Raw!$A:$A,Input_Raw!BK:BK),"")</f>
        <v/>
      </c>
      <c r="AA307" s="167" t="str">
        <f>IFERROR(_xlfn.XLOOKUP($A307,Input_Raw!$A:$A,Input_Raw!BL:BL),"")</f>
        <v/>
      </c>
      <c r="AB307" s="167" t="str">
        <f>IFERROR(_xlfn.XLOOKUP($A307,Input_Raw!$A:$A,Input_Raw!$BO:$BO),"")</f>
        <v/>
      </c>
      <c r="AC307" s="176">
        <f>IFERROR(_xlfn.XLOOKUP($D307,'Modelling New'!$D:$D,'Modelling New'!$J:$J),"")</f>
        <v>5.57</v>
      </c>
      <c r="AD307" s="166">
        <f>IFERROR(_xlfn.XLOOKUP($D307,'Modelling New'!$D:$D,'Modelling New'!$T:$T)*1000,"")</f>
        <v>613380.19779310341</v>
      </c>
      <c r="AE307" s="174"/>
      <c r="AF307" s="174">
        <f>IFERROR(_xlfn.XLOOKUP($D307,'Modelling New'!$D:$D,'Modelling New'!$W:$W),"")</f>
        <v>0.36406706896551722</v>
      </c>
      <c r="AG307" s="174">
        <f>IFERROR(_xlfn.XLOOKUP($D307,'Modelling New'!$D:$D,'Modelling New'!$AE:$AE),"")</f>
        <v>0.96029999999999993</v>
      </c>
      <c r="AH307" s="174">
        <f>IFERROR(_xlfn.XLOOKUP($D307,'Modelling New'!$D:$D,'Modelling New'!$AF:$AF),"")</f>
        <v>0.995</v>
      </c>
      <c r="AI307" s="177" t="str">
        <f>IFERROR(_xlfn.XLOOKUP($A307,Input_Raw!$A:$A,Input_Raw!$BQ:$BQ),"")</f>
        <v/>
      </c>
      <c r="AJ307" s="167"/>
      <c r="AK307" s="167"/>
      <c r="AL307" s="167"/>
      <c r="AM307" s="167"/>
      <c r="AN307" s="175" t="str">
        <f>IFERROR(_xlfn.XLOOKUP($A307,Input_Raw!$A:$A,Input_Raw!$BN:$BN),"")</f>
        <v/>
      </c>
      <c r="AO307" s="174" t="str">
        <f>IFERROR((_xlfn.XLOOKUP($A307,'WTG Reactive Power'!$A:$A,'WTG Reactive Power'!$AE:$AE))/Table13[[#This Row],[Gen_Exp (kWh)]],"")</f>
        <v/>
      </c>
      <c r="AP307" s="174">
        <f>IFERROR(_xlfn.XLOOKUP($D307,'Modelling New'!$D:$D,'Modelling New'!$AK:$AK),"")</f>
        <v>0.05</v>
      </c>
      <c r="AQ307" s="174">
        <f>IFERROR(_xlfn.XLOOKUP($D307,'Modelling New'!$D:$D,'Modelling New'!$AL:$AL),"")</f>
        <v>0.05</v>
      </c>
      <c r="AR307" s="276">
        <f>IFERROR(_xlfn.XLOOKUP($D307,'Modelling New'!$D:$D,'Modelling New'!$N:$N),"")</f>
        <v>70.2</v>
      </c>
      <c r="AS307" s="276"/>
    </row>
    <row r="308" spans="1:45">
      <c r="A308" s="165">
        <f t="shared" si="23"/>
        <v>46051</v>
      </c>
      <c r="B308" s="166">
        <f>YEAR(Table13[[#This Row],[Date]])+IF(MONTH(Table13[[#This Row],[Date]])&gt;=4,1,0)</f>
        <v>2026</v>
      </c>
      <c r="C308" s="167">
        <f>YEAR(Table13[[#This Row],[Date]])</f>
        <v>2026</v>
      </c>
      <c r="D308" s="168">
        <f>Table13[[#This Row],[Date]]-DAY(Table13[[#This Row],[Date]])+1</f>
        <v>46023</v>
      </c>
      <c r="E308" s="167">
        <f t="shared" si="20"/>
        <v>31</v>
      </c>
      <c r="F308" s="169"/>
      <c r="G308" s="170"/>
      <c r="H308" s="170"/>
      <c r="I308" s="170"/>
      <c r="J308" s="170"/>
      <c r="K308" s="171"/>
      <c r="L308" s="170"/>
      <c r="M308" s="170" t="str">
        <f>IFERROR(_xlfn.XLOOKUP($A308,Input_Raw!$A:$A,Input_Raw!BG:BG),"")</f>
        <v/>
      </c>
      <c r="N308" s="170" t="str">
        <f>IFERROR(_xlfn.XLOOKUP($A308,Input_Raw!$A:$A,Input_Raw!BH:BH),"")</f>
        <v/>
      </c>
      <c r="O308" s="173" t="str">
        <f t="shared" si="21"/>
        <v/>
      </c>
      <c r="P308" s="173" t="str">
        <f>IFERROR(1-SUMIF(WTG_BD!$F:$F,$A308,WTG_BD!$AA:$AA)/($AA308+SUMIF(WTG_BD!$F:$F,$A308,WTG_BD!$AA:$AA)),"")</f>
        <v/>
      </c>
      <c r="Q308" s="173" t="str">
        <f>IFERROR(1-SUMIF(IGA_BD!$F:$F,$A308,IGA_BD!$X:$X)/($AA308+SUMIF(IGA_BD!$F:$F,$A308,IGA_BD!$X:$X)),"")</f>
        <v/>
      </c>
      <c r="R308" s="173" t="str">
        <f>IFERROR(1-SUMIF(Grid_BD!$F:$F,$A308,Grid_BD!$Y:$Y)/($AA308+SUMIF(Grid_BD!$F:$F,$A308,Grid_BD!$Y:$Y)),"")</f>
        <v/>
      </c>
      <c r="S308" s="167"/>
      <c r="T308" s="172"/>
      <c r="U308" s="173"/>
      <c r="V308" s="167"/>
      <c r="W308" s="174" t="str">
        <f t="shared" si="22"/>
        <v/>
      </c>
      <c r="X308" s="167" t="str">
        <f>IFERROR(_xlfn.XLOOKUP($A308,Input_Raw!$A:$A,Input_Raw!$BF:$BF),"")</f>
        <v/>
      </c>
      <c r="Y308" s="167" t="str">
        <f>IFERROR(_xlfn.XLOOKUP($A308,Input_Raw!$A:$A,Input_Raw!BJ:BJ),"")</f>
        <v/>
      </c>
      <c r="Z308" s="167" t="str">
        <f>IFERROR(_xlfn.XLOOKUP($A308,Input_Raw!$A:$A,Input_Raw!BK:BK),"")</f>
        <v/>
      </c>
      <c r="AA308" s="167" t="str">
        <f>IFERROR(_xlfn.XLOOKUP($A308,Input_Raw!$A:$A,Input_Raw!BL:BL),"")</f>
        <v/>
      </c>
      <c r="AB308" s="167" t="str">
        <f>IFERROR(_xlfn.XLOOKUP($A308,Input_Raw!$A:$A,Input_Raw!$BO:$BO),"")</f>
        <v/>
      </c>
      <c r="AC308" s="176">
        <f>IFERROR(_xlfn.XLOOKUP($D308,'Modelling New'!$D:$D,'Modelling New'!$J:$J),"")</f>
        <v>5.57</v>
      </c>
      <c r="AD308" s="166">
        <f>IFERROR(_xlfn.XLOOKUP($D308,'Modelling New'!$D:$D,'Modelling New'!$T:$T)*1000,"")</f>
        <v>613380.19779310341</v>
      </c>
      <c r="AE308" s="174"/>
      <c r="AF308" s="174">
        <f>IFERROR(_xlfn.XLOOKUP($D308,'Modelling New'!$D:$D,'Modelling New'!$W:$W),"")</f>
        <v>0.36406706896551722</v>
      </c>
      <c r="AG308" s="174">
        <f>IFERROR(_xlfn.XLOOKUP($D308,'Modelling New'!$D:$D,'Modelling New'!$AE:$AE),"")</f>
        <v>0.96029999999999993</v>
      </c>
      <c r="AH308" s="174">
        <f>IFERROR(_xlfn.XLOOKUP($D308,'Modelling New'!$D:$D,'Modelling New'!$AF:$AF),"")</f>
        <v>0.995</v>
      </c>
      <c r="AI308" s="177" t="str">
        <f>IFERROR(_xlfn.XLOOKUP($A308,Input_Raw!$A:$A,Input_Raw!$BQ:$BQ),"")</f>
        <v/>
      </c>
      <c r="AJ308" s="167"/>
      <c r="AK308" s="167"/>
      <c r="AL308" s="167"/>
      <c r="AM308" s="167"/>
      <c r="AN308" s="175" t="str">
        <f>IFERROR(_xlfn.XLOOKUP($A308,Input_Raw!$A:$A,Input_Raw!$BN:$BN),"")</f>
        <v/>
      </c>
      <c r="AO308" s="174" t="str">
        <f>IFERROR((_xlfn.XLOOKUP($A308,'WTG Reactive Power'!$A:$A,'WTG Reactive Power'!$AE:$AE))/Table13[[#This Row],[Gen_Exp (kWh)]],"")</f>
        <v/>
      </c>
      <c r="AP308" s="174">
        <f>IFERROR(_xlfn.XLOOKUP($D308,'Modelling New'!$D:$D,'Modelling New'!$AK:$AK),"")</f>
        <v>0.05</v>
      </c>
      <c r="AQ308" s="174">
        <f>IFERROR(_xlfn.XLOOKUP($D308,'Modelling New'!$D:$D,'Modelling New'!$AL:$AL),"")</f>
        <v>0.05</v>
      </c>
      <c r="AR308" s="276">
        <f>IFERROR(_xlfn.XLOOKUP($D308,'Modelling New'!$D:$D,'Modelling New'!$N:$N),"")</f>
        <v>70.2</v>
      </c>
      <c r="AS308" s="276"/>
    </row>
    <row r="309" spans="1:45">
      <c r="A309" s="165">
        <f t="shared" si="23"/>
        <v>46052</v>
      </c>
      <c r="B309" s="166">
        <f>YEAR(Table13[[#This Row],[Date]])+IF(MONTH(Table13[[#This Row],[Date]])&gt;=4,1,0)</f>
        <v>2026</v>
      </c>
      <c r="C309" s="167">
        <f>YEAR(Table13[[#This Row],[Date]])</f>
        <v>2026</v>
      </c>
      <c r="D309" s="168">
        <f>Table13[[#This Row],[Date]]-DAY(Table13[[#This Row],[Date]])+1</f>
        <v>46023</v>
      </c>
      <c r="E309" s="167">
        <f t="shared" si="20"/>
        <v>31</v>
      </c>
      <c r="F309" s="169"/>
      <c r="G309" s="176"/>
      <c r="H309" s="176"/>
      <c r="I309" s="176"/>
      <c r="J309" s="176"/>
      <c r="K309" s="171"/>
      <c r="L309" s="170"/>
      <c r="M309" s="170" t="str">
        <f>IFERROR(_xlfn.XLOOKUP($A309,Input_Raw!$A:$A,Input_Raw!BG:BG),"")</f>
        <v/>
      </c>
      <c r="N309" s="170" t="str">
        <f>IFERROR(_xlfn.XLOOKUP($A309,Input_Raw!$A:$A,Input_Raw!BH:BH),"")</f>
        <v/>
      </c>
      <c r="O309" s="173" t="str">
        <f t="shared" si="21"/>
        <v/>
      </c>
      <c r="P309" s="173" t="str">
        <f>IFERROR(1-SUMIF(WTG_BD!$F:$F,$A309,WTG_BD!$AA:$AA)/($AA309+SUMIF(WTG_BD!$F:$F,$A309,WTG_BD!$AA:$AA)),"")</f>
        <v/>
      </c>
      <c r="Q309" s="173" t="str">
        <f>IFERROR(1-SUMIF(IGA_BD!$F:$F,$A309,IGA_BD!$X:$X)/($AA309+SUMIF(IGA_BD!$F:$F,$A309,IGA_BD!$X:$X)),"")</f>
        <v/>
      </c>
      <c r="R309" s="173" t="str">
        <f>IFERROR(1-SUMIF(Grid_BD!$F:$F,$A309,Grid_BD!$Y:$Y)/($AA309+SUMIF(Grid_BD!$F:$F,$A309,Grid_BD!$Y:$Y)),"")</f>
        <v/>
      </c>
      <c r="S309" s="167"/>
      <c r="T309" s="172"/>
      <c r="U309" s="173"/>
      <c r="V309" s="167"/>
      <c r="W309" s="174" t="str">
        <f t="shared" si="22"/>
        <v/>
      </c>
      <c r="X309" s="167" t="str">
        <f>IFERROR(_xlfn.XLOOKUP($A309,Input_Raw!$A:$A,Input_Raw!$BF:$BF),"")</f>
        <v/>
      </c>
      <c r="Y309" s="167" t="str">
        <f>IFERROR(_xlfn.XLOOKUP($A309,Input_Raw!$A:$A,Input_Raw!BJ:BJ),"")</f>
        <v/>
      </c>
      <c r="Z309" s="167" t="str">
        <f>IFERROR(_xlfn.XLOOKUP($A309,Input_Raw!$A:$A,Input_Raw!BK:BK),"")</f>
        <v/>
      </c>
      <c r="AA309" s="167" t="str">
        <f>IFERROR(_xlfn.XLOOKUP($A309,Input_Raw!$A:$A,Input_Raw!BL:BL),"")</f>
        <v/>
      </c>
      <c r="AB309" s="167" t="str">
        <f>IFERROR(_xlfn.XLOOKUP($A309,Input_Raw!$A:$A,Input_Raw!$BO:$BO),"")</f>
        <v/>
      </c>
      <c r="AC309" s="176">
        <f>IFERROR(_xlfn.XLOOKUP($D309,'Modelling New'!$D:$D,'Modelling New'!$J:$J),"")</f>
        <v>5.57</v>
      </c>
      <c r="AD309" s="166">
        <f>IFERROR(_xlfn.XLOOKUP($D309,'Modelling New'!$D:$D,'Modelling New'!$T:$T)*1000,"")</f>
        <v>613380.19779310341</v>
      </c>
      <c r="AE309" s="174"/>
      <c r="AF309" s="174">
        <f>IFERROR(_xlfn.XLOOKUP($D309,'Modelling New'!$D:$D,'Modelling New'!$W:$W),"")</f>
        <v>0.36406706896551722</v>
      </c>
      <c r="AG309" s="174">
        <f>IFERROR(_xlfn.XLOOKUP($D309,'Modelling New'!$D:$D,'Modelling New'!$AE:$AE),"")</f>
        <v>0.96029999999999993</v>
      </c>
      <c r="AH309" s="174">
        <f>IFERROR(_xlfn.XLOOKUP($D309,'Modelling New'!$D:$D,'Modelling New'!$AF:$AF),"")</f>
        <v>0.995</v>
      </c>
      <c r="AI309" s="177" t="str">
        <f>IFERROR(_xlfn.XLOOKUP($A309,Input_Raw!$A:$A,Input_Raw!$BQ:$BQ),"")</f>
        <v/>
      </c>
      <c r="AJ309" s="167"/>
      <c r="AK309" s="167"/>
      <c r="AL309" s="167"/>
      <c r="AM309" s="167"/>
      <c r="AN309" s="175" t="str">
        <f>IFERROR(_xlfn.XLOOKUP($A309,Input_Raw!$A:$A,Input_Raw!$BN:$BN),"")</f>
        <v/>
      </c>
      <c r="AO309" s="174" t="str">
        <f>IFERROR((_xlfn.XLOOKUP($A309,'WTG Reactive Power'!$A:$A,'WTG Reactive Power'!$AE:$AE))/Table13[[#This Row],[Gen_Exp (kWh)]],"")</f>
        <v/>
      </c>
      <c r="AP309" s="174">
        <f>IFERROR(_xlfn.XLOOKUP($D309,'Modelling New'!$D:$D,'Modelling New'!$AK:$AK),"")</f>
        <v>0.05</v>
      </c>
      <c r="AQ309" s="174">
        <f>IFERROR(_xlfn.XLOOKUP($D309,'Modelling New'!$D:$D,'Modelling New'!$AL:$AL),"")</f>
        <v>0.05</v>
      </c>
      <c r="AR309" s="276">
        <f>IFERROR(_xlfn.XLOOKUP($D309,'Modelling New'!$D:$D,'Modelling New'!$N:$N),"")</f>
        <v>70.2</v>
      </c>
      <c r="AS309" s="276"/>
    </row>
    <row r="310" spans="1:45">
      <c r="A310" s="165">
        <f t="shared" si="23"/>
        <v>46053</v>
      </c>
      <c r="B310" s="166">
        <f>YEAR(Table13[[#This Row],[Date]])+IF(MONTH(Table13[[#This Row],[Date]])&gt;=4,1,0)</f>
        <v>2026</v>
      </c>
      <c r="C310" s="167">
        <f>YEAR(Table13[[#This Row],[Date]])</f>
        <v>2026</v>
      </c>
      <c r="D310" s="168">
        <f>Table13[[#This Row],[Date]]-DAY(Table13[[#This Row],[Date]])+1</f>
        <v>46023</v>
      </c>
      <c r="E310" s="167">
        <f t="shared" si="20"/>
        <v>31</v>
      </c>
      <c r="F310" s="169"/>
      <c r="G310" s="170"/>
      <c r="H310" s="170"/>
      <c r="I310" s="170"/>
      <c r="J310" s="170"/>
      <c r="K310" s="171"/>
      <c r="L310" s="170"/>
      <c r="M310" s="170" t="str">
        <f>IFERROR(_xlfn.XLOOKUP($A310,Input_Raw!$A:$A,Input_Raw!BG:BG),"")</f>
        <v/>
      </c>
      <c r="N310" s="170" t="str">
        <f>IFERROR(_xlfn.XLOOKUP($A310,Input_Raw!$A:$A,Input_Raw!BH:BH),"")</f>
        <v/>
      </c>
      <c r="O310" s="173" t="str">
        <f t="shared" si="21"/>
        <v/>
      </c>
      <c r="P310" s="173" t="str">
        <f>IFERROR(1-SUMIF(WTG_BD!$F:$F,$A310,WTG_BD!$AA:$AA)/($AA310+SUMIF(WTG_BD!$F:$F,$A310,WTG_BD!$AA:$AA)),"")</f>
        <v/>
      </c>
      <c r="Q310" s="173" t="str">
        <f>IFERROR(1-SUMIF(IGA_BD!$F:$F,$A310,IGA_BD!$X:$X)/($AA310+SUMIF(IGA_BD!$F:$F,$A310,IGA_BD!$X:$X)),"")</f>
        <v/>
      </c>
      <c r="R310" s="173" t="str">
        <f>IFERROR(1-SUMIF(Grid_BD!$F:$F,$A310,Grid_BD!$Y:$Y)/($AA310+SUMIF(Grid_BD!$F:$F,$A310,Grid_BD!$Y:$Y)),"")</f>
        <v/>
      </c>
      <c r="S310" s="167"/>
      <c r="T310" s="172"/>
      <c r="U310" s="173"/>
      <c r="V310" s="167"/>
      <c r="W310" s="174" t="str">
        <f t="shared" si="22"/>
        <v/>
      </c>
      <c r="X310" s="167" t="str">
        <f>IFERROR(_xlfn.XLOOKUP($A310,Input_Raw!$A:$A,Input_Raw!$BF:$BF),"")</f>
        <v/>
      </c>
      <c r="Y310" s="167" t="str">
        <f>IFERROR(_xlfn.XLOOKUP($A310,Input_Raw!$A:$A,Input_Raw!BJ:BJ),"")</f>
        <v/>
      </c>
      <c r="Z310" s="167" t="str">
        <f>IFERROR(_xlfn.XLOOKUP($A310,Input_Raw!$A:$A,Input_Raw!BK:BK),"")</f>
        <v/>
      </c>
      <c r="AA310" s="167" t="str">
        <f>IFERROR(_xlfn.XLOOKUP($A310,Input_Raw!$A:$A,Input_Raw!BL:BL),"")</f>
        <v/>
      </c>
      <c r="AB310" s="167" t="str">
        <f>IFERROR(_xlfn.XLOOKUP($A310,Input_Raw!$A:$A,Input_Raw!$BO:$BO),"")</f>
        <v/>
      </c>
      <c r="AC310" s="176">
        <f>IFERROR(_xlfn.XLOOKUP($D310,'Modelling New'!$D:$D,'Modelling New'!$J:$J),"")</f>
        <v>5.57</v>
      </c>
      <c r="AD310" s="166">
        <f>IFERROR(_xlfn.XLOOKUP($D310,'Modelling New'!$D:$D,'Modelling New'!$T:$T)*1000,"")</f>
        <v>613380.19779310341</v>
      </c>
      <c r="AE310" s="174"/>
      <c r="AF310" s="174">
        <f>IFERROR(_xlfn.XLOOKUP($D310,'Modelling New'!$D:$D,'Modelling New'!$W:$W),"")</f>
        <v>0.36406706896551722</v>
      </c>
      <c r="AG310" s="174">
        <f>IFERROR(_xlfn.XLOOKUP($D310,'Modelling New'!$D:$D,'Modelling New'!$AE:$AE),"")</f>
        <v>0.96029999999999993</v>
      </c>
      <c r="AH310" s="174">
        <f>IFERROR(_xlfn.XLOOKUP($D310,'Modelling New'!$D:$D,'Modelling New'!$AF:$AF),"")</f>
        <v>0.995</v>
      </c>
      <c r="AI310" s="177" t="str">
        <f>IFERROR(_xlfn.XLOOKUP($A310,Input_Raw!$A:$A,Input_Raw!$BQ:$BQ),"")</f>
        <v/>
      </c>
      <c r="AJ310" s="167"/>
      <c r="AK310" s="167"/>
      <c r="AL310" s="167"/>
      <c r="AM310" s="167"/>
      <c r="AN310" s="175" t="str">
        <f>IFERROR(_xlfn.XLOOKUP($A310,Input_Raw!$A:$A,Input_Raw!$BN:$BN),"")</f>
        <v/>
      </c>
      <c r="AO310" s="174" t="str">
        <f>IFERROR((_xlfn.XLOOKUP($A310,'WTG Reactive Power'!$A:$A,'WTG Reactive Power'!$AE:$AE))/Table13[[#This Row],[Gen_Exp (kWh)]],"")</f>
        <v/>
      </c>
      <c r="AP310" s="174">
        <f>IFERROR(_xlfn.XLOOKUP($D310,'Modelling New'!$D:$D,'Modelling New'!$AK:$AK),"")</f>
        <v>0.05</v>
      </c>
      <c r="AQ310" s="174">
        <f>IFERROR(_xlfn.XLOOKUP($D310,'Modelling New'!$D:$D,'Modelling New'!$AL:$AL),"")</f>
        <v>0.05</v>
      </c>
      <c r="AR310" s="276">
        <f>IFERROR(_xlfn.XLOOKUP($D310,'Modelling New'!$D:$D,'Modelling New'!$N:$N),"")</f>
        <v>70.2</v>
      </c>
      <c r="AS310" s="276"/>
    </row>
    <row r="311" spans="1:45">
      <c r="A311" s="165">
        <f t="shared" si="23"/>
        <v>46054</v>
      </c>
      <c r="B311" s="166">
        <f>YEAR(Table13[[#This Row],[Date]])+IF(MONTH(Table13[[#This Row],[Date]])&gt;=4,1,0)</f>
        <v>2026</v>
      </c>
      <c r="C311" s="167">
        <f>YEAR(Table13[[#This Row],[Date]])</f>
        <v>2026</v>
      </c>
      <c r="D311" s="168">
        <f>Table13[[#This Row],[Date]]-DAY(Table13[[#This Row],[Date]])+1</f>
        <v>46054</v>
      </c>
      <c r="E311" s="167">
        <f t="shared" si="20"/>
        <v>28</v>
      </c>
      <c r="F311" s="169"/>
      <c r="G311" s="176"/>
      <c r="H311" s="176"/>
      <c r="I311" s="176"/>
      <c r="J311" s="176"/>
      <c r="K311" s="171"/>
      <c r="L311" s="170"/>
      <c r="M311" s="170" t="str">
        <f>IFERROR(_xlfn.XLOOKUP($A311,Input_Raw!$A:$A,Input_Raw!BG:BG),"")</f>
        <v/>
      </c>
      <c r="N311" s="170" t="str">
        <f>IFERROR(_xlfn.XLOOKUP($A311,Input_Raw!$A:$A,Input_Raw!BH:BH),"")</f>
        <v/>
      </c>
      <c r="O311" s="173" t="str">
        <f t="shared" si="21"/>
        <v/>
      </c>
      <c r="P311" s="173" t="str">
        <f>IFERROR(1-SUMIF(WTG_BD!$F:$F,$A311,WTG_BD!$AA:$AA)/($AA311+SUMIF(WTG_BD!$F:$F,$A311,WTG_BD!$AA:$AA)),"")</f>
        <v/>
      </c>
      <c r="Q311" s="173" t="str">
        <f>IFERROR(1-SUMIF(IGA_BD!$F:$F,$A311,IGA_BD!$X:$X)/($AA311+SUMIF(IGA_BD!$F:$F,$A311,IGA_BD!$X:$X)),"")</f>
        <v/>
      </c>
      <c r="R311" s="173" t="str">
        <f>IFERROR(1-SUMIF(Grid_BD!$F:$F,$A311,Grid_BD!$Y:$Y)/($AA311+SUMIF(Grid_BD!$F:$F,$A311,Grid_BD!$Y:$Y)),"")</f>
        <v/>
      </c>
      <c r="S311" s="167"/>
      <c r="T311" s="172"/>
      <c r="U311" s="173"/>
      <c r="V311" s="167"/>
      <c r="W311" s="174" t="str">
        <f t="shared" si="22"/>
        <v/>
      </c>
      <c r="X311" s="167" t="str">
        <f>IFERROR(_xlfn.XLOOKUP($A311,Input_Raw!$A:$A,Input_Raw!$BF:$BF),"")</f>
        <v/>
      </c>
      <c r="Y311" s="167" t="str">
        <f>IFERROR(_xlfn.XLOOKUP($A311,Input_Raw!$A:$A,Input_Raw!BJ:BJ),"")</f>
        <v/>
      </c>
      <c r="Z311" s="167" t="str">
        <f>IFERROR(_xlfn.XLOOKUP($A311,Input_Raw!$A:$A,Input_Raw!BK:BK),"")</f>
        <v/>
      </c>
      <c r="AA311" s="167" t="str">
        <f>IFERROR(_xlfn.XLOOKUP($A311,Input_Raw!$A:$A,Input_Raw!BL:BL),"")</f>
        <v/>
      </c>
      <c r="AB311" s="167" t="str">
        <f>IFERROR(_xlfn.XLOOKUP($A311,Input_Raw!$A:$A,Input_Raw!$BO:$BO),"")</f>
        <v/>
      </c>
      <c r="AC311" s="176">
        <f>IFERROR(_xlfn.XLOOKUP($D311,'Modelling New'!$D:$D,'Modelling New'!$J:$J),"")</f>
        <v>5.52</v>
      </c>
      <c r="AD311" s="166">
        <f>IFERROR(_xlfn.XLOOKUP($D311,'Modelling New'!$D:$D,'Modelling New'!$T:$T)*1000,"")</f>
        <v>522509.05737931043</v>
      </c>
      <c r="AE311" s="174"/>
      <c r="AF311" s="174">
        <f>IFERROR(_xlfn.XLOOKUP($D311,'Modelling New'!$D:$D,'Modelling New'!$W:$W),"")</f>
        <v>0.31013120689655177</v>
      </c>
      <c r="AG311" s="174">
        <f>IFERROR(_xlfn.XLOOKUP($D311,'Modelling New'!$D:$D,'Modelling New'!$AE:$AE),"")</f>
        <v>0.96029999999999993</v>
      </c>
      <c r="AH311" s="174">
        <f>IFERROR(_xlfn.XLOOKUP($D311,'Modelling New'!$D:$D,'Modelling New'!$AF:$AF),"")</f>
        <v>0.995</v>
      </c>
      <c r="AI311" s="177" t="str">
        <f>IFERROR(_xlfn.XLOOKUP($A311,Input_Raw!$A:$A,Input_Raw!$BQ:$BQ),"")</f>
        <v/>
      </c>
      <c r="AJ311" s="167"/>
      <c r="AK311" s="167"/>
      <c r="AL311" s="167"/>
      <c r="AM311" s="167"/>
      <c r="AN311" s="175" t="str">
        <f>IFERROR(_xlfn.XLOOKUP($A311,Input_Raw!$A:$A,Input_Raw!$BN:$BN),"")</f>
        <v/>
      </c>
      <c r="AO311" s="174" t="str">
        <f>IFERROR((_xlfn.XLOOKUP($A311,'WTG Reactive Power'!$A:$A,'WTG Reactive Power'!$AE:$AE))/Table13[[#This Row],[Gen_Exp (kWh)]],"")</f>
        <v/>
      </c>
      <c r="AP311" s="174">
        <f>IFERROR(_xlfn.XLOOKUP($D311,'Modelling New'!$D:$D,'Modelling New'!$AK:$AK),"")</f>
        <v>0.05</v>
      </c>
      <c r="AQ311" s="174">
        <f>IFERROR(_xlfn.XLOOKUP($D311,'Modelling New'!$D:$D,'Modelling New'!$AL:$AL),"")</f>
        <v>0.05</v>
      </c>
      <c r="AR311" s="276">
        <f>IFERROR(_xlfn.XLOOKUP($D311,'Modelling New'!$D:$D,'Modelling New'!$N:$N),"")</f>
        <v>70.2</v>
      </c>
      <c r="AS311" s="276"/>
    </row>
    <row r="312" spans="1:45">
      <c r="A312" s="165">
        <f t="shared" si="23"/>
        <v>46055</v>
      </c>
      <c r="B312" s="166">
        <f>YEAR(Table13[[#This Row],[Date]])+IF(MONTH(Table13[[#This Row],[Date]])&gt;=4,1,0)</f>
        <v>2026</v>
      </c>
      <c r="C312" s="167">
        <f>YEAR(Table13[[#This Row],[Date]])</f>
        <v>2026</v>
      </c>
      <c r="D312" s="168">
        <f>Table13[[#This Row],[Date]]-DAY(Table13[[#This Row],[Date]])+1</f>
        <v>46054</v>
      </c>
      <c r="E312" s="167">
        <f t="shared" si="20"/>
        <v>28</v>
      </c>
      <c r="F312" s="169"/>
      <c r="G312" s="170"/>
      <c r="H312" s="170"/>
      <c r="I312" s="170"/>
      <c r="J312" s="170"/>
      <c r="K312" s="171"/>
      <c r="L312" s="170"/>
      <c r="M312" s="170" t="str">
        <f>IFERROR(_xlfn.XLOOKUP($A312,Input_Raw!$A:$A,Input_Raw!BG:BG),"")</f>
        <v/>
      </c>
      <c r="N312" s="170" t="str">
        <f>IFERROR(_xlfn.XLOOKUP($A312,Input_Raw!$A:$A,Input_Raw!BH:BH),"")</f>
        <v/>
      </c>
      <c r="O312" s="173" t="str">
        <f t="shared" si="21"/>
        <v/>
      </c>
      <c r="P312" s="173" t="str">
        <f>IFERROR(1-SUMIF(WTG_BD!$F:$F,$A312,WTG_BD!$AA:$AA)/($AA312+SUMIF(WTG_BD!$F:$F,$A312,WTG_BD!$AA:$AA)),"")</f>
        <v/>
      </c>
      <c r="Q312" s="173" t="str">
        <f>IFERROR(1-SUMIF(IGA_BD!$F:$F,$A312,IGA_BD!$X:$X)/($AA312+SUMIF(IGA_BD!$F:$F,$A312,IGA_BD!$X:$X)),"")</f>
        <v/>
      </c>
      <c r="R312" s="173" t="str">
        <f>IFERROR(1-SUMIF(Grid_BD!$F:$F,$A312,Grid_BD!$Y:$Y)/($AA312+SUMIF(Grid_BD!$F:$F,$A312,Grid_BD!$Y:$Y)),"")</f>
        <v/>
      </c>
      <c r="S312" s="167"/>
      <c r="T312" s="172"/>
      <c r="U312" s="173"/>
      <c r="V312" s="167"/>
      <c r="W312" s="174" t="str">
        <f t="shared" si="22"/>
        <v/>
      </c>
      <c r="X312" s="167" t="str">
        <f>IFERROR(_xlfn.XLOOKUP($A312,Input_Raw!$A:$A,Input_Raw!$BF:$BF),"")</f>
        <v/>
      </c>
      <c r="Y312" s="167" t="str">
        <f>IFERROR(_xlfn.XLOOKUP($A312,Input_Raw!$A:$A,Input_Raw!BJ:BJ),"")</f>
        <v/>
      </c>
      <c r="Z312" s="167" t="str">
        <f>IFERROR(_xlfn.XLOOKUP($A312,Input_Raw!$A:$A,Input_Raw!BK:BK),"")</f>
        <v/>
      </c>
      <c r="AA312" s="167" t="str">
        <f>IFERROR(_xlfn.XLOOKUP($A312,Input_Raw!$A:$A,Input_Raw!BL:BL),"")</f>
        <v/>
      </c>
      <c r="AB312" s="167" t="str">
        <f>IFERROR(_xlfn.XLOOKUP($A312,Input_Raw!$A:$A,Input_Raw!$BO:$BO),"")</f>
        <v/>
      </c>
      <c r="AC312" s="176">
        <f>IFERROR(_xlfn.XLOOKUP($D312,'Modelling New'!$D:$D,'Modelling New'!$J:$J),"")</f>
        <v>5.52</v>
      </c>
      <c r="AD312" s="166">
        <f>IFERROR(_xlfn.XLOOKUP($D312,'Modelling New'!$D:$D,'Modelling New'!$T:$T)*1000,"")</f>
        <v>522509.05737931043</v>
      </c>
      <c r="AE312" s="174"/>
      <c r="AF312" s="174">
        <f>IFERROR(_xlfn.XLOOKUP($D312,'Modelling New'!$D:$D,'Modelling New'!$W:$W),"")</f>
        <v>0.31013120689655177</v>
      </c>
      <c r="AG312" s="174">
        <f>IFERROR(_xlfn.XLOOKUP($D312,'Modelling New'!$D:$D,'Modelling New'!$AE:$AE),"")</f>
        <v>0.96029999999999993</v>
      </c>
      <c r="AH312" s="174">
        <f>IFERROR(_xlfn.XLOOKUP($D312,'Modelling New'!$D:$D,'Modelling New'!$AF:$AF),"")</f>
        <v>0.995</v>
      </c>
      <c r="AI312" s="177" t="str">
        <f>IFERROR(_xlfn.XLOOKUP($A312,Input_Raw!$A:$A,Input_Raw!$BQ:$BQ),"")</f>
        <v/>
      </c>
      <c r="AJ312" s="167"/>
      <c r="AK312" s="167"/>
      <c r="AL312" s="167"/>
      <c r="AM312" s="167"/>
      <c r="AN312" s="175" t="str">
        <f>IFERROR(_xlfn.XLOOKUP($A312,Input_Raw!$A:$A,Input_Raw!$BN:$BN),"")</f>
        <v/>
      </c>
      <c r="AO312" s="174" t="str">
        <f>IFERROR((_xlfn.XLOOKUP($A312,'WTG Reactive Power'!$A:$A,'WTG Reactive Power'!$AE:$AE))/Table13[[#This Row],[Gen_Exp (kWh)]],"")</f>
        <v/>
      </c>
      <c r="AP312" s="174">
        <f>IFERROR(_xlfn.XLOOKUP($D312,'Modelling New'!$D:$D,'Modelling New'!$AK:$AK),"")</f>
        <v>0.05</v>
      </c>
      <c r="AQ312" s="174">
        <f>IFERROR(_xlfn.XLOOKUP($D312,'Modelling New'!$D:$D,'Modelling New'!$AL:$AL),"")</f>
        <v>0.05</v>
      </c>
      <c r="AR312" s="276">
        <f>IFERROR(_xlfn.XLOOKUP($D312,'Modelling New'!$D:$D,'Modelling New'!$N:$N),"")</f>
        <v>70.2</v>
      </c>
      <c r="AS312" s="276"/>
    </row>
    <row r="313" spans="1:45">
      <c r="A313" s="165">
        <f t="shared" si="23"/>
        <v>46056</v>
      </c>
      <c r="B313" s="166">
        <f>YEAR(Table13[[#This Row],[Date]])+IF(MONTH(Table13[[#This Row],[Date]])&gt;=4,1,0)</f>
        <v>2026</v>
      </c>
      <c r="C313" s="167">
        <f>YEAR(Table13[[#This Row],[Date]])</f>
        <v>2026</v>
      </c>
      <c r="D313" s="168">
        <f>Table13[[#This Row],[Date]]-DAY(Table13[[#This Row],[Date]])+1</f>
        <v>46054</v>
      </c>
      <c r="E313" s="167">
        <f t="shared" si="20"/>
        <v>28</v>
      </c>
      <c r="F313" s="169"/>
      <c r="G313" s="176"/>
      <c r="H313" s="176"/>
      <c r="I313" s="176"/>
      <c r="J313" s="176"/>
      <c r="K313" s="171"/>
      <c r="L313" s="170"/>
      <c r="M313" s="170" t="str">
        <f>IFERROR(_xlfn.XLOOKUP($A313,Input_Raw!$A:$A,Input_Raw!BG:BG),"")</f>
        <v/>
      </c>
      <c r="N313" s="170" t="str">
        <f>IFERROR(_xlfn.XLOOKUP($A313,Input_Raw!$A:$A,Input_Raw!BH:BH),"")</f>
        <v/>
      </c>
      <c r="O313" s="173" t="str">
        <f t="shared" si="21"/>
        <v/>
      </c>
      <c r="P313" s="173" t="str">
        <f>IFERROR(1-SUMIF(WTG_BD!$F:$F,$A313,WTG_BD!$AA:$AA)/($AA313+SUMIF(WTG_BD!$F:$F,$A313,WTG_BD!$AA:$AA)),"")</f>
        <v/>
      </c>
      <c r="Q313" s="173" t="str">
        <f>IFERROR(1-SUMIF(IGA_BD!$F:$F,$A313,IGA_BD!$X:$X)/($AA313+SUMIF(IGA_BD!$F:$F,$A313,IGA_BD!$X:$X)),"")</f>
        <v/>
      </c>
      <c r="R313" s="173" t="str">
        <f>IFERROR(1-SUMIF(Grid_BD!$F:$F,$A313,Grid_BD!$Y:$Y)/($AA313+SUMIF(Grid_BD!$F:$F,$A313,Grid_BD!$Y:$Y)),"")</f>
        <v/>
      </c>
      <c r="S313" s="167"/>
      <c r="T313" s="172"/>
      <c r="U313" s="173"/>
      <c r="V313" s="167"/>
      <c r="W313" s="174" t="str">
        <f t="shared" si="22"/>
        <v/>
      </c>
      <c r="X313" s="167" t="str">
        <f>IFERROR(_xlfn.XLOOKUP($A313,Input_Raw!$A:$A,Input_Raw!$BF:$BF),"")</f>
        <v/>
      </c>
      <c r="Y313" s="167" t="str">
        <f>IFERROR(_xlfn.XLOOKUP($A313,Input_Raw!$A:$A,Input_Raw!BJ:BJ),"")</f>
        <v/>
      </c>
      <c r="Z313" s="167" t="str">
        <f>IFERROR(_xlfn.XLOOKUP($A313,Input_Raw!$A:$A,Input_Raw!BK:BK),"")</f>
        <v/>
      </c>
      <c r="AA313" s="167" t="str">
        <f>IFERROR(_xlfn.XLOOKUP($A313,Input_Raw!$A:$A,Input_Raw!BL:BL),"")</f>
        <v/>
      </c>
      <c r="AB313" s="167" t="str">
        <f>IFERROR(_xlfn.XLOOKUP($A313,Input_Raw!$A:$A,Input_Raw!$BO:$BO),"")</f>
        <v/>
      </c>
      <c r="AC313" s="176">
        <f>IFERROR(_xlfn.XLOOKUP($D313,'Modelling New'!$D:$D,'Modelling New'!$J:$J),"")</f>
        <v>5.52</v>
      </c>
      <c r="AD313" s="166">
        <f>IFERROR(_xlfn.XLOOKUP($D313,'Modelling New'!$D:$D,'Modelling New'!$T:$T)*1000,"")</f>
        <v>522509.05737931043</v>
      </c>
      <c r="AE313" s="174"/>
      <c r="AF313" s="174">
        <f>IFERROR(_xlfn.XLOOKUP($D313,'Modelling New'!$D:$D,'Modelling New'!$W:$W),"")</f>
        <v>0.31013120689655177</v>
      </c>
      <c r="AG313" s="174">
        <f>IFERROR(_xlfn.XLOOKUP($D313,'Modelling New'!$D:$D,'Modelling New'!$AE:$AE),"")</f>
        <v>0.96029999999999993</v>
      </c>
      <c r="AH313" s="174">
        <f>IFERROR(_xlfn.XLOOKUP($D313,'Modelling New'!$D:$D,'Modelling New'!$AF:$AF),"")</f>
        <v>0.995</v>
      </c>
      <c r="AI313" s="177" t="str">
        <f>IFERROR(_xlfn.XLOOKUP($A313,Input_Raw!$A:$A,Input_Raw!$BQ:$BQ),"")</f>
        <v/>
      </c>
      <c r="AJ313" s="167"/>
      <c r="AK313" s="167"/>
      <c r="AL313" s="167"/>
      <c r="AM313" s="167"/>
      <c r="AN313" s="175" t="str">
        <f>IFERROR(_xlfn.XLOOKUP($A313,Input_Raw!$A:$A,Input_Raw!$BN:$BN),"")</f>
        <v/>
      </c>
      <c r="AO313" s="174" t="str">
        <f>IFERROR((_xlfn.XLOOKUP($A313,'WTG Reactive Power'!$A:$A,'WTG Reactive Power'!$AE:$AE))/Table13[[#This Row],[Gen_Exp (kWh)]],"")</f>
        <v/>
      </c>
      <c r="AP313" s="174">
        <f>IFERROR(_xlfn.XLOOKUP($D313,'Modelling New'!$D:$D,'Modelling New'!$AK:$AK),"")</f>
        <v>0.05</v>
      </c>
      <c r="AQ313" s="174">
        <f>IFERROR(_xlfn.XLOOKUP($D313,'Modelling New'!$D:$D,'Modelling New'!$AL:$AL),"")</f>
        <v>0.05</v>
      </c>
      <c r="AR313" s="276">
        <f>IFERROR(_xlfn.XLOOKUP($D313,'Modelling New'!$D:$D,'Modelling New'!$N:$N),"")</f>
        <v>70.2</v>
      </c>
      <c r="AS313" s="276"/>
    </row>
    <row r="314" spans="1:45">
      <c r="A314" s="165">
        <f t="shared" si="23"/>
        <v>46057</v>
      </c>
      <c r="B314" s="166">
        <f>YEAR(Table13[[#This Row],[Date]])+IF(MONTH(Table13[[#This Row],[Date]])&gt;=4,1,0)</f>
        <v>2026</v>
      </c>
      <c r="C314" s="167">
        <f>YEAR(Table13[[#This Row],[Date]])</f>
        <v>2026</v>
      </c>
      <c r="D314" s="168">
        <f>Table13[[#This Row],[Date]]-DAY(Table13[[#This Row],[Date]])+1</f>
        <v>46054</v>
      </c>
      <c r="E314" s="167">
        <f t="shared" si="20"/>
        <v>28</v>
      </c>
      <c r="F314" s="169"/>
      <c r="G314" s="170"/>
      <c r="H314" s="170"/>
      <c r="I314" s="170"/>
      <c r="J314" s="170"/>
      <c r="K314" s="171"/>
      <c r="L314" s="170"/>
      <c r="M314" s="170" t="str">
        <f>IFERROR(_xlfn.XLOOKUP($A314,Input_Raw!$A:$A,Input_Raw!BG:BG),"")</f>
        <v/>
      </c>
      <c r="N314" s="170" t="str">
        <f>IFERROR(_xlfn.XLOOKUP($A314,Input_Raw!$A:$A,Input_Raw!BH:BH),"")</f>
        <v/>
      </c>
      <c r="O314" s="173" t="str">
        <f t="shared" si="21"/>
        <v/>
      </c>
      <c r="P314" s="173" t="str">
        <f>IFERROR(1-SUMIF(WTG_BD!$F:$F,$A314,WTG_BD!$AA:$AA)/($AA314+SUMIF(WTG_BD!$F:$F,$A314,WTG_BD!$AA:$AA)),"")</f>
        <v/>
      </c>
      <c r="Q314" s="173" t="str">
        <f>IFERROR(1-SUMIF(IGA_BD!$F:$F,$A314,IGA_BD!$X:$X)/($AA314+SUMIF(IGA_BD!$F:$F,$A314,IGA_BD!$X:$X)),"")</f>
        <v/>
      </c>
      <c r="R314" s="173" t="str">
        <f>IFERROR(1-SUMIF(Grid_BD!$F:$F,$A314,Grid_BD!$Y:$Y)/($AA314+SUMIF(Grid_BD!$F:$F,$A314,Grid_BD!$Y:$Y)),"")</f>
        <v/>
      </c>
      <c r="S314" s="167"/>
      <c r="T314" s="172"/>
      <c r="U314" s="173"/>
      <c r="V314" s="167"/>
      <c r="W314" s="174" t="str">
        <f t="shared" si="22"/>
        <v/>
      </c>
      <c r="X314" s="167" t="str">
        <f>IFERROR(_xlfn.XLOOKUP($A314,Input_Raw!$A:$A,Input_Raw!$BF:$BF),"")</f>
        <v/>
      </c>
      <c r="Y314" s="167" t="str">
        <f>IFERROR(_xlfn.XLOOKUP($A314,Input_Raw!$A:$A,Input_Raw!BJ:BJ),"")</f>
        <v/>
      </c>
      <c r="Z314" s="167" t="str">
        <f>IFERROR(_xlfn.XLOOKUP($A314,Input_Raw!$A:$A,Input_Raw!BK:BK),"")</f>
        <v/>
      </c>
      <c r="AA314" s="167" t="str">
        <f>IFERROR(_xlfn.XLOOKUP($A314,Input_Raw!$A:$A,Input_Raw!BL:BL),"")</f>
        <v/>
      </c>
      <c r="AB314" s="167" t="str">
        <f>IFERROR(_xlfn.XLOOKUP($A314,Input_Raw!$A:$A,Input_Raw!$BO:$BO),"")</f>
        <v/>
      </c>
      <c r="AC314" s="176">
        <f>IFERROR(_xlfn.XLOOKUP($D314,'Modelling New'!$D:$D,'Modelling New'!$J:$J),"")</f>
        <v>5.52</v>
      </c>
      <c r="AD314" s="166">
        <f>IFERROR(_xlfn.XLOOKUP($D314,'Modelling New'!$D:$D,'Modelling New'!$T:$T)*1000,"")</f>
        <v>522509.05737931043</v>
      </c>
      <c r="AE314" s="174"/>
      <c r="AF314" s="174">
        <f>IFERROR(_xlfn.XLOOKUP($D314,'Modelling New'!$D:$D,'Modelling New'!$W:$W),"")</f>
        <v>0.31013120689655177</v>
      </c>
      <c r="AG314" s="174">
        <f>IFERROR(_xlfn.XLOOKUP($D314,'Modelling New'!$D:$D,'Modelling New'!$AE:$AE),"")</f>
        <v>0.96029999999999993</v>
      </c>
      <c r="AH314" s="174">
        <f>IFERROR(_xlfn.XLOOKUP($D314,'Modelling New'!$D:$D,'Modelling New'!$AF:$AF),"")</f>
        <v>0.995</v>
      </c>
      <c r="AI314" s="177" t="str">
        <f>IFERROR(_xlfn.XLOOKUP($A314,Input_Raw!$A:$A,Input_Raw!$BQ:$BQ),"")</f>
        <v/>
      </c>
      <c r="AJ314" s="167"/>
      <c r="AK314" s="167"/>
      <c r="AL314" s="167"/>
      <c r="AM314" s="167"/>
      <c r="AN314" s="175" t="str">
        <f>IFERROR(_xlfn.XLOOKUP($A314,Input_Raw!$A:$A,Input_Raw!$BN:$BN),"")</f>
        <v/>
      </c>
      <c r="AO314" s="174" t="str">
        <f>IFERROR((_xlfn.XLOOKUP($A314,'WTG Reactive Power'!$A:$A,'WTG Reactive Power'!$AE:$AE))/Table13[[#This Row],[Gen_Exp (kWh)]],"")</f>
        <v/>
      </c>
      <c r="AP314" s="174">
        <f>IFERROR(_xlfn.XLOOKUP($D314,'Modelling New'!$D:$D,'Modelling New'!$AK:$AK),"")</f>
        <v>0.05</v>
      </c>
      <c r="AQ314" s="174">
        <f>IFERROR(_xlfn.XLOOKUP($D314,'Modelling New'!$D:$D,'Modelling New'!$AL:$AL),"")</f>
        <v>0.05</v>
      </c>
      <c r="AR314" s="276">
        <f>IFERROR(_xlfn.XLOOKUP($D314,'Modelling New'!$D:$D,'Modelling New'!$N:$N),"")</f>
        <v>70.2</v>
      </c>
      <c r="AS314" s="276"/>
    </row>
    <row r="315" spans="1:45">
      <c r="A315" s="165">
        <f t="shared" si="23"/>
        <v>46058</v>
      </c>
      <c r="B315" s="166">
        <f>YEAR(Table13[[#This Row],[Date]])+IF(MONTH(Table13[[#This Row],[Date]])&gt;=4,1,0)</f>
        <v>2026</v>
      </c>
      <c r="C315" s="167">
        <f>YEAR(Table13[[#This Row],[Date]])</f>
        <v>2026</v>
      </c>
      <c r="D315" s="168">
        <f>Table13[[#This Row],[Date]]-DAY(Table13[[#This Row],[Date]])+1</f>
        <v>46054</v>
      </c>
      <c r="E315" s="167">
        <f t="shared" si="20"/>
        <v>28</v>
      </c>
      <c r="F315" s="169"/>
      <c r="G315" s="176"/>
      <c r="H315" s="176"/>
      <c r="I315" s="176"/>
      <c r="J315" s="176"/>
      <c r="K315" s="171"/>
      <c r="L315" s="170"/>
      <c r="M315" s="170" t="str">
        <f>IFERROR(_xlfn.XLOOKUP($A315,Input_Raw!$A:$A,Input_Raw!BG:BG),"")</f>
        <v/>
      </c>
      <c r="N315" s="170" t="str">
        <f>IFERROR(_xlfn.XLOOKUP($A315,Input_Raw!$A:$A,Input_Raw!BH:BH),"")</f>
        <v/>
      </c>
      <c r="O315" s="173" t="str">
        <f t="shared" si="21"/>
        <v/>
      </c>
      <c r="P315" s="173" t="str">
        <f>IFERROR(1-SUMIF(WTG_BD!$F:$F,$A315,WTG_BD!$AA:$AA)/($AA315+SUMIF(WTG_BD!$F:$F,$A315,WTG_BD!$AA:$AA)),"")</f>
        <v/>
      </c>
      <c r="Q315" s="173" t="str">
        <f>IFERROR(1-SUMIF(IGA_BD!$F:$F,$A315,IGA_BD!$X:$X)/($AA315+SUMIF(IGA_BD!$F:$F,$A315,IGA_BD!$X:$X)),"")</f>
        <v/>
      </c>
      <c r="R315" s="173" t="str">
        <f>IFERROR(1-SUMIF(Grid_BD!$F:$F,$A315,Grid_BD!$Y:$Y)/($AA315+SUMIF(Grid_BD!$F:$F,$A315,Grid_BD!$Y:$Y)),"")</f>
        <v/>
      </c>
      <c r="S315" s="167"/>
      <c r="T315" s="172"/>
      <c r="U315" s="173"/>
      <c r="V315" s="167"/>
      <c r="W315" s="174" t="str">
        <f t="shared" si="22"/>
        <v/>
      </c>
      <c r="X315" s="167" t="str">
        <f>IFERROR(_xlfn.XLOOKUP($A315,Input_Raw!$A:$A,Input_Raw!$BF:$BF),"")</f>
        <v/>
      </c>
      <c r="Y315" s="167" t="str">
        <f>IFERROR(_xlfn.XLOOKUP($A315,Input_Raw!$A:$A,Input_Raw!BJ:BJ),"")</f>
        <v/>
      </c>
      <c r="Z315" s="167" t="str">
        <f>IFERROR(_xlfn.XLOOKUP($A315,Input_Raw!$A:$A,Input_Raw!BK:BK),"")</f>
        <v/>
      </c>
      <c r="AA315" s="167" t="str">
        <f>IFERROR(_xlfn.XLOOKUP($A315,Input_Raw!$A:$A,Input_Raw!BL:BL),"")</f>
        <v/>
      </c>
      <c r="AB315" s="167" t="str">
        <f>IFERROR(_xlfn.XLOOKUP($A315,Input_Raw!$A:$A,Input_Raw!$BO:$BO),"")</f>
        <v/>
      </c>
      <c r="AC315" s="176">
        <f>IFERROR(_xlfn.XLOOKUP($D315,'Modelling New'!$D:$D,'Modelling New'!$J:$J),"")</f>
        <v>5.52</v>
      </c>
      <c r="AD315" s="166">
        <f>IFERROR(_xlfn.XLOOKUP($D315,'Modelling New'!$D:$D,'Modelling New'!$T:$T)*1000,"")</f>
        <v>522509.05737931043</v>
      </c>
      <c r="AE315" s="174"/>
      <c r="AF315" s="174">
        <f>IFERROR(_xlfn.XLOOKUP($D315,'Modelling New'!$D:$D,'Modelling New'!$W:$W),"")</f>
        <v>0.31013120689655177</v>
      </c>
      <c r="AG315" s="174">
        <f>IFERROR(_xlfn.XLOOKUP($D315,'Modelling New'!$D:$D,'Modelling New'!$AE:$AE),"")</f>
        <v>0.96029999999999993</v>
      </c>
      <c r="AH315" s="174">
        <f>IFERROR(_xlfn.XLOOKUP($D315,'Modelling New'!$D:$D,'Modelling New'!$AF:$AF),"")</f>
        <v>0.995</v>
      </c>
      <c r="AI315" s="177" t="str">
        <f>IFERROR(_xlfn.XLOOKUP($A315,Input_Raw!$A:$A,Input_Raw!$BQ:$BQ),"")</f>
        <v/>
      </c>
      <c r="AJ315" s="167"/>
      <c r="AK315" s="167"/>
      <c r="AL315" s="167"/>
      <c r="AM315" s="167"/>
      <c r="AN315" s="175" t="str">
        <f>IFERROR(_xlfn.XLOOKUP($A315,Input_Raw!$A:$A,Input_Raw!$BN:$BN),"")</f>
        <v/>
      </c>
      <c r="AO315" s="174" t="str">
        <f>IFERROR((_xlfn.XLOOKUP($A315,'WTG Reactive Power'!$A:$A,'WTG Reactive Power'!$AE:$AE))/Table13[[#This Row],[Gen_Exp (kWh)]],"")</f>
        <v/>
      </c>
      <c r="AP315" s="174">
        <f>IFERROR(_xlfn.XLOOKUP($D315,'Modelling New'!$D:$D,'Modelling New'!$AK:$AK),"")</f>
        <v>0.05</v>
      </c>
      <c r="AQ315" s="174">
        <f>IFERROR(_xlfn.XLOOKUP($D315,'Modelling New'!$D:$D,'Modelling New'!$AL:$AL),"")</f>
        <v>0.05</v>
      </c>
      <c r="AR315" s="276">
        <f>IFERROR(_xlfn.XLOOKUP($D315,'Modelling New'!$D:$D,'Modelling New'!$N:$N),"")</f>
        <v>70.2</v>
      </c>
      <c r="AS315" s="276"/>
    </row>
    <row r="316" spans="1:45">
      <c r="A316" s="165">
        <f t="shared" si="23"/>
        <v>46059</v>
      </c>
      <c r="B316" s="166">
        <f>YEAR(Table13[[#This Row],[Date]])+IF(MONTH(Table13[[#This Row],[Date]])&gt;=4,1,0)</f>
        <v>2026</v>
      </c>
      <c r="C316" s="167">
        <f>YEAR(Table13[[#This Row],[Date]])</f>
        <v>2026</v>
      </c>
      <c r="D316" s="168">
        <f>Table13[[#This Row],[Date]]-DAY(Table13[[#This Row],[Date]])+1</f>
        <v>46054</v>
      </c>
      <c r="E316" s="167">
        <f t="shared" si="20"/>
        <v>28</v>
      </c>
      <c r="F316" s="169"/>
      <c r="G316" s="170"/>
      <c r="H316" s="170"/>
      <c r="I316" s="170"/>
      <c r="J316" s="170"/>
      <c r="K316" s="171"/>
      <c r="L316" s="170"/>
      <c r="M316" s="170" t="str">
        <f>IFERROR(_xlfn.XLOOKUP($A316,Input_Raw!$A:$A,Input_Raw!BG:BG),"")</f>
        <v/>
      </c>
      <c r="N316" s="170" t="str">
        <f>IFERROR(_xlfn.XLOOKUP($A316,Input_Raw!$A:$A,Input_Raw!BH:BH),"")</f>
        <v/>
      </c>
      <c r="O316" s="173" t="str">
        <f t="shared" si="21"/>
        <v/>
      </c>
      <c r="P316" s="173" t="str">
        <f>IFERROR(1-SUMIF(WTG_BD!$F:$F,$A316,WTG_BD!$AA:$AA)/($AA316+SUMIF(WTG_BD!$F:$F,$A316,WTG_BD!$AA:$AA)),"")</f>
        <v/>
      </c>
      <c r="Q316" s="173" t="str">
        <f>IFERROR(1-SUMIF(IGA_BD!$F:$F,$A316,IGA_BD!$X:$X)/($AA316+SUMIF(IGA_BD!$F:$F,$A316,IGA_BD!$X:$X)),"")</f>
        <v/>
      </c>
      <c r="R316" s="173" t="str">
        <f>IFERROR(1-SUMIF(Grid_BD!$F:$F,$A316,Grid_BD!$Y:$Y)/($AA316+SUMIF(Grid_BD!$F:$F,$A316,Grid_BD!$Y:$Y)),"")</f>
        <v/>
      </c>
      <c r="S316" s="167"/>
      <c r="T316" s="172"/>
      <c r="U316" s="173"/>
      <c r="V316" s="167"/>
      <c r="W316" s="174" t="str">
        <f t="shared" si="22"/>
        <v/>
      </c>
      <c r="X316" s="167" t="str">
        <f>IFERROR(_xlfn.XLOOKUP($A316,Input_Raw!$A:$A,Input_Raw!$BF:$BF),"")</f>
        <v/>
      </c>
      <c r="Y316" s="167" t="str">
        <f>IFERROR(_xlfn.XLOOKUP($A316,Input_Raw!$A:$A,Input_Raw!BJ:BJ),"")</f>
        <v/>
      </c>
      <c r="Z316" s="167" t="str">
        <f>IFERROR(_xlfn.XLOOKUP($A316,Input_Raw!$A:$A,Input_Raw!BK:BK),"")</f>
        <v/>
      </c>
      <c r="AA316" s="167" t="str">
        <f>IFERROR(_xlfn.XLOOKUP($A316,Input_Raw!$A:$A,Input_Raw!BL:BL),"")</f>
        <v/>
      </c>
      <c r="AB316" s="167" t="str">
        <f>IFERROR(_xlfn.XLOOKUP($A316,Input_Raw!$A:$A,Input_Raw!$BO:$BO),"")</f>
        <v/>
      </c>
      <c r="AC316" s="176">
        <f>IFERROR(_xlfn.XLOOKUP($D316,'Modelling New'!$D:$D,'Modelling New'!$J:$J),"")</f>
        <v>5.52</v>
      </c>
      <c r="AD316" s="166">
        <f>IFERROR(_xlfn.XLOOKUP($D316,'Modelling New'!$D:$D,'Modelling New'!$T:$T)*1000,"")</f>
        <v>522509.05737931043</v>
      </c>
      <c r="AE316" s="174"/>
      <c r="AF316" s="174">
        <f>IFERROR(_xlfn.XLOOKUP($D316,'Modelling New'!$D:$D,'Modelling New'!$W:$W),"")</f>
        <v>0.31013120689655177</v>
      </c>
      <c r="AG316" s="174">
        <f>IFERROR(_xlfn.XLOOKUP($D316,'Modelling New'!$D:$D,'Modelling New'!$AE:$AE),"")</f>
        <v>0.96029999999999993</v>
      </c>
      <c r="AH316" s="174">
        <f>IFERROR(_xlfn.XLOOKUP($D316,'Modelling New'!$D:$D,'Modelling New'!$AF:$AF),"")</f>
        <v>0.995</v>
      </c>
      <c r="AI316" s="177" t="str">
        <f>IFERROR(_xlfn.XLOOKUP($A316,Input_Raw!$A:$A,Input_Raw!$BQ:$BQ),"")</f>
        <v/>
      </c>
      <c r="AJ316" s="167"/>
      <c r="AK316" s="167"/>
      <c r="AL316" s="167"/>
      <c r="AM316" s="167"/>
      <c r="AN316" s="175" t="str">
        <f>IFERROR(_xlfn.XLOOKUP($A316,Input_Raw!$A:$A,Input_Raw!$BN:$BN),"")</f>
        <v/>
      </c>
      <c r="AO316" s="174" t="str">
        <f>IFERROR((_xlfn.XLOOKUP($A316,'WTG Reactive Power'!$A:$A,'WTG Reactive Power'!$AE:$AE))/Table13[[#This Row],[Gen_Exp (kWh)]],"")</f>
        <v/>
      </c>
      <c r="AP316" s="174">
        <f>IFERROR(_xlfn.XLOOKUP($D316,'Modelling New'!$D:$D,'Modelling New'!$AK:$AK),"")</f>
        <v>0.05</v>
      </c>
      <c r="AQ316" s="174">
        <f>IFERROR(_xlfn.XLOOKUP($D316,'Modelling New'!$D:$D,'Modelling New'!$AL:$AL),"")</f>
        <v>0.05</v>
      </c>
      <c r="AR316" s="276">
        <f>IFERROR(_xlfn.XLOOKUP($D316,'Modelling New'!$D:$D,'Modelling New'!$N:$N),"")</f>
        <v>70.2</v>
      </c>
      <c r="AS316" s="276"/>
    </row>
    <row r="317" spans="1:45">
      <c r="A317" s="165">
        <f t="shared" si="23"/>
        <v>46060</v>
      </c>
      <c r="B317" s="166">
        <f>YEAR(Table13[[#This Row],[Date]])+IF(MONTH(Table13[[#This Row],[Date]])&gt;=4,1,0)</f>
        <v>2026</v>
      </c>
      <c r="C317" s="167">
        <f>YEAR(Table13[[#This Row],[Date]])</f>
        <v>2026</v>
      </c>
      <c r="D317" s="168">
        <f>Table13[[#This Row],[Date]]-DAY(Table13[[#This Row],[Date]])+1</f>
        <v>46054</v>
      </c>
      <c r="E317" s="167">
        <f t="shared" si="20"/>
        <v>28</v>
      </c>
      <c r="F317" s="169"/>
      <c r="G317" s="176"/>
      <c r="H317" s="176"/>
      <c r="I317" s="176"/>
      <c r="J317" s="176"/>
      <c r="K317" s="171"/>
      <c r="L317" s="170"/>
      <c r="M317" s="170" t="str">
        <f>IFERROR(_xlfn.XLOOKUP($A317,Input_Raw!$A:$A,Input_Raw!BG:BG),"")</f>
        <v/>
      </c>
      <c r="N317" s="170" t="str">
        <f>IFERROR(_xlfn.XLOOKUP($A317,Input_Raw!$A:$A,Input_Raw!BH:BH),"")</f>
        <v/>
      </c>
      <c r="O317" s="173" t="str">
        <f t="shared" si="21"/>
        <v/>
      </c>
      <c r="P317" s="173" t="str">
        <f>IFERROR(1-SUMIF(WTG_BD!$F:$F,$A317,WTG_BD!$AA:$AA)/($AA317+SUMIF(WTG_BD!$F:$F,$A317,WTG_BD!$AA:$AA)),"")</f>
        <v/>
      </c>
      <c r="Q317" s="173" t="str">
        <f>IFERROR(1-SUMIF(IGA_BD!$F:$F,$A317,IGA_BD!$X:$X)/($AA317+SUMIF(IGA_BD!$F:$F,$A317,IGA_BD!$X:$X)),"")</f>
        <v/>
      </c>
      <c r="R317" s="173" t="str">
        <f>IFERROR(1-SUMIF(Grid_BD!$F:$F,$A317,Grid_BD!$Y:$Y)/($AA317+SUMIF(Grid_BD!$F:$F,$A317,Grid_BD!$Y:$Y)),"")</f>
        <v/>
      </c>
      <c r="S317" s="167"/>
      <c r="T317" s="172"/>
      <c r="U317" s="173"/>
      <c r="V317" s="167"/>
      <c r="W317" s="174" t="str">
        <f t="shared" si="22"/>
        <v/>
      </c>
      <c r="X317" s="167" t="str">
        <f>IFERROR(_xlfn.XLOOKUP($A317,Input_Raw!$A:$A,Input_Raw!$BF:$BF),"")</f>
        <v/>
      </c>
      <c r="Y317" s="167" t="str">
        <f>IFERROR(_xlfn.XLOOKUP($A317,Input_Raw!$A:$A,Input_Raw!BJ:BJ),"")</f>
        <v/>
      </c>
      <c r="Z317" s="167" t="str">
        <f>IFERROR(_xlfn.XLOOKUP($A317,Input_Raw!$A:$A,Input_Raw!BK:BK),"")</f>
        <v/>
      </c>
      <c r="AA317" s="167" t="str">
        <f>IFERROR(_xlfn.XLOOKUP($A317,Input_Raw!$A:$A,Input_Raw!BL:BL),"")</f>
        <v/>
      </c>
      <c r="AB317" s="167" t="str">
        <f>IFERROR(_xlfn.XLOOKUP($A317,Input_Raw!$A:$A,Input_Raw!$BO:$BO),"")</f>
        <v/>
      </c>
      <c r="AC317" s="176">
        <f>IFERROR(_xlfn.XLOOKUP($D317,'Modelling New'!$D:$D,'Modelling New'!$J:$J),"")</f>
        <v>5.52</v>
      </c>
      <c r="AD317" s="166">
        <f>IFERROR(_xlfn.XLOOKUP($D317,'Modelling New'!$D:$D,'Modelling New'!$T:$T)*1000,"")</f>
        <v>522509.05737931043</v>
      </c>
      <c r="AE317" s="174"/>
      <c r="AF317" s="174">
        <f>IFERROR(_xlfn.XLOOKUP($D317,'Modelling New'!$D:$D,'Modelling New'!$W:$W),"")</f>
        <v>0.31013120689655177</v>
      </c>
      <c r="AG317" s="174">
        <f>IFERROR(_xlfn.XLOOKUP($D317,'Modelling New'!$D:$D,'Modelling New'!$AE:$AE),"")</f>
        <v>0.96029999999999993</v>
      </c>
      <c r="AH317" s="174">
        <f>IFERROR(_xlfn.XLOOKUP($D317,'Modelling New'!$D:$D,'Modelling New'!$AF:$AF),"")</f>
        <v>0.995</v>
      </c>
      <c r="AI317" s="177" t="str">
        <f>IFERROR(_xlfn.XLOOKUP($A317,Input_Raw!$A:$A,Input_Raw!$BQ:$BQ),"")</f>
        <v/>
      </c>
      <c r="AJ317" s="167"/>
      <c r="AK317" s="167"/>
      <c r="AL317" s="167"/>
      <c r="AM317" s="167"/>
      <c r="AN317" s="175" t="str">
        <f>IFERROR(_xlfn.XLOOKUP($A317,Input_Raw!$A:$A,Input_Raw!$BN:$BN),"")</f>
        <v/>
      </c>
      <c r="AO317" s="174" t="str">
        <f>IFERROR((_xlfn.XLOOKUP($A317,'WTG Reactive Power'!$A:$A,'WTG Reactive Power'!$AE:$AE))/Table13[[#This Row],[Gen_Exp (kWh)]],"")</f>
        <v/>
      </c>
      <c r="AP317" s="174">
        <f>IFERROR(_xlfn.XLOOKUP($D317,'Modelling New'!$D:$D,'Modelling New'!$AK:$AK),"")</f>
        <v>0.05</v>
      </c>
      <c r="AQ317" s="174">
        <f>IFERROR(_xlfn.XLOOKUP($D317,'Modelling New'!$D:$D,'Modelling New'!$AL:$AL),"")</f>
        <v>0.05</v>
      </c>
      <c r="AR317" s="276">
        <f>IFERROR(_xlfn.XLOOKUP($D317,'Modelling New'!$D:$D,'Modelling New'!$N:$N),"")</f>
        <v>70.2</v>
      </c>
      <c r="AS317" s="276"/>
    </row>
    <row r="318" spans="1:45">
      <c r="A318" s="165">
        <f t="shared" si="23"/>
        <v>46061</v>
      </c>
      <c r="B318" s="166">
        <f>YEAR(Table13[[#This Row],[Date]])+IF(MONTH(Table13[[#This Row],[Date]])&gt;=4,1,0)</f>
        <v>2026</v>
      </c>
      <c r="C318" s="167">
        <f>YEAR(Table13[[#This Row],[Date]])</f>
        <v>2026</v>
      </c>
      <c r="D318" s="168">
        <f>Table13[[#This Row],[Date]]-DAY(Table13[[#This Row],[Date]])+1</f>
        <v>46054</v>
      </c>
      <c r="E318" s="167">
        <f t="shared" si="20"/>
        <v>28</v>
      </c>
      <c r="F318" s="169"/>
      <c r="G318" s="170"/>
      <c r="H318" s="170"/>
      <c r="I318" s="170"/>
      <c r="J318" s="170"/>
      <c r="K318" s="171"/>
      <c r="L318" s="170"/>
      <c r="M318" s="170" t="str">
        <f>IFERROR(_xlfn.XLOOKUP($A318,Input_Raw!$A:$A,Input_Raw!BG:BG),"")</f>
        <v/>
      </c>
      <c r="N318" s="170" t="str">
        <f>IFERROR(_xlfn.XLOOKUP($A318,Input_Raw!$A:$A,Input_Raw!BH:BH),"")</f>
        <v/>
      </c>
      <c r="O318" s="173" t="str">
        <f t="shared" si="21"/>
        <v/>
      </c>
      <c r="P318" s="173" t="str">
        <f>IFERROR(1-SUMIF(WTG_BD!$F:$F,$A318,WTG_BD!$AA:$AA)/($AA318+SUMIF(WTG_BD!$F:$F,$A318,WTG_BD!$AA:$AA)),"")</f>
        <v/>
      </c>
      <c r="Q318" s="173" t="str">
        <f>IFERROR(1-SUMIF(IGA_BD!$F:$F,$A318,IGA_BD!$X:$X)/($AA318+SUMIF(IGA_BD!$F:$F,$A318,IGA_BD!$X:$X)),"")</f>
        <v/>
      </c>
      <c r="R318" s="173" t="str">
        <f>IFERROR(1-SUMIF(Grid_BD!$F:$F,$A318,Grid_BD!$Y:$Y)/($AA318+SUMIF(Grid_BD!$F:$F,$A318,Grid_BD!$Y:$Y)),"")</f>
        <v/>
      </c>
      <c r="S318" s="167"/>
      <c r="T318" s="172"/>
      <c r="U318" s="173"/>
      <c r="V318" s="167"/>
      <c r="W318" s="174" t="str">
        <f t="shared" si="22"/>
        <v/>
      </c>
      <c r="X318" s="167" t="str">
        <f>IFERROR(_xlfn.XLOOKUP($A318,Input_Raw!$A:$A,Input_Raw!$BF:$BF),"")</f>
        <v/>
      </c>
      <c r="Y318" s="167" t="str">
        <f>IFERROR(_xlfn.XLOOKUP($A318,Input_Raw!$A:$A,Input_Raw!BJ:BJ),"")</f>
        <v/>
      </c>
      <c r="Z318" s="167" t="str">
        <f>IFERROR(_xlfn.XLOOKUP($A318,Input_Raw!$A:$A,Input_Raw!BK:BK),"")</f>
        <v/>
      </c>
      <c r="AA318" s="167" t="str">
        <f>IFERROR(_xlfn.XLOOKUP($A318,Input_Raw!$A:$A,Input_Raw!BL:BL),"")</f>
        <v/>
      </c>
      <c r="AB318" s="167" t="str">
        <f>IFERROR(_xlfn.XLOOKUP($A318,Input_Raw!$A:$A,Input_Raw!$BO:$BO),"")</f>
        <v/>
      </c>
      <c r="AC318" s="176">
        <f>IFERROR(_xlfn.XLOOKUP($D318,'Modelling New'!$D:$D,'Modelling New'!$J:$J),"")</f>
        <v>5.52</v>
      </c>
      <c r="AD318" s="166">
        <f>IFERROR(_xlfn.XLOOKUP($D318,'Modelling New'!$D:$D,'Modelling New'!$T:$T)*1000,"")</f>
        <v>522509.05737931043</v>
      </c>
      <c r="AE318" s="174"/>
      <c r="AF318" s="174">
        <f>IFERROR(_xlfn.XLOOKUP($D318,'Modelling New'!$D:$D,'Modelling New'!$W:$W),"")</f>
        <v>0.31013120689655177</v>
      </c>
      <c r="AG318" s="174">
        <f>IFERROR(_xlfn.XLOOKUP($D318,'Modelling New'!$D:$D,'Modelling New'!$AE:$AE),"")</f>
        <v>0.96029999999999993</v>
      </c>
      <c r="AH318" s="174">
        <f>IFERROR(_xlfn.XLOOKUP($D318,'Modelling New'!$D:$D,'Modelling New'!$AF:$AF),"")</f>
        <v>0.995</v>
      </c>
      <c r="AI318" s="177" t="str">
        <f>IFERROR(_xlfn.XLOOKUP($A318,Input_Raw!$A:$A,Input_Raw!$BQ:$BQ),"")</f>
        <v/>
      </c>
      <c r="AJ318" s="167"/>
      <c r="AK318" s="167"/>
      <c r="AL318" s="167"/>
      <c r="AM318" s="167"/>
      <c r="AN318" s="175" t="str">
        <f>IFERROR(_xlfn.XLOOKUP($A318,Input_Raw!$A:$A,Input_Raw!$BN:$BN),"")</f>
        <v/>
      </c>
      <c r="AO318" s="174" t="str">
        <f>IFERROR((_xlfn.XLOOKUP($A318,'WTG Reactive Power'!$A:$A,'WTG Reactive Power'!$AE:$AE))/Table13[[#This Row],[Gen_Exp (kWh)]],"")</f>
        <v/>
      </c>
      <c r="AP318" s="174">
        <f>IFERROR(_xlfn.XLOOKUP($D318,'Modelling New'!$D:$D,'Modelling New'!$AK:$AK),"")</f>
        <v>0.05</v>
      </c>
      <c r="AQ318" s="174">
        <f>IFERROR(_xlfn.XLOOKUP($D318,'Modelling New'!$D:$D,'Modelling New'!$AL:$AL),"")</f>
        <v>0.05</v>
      </c>
      <c r="AR318" s="276">
        <f>IFERROR(_xlfn.XLOOKUP($D318,'Modelling New'!$D:$D,'Modelling New'!$N:$N),"")</f>
        <v>70.2</v>
      </c>
      <c r="AS318" s="276"/>
    </row>
    <row r="319" spans="1:45">
      <c r="A319" s="165">
        <f t="shared" si="23"/>
        <v>46062</v>
      </c>
      <c r="B319" s="166">
        <f>YEAR(Table13[[#This Row],[Date]])+IF(MONTH(Table13[[#This Row],[Date]])&gt;=4,1,0)</f>
        <v>2026</v>
      </c>
      <c r="C319" s="167">
        <f>YEAR(Table13[[#This Row],[Date]])</f>
        <v>2026</v>
      </c>
      <c r="D319" s="168">
        <f>Table13[[#This Row],[Date]]-DAY(Table13[[#This Row],[Date]])+1</f>
        <v>46054</v>
      </c>
      <c r="E319" s="167">
        <f t="shared" si="20"/>
        <v>28</v>
      </c>
      <c r="F319" s="169"/>
      <c r="G319" s="176"/>
      <c r="H319" s="176"/>
      <c r="I319" s="176"/>
      <c r="J319" s="176"/>
      <c r="K319" s="171"/>
      <c r="L319" s="170"/>
      <c r="M319" s="170" t="str">
        <f>IFERROR(_xlfn.XLOOKUP($A319,Input_Raw!$A:$A,Input_Raw!BG:BG),"")</f>
        <v/>
      </c>
      <c r="N319" s="170" t="str">
        <f>IFERROR(_xlfn.XLOOKUP($A319,Input_Raw!$A:$A,Input_Raw!BH:BH),"")</f>
        <v/>
      </c>
      <c r="O319" s="173" t="str">
        <f t="shared" si="21"/>
        <v/>
      </c>
      <c r="P319" s="173" t="str">
        <f>IFERROR(1-SUMIF(WTG_BD!$F:$F,$A319,WTG_BD!$AA:$AA)/($AA319+SUMIF(WTG_BD!$F:$F,$A319,WTG_BD!$AA:$AA)),"")</f>
        <v/>
      </c>
      <c r="Q319" s="173" t="str">
        <f>IFERROR(1-SUMIF(IGA_BD!$F:$F,$A319,IGA_BD!$X:$X)/($AA319+SUMIF(IGA_BD!$F:$F,$A319,IGA_BD!$X:$X)),"")</f>
        <v/>
      </c>
      <c r="R319" s="173" t="str">
        <f>IFERROR(1-SUMIF(Grid_BD!$F:$F,$A319,Grid_BD!$Y:$Y)/($AA319+SUMIF(Grid_BD!$F:$F,$A319,Grid_BD!$Y:$Y)),"")</f>
        <v/>
      </c>
      <c r="S319" s="167"/>
      <c r="T319" s="172"/>
      <c r="U319" s="173"/>
      <c r="V319" s="167"/>
      <c r="W319" s="174" t="str">
        <f t="shared" si="22"/>
        <v/>
      </c>
      <c r="X319" s="167" t="str">
        <f>IFERROR(_xlfn.XLOOKUP($A319,Input_Raw!$A:$A,Input_Raw!$BF:$BF),"")</f>
        <v/>
      </c>
      <c r="Y319" s="167" t="str">
        <f>IFERROR(_xlfn.XLOOKUP($A319,Input_Raw!$A:$A,Input_Raw!BJ:BJ),"")</f>
        <v/>
      </c>
      <c r="Z319" s="167" t="str">
        <f>IFERROR(_xlfn.XLOOKUP($A319,Input_Raw!$A:$A,Input_Raw!BK:BK),"")</f>
        <v/>
      </c>
      <c r="AA319" s="167" t="str">
        <f>IFERROR(_xlfn.XLOOKUP($A319,Input_Raw!$A:$A,Input_Raw!BL:BL),"")</f>
        <v/>
      </c>
      <c r="AB319" s="167" t="str">
        <f>IFERROR(_xlfn.XLOOKUP($A319,Input_Raw!$A:$A,Input_Raw!$BO:$BO),"")</f>
        <v/>
      </c>
      <c r="AC319" s="176">
        <f>IFERROR(_xlfn.XLOOKUP($D319,'Modelling New'!$D:$D,'Modelling New'!$J:$J),"")</f>
        <v>5.52</v>
      </c>
      <c r="AD319" s="166">
        <f>IFERROR(_xlfn.XLOOKUP($D319,'Modelling New'!$D:$D,'Modelling New'!$T:$T)*1000,"")</f>
        <v>522509.05737931043</v>
      </c>
      <c r="AE319" s="174"/>
      <c r="AF319" s="174">
        <f>IFERROR(_xlfn.XLOOKUP($D319,'Modelling New'!$D:$D,'Modelling New'!$W:$W),"")</f>
        <v>0.31013120689655177</v>
      </c>
      <c r="AG319" s="174">
        <f>IFERROR(_xlfn.XLOOKUP($D319,'Modelling New'!$D:$D,'Modelling New'!$AE:$AE),"")</f>
        <v>0.96029999999999993</v>
      </c>
      <c r="AH319" s="174">
        <f>IFERROR(_xlfn.XLOOKUP($D319,'Modelling New'!$D:$D,'Modelling New'!$AF:$AF),"")</f>
        <v>0.995</v>
      </c>
      <c r="AI319" s="177" t="str">
        <f>IFERROR(_xlfn.XLOOKUP($A319,Input_Raw!$A:$A,Input_Raw!$BQ:$BQ),"")</f>
        <v/>
      </c>
      <c r="AJ319" s="167"/>
      <c r="AK319" s="167"/>
      <c r="AL319" s="167"/>
      <c r="AM319" s="167"/>
      <c r="AN319" s="175" t="str">
        <f>IFERROR(_xlfn.XLOOKUP($A319,Input_Raw!$A:$A,Input_Raw!$BN:$BN),"")</f>
        <v/>
      </c>
      <c r="AO319" s="174" t="str">
        <f>IFERROR((_xlfn.XLOOKUP($A319,'WTG Reactive Power'!$A:$A,'WTG Reactive Power'!$AE:$AE))/Table13[[#This Row],[Gen_Exp (kWh)]],"")</f>
        <v/>
      </c>
      <c r="AP319" s="174">
        <f>IFERROR(_xlfn.XLOOKUP($D319,'Modelling New'!$D:$D,'Modelling New'!$AK:$AK),"")</f>
        <v>0.05</v>
      </c>
      <c r="AQ319" s="174">
        <f>IFERROR(_xlfn.XLOOKUP($D319,'Modelling New'!$D:$D,'Modelling New'!$AL:$AL),"")</f>
        <v>0.05</v>
      </c>
      <c r="AR319" s="276">
        <f>IFERROR(_xlfn.XLOOKUP($D319,'Modelling New'!$D:$D,'Modelling New'!$N:$N),"")</f>
        <v>70.2</v>
      </c>
      <c r="AS319" s="276"/>
    </row>
    <row r="320" spans="1:45">
      <c r="A320" s="165">
        <f t="shared" si="23"/>
        <v>46063</v>
      </c>
      <c r="B320" s="166">
        <f>YEAR(Table13[[#This Row],[Date]])+IF(MONTH(Table13[[#This Row],[Date]])&gt;=4,1,0)</f>
        <v>2026</v>
      </c>
      <c r="C320" s="167">
        <f>YEAR(Table13[[#This Row],[Date]])</f>
        <v>2026</v>
      </c>
      <c r="D320" s="168">
        <f>Table13[[#This Row],[Date]]-DAY(Table13[[#This Row],[Date]])+1</f>
        <v>46054</v>
      </c>
      <c r="E320" s="167">
        <f t="shared" si="20"/>
        <v>28</v>
      </c>
      <c r="F320" s="169"/>
      <c r="G320" s="170"/>
      <c r="H320" s="170"/>
      <c r="I320" s="170"/>
      <c r="J320" s="170"/>
      <c r="K320" s="171"/>
      <c r="L320" s="170"/>
      <c r="M320" s="170" t="str">
        <f>IFERROR(_xlfn.XLOOKUP($A320,Input_Raw!$A:$A,Input_Raw!BG:BG),"")</f>
        <v/>
      </c>
      <c r="N320" s="170" t="str">
        <f>IFERROR(_xlfn.XLOOKUP($A320,Input_Raw!$A:$A,Input_Raw!BH:BH),"")</f>
        <v/>
      </c>
      <c r="O320" s="173" t="str">
        <f t="shared" si="21"/>
        <v/>
      </c>
      <c r="P320" s="173" t="str">
        <f>IFERROR(1-SUMIF(WTG_BD!$F:$F,$A320,WTG_BD!$AA:$AA)/($AA320+SUMIF(WTG_BD!$F:$F,$A320,WTG_BD!$AA:$AA)),"")</f>
        <v/>
      </c>
      <c r="Q320" s="173" t="str">
        <f>IFERROR(1-SUMIF(IGA_BD!$F:$F,$A320,IGA_BD!$X:$X)/($AA320+SUMIF(IGA_BD!$F:$F,$A320,IGA_BD!$X:$X)),"")</f>
        <v/>
      </c>
      <c r="R320" s="173" t="str">
        <f>IFERROR(1-SUMIF(Grid_BD!$F:$F,$A320,Grid_BD!$Y:$Y)/($AA320+SUMIF(Grid_BD!$F:$F,$A320,Grid_BD!$Y:$Y)),"")</f>
        <v/>
      </c>
      <c r="S320" s="167"/>
      <c r="T320" s="172"/>
      <c r="U320" s="173"/>
      <c r="V320" s="167"/>
      <c r="W320" s="174" t="str">
        <f t="shared" si="22"/>
        <v/>
      </c>
      <c r="X320" s="167" t="str">
        <f>IFERROR(_xlfn.XLOOKUP($A320,Input_Raw!$A:$A,Input_Raw!$BF:$BF),"")</f>
        <v/>
      </c>
      <c r="Y320" s="167" t="str">
        <f>IFERROR(_xlfn.XLOOKUP($A320,Input_Raw!$A:$A,Input_Raw!BJ:BJ),"")</f>
        <v/>
      </c>
      <c r="Z320" s="167" t="str">
        <f>IFERROR(_xlfn.XLOOKUP($A320,Input_Raw!$A:$A,Input_Raw!BK:BK),"")</f>
        <v/>
      </c>
      <c r="AA320" s="167" t="str">
        <f>IFERROR(_xlfn.XLOOKUP($A320,Input_Raw!$A:$A,Input_Raw!BL:BL),"")</f>
        <v/>
      </c>
      <c r="AB320" s="167" t="str">
        <f>IFERROR(_xlfn.XLOOKUP($A320,Input_Raw!$A:$A,Input_Raw!$BO:$BO),"")</f>
        <v/>
      </c>
      <c r="AC320" s="176">
        <f>IFERROR(_xlfn.XLOOKUP($D320,'Modelling New'!$D:$D,'Modelling New'!$J:$J),"")</f>
        <v>5.52</v>
      </c>
      <c r="AD320" s="166">
        <f>IFERROR(_xlfn.XLOOKUP($D320,'Modelling New'!$D:$D,'Modelling New'!$T:$T)*1000,"")</f>
        <v>522509.05737931043</v>
      </c>
      <c r="AE320" s="174"/>
      <c r="AF320" s="174">
        <f>IFERROR(_xlfn.XLOOKUP($D320,'Modelling New'!$D:$D,'Modelling New'!$W:$W),"")</f>
        <v>0.31013120689655177</v>
      </c>
      <c r="AG320" s="174">
        <f>IFERROR(_xlfn.XLOOKUP($D320,'Modelling New'!$D:$D,'Modelling New'!$AE:$AE),"")</f>
        <v>0.96029999999999993</v>
      </c>
      <c r="AH320" s="174">
        <f>IFERROR(_xlfn.XLOOKUP($D320,'Modelling New'!$D:$D,'Modelling New'!$AF:$AF),"")</f>
        <v>0.995</v>
      </c>
      <c r="AI320" s="177" t="str">
        <f>IFERROR(_xlfn.XLOOKUP($A320,Input_Raw!$A:$A,Input_Raw!$BQ:$BQ),"")</f>
        <v/>
      </c>
      <c r="AJ320" s="167"/>
      <c r="AK320" s="167"/>
      <c r="AL320" s="167"/>
      <c r="AM320" s="167"/>
      <c r="AN320" s="175" t="str">
        <f>IFERROR(_xlfn.XLOOKUP($A320,Input_Raw!$A:$A,Input_Raw!$BN:$BN),"")</f>
        <v/>
      </c>
      <c r="AO320" s="174" t="str">
        <f>IFERROR((_xlfn.XLOOKUP($A320,'WTG Reactive Power'!$A:$A,'WTG Reactive Power'!$AE:$AE))/Table13[[#This Row],[Gen_Exp (kWh)]],"")</f>
        <v/>
      </c>
      <c r="AP320" s="174">
        <f>IFERROR(_xlfn.XLOOKUP($D320,'Modelling New'!$D:$D,'Modelling New'!$AK:$AK),"")</f>
        <v>0.05</v>
      </c>
      <c r="AQ320" s="174">
        <f>IFERROR(_xlfn.XLOOKUP($D320,'Modelling New'!$D:$D,'Modelling New'!$AL:$AL),"")</f>
        <v>0.05</v>
      </c>
      <c r="AR320" s="276">
        <f>IFERROR(_xlfn.XLOOKUP($D320,'Modelling New'!$D:$D,'Modelling New'!$N:$N),"")</f>
        <v>70.2</v>
      </c>
      <c r="AS320" s="276"/>
    </row>
    <row r="321" spans="1:45">
      <c r="A321" s="165">
        <f t="shared" si="23"/>
        <v>46064</v>
      </c>
      <c r="B321" s="166">
        <f>YEAR(Table13[[#This Row],[Date]])+IF(MONTH(Table13[[#This Row],[Date]])&gt;=4,1,0)</f>
        <v>2026</v>
      </c>
      <c r="C321" s="167">
        <f>YEAR(Table13[[#This Row],[Date]])</f>
        <v>2026</v>
      </c>
      <c r="D321" s="168">
        <f>Table13[[#This Row],[Date]]-DAY(Table13[[#This Row],[Date]])+1</f>
        <v>46054</v>
      </c>
      <c r="E321" s="167">
        <f t="shared" si="20"/>
        <v>28</v>
      </c>
      <c r="F321" s="169"/>
      <c r="G321" s="176"/>
      <c r="H321" s="176"/>
      <c r="I321" s="176"/>
      <c r="J321" s="176"/>
      <c r="K321" s="171"/>
      <c r="L321" s="170"/>
      <c r="M321" s="170" t="str">
        <f>IFERROR(_xlfn.XLOOKUP($A321,Input_Raw!$A:$A,Input_Raw!BG:BG),"")</f>
        <v/>
      </c>
      <c r="N321" s="170" t="str">
        <f>IFERROR(_xlfn.XLOOKUP($A321,Input_Raw!$A:$A,Input_Raw!BH:BH),"")</f>
        <v/>
      </c>
      <c r="O321" s="173" t="str">
        <f t="shared" si="21"/>
        <v/>
      </c>
      <c r="P321" s="173" t="str">
        <f>IFERROR(1-SUMIF(WTG_BD!$F:$F,$A321,WTG_BD!$AA:$AA)/($AA321+SUMIF(WTG_BD!$F:$F,$A321,WTG_BD!$AA:$AA)),"")</f>
        <v/>
      </c>
      <c r="Q321" s="173" t="str">
        <f>IFERROR(1-SUMIF(IGA_BD!$F:$F,$A321,IGA_BD!$X:$X)/($AA321+SUMIF(IGA_BD!$F:$F,$A321,IGA_BD!$X:$X)),"")</f>
        <v/>
      </c>
      <c r="R321" s="173" t="str">
        <f>IFERROR(1-SUMIF(Grid_BD!$F:$F,$A321,Grid_BD!$Y:$Y)/($AA321+SUMIF(Grid_BD!$F:$F,$A321,Grid_BD!$Y:$Y)),"")</f>
        <v/>
      </c>
      <c r="S321" s="167"/>
      <c r="T321" s="172"/>
      <c r="U321" s="173"/>
      <c r="V321" s="167"/>
      <c r="W321" s="174" t="str">
        <f t="shared" si="22"/>
        <v/>
      </c>
      <c r="X321" s="167" t="str">
        <f>IFERROR(_xlfn.XLOOKUP($A321,Input_Raw!$A:$A,Input_Raw!$BF:$BF),"")</f>
        <v/>
      </c>
      <c r="Y321" s="167" t="str">
        <f>IFERROR(_xlfn.XLOOKUP($A321,Input_Raw!$A:$A,Input_Raw!BJ:BJ),"")</f>
        <v/>
      </c>
      <c r="Z321" s="167" t="str">
        <f>IFERROR(_xlfn.XLOOKUP($A321,Input_Raw!$A:$A,Input_Raw!BK:BK),"")</f>
        <v/>
      </c>
      <c r="AA321" s="167" t="str">
        <f>IFERROR(_xlfn.XLOOKUP($A321,Input_Raw!$A:$A,Input_Raw!BL:BL),"")</f>
        <v/>
      </c>
      <c r="AB321" s="167" t="str">
        <f>IFERROR(_xlfn.XLOOKUP($A321,Input_Raw!$A:$A,Input_Raw!$BO:$BO),"")</f>
        <v/>
      </c>
      <c r="AC321" s="176">
        <f>IFERROR(_xlfn.XLOOKUP($D321,'Modelling New'!$D:$D,'Modelling New'!$J:$J),"")</f>
        <v>5.52</v>
      </c>
      <c r="AD321" s="166">
        <f>IFERROR(_xlfn.XLOOKUP($D321,'Modelling New'!$D:$D,'Modelling New'!$T:$T)*1000,"")</f>
        <v>522509.05737931043</v>
      </c>
      <c r="AE321" s="174"/>
      <c r="AF321" s="174">
        <f>IFERROR(_xlfn.XLOOKUP($D321,'Modelling New'!$D:$D,'Modelling New'!$W:$W),"")</f>
        <v>0.31013120689655177</v>
      </c>
      <c r="AG321" s="174">
        <f>IFERROR(_xlfn.XLOOKUP($D321,'Modelling New'!$D:$D,'Modelling New'!$AE:$AE),"")</f>
        <v>0.96029999999999993</v>
      </c>
      <c r="AH321" s="174">
        <f>IFERROR(_xlfn.XLOOKUP($D321,'Modelling New'!$D:$D,'Modelling New'!$AF:$AF),"")</f>
        <v>0.995</v>
      </c>
      <c r="AI321" s="177" t="str">
        <f>IFERROR(_xlfn.XLOOKUP($A321,Input_Raw!$A:$A,Input_Raw!$BQ:$BQ),"")</f>
        <v/>
      </c>
      <c r="AJ321" s="167"/>
      <c r="AK321" s="167"/>
      <c r="AL321" s="167"/>
      <c r="AM321" s="167"/>
      <c r="AN321" s="175" t="str">
        <f>IFERROR(_xlfn.XLOOKUP($A321,Input_Raw!$A:$A,Input_Raw!$BN:$BN),"")</f>
        <v/>
      </c>
      <c r="AO321" s="174" t="str">
        <f>IFERROR((_xlfn.XLOOKUP($A321,'WTG Reactive Power'!$A:$A,'WTG Reactive Power'!$AE:$AE))/Table13[[#This Row],[Gen_Exp (kWh)]],"")</f>
        <v/>
      </c>
      <c r="AP321" s="174">
        <f>IFERROR(_xlfn.XLOOKUP($D321,'Modelling New'!$D:$D,'Modelling New'!$AK:$AK),"")</f>
        <v>0.05</v>
      </c>
      <c r="AQ321" s="174">
        <f>IFERROR(_xlfn.XLOOKUP($D321,'Modelling New'!$D:$D,'Modelling New'!$AL:$AL),"")</f>
        <v>0.05</v>
      </c>
      <c r="AR321" s="276">
        <f>IFERROR(_xlfn.XLOOKUP($D321,'Modelling New'!$D:$D,'Modelling New'!$N:$N),"")</f>
        <v>70.2</v>
      </c>
      <c r="AS321" s="276"/>
    </row>
    <row r="322" spans="1:45">
      <c r="A322" s="165">
        <f t="shared" si="23"/>
        <v>46065</v>
      </c>
      <c r="B322" s="166">
        <f>YEAR(Table13[[#This Row],[Date]])+IF(MONTH(Table13[[#This Row],[Date]])&gt;=4,1,0)</f>
        <v>2026</v>
      </c>
      <c r="C322" s="167">
        <f>YEAR(Table13[[#This Row],[Date]])</f>
        <v>2026</v>
      </c>
      <c r="D322" s="168">
        <f>Table13[[#This Row],[Date]]-DAY(Table13[[#This Row],[Date]])+1</f>
        <v>46054</v>
      </c>
      <c r="E322" s="167">
        <f t="shared" si="20"/>
        <v>28</v>
      </c>
      <c r="F322" s="169"/>
      <c r="G322" s="170"/>
      <c r="H322" s="170"/>
      <c r="I322" s="170"/>
      <c r="J322" s="170"/>
      <c r="K322" s="171"/>
      <c r="L322" s="170"/>
      <c r="M322" s="170" t="str">
        <f>IFERROR(_xlfn.XLOOKUP($A322,Input_Raw!$A:$A,Input_Raw!BG:BG),"")</f>
        <v/>
      </c>
      <c r="N322" s="170" t="str">
        <f>IFERROR(_xlfn.XLOOKUP($A322,Input_Raw!$A:$A,Input_Raw!BH:BH),"")</f>
        <v/>
      </c>
      <c r="O322" s="173" t="str">
        <f t="shared" si="21"/>
        <v/>
      </c>
      <c r="P322" s="173" t="str">
        <f>IFERROR(1-SUMIF(WTG_BD!$F:$F,$A322,WTG_BD!$AA:$AA)/($AA322+SUMIF(WTG_BD!$F:$F,$A322,WTG_BD!$AA:$AA)),"")</f>
        <v/>
      </c>
      <c r="Q322" s="173" t="str">
        <f>IFERROR(1-SUMIF(IGA_BD!$F:$F,$A322,IGA_BD!$X:$X)/($AA322+SUMIF(IGA_BD!$F:$F,$A322,IGA_BD!$X:$X)),"")</f>
        <v/>
      </c>
      <c r="R322" s="173" t="str">
        <f>IFERROR(1-SUMIF(Grid_BD!$F:$F,$A322,Grid_BD!$Y:$Y)/($AA322+SUMIF(Grid_BD!$F:$F,$A322,Grid_BD!$Y:$Y)),"")</f>
        <v/>
      </c>
      <c r="S322" s="167"/>
      <c r="T322" s="172"/>
      <c r="U322" s="173"/>
      <c r="V322" s="167"/>
      <c r="W322" s="174" t="str">
        <f t="shared" si="22"/>
        <v/>
      </c>
      <c r="X322" s="167" t="str">
        <f>IFERROR(_xlfn.XLOOKUP($A322,Input_Raw!$A:$A,Input_Raw!$BF:$BF),"")</f>
        <v/>
      </c>
      <c r="Y322" s="167" t="str">
        <f>IFERROR(_xlfn.XLOOKUP($A322,Input_Raw!$A:$A,Input_Raw!BJ:BJ),"")</f>
        <v/>
      </c>
      <c r="Z322" s="167" t="str">
        <f>IFERROR(_xlfn.XLOOKUP($A322,Input_Raw!$A:$A,Input_Raw!BK:BK),"")</f>
        <v/>
      </c>
      <c r="AA322" s="167" t="str">
        <f>IFERROR(_xlfn.XLOOKUP($A322,Input_Raw!$A:$A,Input_Raw!BL:BL),"")</f>
        <v/>
      </c>
      <c r="AB322" s="167" t="str">
        <f>IFERROR(_xlfn.XLOOKUP($A322,Input_Raw!$A:$A,Input_Raw!$BO:$BO),"")</f>
        <v/>
      </c>
      <c r="AC322" s="176">
        <f>IFERROR(_xlfn.XLOOKUP($D322,'Modelling New'!$D:$D,'Modelling New'!$J:$J),"")</f>
        <v>5.52</v>
      </c>
      <c r="AD322" s="166">
        <f>IFERROR(_xlfn.XLOOKUP($D322,'Modelling New'!$D:$D,'Modelling New'!$T:$T)*1000,"")</f>
        <v>522509.05737931043</v>
      </c>
      <c r="AE322" s="174"/>
      <c r="AF322" s="174">
        <f>IFERROR(_xlfn.XLOOKUP($D322,'Modelling New'!$D:$D,'Modelling New'!$W:$W),"")</f>
        <v>0.31013120689655177</v>
      </c>
      <c r="AG322" s="174">
        <f>IFERROR(_xlfn.XLOOKUP($D322,'Modelling New'!$D:$D,'Modelling New'!$AE:$AE),"")</f>
        <v>0.96029999999999993</v>
      </c>
      <c r="AH322" s="174">
        <f>IFERROR(_xlfn.XLOOKUP($D322,'Modelling New'!$D:$D,'Modelling New'!$AF:$AF),"")</f>
        <v>0.995</v>
      </c>
      <c r="AI322" s="177" t="str">
        <f>IFERROR(_xlfn.XLOOKUP($A322,Input_Raw!$A:$A,Input_Raw!$BQ:$BQ),"")</f>
        <v/>
      </c>
      <c r="AJ322" s="167"/>
      <c r="AK322" s="167"/>
      <c r="AL322" s="167"/>
      <c r="AM322" s="167"/>
      <c r="AN322" s="175" t="str">
        <f>IFERROR(_xlfn.XLOOKUP($A322,Input_Raw!$A:$A,Input_Raw!$BN:$BN),"")</f>
        <v/>
      </c>
      <c r="AO322" s="174" t="str">
        <f>IFERROR((_xlfn.XLOOKUP($A322,'WTG Reactive Power'!$A:$A,'WTG Reactive Power'!$AE:$AE))/Table13[[#This Row],[Gen_Exp (kWh)]],"")</f>
        <v/>
      </c>
      <c r="AP322" s="174">
        <f>IFERROR(_xlfn.XLOOKUP($D322,'Modelling New'!$D:$D,'Modelling New'!$AK:$AK),"")</f>
        <v>0.05</v>
      </c>
      <c r="AQ322" s="174">
        <f>IFERROR(_xlfn.XLOOKUP($D322,'Modelling New'!$D:$D,'Modelling New'!$AL:$AL),"")</f>
        <v>0.05</v>
      </c>
      <c r="AR322" s="276">
        <f>IFERROR(_xlfn.XLOOKUP($D322,'Modelling New'!$D:$D,'Modelling New'!$N:$N),"")</f>
        <v>70.2</v>
      </c>
      <c r="AS322" s="276"/>
    </row>
    <row r="323" spans="1:45">
      <c r="A323" s="165">
        <f t="shared" si="23"/>
        <v>46066</v>
      </c>
      <c r="B323" s="166">
        <f>YEAR(Table13[[#This Row],[Date]])+IF(MONTH(Table13[[#This Row],[Date]])&gt;=4,1,0)</f>
        <v>2026</v>
      </c>
      <c r="C323" s="167">
        <f>YEAR(Table13[[#This Row],[Date]])</f>
        <v>2026</v>
      </c>
      <c r="D323" s="168">
        <f>Table13[[#This Row],[Date]]-DAY(Table13[[#This Row],[Date]])+1</f>
        <v>46054</v>
      </c>
      <c r="E323" s="167">
        <f t="shared" si="20"/>
        <v>28</v>
      </c>
      <c r="F323" s="169"/>
      <c r="G323" s="176"/>
      <c r="H323" s="176"/>
      <c r="I323" s="176"/>
      <c r="J323" s="176"/>
      <c r="K323" s="171"/>
      <c r="L323" s="170"/>
      <c r="M323" s="170" t="str">
        <f>IFERROR(_xlfn.XLOOKUP($A323,Input_Raw!$A:$A,Input_Raw!BG:BG),"")</f>
        <v/>
      </c>
      <c r="N323" s="170" t="str">
        <f>IFERROR(_xlfn.XLOOKUP($A323,Input_Raw!$A:$A,Input_Raw!BH:BH),"")</f>
        <v/>
      </c>
      <c r="O323" s="173" t="str">
        <f t="shared" si="21"/>
        <v/>
      </c>
      <c r="P323" s="173" t="str">
        <f>IFERROR(1-SUMIF(WTG_BD!$F:$F,$A323,WTG_BD!$AA:$AA)/($AA323+SUMIF(WTG_BD!$F:$F,$A323,WTG_BD!$AA:$AA)),"")</f>
        <v/>
      </c>
      <c r="Q323" s="173" t="str">
        <f>IFERROR(1-SUMIF(IGA_BD!$F:$F,$A323,IGA_BD!$X:$X)/($AA323+SUMIF(IGA_BD!$F:$F,$A323,IGA_BD!$X:$X)),"")</f>
        <v/>
      </c>
      <c r="R323" s="173" t="str">
        <f>IFERROR(1-SUMIF(Grid_BD!$F:$F,$A323,Grid_BD!$Y:$Y)/($AA323+SUMIF(Grid_BD!$F:$F,$A323,Grid_BD!$Y:$Y)),"")</f>
        <v/>
      </c>
      <c r="S323" s="167"/>
      <c r="T323" s="172"/>
      <c r="U323" s="173"/>
      <c r="V323" s="167"/>
      <c r="W323" s="174" t="str">
        <f t="shared" si="22"/>
        <v/>
      </c>
      <c r="X323" s="167" t="str">
        <f>IFERROR(_xlfn.XLOOKUP($A323,Input_Raw!$A:$A,Input_Raw!$BF:$BF),"")</f>
        <v/>
      </c>
      <c r="Y323" s="167" t="str">
        <f>IFERROR(_xlfn.XLOOKUP($A323,Input_Raw!$A:$A,Input_Raw!BJ:BJ),"")</f>
        <v/>
      </c>
      <c r="Z323" s="167" t="str">
        <f>IFERROR(_xlfn.XLOOKUP($A323,Input_Raw!$A:$A,Input_Raw!BK:BK),"")</f>
        <v/>
      </c>
      <c r="AA323" s="167" t="str">
        <f>IFERROR(_xlfn.XLOOKUP($A323,Input_Raw!$A:$A,Input_Raw!BL:BL),"")</f>
        <v/>
      </c>
      <c r="AB323" s="167" t="str">
        <f>IFERROR(_xlfn.XLOOKUP($A323,Input_Raw!$A:$A,Input_Raw!$BO:$BO),"")</f>
        <v/>
      </c>
      <c r="AC323" s="176">
        <f>IFERROR(_xlfn.XLOOKUP($D323,'Modelling New'!$D:$D,'Modelling New'!$J:$J),"")</f>
        <v>5.52</v>
      </c>
      <c r="AD323" s="166">
        <f>IFERROR(_xlfn.XLOOKUP($D323,'Modelling New'!$D:$D,'Modelling New'!$T:$T)*1000,"")</f>
        <v>522509.05737931043</v>
      </c>
      <c r="AE323" s="174"/>
      <c r="AF323" s="174">
        <f>IFERROR(_xlfn.XLOOKUP($D323,'Modelling New'!$D:$D,'Modelling New'!$W:$W),"")</f>
        <v>0.31013120689655177</v>
      </c>
      <c r="AG323" s="174">
        <f>IFERROR(_xlfn.XLOOKUP($D323,'Modelling New'!$D:$D,'Modelling New'!$AE:$AE),"")</f>
        <v>0.96029999999999993</v>
      </c>
      <c r="AH323" s="174">
        <f>IFERROR(_xlfn.XLOOKUP($D323,'Modelling New'!$D:$D,'Modelling New'!$AF:$AF),"")</f>
        <v>0.995</v>
      </c>
      <c r="AI323" s="177" t="str">
        <f>IFERROR(_xlfn.XLOOKUP($A323,Input_Raw!$A:$A,Input_Raw!$BQ:$BQ),"")</f>
        <v/>
      </c>
      <c r="AJ323" s="167"/>
      <c r="AK323" s="167"/>
      <c r="AL323" s="167"/>
      <c r="AM323" s="167"/>
      <c r="AN323" s="175" t="str">
        <f>IFERROR(_xlfn.XLOOKUP($A323,Input_Raw!$A:$A,Input_Raw!$BN:$BN),"")</f>
        <v/>
      </c>
      <c r="AO323" s="174" t="str">
        <f>IFERROR((_xlfn.XLOOKUP($A323,'WTG Reactive Power'!$A:$A,'WTG Reactive Power'!$AE:$AE))/Table13[[#This Row],[Gen_Exp (kWh)]],"")</f>
        <v/>
      </c>
      <c r="AP323" s="174">
        <f>IFERROR(_xlfn.XLOOKUP($D323,'Modelling New'!$D:$D,'Modelling New'!$AK:$AK),"")</f>
        <v>0.05</v>
      </c>
      <c r="AQ323" s="174">
        <f>IFERROR(_xlfn.XLOOKUP($D323,'Modelling New'!$D:$D,'Modelling New'!$AL:$AL),"")</f>
        <v>0.05</v>
      </c>
      <c r="AR323" s="276">
        <f>IFERROR(_xlfn.XLOOKUP($D323,'Modelling New'!$D:$D,'Modelling New'!$N:$N),"")</f>
        <v>70.2</v>
      </c>
      <c r="AS323" s="276"/>
    </row>
    <row r="324" spans="1:45">
      <c r="A324" s="165">
        <f t="shared" si="23"/>
        <v>46067</v>
      </c>
      <c r="B324" s="166">
        <f>YEAR(Table13[[#This Row],[Date]])+IF(MONTH(Table13[[#This Row],[Date]])&gt;=4,1,0)</f>
        <v>2026</v>
      </c>
      <c r="C324" s="167">
        <f>YEAR(Table13[[#This Row],[Date]])</f>
        <v>2026</v>
      </c>
      <c r="D324" s="168">
        <f>Table13[[#This Row],[Date]]-DAY(Table13[[#This Row],[Date]])+1</f>
        <v>46054</v>
      </c>
      <c r="E324" s="167">
        <f t="shared" si="20"/>
        <v>28</v>
      </c>
      <c r="F324" s="169"/>
      <c r="G324" s="170"/>
      <c r="H324" s="170"/>
      <c r="I324" s="170"/>
      <c r="J324" s="170"/>
      <c r="K324" s="171"/>
      <c r="L324" s="170"/>
      <c r="M324" s="170" t="str">
        <f>IFERROR(_xlfn.XLOOKUP($A324,Input_Raw!$A:$A,Input_Raw!BG:BG),"")</f>
        <v/>
      </c>
      <c r="N324" s="170" t="str">
        <f>IFERROR(_xlfn.XLOOKUP($A324,Input_Raw!$A:$A,Input_Raw!BH:BH),"")</f>
        <v/>
      </c>
      <c r="O324" s="173" t="str">
        <f t="shared" si="21"/>
        <v/>
      </c>
      <c r="P324" s="173" t="str">
        <f>IFERROR(1-SUMIF(WTG_BD!$F:$F,$A324,WTG_BD!$AA:$AA)/($AA324+SUMIF(WTG_BD!$F:$F,$A324,WTG_BD!$AA:$AA)),"")</f>
        <v/>
      </c>
      <c r="Q324" s="173" t="str">
        <f>IFERROR(1-SUMIF(IGA_BD!$F:$F,$A324,IGA_BD!$X:$X)/($AA324+SUMIF(IGA_BD!$F:$F,$A324,IGA_BD!$X:$X)),"")</f>
        <v/>
      </c>
      <c r="R324" s="173" t="str">
        <f>IFERROR(1-SUMIF(Grid_BD!$F:$F,$A324,Grid_BD!$Y:$Y)/($AA324+SUMIF(Grid_BD!$F:$F,$A324,Grid_BD!$Y:$Y)),"")</f>
        <v/>
      </c>
      <c r="S324" s="167"/>
      <c r="T324" s="172"/>
      <c r="U324" s="173"/>
      <c r="V324" s="167"/>
      <c r="W324" s="174" t="str">
        <f t="shared" si="22"/>
        <v/>
      </c>
      <c r="X324" s="167" t="str">
        <f>IFERROR(_xlfn.XLOOKUP($A324,Input_Raw!$A:$A,Input_Raw!$BF:$BF),"")</f>
        <v/>
      </c>
      <c r="Y324" s="167" t="str">
        <f>IFERROR(_xlfn.XLOOKUP($A324,Input_Raw!$A:$A,Input_Raw!BJ:BJ),"")</f>
        <v/>
      </c>
      <c r="Z324" s="167" t="str">
        <f>IFERROR(_xlfn.XLOOKUP($A324,Input_Raw!$A:$A,Input_Raw!BK:BK),"")</f>
        <v/>
      </c>
      <c r="AA324" s="167" t="str">
        <f>IFERROR(_xlfn.XLOOKUP($A324,Input_Raw!$A:$A,Input_Raw!BL:BL),"")</f>
        <v/>
      </c>
      <c r="AB324" s="167" t="str">
        <f>IFERROR(_xlfn.XLOOKUP($A324,Input_Raw!$A:$A,Input_Raw!$BO:$BO),"")</f>
        <v/>
      </c>
      <c r="AC324" s="176">
        <f>IFERROR(_xlfn.XLOOKUP($D324,'Modelling New'!$D:$D,'Modelling New'!$J:$J),"")</f>
        <v>5.52</v>
      </c>
      <c r="AD324" s="166">
        <f>IFERROR(_xlfn.XLOOKUP($D324,'Modelling New'!$D:$D,'Modelling New'!$T:$T)*1000,"")</f>
        <v>522509.05737931043</v>
      </c>
      <c r="AE324" s="174"/>
      <c r="AF324" s="174">
        <f>IFERROR(_xlfn.XLOOKUP($D324,'Modelling New'!$D:$D,'Modelling New'!$W:$W),"")</f>
        <v>0.31013120689655177</v>
      </c>
      <c r="AG324" s="174">
        <f>IFERROR(_xlfn.XLOOKUP($D324,'Modelling New'!$D:$D,'Modelling New'!$AE:$AE),"")</f>
        <v>0.96029999999999993</v>
      </c>
      <c r="AH324" s="174">
        <f>IFERROR(_xlfn.XLOOKUP($D324,'Modelling New'!$D:$D,'Modelling New'!$AF:$AF),"")</f>
        <v>0.995</v>
      </c>
      <c r="AI324" s="177" t="str">
        <f>IFERROR(_xlfn.XLOOKUP($A324,Input_Raw!$A:$A,Input_Raw!$BQ:$BQ),"")</f>
        <v/>
      </c>
      <c r="AJ324" s="167"/>
      <c r="AK324" s="167"/>
      <c r="AL324" s="167"/>
      <c r="AM324" s="167"/>
      <c r="AN324" s="175" t="str">
        <f>IFERROR(_xlfn.XLOOKUP($A324,Input_Raw!$A:$A,Input_Raw!$BN:$BN),"")</f>
        <v/>
      </c>
      <c r="AO324" s="174" t="str">
        <f>IFERROR((_xlfn.XLOOKUP($A324,'WTG Reactive Power'!$A:$A,'WTG Reactive Power'!$AE:$AE))/Table13[[#This Row],[Gen_Exp (kWh)]],"")</f>
        <v/>
      </c>
      <c r="AP324" s="174">
        <f>IFERROR(_xlfn.XLOOKUP($D324,'Modelling New'!$D:$D,'Modelling New'!$AK:$AK),"")</f>
        <v>0.05</v>
      </c>
      <c r="AQ324" s="174">
        <f>IFERROR(_xlfn.XLOOKUP($D324,'Modelling New'!$D:$D,'Modelling New'!$AL:$AL),"")</f>
        <v>0.05</v>
      </c>
      <c r="AR324" s="276">
        <f>IFERROR(_xlfn.XLOOKUP($D324,'Modelling New'!$D:$D,'Modelling New'!$N:$N),"")</f>
        <v>70.2</v>
      </c>
      <c r="AS324" s="276"/>
    </row>
    <row r="325" spans="1:45">
      <c r="A325" s="165">
        <f t="shared" si="23"/>
        <v>46068</v>
      </c>
      <c r="B325" s="166">
        <f>YEAR(Table13[[#This Row],[Date]])+IF(MONTH(Table13[[#This Row],[Date]])&gt;=4,1,0)</f>
        <v>2026</v>
      </c>
      <c r="C325" s="167">
        <f>YEAR(Table13[[#This Row],[Date]])</f>
        <v>2026</v>
      </c>
      <c r="D325" s="168">
        <f>Table13[[#This Row],[Date]]-DAY(Table13[[#This Row],[Date]])+1</f>
        <v>46054</v>
      </c>
      <c r="E325" s="167">
        <f t="shared" si="20"/>
        <v>28</v>
      </c>
      <c r="F325" s="169"/>
      <c r="G325" s="176"/>
      <c r="H325" s="176"/>
      <c r="I325" s="176"/>
      <c r="J325" s="176"/>
      <c r="K325" s="171"/>
      <c r="L325" s="170"/>
      <c r="M325" s="170" t="str">
        <f>IFERROR(_xlfn.XLOOKUP($A325,Input_Raw!$A:$A,Input_Raw!BG:BG),"")</f>
        <v/>
      </c>
      <c r="N325" s="170" t="str">
        <f>IFERROR(_xlfn.XLOOKUP($A325,Input_Raw!$A:$A,Input_Raw!BH:BH),"")</f>
        <v/>
      </c>
      <c r="O325" s="173" t="str">
        <f t="shared" si="21"/>
        <v/>
      </c>
      <c r="P325" s="173" t="str">
        <f>IFERROR(1-SUMIF(WTG_BD!$F:$F,$A325,WTG_BD!$AA:$AA)/($AA325+SUMIF(WTG_BD!$F:$F,$A325,WTG_BD!$AA:$AA)),"")</f>
        <v/>
      </c>
      <c r="Q325" s="173" t="str">
        <f>IFERROR(1-SUMIF(IGA_BD!$F:$F,$A325,IGA_BD!$X:$X)/($AA325+SUMIF(IGA_BD!$F:$F,$A325,IGA_BD!$X:$X)),"")</f>
        <v/>
      </c>
      <c r="R325" s="173" t="str">
        <f>IFERROR(1-SUMIF(Grid_BD!$F:$F,$A325,Grid_BD!$Y:$Y)/($AA325+SUMIF(Grid_BD!$F:$F,$A325,Grid_BD!$Y:$Y)),"")</f>
        <v/>
      </c>
      <c r="S325" s="167"/>
      <c r="T325" s="172"/>
      <c r="U325" s="173"/>
      <c r="V325" s="167"/>
      <c r="W325" s="174" t="str">
        <f t="shared" si="22"/>
        <v/>
      </c>
      <c r="X325" s="167" t="str">
        <f>IFERROR(_xlfn.XLOOKUP($A325,Input_Raw!$A:$A,Input_Raw!$BF:$BF),"")</f>
        <v/>
      </c>
      <c r="Y325" s="167" t="str">
        <f>IFERROR(_xlfn.XLOOKUP($A325,Input_Raw!$A:$A,Input_Raw!BJ:BJ),"")</f>
        <v/>
      </c>
      <c r="Z325" s="167" t="str">
        <f>IFERROR(_xlfn.XLOOKUP($A325,Input_Raw!$A:$A,Input_Raw!BK:BK),"")</f>
        <v/>
      </c>
      <c r="AA325" s="167" t="str">
        <f>IFERROR(_xlfn.XLOOKUP($A325,Input_Raw!$A:$A,Input_Raw!BL:BL),"")</f>
        <v/>
      </c>
      <c r="AB325" s="167" t="str">
        <f>IFERROR(_xlfn.XLOOKUP($A325,Input_Raw!$A:$A,Input_Raw!$BO:$BO),"")</f>
        <v/>
      </c>
      <c r="AC325" s="176">
        <f>IFERROR(_xlfn.XLOOKUP($D325,'Modelling New'!$D:$D,'Modelling New'!$J:$J),"")</f>
        <v>5.52</v>
      </c>
      <c r="AD325" s="166">
        <f>IFERROR(_xlfn.XLOOKUP($D325,'Modelling New'!$D:$D,'Modelling New'!$T:$T)*1000,"")</f>
        <v>522509.05737931043</v>
      </c>
      <c r="AE325" s="174"/>
      <c r="AF325" s="174">
        <f>IFERROR(_xlfn.XLOOKUP($D325,'Modelling New'!$D:$D,'Modelling New'!$W:$W),"")</f>
        <v>0.31013120689655177</v>
      </c>
      <c r="AG325" s="174">
        <f>IFERROR(_xlfn.XLOOKUP($D325,'Modelling New'!$D:$D,'Modelling New'!$AE:$AE),"")</f>
        <v>0.96029999999999993</v>
      </c>
      <c r="AH325" s="174">
        <f>IFERROR(_xlfn.XLOOKUP($D325,'Modelling New'!$D:$D,'Modelling New'!$AF:$AF),"")</f>
        <v>0.995</v>
      </c>
      <c r="AI325" s="177" t="str">
        <f>IFERROR(_xlfn.XLOOKUP($A325,Input_Raw!$A:$A,Input_Raw!$BQ:$BQ),"")</f>
        <v/>
      </c>
      <c r="AJ325" s="167"/>
      <c r="AK325" s="167"/>
      <c r="AL325" s="167"/>
      <c r="AM325" s="167"/>
      <c r="AN325" s="175" t="str">
        <f>IFERROR(_xlfn.XLOOKUP($A325,Input_Raw!$A:$A,Input_Raw!$BN:$BN),"")</f>
        <v/>
      </c>
      <c r="AO325" s="174" t="str">
        <f>IFERROR((_xlfn.XLOOKUP($A325,'WTG Reactive Power'!$A:$A,'WTG Reactive Power'!$AE:$AE))/Table13[[#This Row],[Gen_Exp (kWh)]],"")</f>
        <v/>
      </c>
      <c r="AP325" s="174">
        <f>IFERROR(_xlfn.XLOOKUP($D325,'Modelling New'!$D:$D,'Modelling New'!$AK:$AK),"")</f>
        <v>0.05</v>
      </c>
      <c r="AQ325" s="174">
        <f>IFERROR(_xlfn.XLOOKUP($D325,'Modelling New'!$D:$D,'Modelling New'!$AL:$AL),"")</f>
        <v>0.05</v>
      </c>
      <c r="AR325" s="276">
        <f>IFERROR(_xlfn.XLOOKUP($D325,'Modelling New'!$D:$D,'Modelling New'!$N:$N),"")</f>
        <v>70.2</v>
      </c>
      <c r="AS325" s="276"/>
    </row>
    <row r="326" spans="1:45">
      <c r="A326" s="165">
        <f t="shared" si="23"/>
        <v>46069</v>
      </c>
      <c r="B326" s="166">
        <f>YEAR(Table13[[#This Row],[Date]])+IF(MONTH(Table13[[#This Row],[Date]])&gt;=4,1,0)</f>
        <v>2026</v>
      </c>
      <c r="C326" s="167">
        <f>YEAR(Table13[[#This Row],[Date]])</f>
        <v>2026</v>
      </c>
      <c r="D326" s="168">
        <f>Table13[[#This Row],[Date]]-DAY(Table13[[#This Row],[Date]])+1</f>
        <v>46054</v>
      </c>
      <c r="E326" s="167">
        <f t="shared" si="20"/>
        <v>28</v>
      </c>
      <c r="F326" s="169"/>
      <c r="G326" s="170"/>
      <c r="H326" s="170"/>
      <c r="I326" s="170"/>
      <c r="J326" s="170"/>
      <c r="K326" s="171"/>
      <c r="L326" s="170"/>
      <c r="M326" s="170" t="str">
        <f>IFERROR(_xlfn.XLOOKUP($A326,Input_Raw!$A:$A,Input_Raw!BG:BG),"")</f>
        <v/>
      </c>
      <c r="N326" s="170" t="str">
        <f>IFERROR(_xlfn.XLOOKUP($A326,Input_Raw!$A:$A,Input_Raw!BH:BH),"")</f>
        <v/>
      </c>
      <c r="O326" s="173" t="str">
        <f t="shared" si="21"/>
        <v/>
      </c>
      <c r="P326" s="173" t="str">
        <f>IFERROR(1-SUMIF(WTG_BD!$F:$F,$A326,WTG_BD!$AA:$AA)/($AA326+SUMIF(WTG_BD!$F:$F,$A326,WTG_BD!$AA:$AA)),"")</f>
        <v/>
      </c>
      <c r="Q326" s="173" t="str">
        <f>IFERROR(1-SUMIF(IGA_BD!$F:$F,$A326,IGA_BD!$X:$X)/($AA326+SUMIF(IGA_BD!$F:$F,$A326,IGA_BD!$X:$X)),"")</f>
        <v/>
      </c>
      <c r="R326" s="173" t="str">
        <f>IFERROR(1-SUMIF(Grid_BD!$F:$F,$A326,Grid_BD!$Y:$Y)/($AA326+SUMIF(Grid_BD!$F:$F,$A326,Grid_BD!$Y:$Y)),"")</f>
        <v/>
      </c>
      <c r="S326" s="167"/>
      <c r="T326" s="172"/>
      <c r="U326" s="173"/>
      <c r="V326" s="167"/>
      <c r="W326" s="174" t="str">
        <f t="shared" si="22"/>
        <v/>
      </c>
      <c r="X326" s="167" t="str">
        <f>IFERROR(_xlfn.XLOOKUP($A326,Input_Raw!$A:$A,Input_Raw!$BF:$BF),"")</f>
        <v/>
      </c>
      <c r="Y326" s="167" t="str">
        <f>IFERROR(_xlfn.XLOOKUP($A326,Input_Raw!$A:$A,Input_Raw!BJ:BJ),"")</f>
        <v/>
      </c>
      <c r="Z326" s="167" t="str">
        <f>IFERROR(_xlfn.XLOOKUP($A326,Input_Raw!$A:$A,Input_Raw!BK:BK),"")</f>
        <v/>
      </c>
      <c r="AA326" s="167" t="str">
        <f>IFERROR(_xlfn.XLOOKUP($A326,Input_Raw!$A:$A,Input_Raw!BL:BL),"")</f>
        <v/>
      </c>
      <c r="AB326" s="167" t="str">
        <f>IFERROR(_xlfn.XLOOKUP($A326,Input_Raw!$A:$A,Input_Raw!$BO:$BO),"")</f>
        <v/>
      </c>
      <c r="AC326" s="176">
        <f>IFERROR(_xlfn.XLOOKUP($D326,'Modelling New'!$D:$D,'Modelling New'!$J:$J),"")</f>
        <v>5.52</v>
      </c>
      <c r="AD326" s="166">
        <f>IFERROR(_xlfn.XLOOKUP($D326,'Modelling New'!$D:$D,'Modelling New'!$T:$T)*1000,"")</f>
        <v>522509.05737931043</v>
      </c>
      <c r="AE326" s="174"/>
      <c r="AF326" s="174">
        <f>IFERROR(_xlfn.XLOOKUP($D326,'Modelling New'!$D:$D,'Modelling New'!$W:$W),"")</f>
        <v>0.31013120689655177</v>
      </c>
      <c r="AG326" s="174">
        <f>IFERROR(_xlfn.XLOOKUP($D326,'Modelling New'!$D:$D,'Modelling New'!$AE:$AE),"")</f>
        <v>0.96029999999999993</v>
      </c>
      <c r="AH326" s="174">
        <f>IFERROR(_xlfn.XLOOKUP($D326,'Modelling New'!$D:$D,'Modelling New'!$AF:$AF),"")</f>
        <v>0.995</v>
      </c>
      <c r="AI326" s="177" t="str">
        <f>IFERROR(_xlfn.XLOOKUP($A326,Input_Raw!$A:$A,Input_Raw!$BQ:$BQ),"")</f>
        <v/>
      </c>
      <c r="AJ326" s="167"/>
      <c r="AK326" s="167"/>
      <c r="AL326" s="167"/>
      <c r="AM326" s="167"/>
      <c r="AN326" s="175" t="str">
        <f>IFERROR(_xlfn.XLOOKUP($A326,Input_Raw!$A:$A,Input_Raw!$BN:$BN),"")</f>
        <v/>
      </c>
      <c r="AO326" s="174" t="str">
        <f>IFERROR((_xlfn.XLOOKUP($A326,'WTG Reactive Power'!$A:$A,'WTG Reactive Power'!$AE:$AE))/Table13[[#This Row],[Gen_Exp (kWh)]],"")</f>
        <v/>
      </c>
      <c r="AP326" s="174">
        <f>IFERROR(_xlfn.XLOOKUP($D326,'Modelling New'!$D:$D,'Modelling New'!$AK:$AK),"")</f>
        <v>0.05</v>
      </c>
      <c r="AQ326" s="174">
        <f>IFERROR(_xlfn.XLOOKUP($D326,'Modelling New'!$D:$D,'Modelling New'!$AL:$AL),"")</f>
        <v>0.05</v>
      </c>
      <c r="AR326" s="276">
        <f>IFERROR(_xlfn.XLOOKUP($D326,'Modelling New'!$D:$D,'Modelling New'!$N:$N),"")</f>
        <v>70.2</v>
      </c>
      <c r="AS326" s="276"/>
    </row>
    <row r="327" spans="1:45">
      <c r="A327" s="165">
        <f t="shared" si="23"/>
        <v>46070</v>
      </c>
      <c r="B327" s="166">
        <f>YEAR(Table13[[#This Row],[Date]])+IF(MONTH(Table13[[#This Row],[Date]])&gt;=4,1,0)</f>
        <v>2026</v>
      </c>
      <c r="C327" s="167">
        <f>YEAR(Table13[[#This Row],[Date]])</f>
        <v>2026</v>
      </c>
      <c r="D327" s="168">
        <f>Table13[[#This Row],[Date]]-DAY(Table13[[#This Row],[Date]])+1</f>
        <v>46054</v>
      </c>
      <c r="E327" s="167">
        <f t="shared" si="20"/>
        <v>28</v>
      </c>
      <c r="F327" s="169"/>
      <c r="G327" s="176"/>
      <c r="H327" s="176"/>
      <c r="I327" s="176"/>
      <c r="J327" s="176"/>
      <c r="K327" s="171"/>
      <c r="L327" s="170"/>
      <c r="M327" s="170" t="str">
        <f>IFERROR(_xlfn.XLOOKUP($A327,Input_Raw!$A:$A,Input_Raw!BG:BG),"")</f>
        <v/>
      </c>
      <c r="N327" s="170" t="str">
        <f>IFERROR(_xlfn.XLOOKUP($A327,Input_Raw!$A:$A,Input_Raw!BH:BH),"")</f>
        <v/>
      </c>
      <c r="O327" s="173" t="str">
        <f t="shared" si="21"/>
        <v/>
      </c>
      <c r="P327" s="173" t="str">
        <f>IFERROR(1-SUMIF(WTG_BD!$F:$F,$A327,WTG_BD!$AA:$AA)/($AA327+SUMIF(WTG_BD!$F:$F,$A327,WTG_BD!$AA:$AA)),"")</f>
        <v/>
      </c>
      <c r="Q327" s="173" t="str">
        <f>IFERROR(1-SUMIF(IGA_BD!$F:$F,$A327,IGA_BD!$X:$X)/($AA327+SUMIF(IGA_BD!$F:$F,$A327,IGA_BD!$X:$X)),"")</f>
        <v/>
      </c>
      <c r="R327" s="173" t="str">
        <f>IFERROR(1-SUMIF(Grid_BD!$F:$F,$A327,Grid_BD!$Y:$Y)/($AA327+SUMIF(Grid_BD!$F:$F,$A327,Grid_BD!$Y:$Y)),"")</f>
        <v/>
      </c>
      <c r="S327" s="167"/>
      <c r="T327" s="172"/>
      <c r="U327" s="173"/>
      <c r="V327" s="167"/>
      <c r="W327" s="174" t="str">
        <f t="shared" si="22"/>
        <v/>
      </c>
      <c r="X327" s="167" t="str">
        <f>IFERROR(_xlfn.XLOOKUP($A327,Input_Raw!$A:$A,Input_Raw!$BF:$BF),"")</f>
        <v/>
      </c>
      <c r="Y327" s="167" t="str">
        <f>IFERROR(_xlfn.XLOOKUP($A327,Input_Raw!$A:$A,Input_Raw!BJ:BJ),"")</f>
        <v/>
      </c>
      <c r="Z327" s="167" t="str">
        <f>IFERROR(_xlfn.XLOOKUP($A327,Input_Raw!$A:$A,Input_Raw!BK:BK),"")</f>
        <v/>
      </c>
      <c r="AA327" s="167" t="str">
        <f>IFERROR(_xlfn.XLOOKUP($A327,Input_Raw!$A:$A,Input_Raw!BL:BL),"")</f>
        <v/>
      </c>
      <c r="AB327" s="167" t="str">
        <f>IFERROR(_xlfn.XLOOKUP($A327,Input_Raw!$A:$A,Input_Raw!$BO:$BO),"")</f>
        <v/>
      </c>
      <c r="AC327" s="176">
        <f>IFERROR(_xlfn.XLOOKUP($D327,'Modelling New'!$D:$D,'Modelling New'!$J:$J),"")</f>
        <v>5.52</v>
      </c>
      <c r="AD327" s="166">
        <f>IFERROR(_xlfn.XLOOKUP($D327,'Modelling New'!$D:$D,'Modelling New'!$T:$T)*1000,"")</f>
        <v>522509.05737931043</v>
      </c>
      <c r="AE327" s="174"/>
      <c r="AF327" s="174">
        <f>IFERROR(_xlfn.XLOOKUP($D327,'Modelling New'!$D:$D,'Modelling New'!$W:$W),"")</f>
        <v>0.31013120689655177</v>
      </c>
      <c r="AG327" s="174">
        <f>IFERROR(_xlfn.XLOOKUP($D327,'Modelling New'!$D:$D,'Modelling New'!$AE:$AE),"")</f>
        <v>0.96029999999999993</v>
      </c>
      <c r="AH327" s="174">
        <f>IFERROR(_xlfn.XLOOKUP($D327,'Modelling New'!$D:$D,'Modelling New'!$AF:$AF),"")</f>
        <v>0.995</v>
      </c>
      <c r="AI327" s="177" t="str">
        <f>IFERROR(_xlfn.XLOOKUP($A327,Input_Raw!$A:$A,Input_Raw!$BQ:$BQ),"")</f>
        <v/>
      </c>
      <c r="AJ327" s="167"/>
      <c r="AK327" s="167"/>
      <c r="AL327" s="167"/>
      <c r="AM327" s="167"/>
      <c r="AN327" s="175" t="str">
        <f>IFERROR(_xlfn.XLOOKUP($A327,Input_Raw!$A:$A,Input_Raw!$BN:$BN),"")</f>
        <v/>
      </c>
      <c r="AO327" s="174" t="str">
        <f>IFERROR((_xlfn.XLOOKUP($A327,'WTG Reactive Power'!$A:$A,'WTG Reactive Power'!$AE:$AE))/Table13[[#This Row],[Gen_Exp (kWh)]],"")</f>
        <v/>
      </c>
      <c r="AP327" s="174">
        <f>IFERROR(_xlfn.XLOOKUP($D327,'Modelling New'!$D:$D,'Modelling New'!$AK:$AK),"")</f>
        <v>0.05</v>
      </c>
      <c r="AQ327" s="174">
        <f>IFERROR(_xlfn.XLOOKUP($D327,'Modelling New'!$D:$D,'Modelling New'!$AL:$AL),"")</f>
        <v>0.05</v>
      </c>
      <c r="AR327" s="276">
        <f>IFERROR(_xlfn.XLOOKUP($D327,'Modelling New'!$D:$D,'Modelling New'!$N:$N),"")</f>
        <v>70.2</v>
      </c>
      <c r="AS327" s="276"/>
    </row>
    <row r="328" spans="1:45">
      <c r="A328" s="165">
        <f t="shared" si="23"/>
        <v>46071</v>
      </c>
      <c r="B328" s="166">
        <f>YEAR(Table13[[#This Row],[Date]])+IF(MONTH(Table13[[#This Row],[Date]])&gt;=4,1,0)</f>
        <v>2026</v>
      </c>
      <c r="C328" s="167">
        <f>YEAR(Table13[[#This Row],[Date]])</f>
        <v>2026</v>
      </c>
      <c r="D328" s="168">
        <f>Table13[[#This Row],[Date]]-DAY(Table13[[#This Row],[Date]])+1</f>
        <v>46054</v>
      </c>
      <c r="E328" s="167">
        <f t="shared" si="20"/>
        <v>28</v>
      </c>
      <c r="F328" s="169"/>
      <c r="G328" s="170"/>
      <c r="H328" s="170"/>
      <c r="I328" s="170"/>
      <c r="J328" s="170"/>
      <c r="K328" s="171"/>
      <c r="L328" s="170"/>
      <c r="M328" s="170" t="str">
        <f>IFERROR(_xlfn.XLOOKUP($A328,Input_Raw!$A:$A,Input_Raw!BG:BG),"")</f>
        <v/>
      </c>
      <c r="N328" s="170" t="str">
        <f>IFERROR(_xlfn.XLOOKUP($A328,Input_Raw!$A:$A,Input_Raw!BH:BH),"")</f>
        <v/>
      </c>
      <c r="O328" s="173" t="str">
        <f t="shared" si="21"/>
        <v/>
      </c>
      <c r="P328" s="173" t="str">
        <f>IFERROR(1-SUMIF(WTG_BD!$F:$F,$A328,WTG_BD!$AA:$AA)/($AA328+SUMIF(WTG_BD!$F:$F,$A328,WTG_BD!$AA:$AA)),"")</f>
        <v/>
      </c>
      <c r="Q328" s="173" t="str">
        <f>IFERROR(1-SUMIF(IGA_BD!$F:$F,$A328,IGA_BD!$X:$X)/($AA328+SUMIF(IGA_BD!$F:$F,$A328,IGA_BD!$X:$X)),"")</f>
        <v/>
      </c>
      <c r="R328" s="173" t="str">
        <f>IFERROR(1-SUMIF(Grid_BD!$F:$F,$A328,Grid_BD!$Y:$Y)/($AA328+SUMIF(Grid_BD!$F:$F,$A328,Grid_BD!$Y:$Y)),"")</f>
        <v/>
      </c>
      <c r="S328" s="167"/>
      <c r="T328" s="172"/>
      <c r="U328" s="173"/>
      <c r="V328" s="167"/>
      <c r="W328" s="174" t="str">
        <f t="shared" si="22"/>
        <v/>
      </c>
      <c r="X328" s="167" t="str">
        <f>IFERROR(_xlfn.XLOOKUP($A328,Input_Raw!$A:$A,Input_Raw!$BF:$BF),"")</f>
        <v/>
      </c>
      <c r="Y328" s="167" t="str">
        <f>IFERROR(_xlfn.XLOOKUP($A328,Input_Raw!$A:$A,Input_Raw!BJ:BJ),"")</f>
        <v/>
      </c>
      <c r="Z328" s="167" t="str">
        <f>IFERROR(_xlfn.XLOOKUP($A328,Input_Raw!$A:$A,Input_Raw!BK:BK),"")</f>
        <v/>
      </c>
      <c r="AA328" s="167" t="str">
        <f>IFERROR(_xlfn.XLOOKUP($A328,Input_Raw!$A:$A,Input_Raw!BL:BL),"")</f>
        <v/>
      </c>
      <c r="AB328" s="167" t="str">
        <f>IFERROR(_xlfn.XLOOKUP($A328,Input_Raw!$A:$A,Input_Raw!$BO:$BO),"")</f>
        <v/>
      </c>
      <c r="AC328" s="176">
        <f>IFERROR(_xlfn.XLOOKUP($D328,'Modelling New'!$D:$D,'Modelling New'!$J:$J),"")</f>
        <v>5.52</v>
      </c>
      <c r="AD328" s="166">
        <f>IFERROR(_xlfn.XLOOKUP($D328,'Modelling New'!$D:$D,'Modelling New'!$T:$T)*1000,"")</f>
        <v>522509.05737931043</v>
      </c>
      <c r="AE328" s="174"/>
      <c r="AF328" s="174">
        <f>IFERROR(_xlfn.XLOOKUP($D328,'Modelling New'!$D:$D,'Modelling New'!$W:$W),"")</f>
        <v>0.31013120689655177</v>
      </c>
      <c r="AG328" s="174">
        <f>IFERROR(_xlfn.XLOOKUP($D328,'Modelling New'!$D:$D,'Modelling New'!$AE:$AE),"")</f>
        <v>0.96029999999999993</v>
      </c>
      <c r="AH328" s="174">
        <f>IFERROR(_xlfn.XLOOKUP($D328,'Modelling New'!$D:$D,'Modelling New'!$AF:$AF),"")</f>
        <v>0.995</v>
      </c>
      <c r="AI328" s="177" t="str">
        <f>IFERROR(_xlfn.XLOOKUP($A328,Input_Raw!$A:$A,Input_Raw!$BQ:$BQ),"")</f>
        <v/>
      </c>
      <c r="AJ328" s="167"/>
      <c r="AK328" s="167"/>
      <c r="AL328" s="167"/>
      <c r="AM328" s="167"/>
      <c r="AN328" s="175" t="str">
        <f>IFERROR(_xlfn.XLOOKUP($A328,Input_Raw!$A:$A,Input_Raw!$BN:$BN),"")</f>
        <v/>
      </c>
      <c r="AO328" s="174" t="str">
        <f>IFERROR((_xlfn.XLOOKUP($A328,'WTG Reactive Power'!$A:$A,'WTG Reactive Power'!$AE:$AE))/Table13[[#This Row],[Gen_Exp (kWh)]],"")</f>
        <v/>
      </c>
      <c r="AP328" s="174">
        <f>IFERROR(_xlfn.XLOOKUP($D328,'Modelling New'!$D:$D,'Modelling New'!$AK:$AK),"")</f>
        <v>0.05</v>
      </c>
      <c r="AQ328" s="174">
        <f>IFERROR(_xlfn.XLOOKUP($D328,'Modelling New'!$D:$D,'Modelling New'!$AL:$AL),"")</f>
        <v>0.05</v>
      </c>
      <c r="AR328" s="276">
        <f>IFERROR(_xlfn.XLOOKUP($D328,'Modelling New'!$D:$D,'Modelling New'!$N:$N),"")</f>
        <v>70.2</v>
      </c>
      <c r="AS328" s="276"/>
    </row>
    <row r="329" spans="1:45">
      <c r="A329" s="165">
        <f t="shared" si="23"/>
        <v>46072</v>
      </c>
      <c r="B329" s="166">
        <f>YEAR(Table13[[#This Row],[Date]])+IF(MONTH(Table13[[#This Row],[Date]])&gt;=4,1,0)</f>
        <v>2026</v>
      </c>
      <c r="C329" s="167">
        <f>YEAR(Table13[[#This Row],[Date]])</f>
        <v>2026</v>
      </c>
      <c r="D329" s="168">
        <f>Table13[[#This Row],[Date]]-DAY(Table13[[#This Row],[Date]])+1</f>
        <v>46054</v>
      </c>
      <c r="E329" s="167">
        <f t="shared" si="20"/>
        <v>28</v>
      </c>
      <c r="F329" s="169"/>
      <c r="G329" s="176"/>
      <c r="H329" s="176"/>
      <c r="I329" s="176"/>
      <c r="J329" s="176"/>
      <c r="K329" s="171"/>
      <c r="L329" s="170"/>
      <c r="M329" s="170" t="str">
        <f>IFERROR(_xlfn.XLOOKUP($A329,Input_Raw!$A:$A,Input_Raw!BG:BG),"")</f>
        <v/>
      </c>
      <c r="N329" s="170" t="str">
        <f>IFERROR(_xlfn.XLOOKUP($A329,Input_Raw!$A:$A,Input_Raw!BH:BH),"")</f>
        <v/>
      </c>
      <c r="O329" s="173" t="str">
        <f t="shared" si="21"/>
        <v/>
      </c>
      <c r="P329" s="173" t="str">
        <f>IFERROR(1-SUMIF(WTG_BD!$F:$F,$A329,WTG_BD!$AA:$AA)/($AA329+SUMIF(WTG_BD!$F:$F,$A329,WTG_BD!$AA:$AA)),"")</f>
        <v/>
      </c>
      <c r="Q329" s="173" t="str">
        <f>IFERROR(1-SUMIF(IGA_BD!$F:$F,$A329,IGA_BD!$X:$X)/($AA329+SUMIF(IGA_BD!$F:$F,$A329,IGA_BD!$X:$X)),"")</f>
        <v/>
      </c>
      <c r="R329" s="173" t="str">
        <f>IFERROR(1-SUMIF(Grid_BD!$F:$F,$A329,Grid_BD!$Y:$Y)/($AA329+SUMIF(Grid_BD!$F:$F,$A329,Grid_BD!$Y:$Y)),"")</f>
        <v/>
      </c>
      <c r="S329" s="167"/>
      <c r="T329" s="172"/>
      <c r="U329" s="173"/>
      <c r="V329" s="167"/>
      <c r="W329" s="174" t="str">
        <f t="shared" si="22"/>
        <v/>
      </c>
      <c r="X329" s="167" t="str">
        <f>IFERROR(_xlfn.XLOOKUP($A329,Input_Raw!$A:$A,Input_Raw!$BF:$BF),"")</f>
        <v/>
      </c>
      <c r="Y329" s="167" t="str">
        <f>IFERROR(_xlfn.XLOOKUP($A329,Input_Raw!$A:$A,Input_Raw!BJ:BJ),"")</f>
        <v/>
      </c>
      <c r="Z329" s="167" t="str">
        <f>IFERROR(_xlfn.XLOOKUP($A329,Input_Raw!$A:$A,Input_Raw!BK:BK),"")</f>
        <v/>
      </c>
      <c r="AA329" s="167" t="str">
        <f>IFERROR(_xlfn.XLOOKUP($A329,Input_Raw!$A:$A,Input_Raw!BL:BL),"")</f>
        <v/>
      </c>
      <c r="AB329" s="167" t="str">
        <f>IFERROR(_xlfn.XLOOKUP($A329,Input_Raw!$A:$A,Input_Raw!$BO:$BO),"")</f>
        <v/>
      </c>
      <c r="AC329" s="176">
        <f>IFERROR(_xlfn.XLOOKUP($D329,'Modelling New'!$D:$D,'Modelling New'!$J:$J),"")</f>
        <v>5.52</v>
      </c>
      <c r="AD329" s="166">
        <f>IFERROR(_xlfn.XLOOKUP($D329,'Modelling New'!$D:$D,'Modelling New'!$T:$T)*1000,"")</f>
        <v>522509.05737931043</v>
      </c>
      <c r="AE329" s="174"/>
      <c r="AF329" s="174">
        <f>IFERROR(_xlfn.XLOOKUP($D329,'Modelling New'!$D:$D,'Modelling New'!$W:$W),"")</f>
        <v>0.31013120689655177</v>
      </c>
      <c r="AG329" s="174">
        <f>IFERROR(_xlfn.XLOOKUP($D329,'Modelling New'!$D:$D,'Modelling New'!$AE:$AE),"")</f>
        <v>0.96029999999999993</v>
      </c>
      <c r="AH329" s="174">
        <f>IFERROR(_xlfn.XLOOKUP($D329,'Modelling New'!$D:$D,'Modelling New'!$AF:$AF),"")</f>
        <v>0.995</v>
      </c>
      <c r="AI329" s="177" t="str">
        <f>IFERROR(_xlfn.XLOOKUP($A329,Input_Raw!$A:$A,Input_Raw!$BQ:$BQ),"")</f>
        <v/>
      </c>
      <c r="AJ329" s="167"/>
      <c r="AK329" s="167"/>
      <c r="AL329" s="167"/>
      <c r="AM329" s="167"/>
      <c r="AN329" s="175" t="str">
        <f>IFERROR(_xlfn.XLOOKUP($A329,Input_Raw!$A:$A,Input_Raw!$BN:$BN),"")</f>
        <v/>
      </c>
      <c r="AO329" s="174" t="str">
        <f>IFERROR((_xlfn.XLOOKUP($A329,'WTG Reactive Power'!$A:$A,'WTG Reactive Power'!$AE:$AE))/Table13[[#This Row],[Gen_Exp (kWh)]],"")</f>
        <v/>
      </c>
      <c r="AP329" s="174">
        <f>IFERROR(_xlfn.XLOOKUP($D329,'Modelling New'!$D:$D,'Modelling New'!$AK:$AK),"")</f>
        <v>0.05</v>
      </c>
      <c r="AQ329" s="174">
        <f>IFERROR(_xlfn.XLOOKUP($D329,'Modelling New'!$D:$D,'Modelling New'!$AL:$AL),"")</f>
        <v>0.05</v>
      </c>
      <c r="AR329" s="276">
        <f>IFERROR(_xlfn.XLOOKUP($D329,'Modelling New'!$D:$D,'Modelling New'!$N:$N),"")</f>
        <v>70.2</v>
      </c>
      <c r="AS329" s="276"/>
    </row>
    <row r="330" spans="1:45">
      <c r="A330" s="165">
        <f t="shared" si="23"/>
        <v>46073</v>
      </c>
      <c r="B330" s="166">
        <f>YEAR(Table13[[#This Row],[Date]])+IF(MONTH(Table13[[#This Row],[Date]])&gt;=4,1,0)</f>
        <v>2026</v>
      </c>
      <c r="C330" s="167">
        <f>YEAR(Table13[[#This Row],[Date]])</f>
        <v>2026</v>
      </c>
      <c r="D330" s="168">
        <f>Table13[[#This Row],[Date]]-DAY(Table13[[#This Row],[Date]])+1</f>
        <v>46054</v>
      </c>
      <c r="E330" s="167">
        <f t="shared" si="20"/>
        <v>28</v>
      </c>
      <c r="F330" s="169"/>
      <c r="G330" s="170"/>
      <c r="H330" s="170"/>
      <c r="I330" s="170"/>
      <c r="J330" s="170"/>
      <c r="K330" s="171"/>
      <c r="L330" s="170"/>
      <c r="M330" s="170" t="str">
        <f>IFERROR(_xlfn.XLOOKUP($A330,Input_Raw!$A:$A,Input_Raw!BG:BG),"")</f>
        <v/>
      </c>
      <c r="N330" s="170" t="str">
        <f>IFERROR(_xlfn.XLOOKUP($A330,Input_Raw!$A:$A,Input_Raw!BH:BH),"")</f>
        <v/>
      </c>
      <c r="O330" s="173" t="str">
        <f t="shared" si="21"/>
        <v/>
      </c>
      <c r="P330" s="173" t="str">
        <f>IFERROR(1-SUMIF(WTG_BD!$F:$F,$A330,WTG_BD!$AA:$AA)/($AA330+SUMIF(WTG_BD!$F:$F,$A330,WTG_BD!$AA:$AA)),"")</f>
        <v/>
      </c>
      <c r="Q330" s="173" t="str">
        <f>IFERROR(1-SUMIF(IGA_BD!$F:$F,$A330,IGA_BD!$X:$X)/($AA330+SUMIF(IGA_BD!$F:$F,$A330,IGA_BD!$X:$X)),"")</f>
        <v/>
      </c>
      <c r="R330" s="173" t="str">
        <f>IFERROR(1-SUMIF(Grid_BD!$F:$F,$A330,Grid_BD!$Y:$Y)/($AA330+SUMIF(Grid_BD!$F:$F,$A330,Grid_BD!$Y:$Y)),"")</f>
        <v/>
      </c>
      <c r="S330" s="167"/>
      <c r="T330" s="172"/>
      <c r="U330" s="173"/>
      <c r="V330" s="167"/>
      <c r="W330" s="174" t="str">
        <f t="shared" si="22"/>
        <v/>
      </c>
      <c r="X330" s="167" t="str">
        <f>IFERROR(_xlfn.XLOOKUP($A330,Input_Raw!$A:$A,Input_Raw!$BF:$BF),"")</f>
        <v/>
      </c>
      <c r="Y330" s="167" t="str">
        <f>IFERROR(_xlfn.XLOOKUP($A330,Input_Raw!$A:$A,Input_Raw!BJ:BJ),"")</f>
        <v/>
      </c>
      <c r="Z330" s="167" t="str">
        <f>IFERROR(_xlfn.XLOOKUP($A330,Input_Raw!$A:$A,Input_Raw!BK:BK),"")</f>
        <v/>
      </c>
      <c r="AA330" s="167" t="str">
        <f>IFERROR(_xlfn.XLOOKUP($A330,Input_Raw!$A:$A,Input_Raw!BL:BL),"")</f>
        <v/>
      </c>
      <c r="AB330" s="167" t="str">
        <f>IFERROR(_xlfn.XLOOKUP($A330,Input_Raw!$A:$A,Input_Raw!$BO:$BO),"")</f>
        <v/>
      </c>
      <c r="AC330" s="176">
        <f>IFERROR(_xlfn.XLOOKUP($D330,'Modelling New'!$D:$D,'Modelling New'!$J:$J),"")</f>
        <v>5.52</v>
      </c>
      <c r="AD330" s="166">
        <f>IFERROR(_xlfn.XLOOKUP($D330,'Modelling New'!$D:$D,'Modelling New'!$T:$T)*1000,"")</f>
        <v>522509.05737931043</v>
      </c>
      <c r="AE330" s="174"/>
      <c r="AF330" s="174">
        <f>IFERROR(_xlfn.XLOOKUP($D330,'Modelling New'!$D:$D,'Modelling New'!$W:$W),"")</f>
        <v>0.31013120689655177</v>
      </c>
      <c r="AG330" s="174">
        <f>IFERROR(_xlfn.XLOOKUP($D330,'Modelling New'!$D:$D,'Modelling New'!$AE:$AE),"")</f>
        <v>0.96029999999999993</v>
      </c>
      <c r="AH330" s="174">
        <f>IFERROR(_xlfn.XLOOKUP($D330,'Modelling New'!$D:$D,'Modelling New'!$AF:$AF),"")</f>
        <v>0.995</v>
      </c>
      <c r="AI330" s="177" t="str">
        <f>IFERROR(_xlfn.XLOOKUP($A330,Input_Raw!$A:$A,Input_Raw!$BQ:$BQ),"")</f>
        <v/>
      </c>
      <c r="AJ330" s="167"/>
      <c r="AK330" s="167"/>
      <c r="AL330" s="167"/>
      <c r="AM330" s="167"/>
      <c r="AN330" s="175" t="str">
        <f>IFERROR(_xlfn.XLOOKUP($A330,Input_Raw!$A:$A,Input_Raw!$BN:$BN),"")</f>
        <v/>
      </c>
      <c r="AO330" s="174" t="str">
        <f>IFERROR((_xlfn.XLOOKUP($A330,'WTG Reactive Power'!$A:$A,'WTG Reactive Power'!$AE:$AE))/Table13[[#This Row],[Gen_Exp (kWh)]],"")</f>
        <v/>
      </c>
      <c r="AP330" s="174">
        <f>IFERROR(_xlfn.XLOOKUP($D330,'Modelling New'!$D:$D,'Modelling New'!$AK:$AK),"")</f>
        <v>0.05</v>
      </c>
      <c r="AQ330" s="174">
        <f>IFERROR(_xlfn.XLOOKUP($D330,'Modelling New'!$D:$D,'Modelling New'!$AL:$AL),"")</f>
        <v>0.05</v>
      </c>
      <c r="AR330" s="276">
        <f>IFERROR(_xlfn.XLOOKUP($D330,'Modelling New'!$D:$D,'Modelling New'!$N:$N),"")</f>
        <v>70.2</v>
      </c>
      <c r="AS330" s="276"/>
    </row>
    <row r="331" spans="1:45">
      <c r="A331" s="165">
        <f t="shared" si="23"/>
        <v>46074</v>
      </c>
      <c r="B331" s="166">
        <f>YEAR(Table13[[#This Row],[Date]])+IF(MONTH(Table13[[#This Row],[Date]])&gt;=4,1,0)</f>
        <v>2026</v>
      </c>
      <c r="C331" s="167">
        <f>YEAR(Table13[[#This Row],[Date]])</f>
        <v>2026</v>
      </c>
      <c r="D331" s="168">
        <f>Table13[[#This Row],[Date]]-DAY(Table13[[#This Row],[Date]])+1</f>
        <v>46054</v>
      </c>
      <c r="E331" s="167">
        <f t="shared" si="20"/>
        <v>28</v>
      </c>
      <c r="F331" s="169"/>
      <c r="G331" s="176"/>
      <c r="H331" s="176"/>
      <c r="I331" s="176"/>
      <c r="J331" s="176"/>
      <c r="K331" s="171"/>
      <c r="L331" s="170"/>
      <c r="M331" s="170" t="str">
        <f>IFERROR(_xlfn.XLOOKUP($A331,Input_Raw!$A:$A,Input_Raw!BG:BG),"")</f>
        <v/>
      </c>
      <c r="N331" s="170" t="str">
        <f>IFERROR(_xlfn.XLOOKUP($A331,Input_Raw!$A:$A,Input_Raw!BH:BH),"")</f>
        <v/>
      </c>
      <c r="O331" s="173" t="str">
        <f t="shared" si="21"/>
        <v/>
      </c>
      <c r="P331" s="173" t="str">
        <f>IFERROR(1-SUMIF(WTG_BD!$F:$F,$A331,WTG_BD!$AA:$AA)/($AA331+SUMIF(WTG_BD!$F:$F,$A331,WTG_BD!$AA:$AA)),"")</f>
        <v/>
      </c>
      <c r="Q331" s="173" t="str">
        <f>IFERROR(1-SUMIF(IGA_BD!$F:$F,$A331,IGA_BD!$X:$X)/($AA331+SUMIF(IGA_BD!$F:$F,$A331,IGA_BD!$X:$X)),"")</f>
        <v/>
      </c>
      <c r="R331" s="173" t="str">
        <f>IFERROR(1-SUMIF(Grid_BD!$F:$F,$A331,Grid_BD!$Y:$Y)/($AA331+SUMIF(Grid_BD!$F:$F,$A331,Grid_BD!$Y:$Y)),"")</f>
        <v/>
      </c>
      <c r="S331" s="167"/>
      <c r="T331" s="172"/>
      <c r="U331" s="173"/>
      <c r="V331" s="167"/>
      <c r="W331" s="174" t="str">
        <f t="shared" si="22"/>
        <v/>
      </c>
      <c r="X331" s="167" t="str">
        <f>IFERROR(_xlfn.XLOOKUP($A331,Input_Raw!$A:$A,Input_Raw!$BF:$BF),"")</f>
        <v/>
      </c>
      <c r="Y331" s="167" t="str">
        <f>IFERROR(_xlfn.XLOOKUP($A331,Input_Raw!$A:$A,Input_Raw!BJ:BJ),"")</f>
        <v/>
      </c>
      <c r="Z331" s="167" t="str">
        <f>IFERROR(_xlfn.XLOOKUP($A331,Input_Raw!$A:$A,Input_Raw!BK:BK),"")</f>
        <v/>
      </c>
      <c r="AA331" s="167" t="str">
        <f>IFERROR(_xlfn.XLOOKUP($A331,Input_Raw!$A:$A,Input_Raw!BL:BL),"")</f>
        <v/>
      </c>
      <c r="AB331" s="167" t="str">
        <f>IFERROR(_xlfn.XLOOKUP($A331,Input_Raw!$A:$A,Input_Raw!$BO:$BO),"")</f>
        <v/>
      </c>
      <c r="AC331" s="176">
        <f>IFERROR(_xlfn.XLOOKUP($D331,'Modelling New'!$D:$D,'Modelling New'!$J:$J),"")</f>
        <v>5.52</v>
      </c>
      <c r="AD331" s="166">
        <f>IFERROR(_xlfn.XLOOKUP($D331,'Modelling New'!$D:$D,'Modelling New'!$T:$T)*1000,"")</f>
        <v>522509.05737931043</v>
      </c>
      <c r="AE331" s="174"/>
      <c r="AF331" s="174">
        <f>IFERROR(_xlfn.XLOOKUP($D331,'Modelling New'!$D:$D,'Modelling New'!$W:$W),"")</f>
        <v>0.31013120689655177</v>
      </c>
      <c r="AG331" s="174">
        <f>IFERROR(_xlfn.XLOOKUP($D331,'Modelling New'!$D:$D,'Modelling New'!$AE:$AE),"")</f>
        <v>0.96029999999999993</v>
      </c>
      <c r="AH331" s="174">
        <f>IFERROR(_xlfn.XLOOKUP($D331,'Modelling New'!$D:$D,'Modelling New'!$AF:$AF),"")</f>
        <v>0.995</v>
      </c>
      <c r="AI331" s="177" t="str">
        <f>IFERROR(_xlfn.XLOOKUP($A331,Input_Raw!$A:$A,Input_Raw!$BQ:$BQ),"")</f>
        <v/>
      </c>
      <c r="AJ331" s="167"/>
      <c r="AK331" s="167"/>
      <c r="AL331" s="167"/>
      <c r="AM331" s="167"/>
      <c r="AN331" s="175" t="str">
        <f>IFERROR(_xlfn.XLOOKUP($A331,Input_Raw!$A:$A,Input_Raw!$BN:$BN),"")</f>
        <v/>
      </c>
      <c r="AO331" s="174" t="str">
        <f>IFERROR((_xlfn.XLOOKUP($A331,'WTG Reactive Power'!$A:$A,'WTG Reactive Power'!$AE:$AE))/Table13[[#This Row],[Gen_Exp (kWh)]],"")</f>
        <v/>
      </c>
      <c r="AP331" s="174">
        <f>IFERROR(_xlfn.XLOOKUP($D331,'Modelling New'!$D:$D,'Modelling New'!$AK:$AK),"")</f>
        <v>0.05</v>
      </c>
      <c r="AQ331" s="174">
        <f>IFERROR(_xlfn.XLOOKUP($D331,'Modelling New'!$D:$D,'Modelling New'!$AL:$AL),"")</f>
        <v>0.05</v>
      </c>
      <c r="AR331" s="276">
        <f>IFERROR(_xlfn.XLOOKUP($D331,'Modelling New'!$D:$D,'Modelling New'!$N:$N),"")</f>
        <v>70.2</v>
      </c>
      <c r="AS331" s="276"/>
    </row>
    <row r="332" spans="1:45">
      <c r="A332" s="165">
        <f t="shared" si="23"/>
        <v>46075</v>
      </c>
      <c r="B332" s="166">
        <f>YEAR(Table13[[#This Row],[Date]])+IF(MONTH(Table13[[#This Row],[Date]])&gt;=4,1,0)</f>
        <v>2026</v>
      </c>
      <c r="C332" s="167">
        <f>YEAR(Table13[[#This Row],[Date]])</f>
        <v>2026</v>
      </c>
      <c r="D332" s="168">
        <f>Table13[[#This Row],[Date]]-DAY(Table13[[#This Row],[Date]])+1</f>
        <v>46054</v>
      </c>
      <c r="E332" s="167">
        <f t="shared" si="20"/>
        <v>28</v>
      </c>
      <c r="F332" s="169"/>
      <c r="G332" s="170"/>
      <c r="H332" s="170"/>
      <c r="I332" s="170"/>
      <c r="J332" s="170"/>
      <c r="K332" s="171"/>
      <c r="L332" s="170"/>
      <c r="M332" s="170" t="str">
        <f>IFERROR(_xlfn.XLOOKUP($A332,Input_Raw!$A:$A,Input_Raw!BG:BG),"")</f>
        <v/>
      </c>
      <c r="N332" s="170" t="str">
        <f>IFERROR(_xlfn.XLOOKUP($A332,Input_Raw!$A:$A,Input_Raw!BH:BH),"")</f>
        <v/>
      </c>
      <c r="O332" s="173" t="str">
        <f t="shared" si="21"/>
        <v/>
      </c>
      <c r="P332" s="173" t="str">
        <f>IFERROR(1-SUMIF(WTG_BD!$F:$F,$A332,WTG_BD!$AA:$AA)/($AA332+SUMIF(WTG_BD!$F:$F,$A332,WTG_BD!$AA:$AA)),"")</f>
        <v/>
      </c>
      <c r="Q332" s="173" t="str">
        <f>IFERROR(1-SUMIF(IGA_BD!$F:$F,$A332,IGA_BD!$X:$X)/($AA332+SUMIF(IGA_BD!$F:$F,$A332,IGA_BD!$X:$X)),"")</f>
        <v/>
      </c>
      <c r="R332" s="173" t="str">
        <f>IFERROR(1-SUMIF(Grid_BD!$F:$F,$A332,Grid_BD!$Y:$Y)/($AA332+SUMIF(Grid_BD!$F:$F,$A332,Grid_BD!$Y:$Y)),"")</f>
        <v/>
      </c>
      <c r="S332" s="167"/>
      <c r="T332" s="172"/>
      <c r="U332" s="173"/>
      <c r="V332" s="167"/>
      <c r="W332" s="174" t="str">
        <f t="shared" si="22"/>
        <v/>
      </c>
      <c r="X332" s="167" t="str">
        <f>IFERROR(_xlfn.XLOOKUP($A332,Input_Raw!$A:$A,Input_Raw!$BF:$BF),"")</f>
        <v/>
      </c>
      <c r="Y332" s="167" t="str">
        <f>IFERROR(_xlfn.XLOOKUP($A332,Input_Raw!$A:$A,Input_Raw!BJ:BJ),"")</f>
        <v/>
      </c>
      <c r="Z332" s="167" t="str">
        <f>IFERROR(_xlfn.XLOOKUP($A332,Input_Raw!$A:$A,Input_Raw!BK:BK),"")</f>
        <v/>
      </c>
      <c r="AA332" s="167" t="str">
        <f>IFERROR(_xlfn.XLOOKUP($A332,Input_Raw!$A:$A,Input_Raw!BL:BL),"")</f>
        <v/>
      </c>
      <c r="AB332" s="167" t="str">
        <f>IFERROR(_xlfn.XLOOKUP($A332,Input_Raw!$A:$A,Input_Raw!$BO:$BO),"")</f>
        <v/>
      </c>
      <c r="AC332" s="176">
        <f>IFERROR(_xlfn.XLOOKUP($D332,'Modelling New'!$D:$D,'Modelling New'!$J:$J),"")</f>
        <v>5.52</v>
      </c>
      <c r="AD332" s="166">
        <f>IFERROR(_xlfn.XLOOKUP($D332,'Modelling New'!$D:$D,'Modelling New'!$T:$T)*1000,"")</f>
        <v>522509.05737931043</v>
      </c>
      <c r="AE332" s="174"/>
      <c r="AF332" s="174">
        <f>IFERROR(_xlfn.XLOOKUP($D332,'Modelling New'!$D:$D,'Modelling New'!$W:$W),"")</f>
        <v>0.31013120689655177</v>
      </c>
      <c r="AG332" s="174">
        <f>IFERROR(_xlfn.XLOOKUP($D332,'Modelling New'!$D:$D,'Modelling New'!$AE:$AE),"")</f>
        <v>0.96029999999999993</v>
      </c>
      <c r="AH332" s="174">
        <f>IFERROR(_xlfn.XLOOKUP($D332,'Modelling New'!$D:$D,'Modelling New'!$AF:$AF),"")</f>
        <v>0.995</v>
      </c>
      <c r="AI332" s="177" t="str">
        <f>IFERROR(_xlfn.XLOOKUP($A332,Input_Raw!$A:$A,Input_Raw!$BQ:$BQ),"")</f>
        <v/>
      </c>
      <c r="AJ332" s="167"/>
      <c r="AK332" s="167"/>
      <c r="AL332" s="167"/>
      <c r="AM332" s="167"/>
      <c r="AN332" s="175" t="str">
        <f>IFERROR(_xlfn.XLOOKUP($A332,Input_Raw!$A:$A,Input_Raw!$BN:$BN),"")</f>
        <v/>
      </c>
      <c r="AO332" s="174" t="str">
        <f>IFERROR((_xlfn.XLOOKUP($A332,'WTG Reactive Power'!$A:$A,'WTG Reactive Power'!$AE:$AE))/Table13[[#This Row],[Gen_Exp (kWh)]],"")</f>
        <v/>
      </c>
      <c r="AP332" s="174">
        <f>IFERROR(_xlfn.XLOOKUP($D332,'Modelling New'!$D:$D,'Modelling New'!$AK:$AK),"")</f>
        <v>0.05</v>
      </c>
      <c r="AQ332" s="174">
        <f>IFERROR(_xlfn.XLOOKUP($D332,'Modelling New'!$D:$D,'Modelling New'!$AL:$AL),"")</f>
        <v>0.05</v>
      </c>
      <c r="AR332" s="276">
        <f>IFERROR(_xlfn.XLOOKUP($D332,'Modelling New'!$D:$D,'Modelling New'!$N:$N),"")</f>
        <v>70.2</v>
      </c>
      <c r="AS332" s="276"/>
    </row>
    <row r="333" spans="1:45">
      <c r="A333" s="165">
        <f t="shared" si="23"/>
        <v>46076</v>
      </c>
      <c r="B333" s="166">
        <f>YEAR(Table13[[#This Row],[Date]])+IF(MONTH(Table13[[#This Row],[Date]])&gt;=4,1,0)</f>
        <v>2026</v>
      </c>
      <c r="C333" s="167">
        <f>YEAR(Table13[[#This Row],[Date]])</f>
        <v>2026</v>
      </c>
      <c r="D333" s="168">
        <f>Table13[[#This Row],[Date]]-DAY(Table13[[#This Row],[Date]])+1</f>
        <v>46054</v>
      </c>
      <c r="E333" s="167">
        <f t="shared" si="20"/>
        <v>28</v>
      </c>
      <c r="F333" s="169"/>
      <c r="G333" s="176"/>
      <c r="H333" s="176"/>
      <c r="I333" s="176"/>
      <c r="J333" s="176"/>
      <c r="K333" s="171"/>
      <c r="L333" s="170"/>
      <c r="M333" s="170" t="str">
        <f>IFERROR(_xlfn.XLOOKUP($A333,Input_Raw!$A:$A,Input_Raw!BG:BG),"")</f>
        <v/>
      </c>
      <c r="N333" s="170" t="str">
        <f>IFERROR(_xlfn.XLOOKUP($A333,Input_Raw!$A:$A,Input_Raw!BH:BH),"")</f>
        <v/>
      </c>
      <c r="O333" s="173" t="str">
        <f t="shared" si="21"/>
        <v/>
      </c>
      <c r="P333" s="173" t="str">
        <f>IFERROR(1-SUMIF(WTG_BD!$F:$F,$A333,WTG_BD!$AA:$AA)/($AA333+SUMIF(WTG_BD!$F:$F,$A333,WTG_BD!$AA:$AA)),"")</f>
        <v/>
      </c>
      <c r="Q333" s="173" t="str">
        <f>IFERROR(1-SUMIF(IGA_BD!$F:$F,$A333,IGA_BD!$X:$X)/($AA333+SUMIF(IGA_BD!$F:$F,$A333,IGA_BD!$X:$X)),"")</f>
        <v/>
      </c>
      <c r="R333" s="173" t="str">
        <f>IFERROR(1-SUMIF(Grid_BD!$F:$F,$A333,Grid_BD!$Y:$Y)/($AA333+SUMIF(Grid_BD!$F:$F,$A333,Grid_BD!$Y:$Y)),"")</f>
        <v/>
      </c>
      <c r="S333" s="167"/>
      <c r="T333" s="172"/>
      <c r="U333" s="173"/>
      <c r="V333" s="167"/>
      <c r="W333" s="174" t="str">
        <f t="shared" si="22"/>
        <v/>
      </c>
      <c r="X333" s="167" t="str">
        <f>IFERROR(_xlfn.XLOOKUP($A333,Input_Raw!$A:$A,Input_Raw!$BF:$BF),"")</f>
        <v/>
      </c>
      <c r="Y333" s="167" t="str">
        <f>IFERROR(_xlfn.XLOOKUP($A333,Input_Raw!$A:$A,Input_Raw!BJ:BJ),"")</f>
        <v/>
      </c>
      <c r="Z333" s="167" t="str">
        <f>IFERROR(_xlfn.XLOOKUP($A333,Input_Raw!$A:$A,Input_Raw!BK:BK),"")</f>
        <v/>
      </c>
      <c r="AA333" s="167" t="str">
        <f>IFERROR(_xlfn.XLOOKUP($A333,Input_Raw!$A:$A,Input_Raw!BL:BL),"")</f>
        <v/>
      </c>
      <c r="AB333" s="167" t="str">
        <f>IFERROR(_xlfn.XLOOKUP($A333,Input_Raw!$A:$A,Input_Raw!$BO:$BO),"")</f>
        <v/>
      </c>
      <c r="AC333" s="176">
        <f>IFERROR(_xlfn.XLOOKUP($D333,'Modelling New'!$D:$D,'Modelling New'!$J:$J),"")</f>
        <v>5.52</v>
      </c>
      <c r="AD333" s="166">
        <f>IFERROR(_xlfn.XLOOKUP($D333,'Modelling New'!$D:$D,'Modelling New'!$T:$T)*1000,"")</f>
        <v>522509.05737931043</v>
      </c>
      <c r="AE333" s="174"/>
      <c r="AF333" s="174">
        <f>IFERROR(_xlfn.XLOOKUP($D333,'Modelling New'!$D:$D,'Modelling New'!$W:$W),"")</f>
        <v>0.31013120689655177</v>
      </c>
      <c r="AG333" s="174">
        <f>IFERROR(_xlfn.XLOOKUP($D333,'Modelling New'!$D:$D,'Modelling New'!$AE:$AE),"")</f>
        <v>0.96029999999999993</v>
      </c>
      <c r="AH333" s="174">
        <f>IFERROR(_xlfn.XLOOKUP($D333,'Modelling New'!$D:$D,'Modelling New'!$AF:$AF),"")</f>
        <v>0.995</v>
      </c>
      <c r="AI333" s="177" t="str">
        <f>IFERROR(_xlfn.XLOOKUP($A333,Input_Raw!$A:$A,Input_Raw!$BQ:$BQ),"")</f>
        <v/>
      </c>
      <c r="AJ333" s="167"/>
      <c r="AK333" s="167"/>
      <c r="AL333" s="167"/>
      <c r="AM333" s="167"/>
      <c r="AN333" s="175" t="str">
        <f>IFERROR(_xlfn.XLOOKUP($A333,Input_Raw!$A:$A,Input_Raw!$BN:$BN),"")</f>
        <v/>
      </c>
      <c r="AO333" s="174" t="str">
        <f>IFERROR((_xlfn.XLOOKUP($A333,'WTG Reactive Power'!$A:$A,'WTG Reactive Power'!$AE:$AE))/Table13[[#This Row],[Gen_Exp (kWh)]],"")</f>
        <v/>
      </c>
      <c r="AP333" s="174">
        <f>IFERROR(_xlfn.XLOOKUP($D333,'Modelling New'!$D:$D,'Modelling New'!$AK:$AK),"")</f>
        <v>0.05</v>
      </c>
      <c r="AQ333" s="174">
        <f>IFERROR(_xlfn.XLOOKUP($D333,'Modelling New'!$D:$D,'Modelling New'!$AL:$AL),"")</f>
        <v>0.05</v>
      </c>
      <c r="AR333" s="276">
        <f>IFERROR(_xlfn.XLOOKUP($D333,'Modelling New'!$D:$D,'Modelling New'!$N:$N),"")</f>
        <v>70.2</v>
      </c>
      <c r="AS333" s="276"/>
    </row>
    <row r="334" spans="1:45">
      <c r="A334" s="165">
        <f t="shared" si="23"/>
        <v>46077</v>
      </c>
      <c r="B334" s="166">
        <f>YEAR(Table13[[#This Row],[Date]])+IF(MONTH(Table13[[#This Row],[Date]])&gt;=4,1,0)</f>
        <v>2026</v>
      </c>
      <c r="C334" s="167">
        <f>YEAR(Table13[[#This Row],[Date]])</f>
        <v>2026</v>
      </c>
      <c r="D334" s="168">
        <f>Table13[[#This Row],[Date]]-DAY(Table13[[#This Row],[Date]])+1</f>
        <v>46054</v>
      </c>
      <c r="E334" s="167">
        <f t="shared" si="20"/>
        <v>28</v>
      </c>
      <c r="F334" s="169"/>
      <c r="G334" s="170"/>
      <c r="H334" s="170"/>
      <c r="I334" s="170"/>
      <c r="J334" s="170"/>
      <c r="K334" s="171"/>
      <c r="L334" s="170"/>
      <c r="M334" s="170" t="str">
        <f>IFERROR(_xlfn.XLOOKUP($A334,Input_Raw!$A:$A,Input_Raw!BG:BG),"")</f>
        <v/>
      </c>
      <c r="N334" s="170" t="str">
        <f>IFERROR(_xlfn.XLOOKUP($A334,Input_Raw!$A:$A,Input_Raw!BH:BH),"")</f>
        <v/>
      </c>
      <c r="O334" s="173" t="str">
        <f t="shared" si="21"/>
        <v/>
      </c>
      <c r="P334" s="173" t="str">
        <f>IFERROR(1-SUMIF(WTG_BD!$F:$F,$A334,WTG_BD!$AA:$AA)/($AA334+SUMIF(WTG_BD!$F:$F,$A334,WTG_BD!$AA:$AA)),"")</f>
        <v/>
      </c>
      <c r="Q334" s="173" t="str">
        <f>IFERROR(1-SUMIF(IGA_BD!$F:$F,$A334,IGA_BD!$X:$X)/($AA334+SUMIF(IGA_BD!$F:$F,$A334,IGA_BD!$X:$X)),"")</f>
        <v/>
      </c>
      <c r="R334" s="173" t="str">
        <f>IFERROR(1-SUMIF(Grid_BD!$F:$F,$A334,Grid_BD!$Y:$Y)/($AA334+SUMIF(Grid_BD!$F:$F,$A334,Grid_BD!$Y:$Y)),"")</f>
        <v/>
      </c>
      <c r="S334" s="167"/>
      <c r="T334" s="172"/>
      <c r="U334" s="173"/>
      <c r="V334" s="167"/>
      <c r="W334" s="174" t="str">
        <f t="shared" si="22"/>
        <v/>
      </c>
      <c r="X334" s="167" t="str">
        <f>IFERROR(_xlfn.XLOOKUP($A334,Input_Raw!$A:$A,Input_Raw!$BF:$BF),"")</f>
        <v/>
      </c>
      <c r="Y334" s="167" t="str">
        <f>IFERROR(_xlfn.XLOOKUP($A334,Input_Raw!$A:$A,Input_Raw!BJ:BJ),"")</f>
        <v/>
      </c>
      <c r="Z334" s="167" t="str">
        <f>IFERROR(_xlfn.XLOOKUP($A334,Input_Raw!$A:$A,Input_Raw!BK:BK),"")</f>
        <v/>
      </c>
      <c r="AA334" s="167" t="str">
        <f>IFERROR(_xlfn.XLOOKUP($A334,Input_Raw!$A:$A,Input_Raw!BL:BL),"")</f>
        <v/>
      </c>
      <c r="AB334" s="167" t="str">
        <f>IFERROR(_xlfn.XLOOKUP($A334,Input_Raw!$A:$A,Input_Raw!$BO:$BO),"")</f>
        <v/>
      </c>
      <c r="AC334" s="176">
        <f>IFERROR(_xlfn.XLOOKUP($D334,'Modelling New'!$D:$D,'Modelling New'!$J:$J),"")</f>
        <v>5.52</v>
      </c>
      <c r="AD334" s="166">
        <f>IFERROR(_xlfn.XLOOKUP($D334,'Modelling New'!$D:$D,'Modelling New'!$T:$T)*1000,"")</f>
        <v>522509.05737931043</v>
      </c>
      <c r="AE334" s="174"/>
      <c r="AF334" s="174">
        <f>IFERROR(_xlfn.XLOOKUP($D334,'Modelling New'!$D:$D,'Modelling New'!$W:$W),"")</f>
        <v>0.31013120689655177</v>
      </c>
      <c r="AG334" s="174">
        <f>IFERROR(_xlfn.XLOOKUP($D334,'Modelling New'!$D:$D,'Modelling New'!$AE:$AE),"")</f>
        <v>0.96029999999999993</v>
      </c>
      <c r="AH334" s="174">
        <f>IFERROR(_xlfn.XLOOKUP($D334,'Modelling New'!$D:$D,'Modelling New'!$AF:$AF),"")</f>
        <v>0.995</v>
      </c>
      <c r="AI334" s="177" t="str">
        <f>IFERROR(_xlfn.XLOOKUP($A334,Input_Raw!$A:$A,Input_Raw!$BQ:$BQ),"")</f>
        <v/>
      </c>
      <c r="AJ334" s="167"/>
      <c r="AK334" s="167"/>
      <c r="AL334" s="167"/>
      <c r="AM334" s="167"/>
      <c r="AN334" s="175" t="str">
        <f>IFERROR(_xlfn.XLOOKUP($A334,Input_Raw!$A:$A,Input_Raw!$BN:$BN),"")</f>
        <v/>
      </c>
      <c r="AO334" s="174" t="str">
        <f>IFERROR((_xlfn.XLOOKUP($A334,'WTG Reactive Power'!$A:$A,'WTG Reactive Power'!$AE:$AE))/Table13[[#This Row],[Gen_Exp (kWh)]],"")</f>
        <v/>
      </c>
      <c r="AP334" s="174">
        <f>IFERROR(_xlfn.XLOOKUP($D334,'Modelling New'!$D:$D,'Modelling New'!$AK:$AK),"")</f>
        <v>0.05</v>
      </c>
      <c r="AQ334" s="174">
        <f>IFERROR(_xlfn.XLOOKUP($D334,'Modelling New'!$D:$D,'Modelling New'!$AL:$AL),"")</f>
        <v>0.05</v>
      </c>
      <c r="AR334" s="276">
        <f>IFERROR(_xlfn.XLOOKUP($D334,'Modelling New'!$D:$D,'Modelling New'!$N:$N),"")</f>
        <v>70.2</v>
      </c>
      <c r="AS334" s="276"/>
    </row>
    <row r="335" spans="1:45">
      <c r="A335" s="165">
        <f t="shared" si="23"/>
        <v>46078</v>
      </c>
      <c r="B335" s="166">
        <f>YEAR(Table13[[#This Row],[Date]])+IF(MONTH(Table13[[#This Row],[Date]])&gt;=4,1,0)</f>
        <v>2026</v>
      </c>
      <c r="C335" s="167">
        <f>YEAR(Table13[[#This Row],[Date]])</f>
        <v>2026</v>
      </c>
      <c r="D335" s="168">
        <f>Table13[[#This Row],[Date]]-DAY(Table13[[#This Row],[Date]])+1</f>
        <v>46054</v>
      </c>
      <c r="E335" s="167">
        <f t="shared" si="20"/>
        <v>28</v>
      </c>
      <c r="F335" s="169"/>
      <c r="G335" s="176"/>
      <c r="H335" s="176"/>
      <c r="I335" s="176"/>
      <c r="J335" s="176"/>
      <c r="K335" s="171"/>
      <c r="L335" s="170"/>
      <c r="M335" s="170" t="str">
        <f>IFERROR(_xlfn.XLOOKUP($A335,Input_Raw!$A:$A,Input_Raw!BG:BG),"")</f>
        <v/>
      </c>
      <c r="N335" s="170" t="str">
        <f>IFERROR(_xlfn.XLOOKUP($A335,Input_Raw!$A:$A,Input_Raw!BH:BH),"")</f>
        <v/>
      </c>
      <c r="O335" s="173" t="str">
        <f t="shared" si="21"/>
        <v/>
      </c>
      <c r="P335" s="173" t="str">
        <f>IFERROR(1-SUMIF(WTG_BD!$F:$F,$A335,WTG_BD!$AA:$AA)/($AA335+SUMIF(WTG_BD!$F:$F,$A335,WTG_BD!$AA:$AA)),"")</f>
        <v/>
      </c>
      <c r="Q335" s="173" t="str">
        <f>IFERROR(1-SUMIF(IGA_BD!$F:$F,$A335,IGA_BD!$X:$X)/($AA335+SUMIF(IGA_BD!$F:$F,$A335,IGA_BD!$X:$X)),"")</f>
        <v/>
      </c>
      <c r="R335" s="173" t="str">
        <f>IFERROR(1-SUMIF(Grid_BD!$F:$F,$A335,Grid_BD!$Y:$Y)/($AA335+SUMIF(Grid_BD!$F:$F,$A335,Grid_BD!$Y:$Y)),"")</f>
        <v/>
      </c>
      <c r="S335" s="167"/>
      <c r="T335" s="172"/>
      <c r="U335" s="173"/>
      <c r="V335" s="167"/>
      <c r="W335" s="174" t="str">
        <f t="shared" si="22"/>
        <v/>
      </c>
      <c r="X335" s="167" t="str">
        <f>IFERROR(_xlfn.XLOOKUP($A335,Input_Raw!$A:$A,Input_Raw!$BF:$BF),"")</f>
        <v/>
      </c>
      <c r="Y335" s="167" t="str">
        <f>IFERROR(_xlfn.XLOOKUP($A335,Input_Raw!$A:$A,Input_Raw!BJ:BJ),"")</f>
        <v/>
      </c>
      <c r="Z335" s="167" t="str">
        <f>IFERROR(_xlfn.XLOOKUP($A335,Input_Raw!$A:$A,Input_Raw!BK:BK),"")</f>
        <v/>
      </c>
      <c r="AA335" s="167" t="str">
        <f>IFERROR(_xlfn.XLOOKUP($A335,Input_Raw!$A:$A,Input_Raw!BL:BL),"")</f>
        <v/>
      </c>
      <c r="AB335" s="167" t="str">
        <f>IFERROR(_xlfn.XLOOKUP($A335,Input_Raw!$A:$A,Input_Raw!$BO:$BO),"")</f>
        <v/>
      </c>
      <c r="AC335" s="176">
        <f>IFERROR(_xlfn.XLOOKUP($D335,'Modelling New'!$D:$D,'Modelling New'!$J:$J),"")</f>
        <v>5.52</v>
      </c>
      <c r="AD335" s="166">
        <f>IFERROR(_xlfn.XLOOKUP($D335,'Modelling New'!$D:$D,'Modelling New'!$T:$T)*1000,"")</f>
        <v>522509.05737931043</v>
      </c>
      <c r="AE335" s="174"/>
      <c r="AF335" s="174">
        <f>IFERROR(_xlfn.XLOOKUP($D335,'Modelling New'!$D:$D,'Modelling New'!$W:$W),"")</f>
        <v>0.31013120689655177</v>
      </c>
      <c r="AG335" s="174">
        <f>IFERROR(_xlfn.XLOOKUP($D335,'Modelling New'!$D:$D,'Modelling New'!$AE:$AE),"")</f>
        <v>0.96029999999999993</v>
      </c>
      <c r="AH335" s="174">
        <f>IFERROR(_xlfn.XLOOKUP($D335,'Modelling New'!$D:$D,'Modelling New'!$AF:$AF),"")</f>
        <v>0.995</v>
      </c>
      <c r="AI335" s="177" t="str">
        <f>IFERROR(_xlfn.XLOOKUP($A335,Input_Raw!$A:$A,Input_Raw!$BQ:$BQ),"")</f>
        <v/>
      </c>
      <c r="AJ335" s="167"/>
      <c r="AK335" s="167"/>
      <c r="AL335" s="167"/>
      <c r="AM335" s="167"/>
      <c r="AN335" s="175" t="str">
        <f>IFERROR(_xlfn.XLOOKUP($A335,Input_Raw!$A:$A,Input_Raw!$BN:$BN),"")</f>
        <v/>
      </c>
      <c r="AO335" s="174" t="str">
        <f>IFERROR((_xlfn.XLOOKUP($A335,'WTG Reactive Power'!$A:$A,'WTG Reactive Power'!$AE:$AE))/Table13[[#This Row],[Gen_Exp (kWh)]],"")</f>
        <v/>
      </c>
      <c r="AP335" s="174">
        <f>IFERROR(_xlfn.XLOOKUP($D335,'Modelling New'!$D:$D,'Modelling New'!$AK:$AK),"")</f>
        <v>0.05</v>
      </c>
      <c r="AQ335" s="174">
        <f>IFERROR(_xlfn.XLOOKUP($D335,'Modelling New'!$D:$D,'Modelling New'!$AL:$AL),"")</f>
        <v>0.05</v>
      </c>
      <c r="AR335" s="276">
        <f>IFERROR(_xlfn.XLOOKUP($D335,'Modelling New'!$D:$D,'Modelling New'!$N:$N),"")</f>
        <v>70.2</v>
      </c>
      <c r="AS335" s="276"/>
    </row>
    <row r="336" spans="1:45">
      <c r="A336" s="165">
        <f t="shared" si="23"/>
        <v>46079</v>
      </c>
      <c r="B336" s="166">
        <f>YEAR(Table13[[#This Row],[Date]])+IF(MONTH(Table13[[#This Row],[Date]])&gt;=4,1,0)</f>
        <v>2026</v>
      </c>
      <c r="C336" s="167">
        <f>YEAR(Table13[[#This Row],[Date]])</f>
        <v>2026</v>
      </c>
      <c r="D336" s="168">
        <f>Table13[[#This Row],[Date]]-DAY(Table13[[#This Row],[Date]])+1</f>
        <v>46054</v>
      </c>
      <c r="E336" s="167">
        <f t="shared" si="20"/>
        <v>28</v>
      </c>
      <c r="F336" s="169"/>
      <c r="G336" s="170"/>
      <c r="H336" s="170"/>
      <c r="I336" s="170"/>
      <c r="J336" s="170"/>
      <c r="K336" s="171"/>
      <c r="L336" s="170"/>
      <c r="M336" s="170" t="str">
        <f>IFERROR(_xlfn.XLOOKUP($A336,Input_Raw!$A:$A,Input_Raw!BG:BG),"")</f>
        <v/>
      </c>
      <c r="N336" s="170" t="str">
        <f>IFERROR(_xlfn.XLOOKUP($A336,Input_Raw!$A:$A,Input_Raw!BH:BH),"")</f>
        <v/>
      </c>
      <c r="O336" s="173" t="str">
        <f t="shared" si="21"/>
        <v/>
      </c>
      <c r="P336" s="173" t="str">
        <f>IFERROR(1-SUMIF(WTG_BD!$F:$F,$A336,WTG_BD!$AA:$AA)/($AA336+SUMIF(WTG_BD!$F:$F,$A336,WTG_BD!$AA:$AA)),"")</f>
        <v/>
      </c>
      <c r="Q336" s="173" t="str">
        <f>IFERROR(1-SUMIF(IGA_BD!$F:$F,$A336,IGA_BD!$X:$X)/($AA336+SUMIF(IGA_BD!$F:$F,$A336,IGA_BD!$X:$X)),"")</f>
        <v/>
      </c>
      <c r="R336" s="173" t="str">
        <f>IFERROR(1-SUMIF(Grid_BD!$F:$F,$A336,Grid_BD!$Y:$Y)/($AA336+SUMIF(Grid_BD!$F:$F,$A336,Grid_BD!$Y:$Y)),"")</f>
        <v/>
      </c>
      <c r="S336" s="167"/>
      <c r="T336" s="172"/>
      <c r="U336" s="173"/>
      <c r="V336" s="167"/>
      <c r="W336" s="174" t="str">
        <f t="shared" si="22"/>
        <v/>
      </c>
      <c r="X336" s="167" t="str">
        <f>IFERROR(_xlfn.XLOOKUP($A336,Input_Raw!$A:$A,Input_Raw!$BF:$BF),"")</f>
        <v/>
      </c>
      <c r="Y336" s="167" t="str">
        <f>IFERROR(_xlfn.XLOOKUP($A336,Input_Raw!$A:$A,Input_Raw!BJ:BJ),"")</f>
        <v/>
      </c>
      <c r="Z336" s="167" t="str">
        <f>IFERROR(_xlfn.XLOOKUP($A336,Input_Raw!$A:$A,Input_Raw!BK:BK),"")</f>
        <v/>
      </c>
      <c r="AA336" s="167" t="str">
        <f>IFERROR(_xlfn.XLOOKUP($A336,Input_Raw!$A:$A,Input_Raw!BL:BL),"")</f>
        <v/>
      </c>
      <c r="AB336" s="167" t="str">
        <f>IFERROR(_xlfn.XLOOKUP($A336,Input_Raw!$A:$A,Input_Raw!$BO:$BO),"")</f>
        <v/>
      </c>
      <c r="AC336" s="176">
        <f>IFERROR(_xlfn.XLOOKUP($D336,'Modelling New'!$D:$D,'Modelling New'!$J:$J),"")</f>
        <v>5.52</v>
      </c>
      <c r="AD336" s="166">
        <f>IFERROR(_xlfn.XLOOKUP($D336,'Modelling New'!$D:$D,'Modelling New'!$T:$T)*1000,"")</f>
        <v>522509.05737931043</v>
      </c>
      <c r="AE336" s="174"/>
      <c r="AF336" s="174">
        <f>IFERROR(_xlfn.XLOOKUP($D336,'Modelling New'!$D:$D,'Modelling New'!$W:$W),"")</f>
        <v>0.31013120689655177</v>
      </c>
      <c r="AG336" s="174">
        <f>IFERROR(_xlfn.XLOOKUP($D336,'Modelling New'!$D:$D,'Modelling New'!$AE:$AE),"")</f>
        <v>0.96029999999999993</v>
      </c>
      <c r="AH336" s="174">
        <f>IFERROR(_xlfn.XLOOKUP($D336,'Modelling New'!$D:$D,'Modelling New'!$AF:$AF),"")</f>
        <v>0.995</v>
      </c>
      <c r="AI336" s="177" t="str">
        <f>IFERROR(_xlfn.XLOOKUP($A336,Input_Raw!$A:$A,Input_Raw!$BQ:$BQ),"")</f>
        <v/>
      </c>
      <c r="AJ336" s="167"/>
      <c r="AK336" s="167"/>
      <c r="AL336" s="167"/>
      <c r="AM336" s="167"/>
      <c r="AN336" s="175" t="str">
        <f>IFERROR(_xlfn.XLOOKUP($A336,Input_Raw!$A:$A,Input_Raw!$BN:$BN),"")</f>
        <v/>
      </c>
      <c r="AO336" s="174" t="str">
        <f>IFERROR((_xlfn.XLOOKUP($A336,'WTG Reactive Power'!$A:$A,'WTG Reactive Power'!$AE:$AE))/Table13[[#This Row],[Gen_Exp (kWh)]],"")</f>
        <v/>
      </c>
      <c r="AP336" s="174">
        <f>IFERROR(_xlfn.XLOOKUP($D336,'Modelling New'!$D:$D,'Modelling New'!$AK:$AK),"")</f>
        <v>0.05</v>
      </c>
      <c r="AQ336" s="174">
        <f>IFERROR(_xlfn.XLOOKUP($D336,'Modelling New'!$D:$D,'Modelling New'!$AL:$AL),"")</f>
        <v>0.05</v>
      </c>
      <c r="AR336" s="276">
        <f>IFERROR(_xlfn.XLOOKUP($D336,'Modelling New'!$D:$D,'Modelling New'!$N:$N),"")</f>
        <v>70.2</v>
      </c>
      <c r="AS336" s="276"/>
    </row>
    <row r="337" spans="1:45">
      <c r="A337" s="165">
        <f t="shared" si="23"/>
        <v>46080</v>
      </c>
      <c r="B337" s="166">
        <f>YEAR(Table13[[#This Row],[Date]])+IF(MONTH(Table13[[#This Row],[Date]])&gt;=4,1,0)</f>
        <v>2026</v>
      </c>
      <c r="C337" s="167">
        <f>YEAR(Table13[[#This Row],[Date]])</f>
        <v>2026</v>
      </c>
      <c r="D337" s="168">
        <f>Table13[[#This Row],[Date]]-DAY(Table13[[#This Row],[Date]])+1</f>
        <v>46054</v>
      </c>
      <c r="E337" s="167">
        <f t="shared" si="20"/>
        <v>28</v>
      </c>
      <c r="F337" s="169"/>
      <c r="G337" s="176"/>
      <c r="H337" s="176"/>
      <c r="I337" s="176"/>
      <c r="J337" s="176"/>
      <c r="K337" s="171"/>
      <c r="L337" s="170"/>
      <c r="M337" s="170" t="str">
        <f>IFERROR(_xlfn.XLOOKUP($A337,Input_Raw!$A:$A,Input_Raw!BG:BG),"")</f>
        <v/>
      </c>
      <c r="N337" s="170" t="str">
        <f>IFERROR(_xlfn.XLOOKUP($A337,Input_Raw!$A:$A,Input_Raw!BH:BH),"")</f>
        <v/>
      </c>
      <c r="O337" s="173" t="str">
        <f t="shared" si="21"/>
        <v/>
      </c>
      <c r="P337" s="173" t="str">
        <f>IFERROR(1-SUMIF(WTG_BD!$F:$F,$A337,WTG_BD!$AA:$AA)/($AA337+SUMIF(WTG_BD!$F:$F,$A337,WTG_BD!$AA:$AA)),"")</f>
        <v/>
      </c>
      <c r="Q337" s="173" t="str">
        <f>IFERROR(1-SUMIF(IGA_BD!$F:$F,$A337,IGA_BD!$X:$X)/($AA337+SUMIF(IGA_BD!$F:$F,$A337,IGA_BD!$X:$X)),"")</f>
        <v/>
      </c>
      <c r="R337" s="173" t="str">
        <f>IFERROR(1-SUMIF(Grid_BD!$F:$F,$A337,Grid_BD!$Y:$Y)/($AA337+SUMIF(Grid_BD!$F:$F,$A337,Grid_BD!$Y:$Y)),"")</f>
        <v/>
      </c>
      <c r="S337" s="167"/>
      <c r="T337" s="172"/>
      <c r="U337" s="173"/>
      <c r="V337" s="167"/>
      <c r="W337" s="174" t="str">
        <f t="shared" si="22"/>
        <v/>
      </c>
      <c r="X337" s="167" t="str">
        <f>IFERROR(_xlfn.XLOOKUP($A337,Input_Raw!$A:$A,Input_Raw!$BF:$BF),"")</f>
        <v/>
      </c>
      <c r="Y337" s="167" t="str">
        <f>IFERROR(_xlfn.XLOOKUP($A337,Input_Raw!$A:$A,Input_Raw!BJ:BJ),"")</f>
        <v/>
      </c>
      <c r="Z337" s="167" t="str">
        <f>IFERROR(_xlfn.XLOOKUP($A337,Input_Raw!$A:$A,Input_Raw!BK:BK),"")</f>
        <v/>
      </c>
      <c r="AA337" s="167" t="str">
        <f>IFERROR(_xlfn.XLOOKUP($A337,Input_Raw!$A:$A,Input_Raw!BL:BL),"")</f>
        <v/>
      </c>
      <c r="AB337" s="167" t="str">
        <f>IFERROR(_xlfn.XLOOKUP($A337,Input_Raw!$A:$A,Input_Raw!$BO:$BO),"")</f>
        <v/>
      </c>
      <c r="AC337" s="176">
        <f>IFERROR(_xlfn.XLOOKUP($D337,'Modelling New'!$D:$D,'Modelling New'!$J:$J),"")</f>
        <v>5.52</v>
      </c>
      <c r="AD337" s="166">
        <f>IFERROR(_xlfn.XLOOKUP($D337,'Modelling New'!$D:$D,'Modelling New'!$T:$T)*1000,"")</f>
        <v>522509.05737931043</v>
      </c>
      <c r="AE337" s="174"/>
      <c r="AF337" s="174">
        <f>IFERROR(_xlfn.XLOOKUP($D337,'Modelling New'!$D:$D,'Modelling New'!$W:$W),"")</f>
        <v>0.31013120689655177</v>
      </c>
      <c r="AG337" s="174">
        <f>IFERROR(_xlfn.XLOOKUP($D337,'Modelling New'!$D:$D,'Modelling New'!$AE:$AE),"")</f>
        <v>0.96029999999999993</v>
      </c>
      <c r="AH337" s="174">
        <f>IFERROR(_xlfn.XLOOKUP($D337,'Modelling New'!$D:$D,'Modelling New'!$AF:$AF),"")</f>
        <v>0.995</v>
      </c>
      <c r="AI337" s="177" t="str">
        <f>IFERROR(_xlfn.XLOOKUP($A337,Input_Raw!$A:$A,Input_Raw!$BQ:$BQ),"")</f>
        <v/>
      </c>
      <c r="AJ337" s="167"/>
      <c r="AK337" s="167"/>
      <c r="AL337" s="167"/>
      <c r="AM337" s="167"/>
      <c r="AN337" s="175" t="str">
        <f>IFERROR(_xlfn.XLOOKUP($A337,Input_Raw!$A:$A,Input_Raw!$BN:$BN),"")</f>
        <v/>
      </c>
      <c r="AO337" s="174" t="str">
        <f>IFERROR((_xlfn.XLOOKUP($A337,'WTG Reactive Power'!$A:$A,'WTG Reactive Power'!$AE:$AE))/Table13[[#This Row],[Gen_Exp (kWh)]],"")</f>
        <v/>
      </c>
      <c r="AP337" s="174">
        <f>IFERROR(_xlfn.XLOOKUP($D337,'Modelling New'!$D:$D,'Modelling New'!$AK:$AK),"")</f>
        <v>0.05</v>
      </c>
      <c r="AQ337" s="174">
        <f>IFERROR(_xlfn.XLOOKUP($D337,'Modelling New'!$D:$D,'Modelling New'!$AL:$AL),"")</f>
        <v>0.05</v>
      </c>
      <c r="AR337" s="276">
        <f>IFERROR(_xlfn.XLOOKUP($D337,'Modelling New'!$D:$D,'Modelling New'!$N:$N),"")</f>
        <v>70.2</v>
      </c>
      <c r="AS337" s="276"/>
    </row>
    <row r="338" spans="1:45">
      <c r="A338" s="165">
        <f t="shared" si="23"/>
        <v>46081</v>
      </c>
      <c r="B338" s="166">
        <f>YEAR(Table13[[#This Row],[Date]])+IF(MONTH(Table13[[#This Row],[Date]])&gt;=4,1,0)</f>
        <v>2026</v>
      </c>
      <c r="C338" s="167">
        <f>YEAR(Table13[[#This Row],[Date]])</f>
        <v>2026</v>
      </c>
      <c r="D338" s="168">
        <f>Table13[[#This Row],[Date]]-DAY(Table13[[#This Row],[Date]])+1</f>
        <v>46054</v>
      </c>
      <c r="E338" s="167">
        <f t="shared" si="20"/>
        <v>28</v>
      </c>
      <c r="F338" s="169"/>
      <c r="G338" s="170"/>
      <c r="H338" s="170"/>
      <c r="I338" s="170"/>
      <c r="J338" s="170"/>
      <c r="K338" s="171"/>
      <c r="L338" s="170"/>
      <c r="M338" s="170" t="str">
        <f>IFERROR(_xlfn.XLOOKUP($A338,Input_Raw!$A:$A,Input_Raw!BG:BG),"")</f>
        <v/>
      </c>
      <c r="N338" s="170" t="str">
        <f>IFERROR(_xlfn.XLOOKUP($A338,Input_Raw!$A:$A,Input_Raw!BH:BH),"")</f>
        <v/>
      </c>
      <c r="O338" s="173" t="str">
        <f t="shared" si="21"/>
        <v/>
      </c>
      <c r="P338" s="173" t="str">
        <f>IFERROR(1-SUMIF(WTG_BD!$F:$F,$A338,WTG_BD!$AA:$AA)/($AA338+SUMIF(WTG_BD!$F:$F,$A338,WTG_BD!$AA:$AA)),"")</f>
        <v/>
      </c>
      <c r="Q338" s="173" t="str">
        <f>IFERROR(1-SUMIF(IGA_BD!$F:$F,$A338,IGA_BD!$X:$X)/($AA338+SUMIF(IGA_BD!$F:$F,$A338,IGA_BD!$X:$X)),"")</f>
        <v/>
      </c>
      <c r="R338" s="173" t="str">
        <f>IFERROR(1-SUMIF(Grid_BD!$F:$F,$A338,Grid_BD!$Y:$Y)/($AA338+SUMIF(Grid_BD!$F:$F,$A338,Grid_BD!$Y:$Y)),"")</f>
        <v/>
      </c>
      <c r="S338" s="167"/>
      <c r="T338" s="172"/>
      <c r="U338" s="173"/>
      <c r="V338" s="167"/>
      <c r="W338" s="174" t="str">
        <f t="shared" si="22"/>
        <v/>
      </c>
      <c r="X338" s="167" t="str">
        <f>IFERROR(_xlfn.XLOOKUP($A338,Input_Raw!$A:$A,Input_Raw!$BF:$BF),"")</f>
        <v/>
      </c>
      <c r="Y338" s="167" t="str">
        <f>IFERROR(_xlfn.XLOOKUP($A338,Input_Raw!$A:$A,Input_Raw!BJ:BJ),"")</f>
        <v/>
      </c>
      <c r="Z338" s="167" t="str">
        <f>IFERROR(_xlfn.XLOOKUP($A338,Input_Raw!$A:$A,Input_Raw!BK:BK),"")</f>
        <v/>
      </c>
      <c r="AA338" s="167" t="str">
        <f>IFERROR(_xlfn.XLOOKUP($A338,Input_Raw!$A:$A,Input_Raw!BL:BL),"")</f>
        <v/>
      </c>
      <c r="AB338" s="167" t="str">
        <f>IFERROR(_xlfn.XLOOKUP($A338,Input_Raw!$A:$A,Input_Raw!$BO:$BO),"")</f>
        <v/>
      </c>
      <c r="AC338" s="176">
        <f>IFERROR(_xlfn.XLOOKUP($D338,'Modelling New'!$D:$D,'Modelling New'!$J:$J),"")</f>
        <v>5.52</v>
      </c>
      <c r="AD338" s="166">
        <f>IFERROR(_xlfn.XLOOKUP($D338,'Modelling New'!$D:$D,'Modelling New'!$T:$T)*1000,"")</f>
        <v>522509.05737931043</v>
      </c>
      <c r="AE338" s="174"/>
      <c r="AF338" s="174">
        <f>IFERROR(_xlfn.XLOOKUP($D338,'Modelling New'!$D:$D,'Modelling New'!$W:$W),"")</f>
        <v>0.31013120689655177</v>
      </c>
      <c r="AG338" s="174">
        <f>IFERROR(_xlfn.XLOOKUP($D338,'Modelling New'!$D:$D,'Modelling New'!$AE:$AE),"")</f>
        <v>0.96029999999999993</v>
      </c>
      <c r="AH338" s="174">
        <f>IFERROR(_xlfn.XLOOKUP($D338,'Modelling New'!$D:$D,'Modelling New'!$AF:$AF),"")</f>
        <v>0.995</v>
      </c>
      <c r="AI338" s="177" t="str">
        <f>IFERROR(_xlfn.XLOOKUP($A338,Input_Raw!$A:$A,Input_Raw!$BQ:$BQ),"")</f>
        <v/>
      </c>
      <c r="AJ338" s="167"/>
      <c r="AK338" s="167"/>
      <c r="AL338" s="167"/>
      <c r="AM338" s="167"/>
      <c r="AN338" s="175" t="str">
        <f>IFERROR(_xlfn.XLOOKUP($A338,Input_Raw!$A:$A,Input_Raw!$BN:$BN),"")</f>
        <v/>
      </c>
      <c r="AO338" s="174" t="str">
        <f>IFERROR((_xlfn.XLOOKUP($A338,'WTG Reactive Power'!$A:$A,'WTG Reactive Power'!$AE:$AE))/Table13[[#This Row],[Gen_Exp (kWh)]],"")</f>
        <v/>
      </c>
      <c r="AP338" s="174">
        <f>IFERROR(_xlfn.XLOOKUP($D338,'Modelling New'!$D:$D,'Modelling New'!$AK:$AK),"")</f>
        <v>0.05</v>
      </c>
      <c r="AQ338" s="174">
        <f>IFERROR(_xlfn.XLOOKUP($D338,'Modelling New'!$D:$D,'Modelling New'!$AL:$AL),"")</f>
        <v>0.05</v>
      </c>
      <c r="AR338" s="276">
        <f>IFERROR(_xlfn.XLOOKUP($D338,'Modelling New'!$D:$D,'Modelling New'!$N:$N),"")</f>
        <v>70.2</v>
      </c>
      <c r="AS338" s="276"/>
    </row>
    <row r="339" spans="1:45">
      <c r="A339" s="165">
        <f t="shared" si="23"/>
        <v>46082</v>
      </c>
      <c r="B339" s="166">
        <f>YEAR(Table13[[#This Row],[Date]])+IF(MONTH(Table13[[#This Row],[Date]])&gt;=4,1,0)</f>
        <v>2026</v>
      </c>
      <c r="C339" s="167">
        <f>YEAR(Table13[[#This Row],[Date]])</f>
        <v>2026</v>
      </c>
      <c r="D339" s="168">
        <f>Table13[[#This Row],[Date]]-DAY(Table13[[#This Row],[Date]])+1</f>
        <v>46082</v>
      </c>
      <c r="E339" s="167">
        <f t="shared" si="20"/>
        <v>31</v>
      </c>
      <c r="F339" s="169"/>
      <c r="G339" s="176"/>
      <c r="H339" s="176"/>
      <c r="I339" s="176"/>
      <c r="J339" s="176"/>
      <c r="K339" s="171"/>
      <c r="L339" s="170"/>
      <c r="M339" s="170" t="str">
        <f>IFERROR(_xlfn.XLOOKUP($A339,Input_Raw!$A:$A,Input_Raw!BG:BG),"")</f>
        <v/>
      </c>
      <c r="N339" s="170" t="str">
        <f>IFERROR(_xlfn.XLOOKUP($A339,Input_Raw!$A:$A,Input_Raw!BH:BH),"")</f>
        <v/>
      </c>
      <c r="O339" s="173" t="str">
        <f t="shared" si="21"/>
        <v/>
      </c>
      <c r="P339" s="173" t="str">
        <f>IFERROR(1-SUMIF(WTG_BD!$F:$F,$A339,WTG_BD!$AA:$AA)/($AA339+SUMIF(WTG_BD!$F:$F,$A339,WTG_BD!$AA:$AA)),"")</f>
        <v/>
      </c>
      <c r="Q339" s="173" t="str">
        <f>IFERROR(1-SUMIF(IGA_BD!$F:$F,$A339,IGA_BD!$X:$X)/($AA339+SUMIF(IGA_BD!$F:$F,$A339,IGA_BD!$X:$X)),"")</f>
        <v/>
      </c>
      <c r="R339" s="173" t="str">
        <f>IFERROR(1-SUMIF(Grid_BD!$F:$F,$A339,Grid_BD!$Y:$Y)/($AA339+SUMIF(Grid_BD!$F:$F,$A339,Grid_BD!$Y:$Y)),"")</f>
        <v/>
      </c>
      <c r="S339" s="167"/>
      <c r="T339" s="172"/>
      <c r="U339" s="173"/>
      <c r="V339" s="167"/>
      <c r="W339" s="174" t="str">
        <f t="shared" si="22"/>
        <v/>
      </c>
      <c r="X339" s="167" t="str">
        <f>IFERROR(_xlfn.XLOOKUP($A339,Input_Raw!$A:$A,Input_Raw!$BF:$BF),"")</f>
        <v/>
      </c>
      <c r="Y339" s="167" t="str">
        <f>IFERROR(_xlfn.XLOOKUP($A339,Input_Raw!$A:$A,Input_Raw!BJ:BJ),"")</f>
        <v/>
      </c>
      <c r="Z339" s="167" t="str">
        <f>IFERROR(_xlfn.XLOOKUP($A339,Input_Raw!$A:$A,Input_Raw!BK:BK),"")</f>
        <v/>
      </c>
      <c r="AA339" s="167" t="str">
        <f>IFERROR(_xlfn.XLOOKUP($A339,Input_Raw!$A:$A,Input_Raw!BL:BL),"")</f>
        <v/>
      </c>
      <c r="AB339" s="167" t="str">
        <f>IFERROR(_xlfn.XLOOKUP($A339,Input_Raw!$A:$A,Input_Raw!$BO:$BO),"")</f>
        <v/>
      </c>
      <c r="AC339" s="176">
        <f>IFERROR(_xlfn.XLOOKUP($D339,'Modelling New'!$D:$D,'Modelling New'!$J:$J),"")</f>
        <v>6.89</v>
      </c>
      <c r="AD339" s="166">
        <f>IFERROR(_xlfn.XLOOKUP($D339,'Modelling New'!$D:$D,'Modelling New'!$T:$T)*1000,"")</f>
        <v>629607.18715270935</v>
      </c>
      <c r="AE339" s="174"/>
      <c r="AF339" s="174">
        <f>IFERROR(_xlfn.XLOOKUP($D339,'Modelling New'!$D:$D,'Modelling New'!$W:$W),"")</f>
        <v>0.3736984729064039</v>
      </c>
      <c r="AG339" s="174">
        <f>IFERROR(_xlfn.XLOOKUP($D339,'Modelling New'!$D:$D,'Modelling New'!$AE:$AE),"")</f>
        <v>0.96029999999999993</v>
      </c>
      <c r="AH339" s="174">
        <f>IFERROR(_xlfn.XLOOKUP($D339,'Modelling New'!$D:$D,'Modelling New'!$AF:$AF),"")</f>
        <v>0.995</v>
      </c>
      <c r="AI339" s="177" t="str">
        <f>IFERROR(_xlfn.XLOOKUP($A339,Input_Raw!$A:$A,Input_Raw!$BQ:$BQ),"")</f>
        <v/>
      </c>
      <c r="AJ339" s="167"/>
      <c r="AK339" s="167"/>
      <c r="AL339" s="167"/>
      <c r="AM339" s="167"/>
      <c r="AN339" s="175" t="str">
        <f>IFERROR(_xlfn.XLOOKUP($A339,Input_Raw!$A:$A,Input_Raw!$BN:$BN),"")</f>
        <v/>
      </c>
      <c r="AO339" s="174" t="str">
        <f>IFERROR((_xlfn.XLOOKUP($A339,'WTG Reactive Power'!$A:$A,'WTG Reactive Power'!$AE:$AE))/Table13[[#This Row],[Gen_Exp (kWh)]],"")</f>
        <v/>
      </c>
      <c r="AP339" s="174">
        <f>IFERROR(_xlfn.XLOOKUP($D339,'Modelling New'!$D:$D,'Modelling New'!$AK:$AK),"")</f>
        <v>0.05</v>
      </c>
      <c r="AQ339" s="174">
        <f>IFERROR(_xlfn.XLOOKUP($D339,'Modelling New'!$D:$D,'Modelling New'!$AL:$AL),"")</f>
        <v>0.05</v>
      </c>
      <c r="AR339" s="276">
        <f>IFERROR(_xlfn.XLOOKUP($D339,'Modelling New'!$D:$D,'Modelling New'!$N:$N),"")</f>
        <v>70.2</v>
      </c>
      <c r="AS339" s="276"/>
    </row>
    <row r="340" spans="1:45">
      <c r="A340" s="165">
        <f t="shared" si="23"/>
        <v>46083</v>
      </c>
      <c r="B340" s="166">
        <f>YEAR(Table13[[#This Row],[Date]])+IF(MONTH(Table13[[#This Row],[Date]])&gt;=4,1,0)</f>
        <v>2026</v>
      </c>
      <c r="C340" s="167">
        <f>YEAR(Table13[[#This Row],[Date]])</f>
        <v>2026</v>
      </c>
      <c r="D340" s="168">
        <f>Table13[[#This Row],[Date]]-DAY(Table13[[#This Row],[Date]])+1</f>
        <v>46082</v>
      </c>
      <c r="E340" s="167">
        <f t="shared" si="20"/>
        <v>31</v>
      </c>
      <c r="F340" s="169"/>
      <c r="G340" s="170"/>
      <c r="H340" s="170"/>
      <c r="I340" s="170"/>
      <c r="J340" s="170"/>
      <c r="K340" s="171"/>
      <c r="L340" s="170"/>
      <c r="M340" s="170" t="str">
        <f>IFERROR(_xlfn.XLOOKUP($A340,Input_Raw!$A:$A,Input_Raw!BG:BG),"")</f>
        <v/>
      </c>
      <c r="N340" s="170" t="str">
        <f>IFERROR(_xlfn.XLOOKUP($A340,Input_Raw!$A:$A,Input_Raw!BH:BH),"")</f>
        <v/>
      </c>
      <c r="O340" s="173" t="str">
        <f t="shared" si="21"/>
        <v/>
      </c>
      <c r="P340" s="173" t="str">
        <f>IFERROR(1-SUMIF(WTG_BD!$F:$F,$A340,WTG_BD!$AA:$AA)/($AA340+SUMIF(WTG_BD!$F:$F,$A340,WTG_BD!$AA:$AA)),"")</f>
        <v/>
      </c>
      <c r="Q340" s="173" t="str">
        <f>IFERROR(1-SUMIF(IGA_BD!$F:$F,$A340,IGA_BD!$X:$X)/($AA340+SUMIF(IGA_BD!$F:$F,$A340,IGA_BD!$X:$X)),"")</f>
        <v/>
      </c>
      <c r="R340" s="173" t="str">
        <f>IFERROR(1-SUMIF(Grid_BD!$F:$F,$A340,Grid_BD!$Y:$Y)/($AA340+SUMIF(Grid_BD!$F:$F,$A340,Grid_BD!$Y:$Y)),"")</f>
        <v/>
      </c>
      <c r="S340" s="167"/>
      <c r="T340" s="172"/>
      <c r="U340" s="173"/>
      <c r="V340" s="167"/>
      <c r="W340" s="174" t="str">
        <f t="shared" si="22"/>
        <v/>
      </c>
      <c r="X340" s="167" t="str">
        <f>IFERROR(_xlfn.XLOOKUP($A340,Input_Raw!$A:$A,Input_Raw!$BF:$BF),"")</f>
        <v/>
      </c>
      <c r="Y340" s="167" t="str">
        <f>IFERROR(_xlfn.XLOOKUP($A340,Input_Raw!$A:$A,Input_Raw!BJ:BJ),"")</f>
        <v/>
      </c>
      <c r="Z340" s="167" t="str">
        <f>IFERROR(_xlfn.XLOOKUP($A340,Input_Raw!$A:$A,Input_Raw!BK:BK),"")</f>
        <v/>
      </c>
      <c r="AA340" s="167" t="str">
        <f>IFERROR(_xlfn.XLOOKUP($A340,Input_Raw!$A:$A,Input_Raw!BL:BL),"")</f>
        <v/>
      </c>
      <c r="AB340" s="167" t="str">
        <f>IFERROR(_xlfn.XLOOKUP($A340,Input_Raw!$A:$A,Input_Raw!$BO:$BO),"")</f>
        <v/>
      </c>
      <c r="AC340" s="176">
        <f>IFERROR(_xlfn.XLOOKUP($D340,'Modelling New'!$D:$D,'Modelling New'!$J:$J),"")</f>
        <v>6.89</v>
      </c>
      <c r="AD340" s="166">
        <f>IFERROR(_xlfn.XLOOKUP($D340,'Modelling New'!$D:$D,'Modelling New'!$T:$T)*1000,"")</f>
        <v>629607.18715270935</v>
      </c>
      <c r="AE340" s="174"/>
      <c r="AF340" s="174">
        <f>IFERROR(_xlfn.XLOOKUP($D340,'Modelling New'!$D:$D,'Modelling New'!$W:$W),"")</f>
        <v>0.3736984729064039</v>
      </c>
      <c r="AG340" s="174">
        <f>IFERROR(_xlfn.XLOOKUP($D340,'Modelling New'!$D:$D,'Modelling New'!$AE:$AE),"")</f>
        <v>0.96029999999999993</v>
      </c>
      <c r="AH340" s="174">
        <f>IFERROR(_xlfn.XLOOKUP($D340,'Modelling New'!$D:$D,'Modelling New'!$AF:$AF),"")</f>
        <v>0.995</v>
      </c>
      <c r="AI340" s="177" t="str">
        <f>IFERROR(_xlfn.XLOOKUP($A340,Input_Raw!$A:$A,Input_Raw!$BQ:$BQ),"")</f>
        <v/>
      </c>
      <c r="AJ340" s="167"/>
      <c r="AK340" s="167"/>
      <c r="AL340" s="167"/>
      <c r="AM340" s="167"/>
      <c r="AN340" s="175" t="str">
        <f>IFERROR(_xlfn.XLOOKUP($A340,Input_Raw!$A:$A,Input_Raw!$BN:$BN),"")</f>
        <v/>
      </c>
      <c r="AO340" s="174" t="str">
        <f>IFERROR((_xlfn.XLOOKUP($A340,'WTG Reactive Power'!$A:$A,'WTG Reactive Power'!$AE:$AE))/Table13[[#This Row],[Gen_Exp (kWh)]],"")</f>
        <v/>
      </c>
      <c r="AP340" s="174">
        <f>IFERROR(_xlfn.XLOOKUP($D340,'Modelling New'!$D:$D,'Modelling New'!$AK:$AK),"")</f>
        <v>0.05</v>
      </c>
      <c r="AQ340" s="174">
        <f>IFERROR(_xlfn.XLOOKUP($D340,'Modelling New'!$D:$D,'Modelling New'!$AL:$AL),"")</f>
        <v>0.05</v>
      </c>
      <c r="AR340" s="276">
        <f>IFERROR(_xlfn.XLOOKUP($D340,'Modelling New'!$D:$D,'Modelling New'!$N:$N),"")</f>
        <v>70.2</v>
      </c>
      <c r="AS340" s="276"/>
    </row>
    <row r="341" spans="1:45">
      <c r="A341" s="165">
        <f t="shared" si="23"/>
        <v>46084</v>
      </c>
      <c r="B341" s="166">
        <f>YEAR(Table13[[#This Row],[Date]])+IF(MONTH(Table13[[#This Row],[Date]])&gt;=4,1,0)</f>
        <v>2026</v>
      </c>
      <c r="C341" s="167">
        <f>YEAR(Table13[[#This Row],[Date]])</f>
        <v>2026</v>
      </c>
      <c r="D341" s="168">
        <f>Table13[[#This Row],[Date]]-DAY(Table13[[#This Row],[Date]])+1</f>
        <v>46082</v>
      </c>
      <c r="E341" s="167">
        <f t="shared" si="20"/>
        <v>31</v>
      </c>
      <c r="F341" s="169"/>
      <c r="G341" s="176"/>
      <c r="H341" s="176"/>
      <c r="I341" s="176"/>
      <c r="J341" s="176"/>
      <c r="K341" s="171"/>
      <c r="L341" s="170"/>
      <c r="M341" s="170" t="str">
        <f>IFERROR(_xlfn.XLOOKUP($A341,Input_Raw!$A:$A,Input_Raw!BG:BG),"")</f>
        <v/>
      </c>
      <c r="N341" s="170" t="str">
        <f>IFERROR(_xlfn.XLOOKUP($A341,Input_Raw!$A:$A,Input_Raw!BH:BH),"")</f>
        <v/>
      </c>
      <c r="O341" s="173" t="str">
        <f t="shared" si="21"/>
        <v/>
      </c>
      <c r="P341" s="173" t="str">
        <f>IFERROR(1-SUMIF(WTG_BD!$F:$F,$A341,WTG_BD!$AA:$AA)/($AA341+SUMIF(WTG_BD!$F:$F,$A341,WTG_BD!$AA:$AA)),"")</f>
        <v/>
      </c>
      <c r="Q341" s="173" t="str">
        <f>IFERROR(1-SUMIF(IGA_BD!$F:$F,$A341,IGA_BD!$X:$X)/($AA341+SUMIF(IGA_BD!$F:$F,$A341,IGA_BD!$X:$X)),"")</f>
        <v/>
      </c>
      <c r="R341" s="173" t="str">
        <f>IFERROR(1-SUMIF(Grid_BD!$F:$F,$A341,Grid_BD!$Y:$Y)/($AA341+SUMIF(Grid_BD!$F:$F,$A341,Grid_BD!$Y:$Y)),"")</f>
        <v/>
      </c>
      <c r="S341" s="167"/>
      <c r="T341" s="172"/>
      <c r="U341" s="173"/>
      <c r="V341" s="167"/>
      <c r="W341" s="174" t="str">
        <f t="shared" si="22"/>
        <v/>
      </c>
      <c r="X341" s="167" t="str">
        <f>IFERROR(_xlfn.XLOOKUP($A341,Input_Raw!$A:$A,Input_Raw!$BF:$BF),"")</f>
        <v/>
      </c>
      <c r="Y341" s="167" t="str">
        <f>IFERROR(_xlfn.XLOOKUP($A341,Input_Raw!$A:$A,Input_Raw!BJ:BJ),"")</f>
        <v/>
      </c>
      <c r="Z341" s="167" t="str">
        <f>IFERROR(_xlfn.XLOOKUP($A341,Input_Raw!$A:$A,Input_Raw!BK:BK),"")</f>
        <v/>
      </c>
      <c r="AA341" s="167" t="str">
        <f>IFERROR(_xlfn.XLOOKUP($A341,Input_Raw!$A:$A,Input_Raw!BL:BL),"")</f>
        <v/>
      </c>
      <c r="AB341" s="167" t="str">
        <f>IFERROR(_xlfn.XLOOKUP($A341,Input_Raw!$A:$A,Input_Raw!$BO:$BO),"")</f>
        <v/>
      </c>
      <c r="AC341" s="176">
        <f>IFERROR(_xlfn.XLOOKUP($D341,'Modelling New'!$D:$D,'Modelling New'!$J:$J),"")</f>
        <v>6.89</v>
      </c>
      <c r="AD341" s="166">
        <f>IFERROR(_xlfn.XLOOKUP($D341,'Modelling New'!$D:$D,'Modelling New'!$T:$T)*1000,"")</f>
        <v>629607.18715270935</v>
      </c>
      <c r="AE341" s="174"/>
      <c r="AF341" s="174">
        <f>IFERROR(_xlfn.XLOOKUP($D341,'Modelling New'!$D:$D,'Modelling New'!$W:$W),"")</f>
        <v>0.3736984729064039</v>
      </c>
      <c r="AG341" s="174">
        <f>IFERROR(_xlfn.XLOOKUP($D341,'Modelling New'!$D:$D,'Modelling New'!$AE:$AE),"")</f>
        <v>0.96029999999999993</v>
      </c>
      <c r="AH341" s="174">
        <f>IFERROR(_xlfn.XLOOKUP($D341,'Modelling New'!$D:$D,'Modelling New'!$AF:$AF),"")</f>
        <v>0.995</v>
      </c>
      <c r="AI341" s="177" t="str">
        <f>IFERROR(_xlfn.XLOOKUP($A341,Input_Raw!$A:$A,Input_Raw!$BQ:$BQ),"")</f>
        <v/>
      </c>
      <c r="AJ341" s="167"/>
      <c r="AK341" s="167"/>
      <c r="AL341" s="167"/>
      <c r="AM341" s="167"/>
      <c r="AN341" s="175" t="str">
        <f>IFERROR(_xlfn.XLOOKUP($A341,Input_Raw!$A:$A,Input_Raw!$BN:$BN),"")</f>
        <v/>
      </c>
      <c r="AO341" s="174" t="str">
        <f>IFERROR((_xlfn.XLOOKUP($A341,'WTG Reactive Power'!$A:$A,'WTG Reactive Power'!$AE:$AE))/Table13[[#This Row],[Gen_Exp (kWh)]],"")</f>
        <v/>
      </c>
      <c r="AP341" s="174">
        <f>IFERROR(_xlfn.XLOOKUP($D341,'Modelling New'!$D:$D,'Modelling New'!$AK:$AK),"")</f>
        <v>0.05</v>
      </c>
      <c r="AQ341" s="174">
        <f>IFERROR(_xlfn.XLOOKUP($D341,'Modelling New'!$D:$D,'Modelling New'!$AL:$AL),"")</f>
        <v>0.05</v>
      </c>
      <c r="AR341" s="276">
        <f>IFERROR(_xlfn.XLOOKUP($D341,'Modelling New'!$D:$D,'Modelling New'!$N:$N),"")</f>
        <v>70.2</v>
      </c>
      <c r="AS341" s="276"/>
    </row>
    <row r="342" spans="1:45">
      <c r="A342" s="165">
        <f t="shared" si="23"/>
        <v>46085</v>
      </c>
      <c r="B342" s="166">
        <f>YEAR(Table13[[#This Row],[Date]])+IF(MONTH(Table13[[#This Row],[Date]])&gt;=4,1,0)</f>
        <v>2026</v>
      </c>
      <c r="C342" s="167">
        <f>YEAR(Table13[[#This Row],[Date]])</f>
        <v>2026</v>
      </c>
      <c r="D342" s="168">
        <f>Table13[[#This Row],[Date]]-DAY(Table13[[#This Row],[Date]])+1</f>
        <v>46082</v>
      </c>
      <c r="E342" s="167">
        <f t="shared" si="20"/>
        <v>31</v>
      </c>
      <c r="F342" s="169"/>
      <c r="G342" s="170"/>
      <c r="H342" s="170"/>
      <c r="I342" s="170"/>
      <c r="J342" s="170"/>
      <c r="K342" s="171"/>
      <c r="L342" s="170"/>
      <c r="M342" s="170" t="str">
        <f>IFERROR(_xlfn.XLOOKUP($A342,Input_Raw!$A:$A,Input_Raw!BG:BG),"")</f>
        <v/>
      </c>
      <c r="N342" s="170" t="str">
        <f>IFERROR(_xlfn.XLOOKUP($A342,Input_Raw!$A:$A,Input_Raw!BH:BH),"")</f>
        <v/>
      </c>
      <c r="O342" s="173" t="str">
        <f t="shared" si="21"/>
        <v/>
      </c>
      <c r="P342" s="173" t="str">
        <f>IFERROR(1-SUMIF(WTG_BD!$F:$F,$A342,WTG_BD!$AA:$AA)/($AA342+SUMIF(WTG_BD!$F:$F,$A342,WTG_BD!$AA:$AA)),"")</f>
        <v/>
      </c>
      <c r="Q342" s="173" t="str">
        <f>IFERROR(1-SUMIF(IGA_BD!$F:$F,$A342,IGA_BD!$X:$X)/($AA342+SUMIF(IGA_BD!$F:$F,$A342,IGA_BD!$X:$X)),"")</f>
        <v/>
      </c>
      <c r="R342" s="173" t="str">
        <f>IFERROR(1-SUMIF(Grid_BD!$F:$F,$A342,Grid_BD!$Y:$Y)/($AA342+SUMIF(Grid_BD!$F:$F,$A342,Grid_BD!$Y:$Y)),"")</f>
        <v/>
      </c>
      <c r="S342" s="167"/>
      <c r="T342" s="172"/>
      <c r="U342" s="173"/>
      <c r="V342" s="167"/>
      <c r="W342" s="174" t="str">
        <f t="shared" si="22"/>
        <v/>
      </c>
      <c r="X342" s="167" t="str">
        <f>IFERROR(_xlfn.XLOOKUP($A342,Input_Raw!$A:$A,Input_Raw!$BF:$BF),"")</f>
        <v/>
      </c>
      <c r="Y342" s="167" t="str">
        <f>IFERROR(_xlfn.XLOOKUP($A342,Input_Raw!$A:$A,Input_Raw!BJ:BJ),"")</f>
        <v/>
      </c>
      <c r="Z342" s="167" t="str">
        <f>IFERROR(_xlfn.XLOOKUP($A342,Input_Raw!$A:$A,Input_Raw!BK:BK),"")</f>
        <v/>
      </c>
      <c r="AA342" s="167" t="str">
        <f>IFERROR(_xlfn.XLOOKUP($A342,Input_Raw!$A:$A,Input_Raw!BL:BL),"")</f>
        <v/>
      </c>
      <c r="AB342" s="167" t="str">
        <f>IFERROR(_xlfn.XLOOKUP($A342,Input_Raw!$A:$A,Input_Raw!$BO:$BO),"")</f>
        <v/>
      </c>
      <c r="AC342" s="176">
        <f>IFERROR(_xlfn.XLOOKUP($D342,'Modelling New'!$D:$D,'Modelling New'!$J:$J),"")</f>
        <v>6.89</v>
      </c>
      <c r="AD342" s="166">
        <f>IFERROR(_xlfn.XLOOKUP($D342,'Modelling New'!$D:$D,'Modelling New'!$T:$T)*1000,"")</f>
        <v>629607.18715270935</v>
      </c>
      <c r="AE342" s="174"/>
      <c r="AF342" s="174">
        <f>IFERROR(_xlfn.XLOOKUP($D342,'Modelling New'!$D:$D,'Modelling New'!$W:$W),"")</f>
        <v>0.3736984729064039</v>
      </c>
      <c r="AG342" s="174">
        <f>IFERROR(_xlfn.XLOOKUP($D342,'Modelling New'!$D:$D,'Modelling New'!$AE:$AE),"")</f>
        <v>0.96029999999999993</v>
      </c>
      <c r="AH342" s="174">
        <f>IFERROR(_xlfn.XLOOKUP($D342,'Modelling New'!$D:$D,'Modelling New'!$AF:$AF),"")</f>
        <v>0.995</v>
      </c>
      <c r="AI342" s="177" t="str">
        <f>IFERROR(_xlfn.XLOOKUP($A342,Input_Raw!$A:$A,Input_Raw!$BQ:$BQ),"")</f>
        <v/>
      </c>
      <c r="AJ342" s="167"/>
      <c r="AK342" s="167"/>
      <c r="AL342" s="167"/>
      <c r="AM342" s="167"/>
      <c r="AN342" s="175" t="str">
        <f>IFERROR(_xlfn.XLOOKUP($A342,Input_Raw!$A:$A,Input_Raw!$BN:$BN),"")</f>
        <v/>
      </c>
      <c r="AO342" s="174" t="str">
        <f>IFERROR((_xlfn.XLOOKUP($A342,'WTG Reactive Power'!$A:$A,'WTG Reactive Power'!$AE:$AE))/Table13[[#This Row],[Gen_Exp (kWh)]],"")</f>
        <v/>
      </c>
      <c r="AP342" s="174">
        <f>IFERROR(_xlfn.XLOOKUP($D342,'Modelling New'!$D:$D,'Modelling New'!$AK:$AK),"")</f>
        <v>0.05</v>
      </c>
      <c r="AQ342" s="174">
        <f>IFERROR(_xlfn.XLOOKUP($D342,'Modelling New'!$D:$D,'Modelling New'!$AL:$AL),"")</f>
        <v>0.05</v>
      </c>
      <c r="AR342" s="276">
        <f>IFERROR(_xlfn.XLOOKUP($D342,'Modelling New'!$D:$D,'Modelling New'!$N:$N),"")</f>
        <v>70.2</v>
      </c>
      <c r="AS342" s="276"/>
    </row>
    <row r="343" spans="1:45">
      <c r="A343" s="165">
        <f t="shared" si="23"/>
        <v>46086</v>
      </c>
      <c r="B343" s="166">
        <f>YEAR(Table13[[#This Row],[Date]])+IF(MONTH(Table13[[#This Row],[Date]])&gt;=4,1,0)</f>
        <v>2026</v>
      </c>
      <c r="C343" s="167">
        <f>YEAR(Table13[[#This Row],[Date]])</f>
        <v>2026</v>
      </c>
      <c r="D343" s="168">
        <f>Table13[[#This Row],[Date]]-DAY(Table13[[#This Row],[Date]])+1</f>
        <v>46082</v>
      </c>
      <c r="E343" s="167">
        <f t="shared" si="20"/>
        <v>31</v>
      </c>
      <c r="F343" s="169"/>
      <c r="G343" s="176"/>
      <c r="H343" s="176"/>
      <c r="I343" s="176"/>
      <c r="J343" s="176"/>
      <c r="K343" s="171"/>
      <c r="L343" s="170"/>
      <c r="M343" s="170" t="str">
        <f>IFERROR(_xlfn.XLOOKUP($A343,Input_Raw!$A:$A,Input_Raw!BG:BG),"")</f>
        <v/>
      </c>
      <c r="N343" s="170" t="str">
        <f>IFERROR(_xlfn.XLOOKUP($A343,Input_Raw!$A:$A,Input_Raw!BH:BH),"")</f>
        <v/>
      </c>
      <c r="O343" s="173" t="str">
        <f t="shared" si="21"/>
        <v/>
      </c>
      <c r="P343" s="173" t="str">
        <f>IFERROR(1-SUMIF(WTG_BD!$F:$F,$A343,WTG_BD!$AA:$AA)/($AA343+SUMIF(WTG_BD!$F:$F,$A343,WTG_BD!$AA:$AA)),"")</f>
        <v/>
      </c>
      <c r="Q343" s="173" t="str">
        <f>IFERROR(1-SUMIF(IGA_BD!$F:$F,$A343,IGA_BD!$X:$X)/($AA343+SUMIF(IGA_BD!$F:$F,$A343,IGA_BD!$X:$X)),"")</f>
        <v/>
      </c>
      <c r="R343" s="173" t="str">
        <f>IFERROR(1-SUMIF(Grid_BD!$F:$F,$A343,Grid_BD!$Y:$Y)/($AA343+SUMIF(Grid_BD!$F:$F,$A343,Grid_BD!$Y:$Y)),"")</f>
        <v/>
      </c>
      <c r="S343" s="167"/>
      <c r="T343" s="172"/>
      <c r="U343" s="173"/>
      <c r="V343" s="167"/>
      <c r="W343" s="174" t="str">
        <f t="shared" si="22"/>
        <v/>
      </c>
      <c r="X343" s="167" t="str">
        <f>IFERROR(_xlfn.XLOOKUP($A343,Input_Raw!$A:$A,Input_Raw!$BF:$BF),"")</f>
        <v/>
      </c>
      <c r="Y343" s="167" t="str">
        <f>IFERROR(_xlfn.XLOOKUP($A343,Input_Raw!$A:$A,Input_Raw!BJ:BJ),"")</f>
        <v/>
      </c>
      <c r="Z343" s="167" t="str">
        <f>IFERROR(_xlfn.XLOOKUP($A343,Input_Raw!$A:$A,Input_Raw!BK:BK),"")</f>
        <v/>
      </c>
      <c r="AA343" s="167" t="str">
        <f>IFERROR(_xlfn.XLOOKUP($A343,Input_Raw!$A:$A,Input_Raw!BL:BL),"")</f>
        <v/>
      </c>
      <c r="AB343" s="167" t="str">
        <f>IFERROR(_xlfn.XLOOKUP($A343,Input_Raw!$A:$A,Input_Raw!$BO:$BO),"")</f>
        <v/>
      </c>
      <c r="AC343" s="176">
        <f>IFERROR(_xlfn.XLOOKUP($D343,'Modelling New'!$D:$D,'Modelling New'!$J:$J),"")</f>
        <v>6.89</v>
      </c>
      <c r="AD343" s="166">
        <f>IFERROR(_xlfn.XLOOKUP($D343,'Modelling New'!$D:$D,'Modelling New'!$T:$T)*1000,"")</f>
        <v>629607.18715270935</v>
      </c>
      <c r="AE343" s="174"/>
      <c r="AF343" s="174">
        <f>IFERROR(_xlfn.XLOOKUP($D343,'Modelling New'!$D:$D,'Modelling New'!$W:$W),"")</f>
        <v>0.3736984729064039</v>
      </c>
      <c r="AG343" s="174">
        <f>IFERROR(_xlfn.XLOOKUP($D343,'Modelling New'!$D:$D,'Modelling New'!$AE:$AE),"")</f>
        <v>0.96029999999999993</v>
      </c>
      <c r="AH343" s="174">
        <f>IFERROR(_xlfn.XLOOKUP($D343,'Modelling New'!$D:$D,'Modelling New'!$AF:$AF),"")</f>
        <v>0.995</v>
      </c>
      <c r="AI343" s="177" t="str">
        <f>IFERROR(_xlfn.XLOOKUP($A343,Input_Raw!$A:$A,Input_Raw!$BQ:$BQ),"")</f>
        <v/>
      </c>
      <c r="AJ343" s="167"/>
      <c r="AK343" s="167"/>
      <c r="AL343" s="167"/>
      <c r="AM343" s="167"/>
      <c r="AN343" s="175" t="str">
        <f>IFERROR(_xlfn.XLOOKUP($A343,Input_Raw!$A:$A,Input_Raw!$BN:$BN),"")</f>
        <v/>
      </c>
      <c r="AO343" s="174" t="str">
        <f>IFERROR((_xlfn.XLOOKUP($A343,'WTG Reactive Power'!$A:$A,'WTG Reactive Power'!$AE:$AE))/Table13[[#This Row],[Gen_Exp (kWh)]],"")</f>
        <v/>
      </c>
      <c r="AP343" s="174">
        <f>IFERROR(_xlfn.XLOOKUP($D343,'Modelling New'!$D:$D,'Modelling New'!$AK:$AK),"")</f>
        <v>0.05</v>
      </c>
      <c r="AQ343" s="174">
        <f>IFERROR(_xlfn.XLOOKUP($D343,'Modelling New'!$D:$D,'Modelling New'!$AL:$AL),"")</f>
        <v>0.05</v>
      </c>
      <c r="AR343" s="276">
        <f>IFERROR(_xlfn.XLOOKUP($D343,'Modelling New'!$D:$D,'Modelling New'!$N:$N),"")</f>
        <v>70.2</v>
      </c>
      <c r="AS343" s="276"/>
    </row>
    <row r="344" spans="1:45">
      <c r="A344" s="165">
        <f t="shared" si="23"/>
        <v>46087</v>
      </c>
      <c r="B344" s="166">
        <f>YEAR(Table13[[#This Row],[Date]])+IF(MONTH(Table13[[#This Row],[Date]])&gt;=4,1,0)</f>
        <v>2026</v>
      </c>
      <c r="C344" s="167">
        <f>YEAR(Table13[[#This Row],[Date]])</f>
        <v>2026</v>
      </c>
      <c r="D344" s="168">
        <f>Table13[[#This Row],[Date]]-DAY(Table13[[#This Row],[Date]])+1</f>
        <v>46082</v>
      </c>
      <c r="E344" s="167">
        <f t="shared" ref="E344:E369" si="24">DAY(EOMONTH(A344,0))</f>
        <v>31</v>
      </c>
      <c r="F344" s="169"/>
      <c r="G344" s="170"/>
      <c r="H344" s="170"/>
      <c r="I344" s="170"/>
      <c r="J344" s="170"/>
      <c r="K344" s="171"/>
      <c r="L344" s="170"/>
      <c r="M344" s="170" t="str">
        <f>IFERROR(_xlfn.XLOOKUP($A344,Input_Raw!$A:$A,Input_Raw!BG:BG),"")</f>
        <v/>
      </c>
      <c r="N344" s="170" t="str">
        <f>IFERROR(_xlfn.XLOOKUP($A344,Input_Raw!$A:$A,Input_Raw!BH:BH),"")</f>
        <v/>
      </c>
      <c r="O344" s="173" t="str">
        <f t="shared" ref="O344:O369" si="25">IFERROR(P344*Q344,"")</f>
        <v/>
      </c>
      <c r="P344" s="173" t="str">
        <f>IFERROR(1-SUMIF(WTG_BD!$F:$F,$A344,WTG_BD!$AA:$AA)/($AA344+SUMIF(WTG_BD!$F:$F,$A344,WTG_BD!$AA:$AA)),"")</f>
        <v/>
      </c>
      <c r="Q344" s="173" t="str">
        <f>IFERROR(1-SUMIF(IGA_BD!$F:$F,$A344,IGA_BD!$X:$X)/($AA344+SUMIF(IGA_BD!$F:$F,$A344,IGA_BD!$X:$X)),"")</f>
        <v/>
      </c>
      <c r="R344" s="173" t="str">
        <f>IFERROR(1-SUMIF(Grid_BD!$F:$F,$A344,Grid_BD!$Y:$Y)/($AA344+SUMIF(Grid_BD!$F:$F,$A344,Grid_BD!$Y:$Y)),"")</f>
        <v/>
      </c>
      <c r="S344" s="167"/>
      <c r="T344" s="172"/>
      <c r="U344" s="173"/>
      <c r="V344" s="167"/>
      <c r="W344" s="174" t="str">
        <f t="shared" ref="W344:W369" si="26">IFERROR(AA344/(24*AR344*1000),"")</f>
        <v/>
      </c>
      <c r="X344" s="167" t="str">
        <f>IFERROR(_xlfn.XLOOKUP($A344,Input_Raw!$A:$A,Input_Raw!$BF:$BF),"")</f>
        <v/>
      </c>
      <c r="Y344" s="167" t="str">
        <f>IFERROR(_xlfn.XLOOKUP($A344,Input_Raw!$A:$A,Input_Raw!BJ:BJ),"")</f>
        <v/>
      </c>
      <c r="Z344" s="167" t="str">
        <f>IFERROR(_xlfn.XLOOKUP($A344,Input_Raw!$A:$A,Input_Raw!BK:BK),"")</f>
        <v/>
      </c>
      <c r="AA344" s="167" t="str">
        <f>IFERROR(_xlfn.XLOOKUP($A344,Input_Raw!$A:$A,Input_Raw!BL:BL),"")</f>
        <v/>
      </c>
      <c r="AB344" s="167" t="str">
        <f>IFERROR(_xlfn.XLOOKUP($A344,Input_Raw!$A:$A,Input_Raw!$BO:$BO),"")</f>
        <v/>
      </c>
      <c r="AC344" s="176">
        <f>IFERROR(_xlfn.XLOOKUP($D344,'Modelling New'!$D:$D,'Modelling New'!$J:$J),"")</f>
        <v>6.89</v>
      </c>
      <c r="AD344" s="166">
        <f>IFERROR(_xlfn.XLOOKUP($D344,'Modelling New'!$D:$D,'Modelling New'!$T:$T)*1000,"")</f>
        <v>629607.18715270935</v>
      </c>
      <c r="AE344" s="174"/>
      <c r="AF344" s="174">
        <f>IFERROR(_xlfn.XLOOKUP($D344,'Modelling New'!$D:$D,'Modelling New'!$W:$W),"")</f>
        <v>0.3736984729064039</v>
      </c>
      <c r="AG344" s="174">
        <f>IFERROR(_xlfn.XLOOKUP($D344,'Modelling New'!$D:$D,'Modelling New'!$AE:$AE),"")</f>
        <v>0.96029999999999993</v>
      </c>
      <c r="AH344" s="174">
        <f>IFERROR(_xlfn.XLOOKUP($D344,'Modelling New'!$D:$D,'Modelling New'!$AF:$AF),"")</f>
        <v>0.995</v>
      </c>
      <c r="AI344" s="177" t="str">
        <f>IFERROR(_xlfn.XLOOKUP($A344,Input_Raw!$A:$A,Input_Raw!$BQ:$BQ),"")</f>
        <v/>
      </c>
      <c r="AJ344" s="167"/>
      <c r="AK344" s="167"/>
      <c r="AL344" s="167"/>
      <c r="AM344" s="167"/>
      <c r="AN344" s="175" t="str">
        <f>IFERROR(_xlfn.XLOOKUP($A344,Input_Raw!$A:$A,Input_Raw!$BN:$BN),"")</f>
        <v/>
      </c>
      <c r="AO344" s="174" t="str">
        <f>IFERROR((_xlfn.XLOOKUP($A344,'WTG Reactive Power'!$A:$A,'WTG Reactive Power'!$AE:$AE))/Table13[[#This Row],[Gen_Exp (kWh)]],"")</f>
        <v/>
      </c>
      <c r="AP344" s="174">
        <f>IFERROR(_xlfn.XLOOKUP($D344,'Modelling New'!$D:$D,'Modelling New'!$AK:$AK),"")</f>
        <v>0.05</v>
      </c>
      <c r="AQ344" s="174">
        <f>IFERROR(_xlfn.XLOOKUP($D344,'Modelling New'!$D:$D,'Modelling New'!$AL:$AL),"")</f>
        <v>0.05</v>
      </c>
      <c r="AR344" s="276">
        <f>IFERROR(_xlfn.XLOOKUP($D344,'Modelling New'!$D:$D,'Modelling New'!$N:$N),"")</f>
        <v>70.2</v>
      </c>
      <c r="AS344" s="276"/>
    </row>
    <row r="345" spans="1:45">
      <c r="A345" s="165">
        <f t="shared" si="23"/>
        <v>46088</v>
      </c>
      <c r="B345" s="166">
        <f>YEAR(Table13[[#This Row],[Date]])+IF(MONTH(Table13[[#This Row],[Date]])&gt;=4,1,0)</f>
        <v>2026</v>
      </c>
      <c r="C345" s="167">
        <f>YEAR(Table13[[#This Row],[Date]])</f>
        <v>2026</v>
      </c>
      <c r="D345" s="168">
        <f>Table13[[#This Row],[Date]]-DAY(Table13[[#This Row],[Date]])+1</f>
        <v>46082</v>
      </c>
      <c r="E345" s="167">
        <f t="shared" si="24"/>
        <v>31</v>
      </c>
      <c r="F345" s="169"/>
      <c r="G345" s="176"/>
      <c r="H345" s="176"/>
      <c r="I345" s="176"/>
      <c r="J345" s="176"/>
      <c r="K345" s="171"/>
      <c r="L345" s="170"/>
      <c r="M345" s="170" t="str">
        <f>IFERROR(_xlfn.XLOOKUP($A345,Input_Raw!$A:$A,Input_Raw!BG:BG),"")</f>
        <v/>
      </c>
      <c r="N345" s="170" t="str">
        <f>IFERROR(_xlfn.XLOOKUP($A345,Input_Raw!$A:$A,Input_Raw!BH:BH),"")</f>
        <v/>
      </c>
      <c r="O345" s="173" t="str">
        <f t="shared" si="25"/>
        <v/>
      </c>
      <c r="P345" s="173" t="str">
        <f>IFERROR(1-SUMIF(WTG_BD!$F:$F,$A345,WTG_BD!$AA:$AA)/($AA345+SUMIF(WTG_BD!$F:$F,$A345,WTG_BD!$AA:$AA)),"")</f>
        <v/>
      </c>
      <c r="Q345" s="173" t="str">
        <f>IFERROR(1-SUMIF(IGA_BD!$F:$F,$A345,IGA_BD!$X:$X)/($AA345+SUMIF(IGA_BD!$F:$F,$A345,IGA_BD!$X:$X)),"")</f>
        <v/>
      </c>
      <c r="R345" s="173" t="str">
        <f>IFERROR(1-SUMIF(Grid_BD!$F:$F,$A345,Grid_BD!$Y:$Y)/($AA345+SUMIF(Grid_BD!$F:$F,$A345,Grid_BD!$Y:$Y)),"")</f>
        <v/>
      </c>
      <c r="S345" s="167"/>
      <c r="T345" s="172"/>
      <c r="U345" s="173"/>
      <c r="V345" s="167"/>
      <c r="W345" s="174" t="str">
        <f t="shared" si="26"/>
        <v/>
      </c>
      <c r="X345" s="167" t="str">
        <f>IFERROR(_xlfn.XLOOKUP($A345,Input_Raw!$A:$A,Input_Raw!$BF:$BF),"")</f>
        <v/>
      </c>
      <c r="Y345" s="167" t="str">
        <f>IFERROR(_xlfn.XLOOKUP($A345,Input_Raw!$A:$A,Input_Raw!BJ:BJ),"")</f>
        <v/>
      </c>
      <c r="Z345" s="167" t="str">
        <f>IFERROR(_xlfn.XLOOKUP($A345,Input_Raw!$A:$A,Input_Raw!BK:BK),"")</f>
        <v/>
      </c>
      <c r="AA345" s="167" t="str">
        <f>IFERROR(_xlfn.XLOOKUP($A345,Input_Raw!$A:$A,Input_Raw!BL:BL),"")</f>
        <v/>
      </c>
      <c r="AB345" s="167" t="str">
        <f>IFERROR(_xlfn.XLOOKUP($A345,Input_Raw!$A:$A,Input_Raw!$BO:$BO),"")</f>
        <v/>
      </c>
      <c r="AC345" s="176">
        <f>IFERROR(_xlfn.XLOOKUP($D345,'Modelling New'!$D:$D,'Modelling New'!$J:$J),"")</f>
        <v>6.89</v>
      </c>
      <c r="AD345" s="166">
        <f>IFERROR(_xlfn.XLOOKUP($D345,'Modelling New'!$D:$D,'Modelling New'!$T:$T)*1000,"")</f>
        <v>629607.18715270935</v>
      </c>
      <c r="AE345" s="174"/>
      <c r="AF345" s="174">
        <f>IFERROR(_xlfn.XLOOKUP($D345,'Modelling New'!$D:$D,'Modelling New'!$W:$W),"")</f>
        <v>0.3736984729064039</v>
      </c>
      <c r="AG345" s="174">
        <f>IFERROR(_xlfn.XLOOKUP($D345,'Modelling New'!$D:$D,'Modelling New'!$AE:$AE),"")</f>
        <v>0.96029999999999993</v>
      </c>
      <c r="AH345" s="174">
        <f>IFERROR(_xlfn.XLOOKUP($D345,'Modelling New'!$D:$D,'Modelling New'!$AF:$AF),"")</f>
        <v>0.995</v>
      </c>
      <c r="AI345" s="177" t="str">
        <f>IFERROR(_xlfn.XLOOKUP($A345,Input_Raw!$A:$A,Input_Raw!$BQ:$BQ),"")</f>
        <v/>
      </c>
      <c r="AJ345" s="167"/>
      <c r="AK345" s="167"/>
      <c r="AL345" s="167"/>
      <c r="AM345" s="167"/>
      <c r="AN345" s="175" t="str">
        <f>IFERROR(_xlfn.XLOOKUP($A345,Input_Raw!$A:$A,Input_Raw!$BN:$BN),"")</f>
        <v/>
      </c>
      <c r="AO345" s="174" t="str">
        <f>IFERROR((_xlfn.XLOOKUP($A345,'WTG Reactive Power'!$A:$A,'WTG Reactive Power'!$AE:$AE))/Table13[[#This Row],[Gen_Exp (kWh)]],"")</f>
        <v/>
      </c>
      <c r="AP345" s="174">
        <f>IFERROR(_xlfn.XLOOKUP($D345,'Modelling New'!$D:$D,'Modelling New'!$AK:$AK),"")</f>
        <v>0.05</v>
      </c>
      <c r="AQ345" s="174">
        <f>IFERROR(_xlfn.XLOOKUP($D345,'Modelling New'!$D:$D,'Modelling New'!$AL:$AL),"")</f>
        <v>0.05</v>
      </c>
      <c r="AR345" s="276">
        <f>IFERROR(_xlfn.XLOOKUP($D345,'Modelling New'!$D:$D,'Modelling New'!$N:$N),"")</f>
        <v>70.2</v>
      </c>
      <c r="AS345" s="276"/>
    </row>
    <row r="346" spans="1:45">
      <c r="A346" s="165">
        <f t="shared" ref="A346:A369" si="27">A345+1</f>
        <v>46089</v>
      </c>
      <c r="B346" s="166">
        <f>YEAR(Table13[[#This Row],[Date]])+IF(MONTH(Table13[[#This Row],[Date]])&gt;=4,1,0)</f>
        <v>2026</v>
      </c>
      <c r="C346" s="167">
        <f>YEAR(Table13[[#This Row],[Date]])</f>
        <v>2026</v>
      </c>
      <c r="D346" s="168">
        <f>Table13[[#This Row],[Date]]-DAY(Table13[[#This Row],[Date]])+1</f>
        <v>46082</v>
      </c>
      <c r="E346" s="167">
        <f t="shared" si="24"/>
        <v>31</v>
      </c>
      <c r="F346" s="169"/>
      <c r="G346" s="170"/>
      <c r="H346" s="170"/>
      <c r="I346" s="170"/>
      <c r="J346" s="170"/>
      <c r="K346" s="171"/>
      <c r="L346" s="170"/>
      <c r="M346" s="170" t="str">
        <f>IFERROR(_xlfn.XLOOKUP($A346,Input_Raw!$A:$A,Input_Raw!BG:BG),"")</f>
        <v/>
      </c>
      <c r="N346" s="170" t="str">
        <f>IFERROR(_xlfn.XLOOKUP($A346,Input_Raw!$A:$A,Input_Raw!BH:BH),"")</f>
        <v/>
      </c>
      <c r="O346" s="173" t="str">
        <f t="shared" si="25"/>
        <v/>
      </c>
      <c r="P346" s="173" t="str">
        <f>IFERROR(1-SUMIF(WTG_BD!$F:$F,$A346,WTG_BD!$AA:$AA)/($AA346+SUMIF(WTG_BD!$F:$F,$A346,WTG_BD!$AA:$AA)),"")</f>
        <v/>
      </c>
      <c r="Q346" s="173" t="str">
        <f>IFERROR(1-SUMIF(IGA_BD!$F:$F,$A346,IGA_BD!$X:$X)/($AA346+SUMIF(IGA_BD!$F:$F,$A346,IGA_BD!$X:$X)),"")</f>
        <v/>
      </c>
      <c r="R346" s="173" t="str">
        <f>IFERROR(1-SUMIF(Grid_BD!$F:$F,$A346,Grid_BD!$Y:$Y)/($AA346+SUMIF(Grid_BD!$F:$F,$A346,Grid_BD!$Y:$Y)),"")</f>
        <v/>
      </c>
      <c r="S346" s="167"/>
      <c r="T346" s="172"/>
      <c r="U346" s="173"/>
      <c r="V346" s="167"/>
      <c r="W346" s="174" t="str">
        <f t="shared" si="26"/>
        <v/>
      </c>
      <c r="X346" s="167" t="str">
        <f>IFERROR(_xlfn.XLOOKUP($A346,Input_Raw!$A:$A,Input_Raw!$BF:$BF),"")</f>
        <v/>
      </c>
      <c r="Y346" s="167" t="str">
        <f>IFERROR(_xlfn.XLOOKUP($A346,Input_Raw!$A:$A,Input_Raw!BJ:BJ),"")</f>
        <v/>
      </c>
      <c r="Z346" s="167" t="str">
        <f>IFERROR(_xlfn.XLOOKUP($A346,Input_Raw!$A:$A,Input_Raw!BK:BK),"")</f>
        <v/>
      </c>
      <c r="AA346" s="167" t="str">
        <f>IFERROR(_xlfn.XLOOKUP($A346,Input_Raw!$A:$A,Input_Raw!BL:BL),"")</f>
        <v/>
      </c>
      <c r="AB346" s="167" t="str">
        <f>IFERROR(_xlfn.XLOOKUP($A346,Input_Raw!$A:$A,Input_Raw!$BO:$BO),"")</f>
        <v/>
      </c>
      <c r="AC346" s="176">
        <f>IFERROR(_xlfn.XLOOKUP($D346,'Modelling New'!$D:$D,'Modelling New'!$J:$J),"")</f>
        <v>6.89</v>
      </c>
      <c r="AD346" s="166">
        <f>IFERROR(_xlfn.XLOOKUP($D346,'Modelling New'!$D:$D,'Modelling New'!$T:$T)*1000,"")</f>
        <v>629607.18715270935</v>
      </c>
      <c r="AE346" s="174"/>
      <c r="AF346" s="174">
        <f>IFERROR(_xlfn.XLOOKUP($D346,'Modelling New'!$D:$D,'Modelling New'!$W:$W),"")</f>
        <v>0.3736984729064039</v>
      </c>
      <c r="AG346" s="174">
        <f>IFERROR(_xlfn.XLOOKUP($D346,'Modelling New'!$D:$D,'Modelling New'!$AE:$AE),"")</f>
        <v>0.96029999999999993</v>
      </c>
      <c r="AH346" s="174">
        <f>IFERROR(_xlfn.XLOOKUP($D346,'Modelling New'!$D:$D,'Modelling New'!$AF:$AF),"")</f>
        <v>0.995</v>
      </c>
      <c r="AI346" s="177" t="str">
        <f>IFERROR(_xlfn.XLOOKUP($A346,Input_Raw!$A:$A,Input_Raw!$BQ:$BQ),"")</f>
        <v/>
      </c>
      <c r="AJ346" s="167"/>
      <c r="AK346" s="167"/>
      <c r="AL346" s="167"/>
      <c r="AM346" s="167"/>
      <c r="AN346" s="175" t="str">
        <f>IFERROR(_xlfn.XLOOKUP($A346,Input_Raw!$A:$A,Input_Raw!$BN:$BN),"")</f>
        <v/>
      </c>
      <c r="AO346" s="174" t="str">
        <f>IFERROR((_xlfn.XLOOKUP($A346,'WTG Reactive Power'!$A:$A,'WTG Reactive Power'!$AE:$AE))/Table13[[#This Row],[Gen_Exp (kWh)]],"")</f>
        <v/>
      </c>
      <c r="AP346" s="174">
        <f>IFERROR(_xlfn.XLOOKUP($D346,'Modelling New'!$D:$D,'Modelling New'!$AK:$AK),"")</f>
        <v>0.05</v>
      </c>
      <c r="AQ346" s="174">
        <f>IFERROR(_xlfn.XLOOKUP($D346,'Modelling New'!$D:$D,'Modelling New'!$AL:$AL),"")</f>
        <v>0.05</v>
      </c>
      <c r="AR346" s="276">
        <f>IFERROR(_xlfn.XLOOKUP($D346,'Modelling New'!$D:$D,'Modelling New'!$N:$N),"")</f>
        <v>70.2</v>
      </c>
      <c r="AS346" s="276"/>
    </row>
    <row r="347" spans="1:45">
      <c r="A347" s="165">
        <f t="shared" si="27"/>
        <v>46090</v>
      </c>
      <c r="B347" s="166">
        <f>YEAR(Table13[[#This Row],[Date]])+IF(MONTH(Table13[[#This Row],[Date]])&gt;=4,1,0)</f>
        <v>2026</v>
      </c>
      <c r="C347" s="167">
        <f>YEAR(Table13[[#This Row],[Date]])</f>
        <v>2026</v>
      </c>
      <c r="D347" s="168">
        <f>Table13[[#This Row],[Date]]-DAY(Table13[[#This Row],[Date]])+1</f>
        <v>46082</v>
      </c>
      <c r="E347" s="167">
        <f t="shared" si="24"/>
        <v>31</v>
      </c>
      <c r="F347" s="169"/>
      <c r="G347" s="176"/>
      <c r="H347" s="176"/>
      <c r="I347" s="176"/>
      <c r="J347" s="176"/>
      <c r="K347" s="171"/>
      <c r="L347" s="170"/>
      <c r="M347" s="170" t="str">
        <f>IFERROR(_xlfn.XLOOKUP($A347,Input_Raw!$A:$A,Input_Raw!BG:BG),"")</f>
        <v/>
      </c>
      <c r="N347" s="170" t="str">
        <f>IFERROR(_xlfn.XLOOKUP($A347,Input_Raw!$A:$A,Input_Raw!BH:BH),"")</f>
        <v/>
      </c>
      <c r="O347" s="173" t="str">
        <f t="shared" si="25"/>
        <v/>
      </c>
      <c r="P347" s="173" t="str">
        <f>IFERROR(1-SUMIF(WTG_BD!$F:$F,$A347,WTG_BD!$AA:$AA)/($AA347+SUMIF(WTG_BD!$F:$F,$A347,WTG_BD!$AA:$AA)),"")</f>
        <v/>
      </c>
      <c r="Q347" s="173" t="str">
        <f>IFERROR(1-SUMIF(IGA_BD!$F:$F,$A347,IGA_BD!$X:$X)/($AA347+SUMIF(IGA_BD!$F:$F,$A347,IGA_BD!$X:$X)),"")</f>
        <v/>
      </c>
      <c r="R347" s="173" t="str">
        <f>IFERROR(1-SUMIF(Grid_BD!$F:$F,$A347,Grid_BD!$Y:$Y)/($AA347+SUMIF(Grid_BD!$F:$F,$A347,Grid_BD!$Y:$Y)),"")</f>
        <v/>
      </c>
      <c r="S347" s="167"/>
      <c r="T347" s="172"/>
      <c r="U347" s="173"/>
      <c r="V347" s="167"/>
      <c r="W347" s="174" t="str">
        <f t="shared" si="26"/>
        <v/>
      </c>
      <c r="X347" s="167" t="str">
        <f>IFERROR(_xlfn.XLOOKUP($A347,Input_Raw!$A:$A,Input_Raw!$BF:$BF),"")</f>
        <v/>
      </c>
      <c r="Y347" s="167" t="str">
        <f>IFERROR(_xlfn.XLOOKUP($A347,Input_Raw!$A:$A,Input_Raw!BJ:BJ),"")</f>
        <v/>
      </c>
      <c r="Z347" s="167" t="str">
        <f>IFERROR(_xlfn.XLOOKUP($A347,Input_Raw!$A:$A,Input_Raw!BK:BK),"")</f>
        <v/>
      </c>
      <c r="AA347" s="167" t="str">
        <f>IFERROR(_xlfn.XLOOKUP($A347,Input_Raw!$A:$A,Input_Raw!BL:BL),"")</f>
        <v/>
      </c>
      <c r="AB347" s="167" t="str">
        <f>IFERROR(_xlfn.XLOOKUP($A347,Input_Raw!$A:$A,Input_Raw!$BO:$BO),"")</f>
        <v/>
      </c>
      <c r="AC347" s="176">
        <f>IFERROR(_xlfn.XLOOKUP($D347,'Modelling New'!$D:$D,'Modelling New'!$J:$J),"")</f>
        <v>6.89</v>
      </c>
      <c r="AD347" s="166">
        <f>IFERROR(_xlfn.XLOOKUP($D347,'Modelling New'!$D:$D,'Modelling New'!$T:$T)*1000,"")</f>
        <v>629607.18715270935</v>
      </c>
      <c r="AE347" s="174"/>
      <c r="AF347" s="174">
        <f>IFERROR(_xlfn.XLOOKUP($D347,'Modelling New'!$D:$D,'Modelling New'!$W:$W),"")</f>
        <v>0.3736984729064039</v>
      </c>
      <c r="AG347" s="174">
        <f>IFERROR(_xlfn.XLOOKUP($D347,'Modelling New'!$D:$D,'Modelling New'!$AE:$AE),"")</f>
        <v>0.96029999999999993</v>
      </c>
      <c r="AH347" s="174">
        <f>IFERROR(_xlfn.XLOOKUP($D347,'Modelling New'!$D:$D,'Modelling New'!$AF:$AF),"")</f>
        <v>0.995</v>
      </c>
      <c r="AI347" s="177" t="str">
        <f>IFERROR(_xlfn.XLOOKUP($A347,Input_Raw!$A:$A,Input_Raw!$BQ:$BQ),"")</f>
        <v/>
      </c>
      <c r="AJ347" s="167"/>
      <c r="AK347" s="167"/>
      <c r="AL347" s="167"/>
      <c r="AM347" s="167"/>
      <c r="AN347" s="175" t="str">
        <f>IFERROR(_xlfn.XLOOKUP($A347,Input_Raw!$A:$A,Input_Raw!$BN:$BN),"")</f>
        <v/>
      </c>
      <c r="AO347" s="174" t="str">
        <f>IFERROR((_xlfn.XLOOKUP($A347,'WTG Reactive Power'!$A:$A,'WTG Reactive Power'!$AE:$AE))/Table13[[#This Row],[Gen_Exp (kWh)]],"")</f>
        <v/>
      </c>
      <c r="AP347" s="174">
        <f>IFERROR(_xlfn.XLOOKUP($D347,'Modelling New'!$D:$D,'Modelling New'!$AK:$AK),"")</f>
        <v>0.05</v>
      </c>
      <c r="AQ347" s="174">
        <f>IFERROR(_xlfn.XLOOKUP($D347,'Modelling New'!$D:$D,'Modelling New'!$AL:$AL),"")</f>
        <v>0.05</v>
      </c>
      <c r="AR347" s="276">
        <f>IFERROR(_xlfn.XLOOKUP($D347,'Modelling New'!$D:$D,'Modelling New'!$N:$N),"")</f>
        <v>70.2</v>
      </c>
      <c r="AS347" s="276"/>
    </row>
    <row r="348" spans="1:45">
      <c r="A348" s="165">
        <f t="shared" si="27"/>
        <v>46091</v>
      </c>
      <c r="B348" s="166">
        <f>YEAR(Table13[[#This Row],[Date]])+IF(MONTH(Table13[[#This Row],[Date]])&gt;=4,1,0)</f>
        <v>2026</v>
      </c>
      <c r="C348" s="167">
        <f>YEAR(Table13[[#This Row],[Date]])</f>
        <v>2026</v>
      </c>
      <c r="D348" s="168">
        <f>Table13[[#This Row],[Date]]-DAY(Table13[[#This Row],[Date]])+1</f>
        <v>46082</v>
      </c>
      <c r="E348" s="167">
        <f t="shared" si="24"/>
        <v>31</v>
      </c>
      <c r="F348" s="169"/>
      <c r="G348" s="170"/>
      <c r="H348" s="170"/>
      <c r="I348" s="170"/>
      <c r="J348" s="170"/>
      <c r="K348" s="171"/>
      <c r="L348" s="170"/>
      <c r="M348" s="170" t="str">
        <f>IFERROR(_xlfn.XLOOKUP($A348,Input_Raw!$A:$A,Input_Raw!BG:BG),"")</f>
        <v/>
      </c>
      <c r="N348" s="170" t="str">
        <f>IFERROR(_xlfn.XLOOKUP($A348,Input_Raw!$A:$A,Input_Raw!BH:BH),"")</f>
        <v/>
      </c>
      <c r="O348" s="173" t="str">
        <f t="shared" si="25"/>
        <v/>
      </c>
      <c r="P348" s="173" t="str">
        <f>IFERROR(1-SUMIF(WTG_BD!$F:$F,$A348,WTG_BD!$AA:$AA)/($AA348+SUMIF(WTG_BD!$F:$F,$A348,WTG_BD!$AA:$AA)),"")</f>
        <v/>
      </c>
      <c r="Q348" s="173" t="str">
        <f>IFERROR(1-SUMIF(IGA_BD!$F:$F,$A348,IGA_BD!$X:$X)/($AA348+SUMIF(IGA_BD!$F:$F,$A348,IGA_BD!$X:$X)),"")</f>
        <v/>
      </c>
      <c r="R348" s="173" t="str">
        <f>IFERROR(1-SUMIF(Grid_BD!$F:$F,$A348,Grid_BD!$Y:$Y)/($AA348+SUMIF(Grid_BD!$F:$F,$A348,Grid_BD!$Y:$Y)),"")</f>
        <v/>
      </c>
      <c r="S348" s="167"/>
      <c r="T348" s="172"/>
      <c r="U348" s="173"/>
      <c r="V348" s="167"/>
      <c r="W348" s="174" t="str">
        <f t="shared" si="26"/>
        <v/>
      </c>
      <c r="X348" s="167" t="str">
        <f>IFERROR(_xlfn.XLOOKUP($A348,Input_Raw!$A:$A,Input_Raw!$BF:$BF),"")</f>
        <v/>
      </c>
      <c r="Y348" s="167" t="str">
        <f>IFERROR(_xlfn.XLOOKUP($A348,Input_Raw!$A:$A,Input_Raw!BJ:BJ),"")</f>
        <v/>
      </c>
      <c r="Z348" s="167" t="str">
        <f>IFERROR(_xlfn.XLOOKUP($A348,Input_Raw!$A:$A,Input_Raw!BK:BK),"")</f>
        <v/>
      </c>
      <c r="AA348" s="167" t="str">
        <f>IFERROR(_xlfn.XLOOKUP($A348,Input_Raw!$A:$A,Input_Raw!BL:BL),"")</f>
        <v/>
      </c>
      <c r="AB348" s="167" t="str">
        <f>IFERROR(_xlfn.XLOOKUP($A348,Input_Raw!$A:$A,Input_Raw!$BO:$BO),"")</f>
        <v/>
      </c>
      <c r="AC348" s="176">
        <f>IFERROR(_xlfn.XLOOKUP($D348,'Modelling New'!$D:$D,'Modelling New'!$J:$J),"")</f>
        <v>6.89</v>
      </c>
      <c r="AD348" s="166">
        <f>IFERROR(_xlfn.XLOOKUP($D348,'Modelling New'!$D:$D,'Modelling New'!$T:$T)*1000,"")</f>
        <v>629607.18715270935</v>
      </c>
      <c r="AE348" s="174"/>
      <c r="AF348" s="174">
        <f>IFERROR(_xlfn.XLOOKUP($D348,'Modelling New'!$D:$D,'Modelling New'!$W:$W),"")</f>
        <v>0.3736984729064039</v>
      </c>
      <c r="AG348" s="174">
        <f>IFERROR(_xlfn.XLOOKUP($D348,'Modelling New'!$D:$D,'Modelling New'!$AE:$AE),"")</f>
        <v>0.96029999999999993</v>
      </c>
      <c r="AH348" s="174">
        <f>IFERROR(_xlfn.XLOOKUP($D348,'Modelling New'!$D:$D,'Modelling New'!$AF:$AF),"")</f>
        <v>0.995</v>
      </c>
      <c r="AI348" s="177" t="str">
        <f>IFERROR(_xlfn.XLOOKUP($A348,Input_Raw!$A:$A,Input_Raw!$BQ:$BQ),"")</f>
        <v/>
      </c>
      <c r="AJ348" s="167"/>
      <c r="AK348" s="167"/>
      <c r="AL348" s="167"/>
      <c r="AM348" s="167"/>
      <c r="AN348" s="175" t="str">
        <f>IFERROR(_xlfn.XLOOKUP($A348,Input_Raw!$A:$A,Input_Raw!$BN:$BN),"")</f>
        <v/>
      </c>
      <c r="AO348" s="174" t="str">
        <f>IFERROR((_xlfn.XLOOKUP($A348,'WTG Reactive Power'!$A:$A,'WTG Reactive Power'!$AE:$AE))/Table13[[#This Row],[Gen_Exp (kWh)]],"")</f>
        <v/>
      </c>
      <c r="AP348" s="174">
        <f>IFERROR(_xlfn.XLOOKUP($D348,'Modelling New'!$D:$D,'Modelling New'!$AK:$AK),"")</f>
        <v>0.05</v>
      </c>
      <c r="AQ348" s="174">
        <f>IFERROR(_xlfn.XLOOKUP($D348,'Modelling New'!$D:$D,'Modelling New'!$AL:$AL),"")</f>
        <v>0.05</v>
      </c>
      <c r="AR348" s="276">
        <f>IFERROR(_xlfn.XLOOKUP($D348,'Modelling New'!$D:$D,'Modelling New'!$N:$N),"")</f>
        <v>70.2</v>
      </c>
      <c r="AS348" s="276"/>
    </row>
    <row r="349" spans="1:45">
      <c r="A349" s="165">
        <f t="shared" si="27"/>
        <v>46092</v>
      </c>
      <c r="B349" s="166">
        <f>YEAR(Table13[[#This Row],[Date]])+IF(MONTH(Table13[[#This Row],[Date]])&gt;=4,1,0)</f>
        <v>2026</v>
      </c>
      <c r="C349" s="167">
        <f>YEAR(Table13[[#This Row],[Date]])</f>
        <v>2026</v>
      </c>
      <c r="D349" s="168">
        <f>Table13[[#This Row],[Date]]-DAY(Table13[[#This Row],[Date]])+1</f>
        <v>46082</v>
      </c>
      <c r="E349" s="167">
        <f t="shared" si="24"/>
        <v>31</v>
      </c>
      <c r="F349" s="169"/>
      <c r="G349" s="176"/>
      <c r="H349" s="176"/>
      <c r="I349" s="176"/>
      <c r="J349" s="176"/>
      <c r="K349" s="171"/>
      <c r="L349" s="170"/>
      <c r="M349" s="170" t="str">
        <f>IFERROR(_xlfn.XLOOKUP($A349,Input_Raw!$A:$A,Input_Raw!BG:BG),"")</f>
        <v/>
      </c>
      <c r="N349" s="170" t="str">
        <f>IFERROR(_xlfn.XLOOKUP($A349,Input_Raw!$A:$A,Input_Raw!BH:BH),"")</f>
        <v/>
      </c>
      <c r="O349" s="173" t="str">
        <f t="shared" si="25"/>
        <v/>
      </c>
      <c r="P349" s="173" t="str">
        <f>IFERROR(1-SUMIF(WTG_BD!$F:$F,$A349,WTG_BD!$AA:$AA)/($AA349+SUMIF(WTG_BD!$F:$F,$A349,WTG_BD!$AA:$AA)),"")</f>
        <v/>
      </c>
      <c r="Q349" s="173" t="str">
        <f>IFERROR(1-SUMIF(IGA_BD!$F:$F,$A349,IGA_BD!$X:$X)/($AA349+SUMIF(IGA_BD!$F:$F,$A349,IGA_BD!$X:$X)),"")</f>
        <v/>
      </c>
      <c r="R349" s="173" t="str">
        <f>IFERROR(1-SUMIF(Grid_BD!$F:$F,$A349,Grid_BD!$Y:$Y)/($AA349+SUMIF(Grid_BD!$F:$F,$A349,Grid_BD!$Y:$Y)),"")</f>
        <v/>
      </c>
      <c r="S349" s="167"/>
      <c r="T349" s="172"/>
      <c r="U349" s="173"/>
      <c r="V349" s="167"/>
      <c r="W349" s="174" t="str">
        <f t="shared" si="26"/>
        <v/>
      </c>
      <c r="X349" s="167" t="str">
        <f>IFERROR(_xlfn.XLOOKUP($A349,Input_Raw!$A:$A,Input_Raw!$BF:$BF),"")</f>
        <v/>
      </c>
      <c r="Y349" s="167" t="str">
        <f>IFERROR(_xlfn.XLOOKUP($A349,Input_Raw!$A:$A,Input_Raw!BJ:BJ),"")</f>
        <v/>
      </c>
      <c r="Z349" s="167" t="str">
        <f>IFERROR(_xlfn.XLOOKUP($A349,Input_Raw!$A:$A,Input_Raw!BK:BK),"")</f>
        <v/>
      </c>
      <c r="AA349" s="167" t="str">
        <f>IFERROR(_xlfn.XLOOKUP($A349,Input_Raw!$A:$A,Input_Raw!BL:BL),"")</f>
        <v/>
      </c>
      <c r="AB349" s="167" t="str">
        <f>IFERROR(_xlfn.XLOOKUP($A349,Input_Raw!$A:$A,Input_Raw!$BO:$BO),"")</f>
        <v/>
      </c>
      <c r="AC349" s="176">
        <f>IFERROR(_xlfn.XLOOKUP($D349,'Modelling New'!$D:$D,'Modelling New'!$J:$J),"")</f>
        <v>6.89</v>
      </c>
      <c r="AD349" s="166">
        <f>IFERROR(_xlfn.XLOOKUP($D349,'Modelling New'!$D:$D,'Modelling New'!$T:$T)*1000,"")</f>
        <v>629607.18715270935</v>
      </c>
      <c r="AE349" s="174"/>
      <c r="AF349" s="174">
        <f>IFERROR(_xlfn.XLOOKUP($D349,'Modelling New'!$D:$D,'Modelling New'!$W:$W),"")</f>
        <v>0.3736984729064039</v>
      </c>
      <c r="AG349" s="174">
        <f>IFERROR(_xlfn.XLOOKUP($D349,'Modelling New'!$D:$D,'Modelling New'!$AE:$AE),"")</f>
        <v>0.96029999999999993</v>
      </c>
      <c r="AH349" s="174">
        <f>IFERROR(_xlfn.XLOOKUP($D349,'Modelling New'!$D:$D,'Modelling New'!$AF:$AF),"")</f>
        <v>0.995</v>
      </c>
      <c r="AI349" s="177" t="str">
        <f>IFERROR(_xlfn.XLOOKUP($A349,Input_Raw!$A:$A,Input_Raw!$BQ:$BQ),"")</f>
        <v/>
      </c>
      <c r="AJ349" s="167"/>
      <c r="AK349" s="167"/>
      <c r="AL349" s="167"/>
      <c r="AM349" s="167"/>
      <c r="AN349" s="175" t="str">
        <f>IFERROR(_xlfn.XLOOKUP($A349,Input_Raw!$A:$A,Input_Raw!$BN:$BN),"")</f>
        <v/>
      </c>
      <c r="AO349" s="174" t="str">
        <f>IFERROR((_xlfn.XLOOKUP($A349,'WTG Reactive Power'!$A:$A,'WTG Reactive Power'!$AE:$AE))/Table13[[#This Row],[Gen_Exp (kWh)]],"")</f>
        <v/>
      </c>
      <c r="AP349" s="174">
        <f>IFERROR(_xlfn.XLOOKUP($D349,'Modelling New'!$D:$D,'Modelling New'!$AK:$AK),"")</f>
        <v>0.05</v>
      </c>
      <c r="AQ349" s="174">
        <f>IFERROR(_xlfn.XLOOKUP($D349,'Modelling New'!$D:$D,'Modelling New'!$AL:$AL),"")</f>
        <v>0.05</v>
      </c>
      <c r="AR349" s="276">
        <f>IFERROR(_xlfn.XLOOKUP($D349,'Modelling New'!$D:$D,'Modelling New'!$N:$N),"")</f>
        <v>70.2</v>
      </c>
      <c r="AS349" s="276"/>
    </row>
    <row r="350" spans="1:45">
      <c r="A350" s="165">
        <f t="shared" si="27"/>
        <v>46093</v>
      </c>
      <c r="B350" s="166">
        <f>YEAR(Table13[[#This Row],[Date]])+IF(MONTH(Table13[[#This Row],[Date]])&gt;=4,1,0)</f>
        <v>2026</v>
      </c>
      <c r="C350" s="167">
        <f>YEAR(Table13[[#This Row],[Date]])</f>
        <v>2026</v>
      </c>
      <c r="D350" s="168">
        <f>Table13[[#This Row],[Date]]-DAY(Table13[[#This Row],[Date]])+1</f>
        <v>46082</v>
      </c>
      <c r="E350" s="167">
        <f t="shared" si="24"/>
        <v>31</v>
      </c>
      <c r="F350" s="169"/>
      <c r="G350" s="170"/>
      <c r="H350" s="170"/>
      <c r="I350" s="170"/>
      <c r="J350" s="170"/>
      <c r="K350" s="171"/>
      <c r="L350" s="170"/>
      <c r="M350" s="170" t="str">
        <f>IFERROR(_xlfn.XLOOKUP($A350,Input_Raw!$A:$A,Input_Raw!BG:BG),"")</f>
        <v/>
      </c>
      <c r="N350" s="170" t="str">
        <f>IFERROR(_xlfn.XLOOKUP($A350,Input_Raw!$A:$A,Input_Raw!BH:BH),"")</f>
        <v/>
      </c>
      <c r="O350" s="173" t="str">
        <f t="shared" si="25"/>
        <v/>
      </c>
      <c r="P350" s="173" t="str">
        <f>IFERROR(1-SUMIF(WTG_BD!$F:$F,$A350,WTG_BD!$AA:$AA)/($AA350+SUMIF(WTG_BD!$F:$F,$A350,WTG_BD!$AA:$AA)),"")</f>
        <v/>
      </c>
      <c r="Q350" s="173" t="str">
        <f>IFERROR(1-SUMIF(IGA_BD!$F:$F,$A350,IGA_BD!$X:$X)/($AA350+SUMIF(IGA_BD!$F:$F,$A350,IGA_BD!$X:$X)),"")</f>
        <v/>
      </c>
      <c r="R350" s="173" t="str">
        <f>IFERROR(1-SUMIF(Grid_BD!$F:$F,$A350,Grid_BD!$Y:$Y)/($AA350+SUMIF(Grid_BD!$F:$F,$A350,Grid_BD!$Y:$Y)),"")</f>
        <v/>
      </c>
      <c r="S350" s="167"/>
      <c r="T350" s="172"/>
      <c r="U350" s="173"/>
      <c r="V350" s="167"/>
      <c r="W350" s="174" t="str">
        <f t="shared" si="26"/>
        <v/>
      </c>
      <c r="X350" s="167" t="str">
        <f>IFERROR(_xlfn.XLOOKUP($A350,Input_Raw!$A:$A,Input_Raw!$BF:$BF),"")</f>
        <v/>
      </c>
      <c r="Y350" s="167" t="str">
        <f>IFERROR(_xlfn.XLOOKUP($A350,Input_Raw!$A:$A,Input_Raw!BJ:BJ),"")</f>
        <v/>
      </c>
      <c r="Z350" s="167" t="str">
        <f>IFERROR(_xlfn.XLOOKUP($A350,Input_Raw!$A:$A,Input_Raw!BK:BK),"")</f>
        <v/>
      </c>
      <c r="AA350" s="167" t="str">
        <f>IFERROR(_xlfn.XLOOKUP($A350,Input_Raw!$A:$A,Input_Raw!BL:BL),"")</f>
        <v/>
      </c>
      <c r="AB350" s="167" t="str">
        <f>IFERROR(_xlfn.XLOOKUP($A350,Input_Raw!$A:$A,Input_Raw!$BO:$BO),"")</f>
        <v/>
      </c>
      <c r="AC350" s="176">
        <f>IFERROR(_xlfn.XLOOKUP($D350,'Modelling New'!$D:$D,'Modelling New'!$J:$J),"")</f>
        <v>6.89</v>
      </c>
      <c r="AD350" s="166">
        <f>IFERROR(_xlfn.XLOOKUP($D350,'Modelling New'!$D:$D,'Modelling New'!$T:$T)*1000,"")</f>
        <v>629607.18715270935</v>
      </c>
      <c r="AE350" s="174"/>
      <c r="AF350" s="174">
        <f>IFERROR(_xlfn.XLOOKUP($D350,'Modelling New'!$D:$D,'Modelling New'!$W:$W),"")</f>
        <v>0.3736984729064039</v>
      </c>
      <c r="AG350" s="174">
        <f>IFERROR(_xlfn.XLOOKUP($D350,'Modelling New'!$D:$D,'Modelling New'!$AE:$AE),"")</f>
        <v>0.96029999999999993</v>
      </c>
      <c r="AH350" s="174">
        <f>IFERROR(_xlfn.XLOOKUP($D350,'Modelling New'!$D:$D,'Modelling New'!$AF:$AF),"")</f>
        <v>0.995</v>
      </c>
      <c r="AI350" s="177" t="str">
        <f>IFERROR(_xlfn.XLOOKUP($A350,Input_Raw!$A:$A,Input_Raw!$BQ:$BQ),"")</f>
        <v/>
      </c>
      <c r="AJ350" s="167"/>
      <c r="AK350" s="167"/>
      <c r="AL350" s="167"/>
      <c r="AM350" s="167"/>
      <c r="AN350" s="175" t="str">
        <f>IFERROR(_xlfn.XLOOKUP($A350,Input_Raw!$A:$A,Input_Raw!$BN:$BN),"")</f>
        <v/>
      </c>
      <c r="AO350" s="174" t="str">
        <f>IFERROR((_xlfn.XLOOKUP($A350,'WTG Reactive Power'!$A:$A,'WTG Reactive Power'!$AE:$AE))/Table13[[#This Row],[Gen_Exp (kWh)]],"")</f>
        <v/>
      </c>
      <c r="AP350" s="174">
        <f>IFERROR(_xlfn.XLOOKUP($D350,'Modelling New'!$D:$D,'Modelling New'!$AK:$AK),"")</f>
        <v>0.05</v>
      </c>
      <c r="AQ350" s="174">
        <f>IFERROR(_xlfn.XLOOKUP($D350,'Modelling New'!$D:$D,'Modelling New'!$AL:$AL),"")</f>
        <v>0.05</v>
      </c>
      <c r="AR350" s="276">
        <f>IFERROR(_xlfn.XLOOKUP($D350,'Modelling New'!$D:$D,'Modelling New'!$N:$N),"")</f>
        <v>70.2</v>
      </c>
      <c r="AS350" s="276"/>
    </row>
    <row r="351" spans="1:45">
      <c r="A351" s="165">
        <f t="shared" si="27"/>
        <v>46094</v>
      </c>
      <c r="B351" s="166">
        <f>YEAR(Table13[[#This Row],[Date]])+IF(MONTH(Table13[[#This Row],[Date]])&gt;=4,1,0)</f>
        <v>2026</v>
      </c>
      <c r="C351" s="167">
        <f>YEAR(Table13[[#This Row],[Date]])</f>
        <v>2026</v>
      </c>
      <c r="D351" s="168">
        <f>Table13[[#This Row],[Date]]-DAY(Table13[[#This Row],[Date]])+1</f>
        <v>46082</v>
      </c>
      <c r="E351" s="167">
        <f t="shared" si="24"/>
        <v>31</v>
      </c>
      <c r="F351" s="169"/>
      <c r="G351" s="176"/>
      <c r="H351" s="176"/>
      <c r="I351" s="176"/>
      <c r="J351" s="176"/>
      <c r="K351" s="171"/>
      <c r="L351" s="170"/>
      <c r="M351" s="170" t="str">
        <f>IFERROR(_xlfn.XLOOKUP($A351,Input_Raw!$A:$A,Input_Raw!BG:BG),"")</f>
        <v/>
      </c>
      <c r="N351" s="170" t="str">
        <f>IFERROR(_xlfn.XLOOKUP($A351,Input_Raw!$A:$A,Input_Raw!BH:BH),"")</f>
        <v/>
      </c>
      <c r="O351" s="173" t="str">
        <f t="shared" si="25"/>
        <v/>
      </c>
      <c r="P351" s="173" t="str">
        <f>IFERROR(1-SUMIF(WTG_BD!$F:$F,$A351,WTG_BD!$AA:$AA)/($AA351+SUMIF(WTG_BD!$F:$F,$A351,WTG_BD!$AA:$AA)),"")</f>
        <v/>
      </c>
      <c r="Q351" s="173" t="str">
        <f>IFERROR(1-SUMIF(IGA_BD!$F:$F,$A351,IGA_BD!$X:$X)/($AA351+SUMIF(IGA_BD!$F:$F,$A351,IGA_BD!$X:$X)),"")</f>
        <v/>
      </c>
      <c r="R351" s="173" t="str">
        <f>IFERROR(1-SUMIF(Grid_BD!$F:$F,$A351,Grid_BD!$Y:$Y)/($AA351+SUMIF(Grid_BD!$F:$F,$A351,Grid_BD!$Y:$Y)),"")</f>
        <v/>
      </c>
      <c r="S351" s="167"/>
      <c r="T351" s="172"/>
      <c r="U351" s="173"/>
      <c r="V351" s="167"/>
      <c r="W351" s="174" t="str">
        <f t="shared" si="26"/>
        <v/>
      </c>
      <c r="X351" s="167" t="str">
        <f>IFERROR(_xlfn.XLOOKUP($A351,Input_Raw!$A:$A,Input_Raw!$BF:$BF),"")</f>
        <v/>
      </c>
      <c r="Y351" s="167" t="str">
        <f>IFERROR(_xlfn.XLOOKUP($A351,Input_Raw!$A:$A,Input_Raw!BJ:BJ),"")</f>
        <v/>
      </c>
      <c r="Z351" s="167" t="str">
        <f>IFERROR(_xlfn.XLOOKUP($A351,Input_Raw!$A:$A,Input_Raw!BK:BK),"")</f>
        <v/>
      </c>
      <c r="AA351" s="167" t="str">
        <f>IFERROR(_xlfn.XLOOKUP($A351,Input_Raw!$A:$A,Input_Raw!BL:BL),"")</f>
        <v/>
      </c>
      <c r="AB351" s="167" t="str">
        <f>IFERROR(_xlfn.XLOOKUP($A351,Input_Raw!$A:$A,Input_Raw!$BO:$BO),"")</f>
        <v/>
      </c>
      <c r="AC351" s="176">
        <f>IFERROR(_xlfn.XLOOKUP($D351,'Modelling New'!$D:$D,'Modelling New'!$J:$J),"")</f>
        <v>6.89</v>
      </c>
      <c r="AD351" s="166">
        <f>IFERROR(_xlfn.XLOOKUP($D351,'Modelling New'!$D:$D,'Modelling New'!$T:$T)*1000,"")</f>
        <v>629607.18715270935</v>
      </c>
      <c r="AE351" s="174"/>
      <c r="AF351" s="174">
        <f>IFERROR(_xlfn.XLOOKUP($D351,'Modelling New'!$D:$D,'Modelling New'!$W:$W),"")</f>
        <v>0.3736984729064039</v>
      </c>
      <c r="AG351" s="174">
        <f>IFERROR(_xlfn.XLOOKUP($D351,'Modelling New'!$D:$D,'Modelling New'!$AE:$AE),"")</f>
        <v>0.96029999999999993</v>
      </c>
      <c r="AH351" s="174">
        <f>IFERROR(_xlfn.XLOOKUP($D351,'Modelling New'!$D:$D,'Modelling New'!$AF:$AF),"")</f>
        <v>0.995</v>
      </c>
      <c r="AI351" s="177" t="str">
        <f>IFERROR(_xlfn.XLOOKUP($A351,Input_Raw!$A:$A,Input_Raw!$BQ:$BQ),"")</f>
        <v/>
      </c>
      <c r="AJ351" s="167"/>
      <c r="AK351" s="167"/>
      <c r="AL351" s="167"/>
      <c r="AM351" s="167"/>
      <c r="AN351" s="175" t="str">
        <f>IFERROR(_xlfn.XLOOKUP($A351,Input_Raw!$A:$A,Input_Raw!$BN:$BN),"")</f>
        <v/>
      </c>
      <c r="AO351" s="174" t="str">
        <f>IFERROR((_xlfn.XLOOKUP($A351,'WTG Reactive Power'!$A:$A,'WTG Reactive Power'!$AE:$AE))/Table13[[#This Row],[Gen_Exp (kWh)]],"")</f>
        <v/>
      </c>
      <c r="AP351" s="174">
        <f>IFERROR(_xlfn.XLOOKUP($D351,'Modelling New'!$D:$D,'Modelling New'!$AK:$AK),"")</f>
        <v>0.05</v>
      </c>
      <c r="AQ351" s="174">
        <f>IFERROR(_xlfn.XLOOKUP($D351,'Modelling New'!$D:$D,'Modelling New'!$AL:$AL),"")</f>
        <v>0.05</v>
      </c>
      <c r="AR351" s="276">
        <f>IFERROR(_xlfn.XLOOKUP($D351,'Modelling New'!$D:$D,'Modelling New'!$N:$N),"")</f>
        <v>70.2</v>
      </c>
      <c r="AS351" s="276"/>
    </row>
    <row r="352" spans="1:45">
      <c r="A352" s="165">
        <f t="shared" si="27"/>
        <v>46095</v>
      </c>
      <c r="B352" s="166">
        <f>YEAR(Table13[[#This Row],[Date]])+IF(MONTH(Table13[[#This Row],[Date]])&gt;=4,1,0)</f>
        <v>2026</v>
      </c>
      <c r="C352" s="167">
        <f>YEAR(Table13[[#This Row],[Date]])</f>
        <v>2026</v>
      </c>
      <c r="D352" s="168">
        <f>Table13[[#This Row],[Date]]-DAY(Table13[[#This Row],[Date]])+1</f>
        <v>46082</v>
      </c>
      <c r="E352" s="167">
        <f t="shared" si="24"/>
        <v>31</v>
      </c>
      <c r="F352" s="169"/>
      <c r="G352" s="170"/>
      <c r="H352" s="170"/>
      <c r="I352" s="170"/>
      <c r="J352" s="170"/>
      <c r="K352" s="171"/>
      <c r="L352" s="170"/>
      <c r="M352" s="170" t="str">
        <f>IFERROR(_xlfn.XLOOKUP($A352,Input_Raw!$A:$A,Input_Raw!BG:BG),"")</f>
        <v/>
      </c>
      <c r="N352" s="170" t="str">
        <f>IFERROR(_xlfn.XLOOKUP($A352,Input_Raw!$A:$A,Input_Raw!BH:BH),"")</f>
        <v/>
      </c>
      <c r="O352" s="173" t="str">
        <f t="shared" si="25"/>
        <v/>
      </c>
      <c r="P352" s="173" t="str">
        <f>IFERROR(1-SUMIF(WTG_BD!$F:$F,$A352,WTG_BD!$AA:$AA)/($AA352+SUMIF(WTG_BD!$F:$F,$A352,WTG_BD!$AA:$AA)),"")</f>
        <v/>
      </c>
      <c r="Q352" s="173" t="str">
        <f>IFERROR(1-SUMIF(IGA_BD!$F:$F,$A352,IGA_BD!$X:$X)/($AA352+SUMIF(IGA_BD!$F:$F,$A352,IGA_BD!$X:$X)),"")</f>
        <v/>
      </c>
      <c r="R352" s="173" t="str">
        <f>IFERROR(1-SUMIF(Grid_BD!$F:$F,$A352,Grid_BD!$Y:$Y)/($AA352+SUMIF(Grid_BD!$F:$F,$A352,Grid_BD!$Y:$Y)),"")</f>
        <v/>
      </c>
      <c r="S352" s="167"/>
      <c r="T352" s="172"/>
      <c r="U352" s="173"/>
      <c r="V352" s="167"/>
      <c r="W352" s="174" t="str">
        <f t="shared" si="26"/>
        <v/>
      </c>
      <c r="X352" s="167" t="str">
        <f>IFERROR(_xlfn.XLOOKUP($A352,Input_Raw!$A:$A,Input_Raw!$BF:$BF),"")</f>
        <v/>
      </c>
      <c r="Y352" s="167" t="str">
        <f>IFERROR(_xlfn.XLOOKUP($A352,Input_Raw!$A:$A,Input_Raw!BJ:BJ),"")</f>
        <v/>
      </c>
      <c r="Z352" s="167" t="str">
        <f>IFERROR(_xlfn.XLOOKUP($A352,Input_Raw!$A:$A,Input_Raw!BK:BK),"")</f>
        <v/>
      </c>
      <c r="AA352" s="167" t="str">
        <f>IFERROR(_xlfn.XLOOKUP($A352,Input_Raw!$A:$A,Input_Raw!BL:BL),"")</f>
        <v/>
      </c>
      <c r="AB352" s="167" t="str">
        <f>IFERROR(_xlfn.XLOOKUP($A352,Input_Raw!$A:$A,Input_Raw!$BO:$BO),"")</f>
        <v/>
      </c>
      <c r="AC352" s="176">
        <f>IFERROR(_xlfn.XLOOKUP($D352,'Modelling New'!$D:$D,'Modelling New'!$J:$J),"")</f>
        <v>6.89</v>
      </c>
      <c r="AD352" s="166">
        <f>IFERROR(_xlfn.XLOOKUP($D352,'Modelling New'!$D:$D,'Modelling New'!$T:$T)*1000,"")</f>
        <v>629607.18715270935</v>
      </c>
      <c r="AE352" s="174"/>
      <c r="AF352" s="174">
        <f>IFERROR(_xlfn.XLOOKUP($D352,'Modelling New'!$D:$D,'Modelling New'!$W:$W),"")</f>
        <v>0.3736984729064039</v>
      </c>
      <c r="AG352" s="174">
        <f>IFERROR(_xlfn.XLOOKUP($D352,'Modelling New'!$D:$D,'Modelling New'!$AE:$AE),"")</f>
        <v>0.96029999999999993</v>
      </c>
      <c r="AH352" s="174">
        <f>IFERROR(_xlfn.XLOOKUP($D352,'Modelling New'!$D:$D,'Modelling New'!$AF:$AF),"")</f>
        <v>0.995</v>
      </c>
      <c r="AI352" s="177" t="str">
        <f>IFERROR(_xlfn.XLOOKUP($A352,Input_Raw!$A:$A,Input_Raw!$BQ:$BQ),"")</f>
        <v/>
      </c>
      <c r="AJ352" s="167"/>
      <c r="AK352" s="167"/>
      <c r="AL352" s="167"/>
      <c r="AM352" s="167"/>
      <c r="AN352" s="175" t="str">
        <f>IFERROR(_xlfn.XLOOKUP($A352,Input_Raw!$A:$A,Input_Raw!$BN:$BN),"")</f>
        <v/>
      </c>
      <c r="AO352" s="174" t="str">
        <f>IFERROR((_xlfn.XLOOKUP($A352,'WTG Reactive Power'!$A:$A,'WTG Reactive Power'!$AE:$AE))/Table13[[#This Row],[Gen_Exp (kWh)]],"")</f>
        <v/>
      </c>
      <c r="AP352" s="174">
        <f>IFERROR(_xlfn.XLOOKUP($D352,'Modelling New'!$D:$D,'Modelling New'!$AK:$AK),"")</f>
        <v>0.05</v>
      </c>
      <c r="AQ352" s="174">
        <f>IFERROR(_xlfn.XLOOKUP($D352,'Modelling New'!$D:$D,'Modelling New'!$AL:$AL),"")</f>
        <v>0.05</v>
      </c>
      <c r="AR352" s="276">
        <f>IFERROR(_xlfn.XLOOKUP($D352,'Modelling New'!$D:$D,'Modelling New'!$N:$N),"")</f>
        <v>70.2</v>
      </c>
      <c r="AS352" s="276"/>
    </row>
    <row r="353" spans="1:45">
      <c r="A353" s="165">
        <f t="shared" si="27"/>
        <v>46096</v>
      </c>
      <c r="B353" s="166">
        <f>YEAR(Table13[[#This Row],[Date]])+IF(MONTH(Table13[[#This Row],[Date]])&gt;=4,1,0)</f>
        <v>2026</v>
      </c>
      <c r="C353" s="167">
        <f>YEAR(Table13[[#This Row],[Date]])</f>
        <v>2026</v>
      </c>
      <c r="D353" s="168">
        <f>Table13[[#This Row],[Date]]-DAY(Table13[[#This Row],[Date]])+1</f>
        <v>46082</v>
      </c>
      <c r="E353" s="167">
        <f t="shared" si="24"/>
        <v>31</v>
      </c>
      <c r="F353" s="169"/>
      <c r="G353" s="176"/>
      <c r="H353" s="176"/>
      <c r="I353" s="176"/>
      <c r="J353" s="176"/>
      <c r="K353" s="171"/>
      <c r="L353" s="170"/>
      <c r="M353" s="170" t="str">
        <f>IFERROR(_xlfn.XLOOKUP($A353,Input_Raw!$A:$A,Input_Raw!BG:BG),"")</f>
        <v/>
      </c>
      <c r="N353" s="170" t="str">
        <f>IFERROR(_xlfn.XLOOKUP($A353,Input_Raw!$A:$A,Input_Raw!BH:BH),"")</f>
        <v/>
      </c>
      <c r="O353" s="173" t="str">
        <f t="shared" si="25"/>
        <v/>
      </c>
      <c r="P353" s="173" t="str">
        <f>IFERROR(1-SUMIF(WTG_BD!$F:$F,$A353,WTG_BD!$AA:$AA)/($AA353+SUMIF(WTG_BD!$F:$F,$A353,WTG_BD!$AA:$AA)),"")</f>
        <v/>
      </c>
      <c r="Q353" s="173" t="str">
        <f>IFERROR(1-SUMIF(IGA_BD!$F:$F,$A353,IGA_BD!$X:$X)/($AA353+SUMIF(IGA_BD!$F:$F,$A353,IGA_BD!$X:$X)),"")</f>
        <v/>
      </c>
      <c r="R353" s="173" t="str">
        <f>IFERROR(1-SUMIF(Grid_BD!$F:$F,$A353,Grid_BD!$Y:$Y)/($AA353+SUMIF(Grid_BD!$F:$F,$A353,Grid_BD!$Y:$Y)),"")</f>
        <v/>
      </c>
      <c r="S353" s="167"/>
      <c r="T353" s="172"/>
      <c r="U353" s="173"/>
      <c r="V353" s="167"/>
      <c r="W353" s="174" t="str">
        <f t="shared" si="26"/>
        <v/>
      </c>
      <c r="X353" s="167" t="str">
        <f>IFERROR(_xlfn.XLOOKUP($A353,Input_Raw!$A:$A,Input_Raw!$BF:$BF),"")</f>
        <v/>
      </c>
      <c r="Y353" s="167" t="str">
        <f>IFERROR(_xlfn.XLOOKUP($A353,Input_Raw!$A:$A,Input_Raw!BJ:BJ),"")</f>
        <v/>
      </c>
      <c r="Z353" s="167" t="str">
        <f>IFERROR(_xlfn.XLOOKUP($A353,Input_Raw!$A:$A,Input_Raw!BK:BK),"")</f>
        <v/>
      </c>
      <c r="AA353" s="167" t="str">
        <f>IFERROR(_xlfn.XLOOKUP($A353,Input_Raw!$A:$A,Input_Raw!BL:BL),"")</f>
        <v/>
      </c>
      <c r="AB353" s="167" t="str">
        <f>IFERROR(_xlfn.XLOOKUP($A353,Input_Raw!$A:$A,Input_Raw!$BO:$BO),"")</f>
        <v/>
      </c>
      <c r="AC353" s="176">
        <f>IFERROR(_xlfn.XLOOKUP($D353,'Modelling New'!$D:$D,'Modelling New'!$J:$J),"")</f>
        <v>6.89</v>
      </c>
      <c r="AD353" s="166">
        <f>IFERROR(_xlfn.XLOOKUP($D353,'Modelling New'!$D:$D,'Modelling New'!$T:$T)*1000,"")</f>
        <v>629607.18715270935</v>
      </c>
      <c r="AE353" s="174"/>
      <c r="AF353" s="174">
        <f>IFERROR(_xlfn.XLOOKUP($D353,'Modelling New'!$D:$D,'Modelling New'!$W:$W),"")</f>
        <v>0.3736984729064039</v>
      </c>
      <c r="AG353" s="174">
        <f>IFERROR(_xlfn.XLOOKUP($D353,'Modelling New'!$D:$D,'Modelling New'!$AE:$AE),"")</f>
        <v>0.96029999999999993</v>
      </c>
      <c r="AH353" s="174">
        <f>IFERROR(_xlfn.XLOOKUP($D353,'Modelling New'!$D:$D,'Modelling New'!$AF:$AF),"")</f>
        <v>0.995</v>
      </c>
      <c r="AI353" s="177" t="str">
        <f>IFERROR(_xlfn.XLOOKUP($A353,Input_Raw!$A:$A,Input_Raw!$BQ:$BQ),"")</f>
        <v/>
      </c>
      <c r="AJ353" s="167"/>
      <c r="AK353" s="167"/>
      <c r="AL353" s="167"/>
      <c r="AM353" s="167"/>
      <c r="AN353" s="175" t="str">
        <f>IFERROR(_xlfn.XLOOKUP($A353,Input_Raw!$A:$A,Input_Raw!$BN:$BN),"")</f>
        <v/>
      </c>
      <c r="AO353" s="174" t="str">
        <f>IFERROR((_xlfn.XLOOKUP($A353,'WTG Reactive Power'!$A:$A,'WTG Reactive Power'!$AE:$AE))/Table13[[#This Row],[Gen_Exp (kWh)]],"")</f>
        <v/>
      </c>
      <c r="AP353" s="174">
        <f>IFERROR(_xlfn.XLOOKUP($D353,'Modelling New'!$D:$D,'Modelling New'!$AK:$AK),"")</f>
        <v>0.05</v>
      </c>
      <c r="AQ353" s="174">
        <f>IFERROR(_xlfn.XLOOKUP($D353,'Modelling New'!$D:$D,'Modelling New'!$AL:$AL),"")</f>
        <v>0.05</v>
      </c>
      <c r="AR353" s="276">
        <f>IFERROR(_xlfn.XLOOKUP($D353,'Modelling New'!$D:$D,'Modelling New'!$N:$N),"")</f>
        <v>70.2</v>
      </c>
      <c r="AS353" s="276"/>
    </row>
    <row r="354" spans="1:45">
      <c r="A354" s="165">
        <f t="shared" si="27"/>
        <v>46097</v>
      </c>
      <c r="B354" s="166">
        <f>YEAR(Table13[[#This Row],[Date]])+IF(MONTH(Table13[[#This Row],[Date]])&gt;=4,1,0)</f>
        <v>2026</v>
      </c>
      <c r="C354" s="167">
        <f>YEAR(Table13[[#This Row],[Date]])</f>
        <v>2026</v>
      </c>
      <c r="D354" s="168">
        <f>Table13[[#This Row],[Date]]-DAY(Table13[[#This Row],[Date]])+1</f>
        <v>46082</v>
      </c>
      <c r="E354" s="167">
        <f t="shared" si="24"/>
        <v>31</v>
      </c>
      <c r="F354" s="169"/>
      <c r="G354" s="170"/>
      <c r="H354" s="170"/>
      <c r="I354" s="170"/>
      <c r="J354" s="170"/>
      <c r="K354" s="171"/>
      <c r="L354" s="170"/>
      <c r="M354" s="170" t="str">
        <f>IFERROR(_xlfn.XLOOKUP($A354,Input_Raw!$A:$A,Input_Raw!BG:BG),"")</f>
        <v/>
      </c>
      <c r="N354" s="170" t="str">
        <f>IFERROR(_xlfn.XLOOKUP($A354,Input_Raw!$A:$A,Input_Raw!BH:BH),"")</f>
        <v/>
      </c>
      <c r="O354" s="173" t="str">
        <f t="shared" si="25"/>
        <v/>
      </c>
      <c r="P354" s="173" t="str">
        <f>IFERROR(1-SUMIF(WTG_BD!$F:$F,$A354,WTG_BD!$AA:$AA)/($AA354+SUMIF(WTG_BD!$F:$F,$A354,WTG_BD!$AA:$AA)),"")</f>
        <v/>
      </c>
      <c r="Q354" s="173" t="str">
        <f>IFERROR(1-SUMIF(IGA_BD!$F:$F,$A354,IGA_BD!$X:$X)/($AA354+SUMIF(IGA_BD!$F:$F,$A354,IGA_BD!$X:$X)),"")</f>
        <v/>
      </c>
      <c r="R354" s="173" t="str">
        <f>IFERROR(1-SUMIF(Grid_BD!$F:$F,$A354,Grid_BD!$Y:$Y)/($AA354+SUMIF(Grid_BD!$F:$F,$A354,Grid_BD!$Y:$Y)),"")</f>
        <v/>
      </c>
      <c r="S354" s="167"/>
      <c r="T354" s="172"/>
      <c r="U354" s="173"/>
      <c r="V354" s="167"/>
      <c r="W354" s="174" t="str">
        <f t="shared" si="26"/>
        <v/>
      </c>
      <c r="X354" s="167" t="str">
        <f>IFERROR(_xlfn.XLOOKUP($A354,Input_Raw!$A:$A,Input_Raw!$BF:$BF),"")</f>
        <v/>
      </c>
      <c r="Y354" s="167" t="str">
        <f>IFERROR(_xlfn.XLOOKUP($A354,Input_Raw!$A:$A,Input_Raw!BJ:BJ),"")</f>
        <v/>
      </c>
      <c r="Z354" s="167" t="str">
        <f>IFERROR(_xlfn.XLOOKUP($A354,Input_Raw!$A:$A,Input_Raw!BK:BK),"")</f>
        <v/>
      </c>
      <c r="AA354" s="167" t="str">
        <f>IFERROR(_xlfn.XLOOKUP($A354,Input_Raw!$A:$A,Input_Raw!BL:BL),"")</f>
        <v/>
      </c>
      <c r="AB354" s="167" t="str">
        <f>IFERROR(_xlfn.XLOOKUP($A354,Input_Raw!$A:$A,Input_Raw!$BO:$BO),"")</f>
        <v/>
      </c>
      <c r="AC354" s="176">
        <f>IFERROR(_xlfn.XLOOKUP($D354,'Modelling New'!$D:$D,'Modelling New'!$J:$J),"")</f>
        <v>6.89</v>
      </c>
      <c r="AD354" s="166">
        <f>IFERROR(_xlfn.XLOOKUP($D354,'Modelling New'!$D:$D,'Modelling New'!$T:$T)*1000,"")</f>
        <v>629607.18715270935</v>
      </c>
      <c r="AE354" s="174"/>
      <c r="AF354" s="174">
        <f>IFERROR(_xlfn.XLOOKUP($D354,'Modelling New'!$D:$D,'Modelling New'!$W:$W),"")</f>
        <v>0.3736984729064039</v>
      </c>
      <c r="AG354" s="174">
        <f>IFERROR(_xlfn.XLOOKUP($D354,'Modelling New'!$D:$D,'Modelling New'!$AE:$AE),"")</f>
        <v>0.96029999999999993</v>
      </c>
      <c r="AH354" s="174">
        <f>IFERROR(_xlfn.XLOOKUP($D354,'Modelling New'!$D:$D,'Modelling New'!$AF:$AF),"")</f>
        <v>0.995</v>
      </c>
      <c r="AI354" s="177" t="str">
        <f>IFERROR(_xlfn.XLOOKUP($A354,Input_Raw!$A:$A,Input_Raw!$BQ:$BQ),"")</f>
        <v/>
      </c>
      <c r="AJ354" s="167"/>
      <c r="AK354" s="167"/>
      <c r="AL354" s="167"/>
      <c r="AM354" s="167"/>
      <c r="AN354" s="175" t="str">
        <f>IFERROR(_xlfn.XLOOKUP($A354,Input_Raw!$A:$A,Input_Raw!$BN:$BN),"")</f>
        <v/>
      </c>
      <c r="AO354" s="174" t="str">
        <f>IFERROR((_xlfn.XLOOKUP($A354,'WTG Reactive Power'!$A:$A,'WTG Reactive Power'!$AE:$AE))/Table13[[#This Row],[Gen_Exp (kWh)]],"")</f>
        <v/>
      </c>
      <c r="AP354" s="174">
        <f>IFERROR(_xlfn.XLOOKUP($D354,'Modelling New'!$D:$D,'Modelling New'!$AK:$AK),"")</f>
        <v>0.05</v>
      </c>
      <c r="AQ354" s="174">
        <f>IFERROR(_xlfn.XLOOKUP($D354,'Modelling New'!$D:$D,'Modelling New'!$AL:$AL),"")</f>
        <v>0.05</v>
      </c>
      <c r="AR354" s="276">
        <f>IFERROR(_xlfn.XLOOKUP($D354,'Modelling New'!$D:$D,'Modelling New'!$N:$N),"")</f>
        <v>70.2</v>
      </c>
      <c r="AS354" s="276"/>
    </row>
    <row r="355" spans="1:45">
      <c r="A355" s="165">
        <f t="shared" si="27"/>
        <v>46098</v>
      </c>
      <c r="B355" s="166">
        <f>YEAR(Table13[[#This Row],[Date]])+IF(MONTH(Table13[[#This Row],[Date]])&gt;=4,1,0)</f>
        <v>2026</v>
      </c>
      <c r="C355" s="167">
        <f>YEAR(Table13[[#This Row],[Date]])</f>
        <v>2026</v>
      </c>
      <c r="D355" s="168">
        <f>Table13[[#This Row],[Date]]-DAY(Table13[[#This Row],[Date]])+1</f>
        <v>46082</v>
      </c>
      <c r="E355" s="167">
        <f t="shared" si="24"/>
        <v>31</v>
      </c>
      <c r="F355" s="169"/>
      <c r="G355" s="176"/>
      <c r="H355" s="176"/>
      <c r="I355" s="176"/>
      <c r="J355" s="176"/>
      <c r="K355" s="171"/>
      <c r="L355" s="170"/>
      <c r="M355" s="170" t="str">
        <f>IFERROR(_xlfn.XLOOKUP($A355,Input_Raw!$A:$A,Input_Raw!BG:BG),"")</f>
        <v/>
      </c>
      <c r="N355" s="170" t="str">
        <f>IFERROR(_xlfn.XLOOKUP($A355,Input_Raw!$A:$A,Input_Raw!BH:BH),"")</f>
        <v/>
      </c>
      <c r="O355" s="173" t="str">
        <f t="shared" si="25"/>
        <v/>
      </c>
      <c r="P355" s="173" t="str">
        <f>IFERROR(1-SUMIF(WTG_BD!$F:$F,$A355,WTG_BD!$AA:$AA)/($AA355+SUMIF(WTG_BD!$F:$F,$A355,WTG_BD!$AA:$AA)),"")</f>
        <v/>
      </c>
      <c r="Q355" s="173" t="str">
        <f>IFERROR(1-SUMIF(IGA_BD!$F:$F,$A355,IGA_BD!$X:$X)/($AA355+SUMIF(IGA_BD!$F:$F,$A355,IGA_BD!$X:$X)),"")</f>
        <v/>
      </c>
      <c r="R355" s="173" t="str">
        <f>IFERROR(1-SUMIF(Grid_BD!$F:$F,$A355,Grid_BD!$Y:$Y)/($AA355+SUMIF(Grid_BD!$F:$F,$A355,Grid_BD!$Y:$Y)),"")</f>
        <v/>
      </c>
      <c r="S355" s="167"/>
      <c r="T355" s="172"/>
      <c r="U355" s="173"/>
      <c r="V355" s="167"/>
      <c r="W355" s="174" t="str">
        <f t="shared" si="26"/>
        <v/>
      </c>
      <c r="X355" s="167" t="str">
        <f>IFERROR(_xlfn.XLOOKUP($A355,Input_Raw!$A:$A,Input_Raw!$BF:$BF),"")</f>
        <v/>
      </c>
      <c r="Y355" s="167" t="str">
        <f>IFERROR(_xlfn.XLOOKUP($A355,Input_Raw!$A:$A,Input_Raw!BJ:BJ),"")</f>
        <v/>
      </c>
      <c r="Z355" s="167" t="str">
        <f>IFERROR(_xlfn.XLOOKUP($A355,Input_Raw!$A:$A,Input_Raw!BK:BK),"")</f>
        <v/>
      </c>
      <c r="AA355" s="167" t="str">
        <f>IFERROR(_xlfn.XLOOKUP($A355,Input_Raw!$A:$A,Input_Raw!BL:BL),"")</f>
        <v/>
      </c>
      <c r="AB355" s="167" t="str">
        <f>IFERROR(_xlfn.XLOOKUP($A355,Input_Raw!$A:$A,Input_Raw!$BO:$BO),"")</f>
        <v/>
      </c>
      <c r="AC355" s="176">
        <f>IFERROR(_xlfn.XLOOKUP($D355,'Modelling New'!$D:$D,'Modelling New'!$J:$J),"")</f>
        <v>6.89</v>
      </c>
      <c r="AD355" s="166">
        <f>IFERROR(_xlfn.XLOOKUP($D355,'Modelling New'!$D:$D,'Modelling New'!$T:$T)*1000,"")</f>
        <v>629607.18715270935</v>
      </c>
      <c r="AE355" s="174"/>
      <c r="AF355" s="174">
        <f>IFERROR(_xlfn.XLOOKUP($D355,'Modelling New'!$D:$D,'Modelling New'!$W:$W),"")</f>
        <v>0.3736984729064039</v>
      </c>
      <c r="AG355" s="174">
        <f>IFERROR(_xlfn.XLOOKUP($D355,'Modelling New'!$D:$D,'Modelling New'!$AE:$AE),"")</f>
        <v>0.96029999999999993</v>
      </c>
      <c r="AH355" s="174">
        <f>IFERROR(_xlfn.XLOOKUP($D355,'Modelling New'!$D:$D,'Modelling New'!$AF:$AF),"")</f>
        <v>0.995</v>
      </c>
      <c r="AI355" s="177" t="str">
        <f>IFERROR(_xlfn.XLOOKUP($A355,Input_Raw!$A:$A,Input_Raw!$BQ:$BQ),"")</f>
        <v/>
      </c>
      <c r="AJ355" s="167"/>
      <c r="AK355" s="167"/>
      <c r="AL355" s="167"/>
      <c r="AM355" s="167"/>
      <c r="AN355" s="175" t="str">
        <f>IFERROR(_xlfn.XLOOKUP($A355,Input_Raw!$A:$A,Input_Raw!$BN:$BN),"")</f>
        <v/>
      </c>
      <c r="AO355" s="174" t="str">
        <f>IFERROR((_xlfn.XLOOKUP($A355,'WTG Reactive Power'!$A:$A,'WTG Reactive Power'!$AE:$AE))/Table13[[#This Row],[Gen_Exp (kWh)]],"")</f>
        <v/>
      </c>
      <c r="AP355" s="174">
        <f>IFERROR(_xlfn.XLOOKUP($D355,'Modelling New'!$D:$D,'Modelling New'!$AK:$AK),"")</f>
        <v>0.05</v>
      </c>
      <c r="AQ355" s="174">
        <f>IFERROR(_xlfn.XLOOKUP($D355,'Modelling New'!$D:$D,'Modelling New'!$AL:$AL),"")</f>
        <v>0.05</v>
      </c>
      <c r="AR355" s="276">
        <f>IFERROR(_xlfn.XLOOKUP($D355,'Modelling New'!$D:$D,'Modelling New'!$N:$N),"")</f>
        <v>70.2</v>
      </c>
      <c r="AS355" s="276"/>
    </row>
    <row r="356" spans="1:45">
      <c r="A356" s="165">
        <f t="shared" si="27"/>
        <v>46099</v>
      </c>
      <c r="B356" s="166">
        <f>YEAR(Table13[[#This Row],[Date]])+IF(MONTH(Table13[[#This Row],[Date]])&gt;=4,1,0)</f>
        <v>2026</v>
      </c>
      <c r="C356" s="167">
        <f>YEAR(Table13[[#This Row],[Date]])</f>
        <v>2026</v>
      </c>
      <c r="D356" s="168">
        <f>Table13[[#This Row],[Date]]-DAY(Table13[[#This Row],[Date]])+1</f>
        <v>46082</v>
      </c>
      <c r="E356" s="167">
        <f t="shared" si="24"/>
        <v>31</v>
      </c>
      <c r="F356" s="169"/>
      <c r="G356" s="170"/>
      <c r="H356" s="170"/>
      <c r="I356" s="170"/>
      <c r="J356" s="170"/>
      <c r="K356" s="171"/>
      <c r="L356" s="170"/>
      <c r="M356" s="170" t="str">
        <f>IFERROR(_xlfn.XLOOKUP($A356,Input_Raw!$A:$A,Input_Raw!BG:BG),"")</f>
        <v/>
      </c>
      <c r="N356" s="170" t="str">
        <f>IFERROR(_xlfn.XLOOKUP($A356,Input_Raw!$A:$A,Input_Raw!BH:BH),"")</f>
        <v/>
      </c>
      <c r="O356" s="173" t="str">
        <f t="shared" si="25"/>
        <v/>
      </c>
      <c r="P356" s="173" t="str">
        <f>IFERROR(1-SUMIF(WTG_BD!$F:$F,$A356,WTG_BD!$AA:$AA)/($AA356+SUMIF(WTG_BD!$F:$F,$A356,WTG_BD!$AA:$AA)),"")</f>
        <v/>
      </c>
      <c r="Q356" s="173" t="str">
        <f>IFERROR(1-SUMIF(IGA_BD!$F:$F,$A356,IGA_BD!$X:$X)/($AA356+SUMIF(IGA_BD!$F:$F,$A356,IGA_BD!$X:$X)),"")</f>
        <v/>
      </c>
      <c r="R356" s="173" t="str">
        <f>IFERROR(1-SUMIF(Grid_BD!$F:$F,$A356,Grid_BD!$Y:$Y)/($AA356+SUMIF(Grid_BD!$F:$F,$A356,Grid_BD!$Y:$Y)),"")</f>
        <v/>
      </c>
      <c r="S356" s="167"/>
      <c r="T356" s="172"/>
      <c r="U356" s="173"/>
      <c r="V356" s="167"/>
      <c r="W356" s="174" t="str">
        <f t="shared" si="26"/>
        <v/>
      </c>
      <c r="X356" s="167" t="str">
        <f>IFERROR(_xlfn.XLOOKUP($A356,Input_Raw!$A:$A,Input_Raw!$BF:$BF),"")</f>
        <v/>
      </c>
      <c r="Y356" s="167" t="str">
        <f>IFERROR(_xlfn.XLOOKUP($A356,Input_Raw!$A:$A,Input_Raw!BJ:BJ),"")</f>
        <v/>
      </c>
      <c r="Z356" s="167" t="str">
        <f>IFERROR(_xlfn.XLOOKUP($A356,Input_Raw!$A:$A,Input_Raw!BK:BK),"")</f>
        <v/>
      </c>
      <c r="AA356" s="167" t="str">
        <f>IFERROR(_xlfn.XLOOKUP($A356,Input_Raw!$A:$A,Input_Raw!BL:BL),"")</f>
        <v/>
      </c>
      <c r="AB356" s="167" t="str">
        <f>IFERROR(_xlfn.XLOOKUP($A356,Input_Raw!$A:$A,Input_Raw!$BO:$BO),"")</f>
        <v/>
      </c>
      <c r="AC356" s="176">
        <f>IFERROR(_xlfn.XLOOKUP($D356,'Modelling New'!$D:$D,'Modelling New'!$J:$J),"")</f>
        <v>6.89</v>
      </c>
      <c r="AD356" s="166">
        <f>IFERROR(_xlfn.XLOOKUP($D356,'Modelling New'!$D:$D,'Modelling New'!$T:$T)*1000,"")</f>
        <v>629607.18715270935</v>
      </c>
      <c r="AE356" s="174"/>
      <c r="AF356" s="174">
        <f>IFERROR(_xlfn.XLOOKUP($D356,'Modelling New'!$D:$D,'Modelling New'!$W:$W),"")</f>
        <v>0.3736984729064039</v>
      </c>
      <c r="AG356" s="174">
        <f>IFERROR(_xlfn.XLOOKUP($D356,'Modelling New'!$D:$D,'Modelling New'!$AE:$AE),"")</f>
        <v>0.96029999999999993</v>
      </c>
      <c r="AH356" s="174">
        <f>IFERROR(_xlfn.XLOOKUP($D356,'Modelling New'!$D:$D,'Modelling New'!$AF:$AF),"")</f>
        <v>0.995</v>
      </c>
      <c r="AI356" s="177" t="str">
        <f>IFERROR(_xlfn.XLOOKUP($A356,Input_Raw!$A:$A,Input_Raw!$BQ:$BQ),"")</f>
        <v/>
      </c>
      <c r="AJ356" s="167"/>
      <c r="AK356" s="167"/>
      <c r="AL356" s="167"/>
      <c r="AM356" s="167"/>
      <c r="AN356" s="175" t="str">
        <f>IFERROR(_xlfn.XLOOKUP($A356,Input_Raw!$A:$A,Input_Raw!$BN:$BN),"")</f>
        <v/>
      </c>
      <c r="AO356" s="174" t="str">
        <f>IFERROR((_xlfn.XLOOKUP($A356,'WTG Reactive Power'!$A:$A,'WTG Reactive Power'!$AE:$AE))/Table13[[#This Row],[Gen_Exp (kWh)]],"")</f>
        <v/>
      </c>
      <c r="AP356" s="174">
        <f>IFERROR(_xlfn.XLOOKUP($D356,'Modelling New'!$D:$D,'Modelling New'!$AK:$AK),"")</f>
        <v>0.05</v>
      </c>
      <c r="AQ356" s="174">
        <f>IFERROR(_xlfn.XLOOKUP($D356,'Modelling New'!$D:$D,'Modelling New'!$AL:$AL),"")</f>
        <v>0.05</v>
      </c>
      <c r="AR356" s="276">
        <f>IFERROR(_xlfn.XLOOKUP($D356,'Modelling New'!$D:$D,'Modelling New'!$N:$N),"")</f>
        <v>70.2</v>
      </c>
      <c r="AS356" s="276"/>
    </row>
    <row r="357" spans="1:45">
      <c r="A357" s="165">
        <f t="shared" si="27"/>
        <v>46100</v>
      </c>
      <c r="B357" s="166">
        <f>YEAR(Table13[[#This Row],[Date]])+IF(MONTH(Table13[[#This Row],[Date]])&gt;=4,1,0)</f>
        <v>2026</v>
      </c>
      <c r="C357" s="167">
        <f>YEAR(Table13[[#This Row],[Date]])</f>
        <v>2026</v>
      </c>
      <c r="D357" s="168">
        <f>Table13[[#This Row],[Date]]-DAY(Table13[[#This Row],[Date]])+1</f>
        <v>46082</v>
      </c>
      <c r="E357" s="167">
        <f t="shared" si="24"/>
        <v>31</v>
      </c>
      <c r="F357" s="169"/>
      <c r="G357" s="176"/>
      <c r="H357" s="176"/>
      <c r="I357" s="176"/>
      <c r="J357" s="176"/>
      <c r="K357" s="171"/>
      <c r="L357" s="170"/>
      <c r="M357" s="170" t="str">
        <f>IFERROR(_xlfn.XLOOKUP($A357,Input_Raw!$A:$A,Input_Raw!BG:BG),"")</f>
        <v/>
      </c>
      <c r="N357" s="170" t="str">
        <f>IFERROR(_xlfn.XLOOKUP($A357,Input_Raw!$A:$A,Input_Raw!BH:BH),"")</f>
        <v/>
      </c>
      <c r="O357" s="173" t="str">
        <f t="shared" si="25"/>
        <v/>
      </c>
      <c r="P357" s="173" t="str">
        <f>IFERROR(1-SUMIF(WTG_BD!$F:$F,$A357,WTG_BD!$AA:$AA)/($AA357+SUMIF(WTG_BD!$F:$F,$A357,WTG_BD!$AA:$AA)),"")</f>
        <v/>
      </c>
      <c r="Q357" s="173" t="str">
        <f>IFERROR(1-SUMIF(IGA_BD!$F:$F,$A357,IGA_BD!$X:$X)/($AA357+SUMIF(IGA_BD!$F:$F,$A357,IGA_BD!$X:$X)),"")</f>
        <v/>
      </c>
      <c r="R357" s="173" t="str">
        <f>IFERROR(1-SUMIF(Grid_BD!$F:$F,$A357,Grid_BD!$Y:$Y)/($AA357+SUMIF(Grid_BD!$F:$F,$A357,Grid_BD!$Y:$Y)),"")</f>
        <v/>
      </c>
      <c r="S357" s="167"/>
      <c r="T357" s="172"/>
      <c r="U357" s="173"/>
      <c r="V357" s="167"/>
      <c r="W357" s="174" t="str">
        <f t="shared" si="26"/>
        <v/>
      </c>
      <c r="X357" s="167" t="str">
        <f>IFERROR(_xlfn.XLOOKUP($A357,Input_Raw!$A:$A,Input_Raw!$BF:$BF),"")</f>
        <v/>
      </c>
      <c r="Y357" s="167" t="str">
        <f>IFERROR(_xlfn.XLOOKUP($A357,Input_Raw!$A:$A,Input_Raw!BJ:BJ),"")</f>
        <v/>
      </c>
      <c r="Z357" s="167" t="str">
        <f>IFERROR(_xlfn.XLOOKUP($A357,Input_Raw!$A:$A,Input_Raw!BK:BK),"")</f>
        <v/>
      </c>
      <c r="AA357" s="167" t="str">
        <f>IFERROR(_xlfn.XLOOKUP($A357,Input_Raw!$A:$A,Input_Raw!BL:BL),"")</f>
        <v/>
      </c>
      <c r="AB357" s="167" t="str">
        <f>IFERROR(_xlfn.XLOOKUP($A357,Input_Raw!$A:$A,Input_Raw!$BO:$BO),"")</f>
        <v/>
      </c>
      <c r="AC357" s="176">
        <f>IFERROR(_xlfn.XLOOKUP($D357,'Modelling New'!$D:$D,'Modelling New'!$J:$J),"")</f>
        <v>6.89</v>
      </c>
      <c r="AD357" s="166">
        <f>IFERROR(_xlfn.XLOOKUP($D357,'Modelling New'!$D:$D,'Modelling New'!$T:$T)*1000,"")</f>
        <v>629607.18715270935</v>
      </c>
      <c r="AE357" s="174"/>
      <c r="AF357" s="174">
        <f>IFERROR(_xlfn.XLOOKUP($D357,'Modelling New'!$D:$D,'Modelling New'!$W:$W),"")</f>
        <v>0.3736984729064039</v>
      </c>
      <c r="AG357" s="174">
        <f>IFERROR(_xlfn.XLOOKUP($D357,'Modelling New'!$D:$D,'Modelling New'!$AE:$AE),"")</f>
        <v>0.96029999999999993</v>
      </c>
      <c r="AH357" s="174">
        <f>IFERROR(_xlfn.XLOOKUP($D357,'Modelling New'!$D:$D,'Modelling New'!$AF:$AF),"")</f>
        <v>0.995</v>
      </c>
      <c r="AI357" s="177" t="str">
        <f>IFERROR(_xlfn.XLOOKUP($A357,Input_Raw!$A:$A,Input_Raw!$BQ:$BQ),"")</f>
        <v/>
      </c>
      <c r="AJ357" s="167"/>
      <c r="AK357" s="167"/>
      <c r="AL357" s="167"/>
      <c r="AM357" s="167"/>
      <c r="AN357" s="175" t="str">
        <f>IFERROR(_xlfn.XLOOKUP($A357,Input_Raw!$A:$A,Input_Raw!$BN:$BN),"")</f>
        <v/>
      </c>
      <c r="AO357" s="174" t="str">
        <f>IFERROR((_xlfn.XLOOKUP($A357,'WTG Reactive Power'!$A:$A,'WTG Reactive Power'!$AE:$AE))/Table13[[#This Row],[Gen_Exp (kWh)]],"")</f>
        <v/>
      </c>
      <c r="AP357" s="174">
        <f>IFERROR(_xlfn.XLOOKUP($D357,'Modelling New'!$D:$D,'Modelling New'!$AK:$AK),"")</f>
        <v>0.05</v>
      </c>
      <c r="AQ357" s="174">
        <f>IFERROR(_xlfn.XLOOKUP($D357,'Modelling New'!$D:$D,'Modelling New'!$AL:$AL),"")</f>
        <v>0.05</v>
      </c>
      <c r="AR357" s="276">
        <f>IFERROR(_xlfn.XLOOKUP($D357,'Modelling New'!$D:$D,'Modelling New'!$N:$N),"")</f>
        <v>70.2</v>
      </c>
      <c r="AS357" s="276"/>
    </row>
    <row r="358" spans="1:45">
      <c r="A358" s="165">
        <f t="shared" si="27"/>
        <v>46101</v>
      </c>
      <c r="B358" s="166">
        <f>YEAR(Table13[[#This Row],[Date]])+IF(MONTH(Table13[[#This Row],[Date]])&gt;=4,1,0)</f>
        <v>2026</v>
      </c>
      <c r="C358" s="167">
        <f>YEAR(Table13[[#This Row],[Date]])</f>
        <v>2026</v>
      </c>
      <c r="D358" s="168">
        <f>Table13[[#This Row],[Date]]-DAY(Table13[[#This Row],[Date]])+1</f>
        <v>46082</v>
      </c>
      <c r="E358" s="167">
        <f t="shared" si="24"/>
        <v>31</v>
      </c>
      <c r="F358" s="169"/>
      <c r="G358" s="170"/>
      <c r="H358" s="170"/>
      <c r="I358" s="170"/>
      <c r="J358" s="170"/>
      <c r="K358" s="171"/>
      <c r="L358" s="170"/>
      <c r="M358" s="170" t="str">
        <f>IFERROR(_xlfn.XLOOKUP($A358,Input_Raw!$A:$A,Input_Raw!BG:BG),"")</f>
        <v/>
      </c>
      <c r="N358" s="170" t="str">
        <f>IFERROR(_xlfn.XLOOKUP($A358,Input_Raw!$A:$A,Input_Raw!BH:BH),"")</f>
        <v/>
      </c>
      <c r="O358" s="173" t="str">
        <f t="shared" si="25"/>
        <v/>
      </c>
      <c r="P358" s="173" t="str">
        <f>IFERROR(1-SUMIF(WTG_BD!$F:$F,$A358,WTG_BD!$AA:$AA)/($AA358+SUMIF(WTG_BD!$F:$F,$A358,WTG_BD!$AA:$AA)),"")</f>
        <v/>
      </c>
      <c r="Q358" s="173" t="str">
        <f>IFERROR(1-SUMIF(IGA_BD!$F:$F,$A358,IGA_BD!$X:$X)/($AA358+SUMIF(IGA_BD!$F:$F,$A358,IGA_BD!$X:$X)),"")</f>
        <v/>
      </c>
      <c r="R358" s="173" t="str">
        <f>IFERROR(1-SUMIF(Grid_BD!$F:$F,$A358,Grid_BD!$Y:$Y)/($AA358+SUMIF(Grid_BD!$F:$F,$A358,Grid_BD!$Y:$Y)),"")</f>
        <v/>
      </c>
      <c r="S358" s="167"/>
      <c r="T358" s="172"/>
      <c r="U358" s="173"/>
      <c r="V358" s="167"/>
      <c r="W358" s="174" t="str">
        <f t="shared" si="26"/>
        <v/>
      </c>
      <c r="X358" s="167" t="str">
        <f>IFERROR(_xlfn.XLOOKUP($A358,Input_Raw!$A:$A,Input_Raw!$BF:$BF),"")</f>
        <v/>
      </c>
      <c r="Y358" s="167" t="str">
        <f>IFERROR(_xlfn.XLOOKUP($A358,Input_Raw!$A:$A,Input_Raw!BJ:BJ),"")</f>
        <v/>
      </c>
      <c r="Z358" s="167" t="str">
        <f>IFERROR(_xlfn.XLOOKUP($A358,Input_Raw!$A:$A,Input_Raw!BK:BK),"")</f>
        <v/>
      </c>
      <c r="AA358" s="167" t="str">
        <f>IFERROR(_xlfn.XLOOKUP($A358,Input_Raw!$A:$A,Input_Raw!BL:BL),"")</f>
        <v/>
      </c>
      <c r="AB358" s="167" t="str">
        <f>IFERROR(_xlfn.XLOOKUP($A358,Input_Raw!$A:$A,Input_Raw!$BO:$BO),"")</f>
        <v/>
      </c>
      <c r="AC358" s="176">
        <f>IFERROR(_xlfn.XLOOKUP($D358,'Modelling New'!$D:$D,'Modelling New'!$J:$J),"")</f>
        <v>6.89</v>
      </c>
      <c r="AD358" s="166">
        <f>IFERROR(_xlfn.XLOOKUP($D358,'Modelling New'!$D:$D,'Modelling New'!$T:$T)*1000,"")</f>
        <v>629607.18715270935</v>
      </c>
      <c r="AE358" s="174"/>
      <c r="AF358" s="174">
        <f>IFERROR(_xlfn.XLOOKUP($D358,'Modelling New'!$D:$D,'Modelling New'!$W:$W),"")</f>
        <v>0.3736984729064039</v>
      </c>
      <c r="AG358" s="174">
        <f>IFERROR(_xlfn.XLOOKUP($D358,'Modelling New'!$D:$D,'Modelling New'!$AE:$AE),"")</f>
        <v>0.96029999999999993</v>
      </c>
      <c r="AH358" s="174">
        <f>IFERROR(_xlfn.XLOOKUP($D358,'Modelling New'!$D:$D,'Modelling New'!$AF:$AF),"")</f>
        <v>0.995</v>
      </c>
      <c r="AI358" s="177" t="str">
        <f>IFERROR(_xlfn.XLOOKUP($A358,Input_Raw!$A:$A,Input_Raw!$BQ:$BQ),"")</f>
        <v/>
      </c>
      <c r="AJ358" s="167"/>
      <c r="AK358" s="167"/>
      <c r="AL358" s="167"/>
      <c r="AM358" s="167"/>
      <c r="AN358" s="175" t="str">
        <f>IFERROR(_xlfn.XLOOKUP($A358,Input_Raw!$A:$A,Input_Raw!$BN:$BN),"")</f>
        <v/>
      </c>
      <c r="AO358" s="174" t="str">
        <f>IFERROR((_xlfn.XLOOKUP($A358,'WTG Reactive Power'!$A:$A,'WTG Reactive Power'!$AE:$AE))/Table13[[#This Row],[Gen_Exp (kWh)]],"")</f>
        <v/>
      </c>
      <c r="AP358" s="174">
        <f>IFERROR(_xlfn.XLOOKUP($D358,'Modelling New'!$D:$D,'Modelling New'!$AK:$AK),"")</f>
        <v>0.05</v>
      </c>
      <c r="AQ358" s="174">
        <f>IFERROR(_xlfn.XLOOKUP($D358,'Modelling New'!$D:$D,'Modelling New'!$AL:$AL),"")</f>
        <v>0.05</v>
      </c>
      <c r="AR358" s="276">
        <f>IFERROR(_xlfn.XLOOKUP($D358,'Modelling New'!$D:$D,'Modelling New'!$N:$N),"")</f>
        <v>70.2</v>
      </c>
      <c r="AS358" s="276"/>
    </row>
    <row r="359" spans="1:45">
      <c r="A359" s="165">
        <f t="shared" si="27"/>
        <v>46102</v>
      </c>
      <c r="B359" s="166">
        <f>YEAR(Table13[[#This Row],[Date]])+IF(MONTH(Table13[[#This Row],[Date]])&gt;=4,1,0)</f>
        <v>2026</v>
      </c>
      <c r="C359" s="167">
        <f>YEAR(Table13[[#This Row],[Date]])</f>
        <v>2026</v>
      </c>
      <c r="D359" s="168">
        <f>Table13[[#This Row],[Date]]-DAY(Table13[[#This Row],[Date]])+1</f>
        <v>46082</v>
      </c>
      <c r="E359" s="167">
        <f t="shared" si="24"/>
        <v>31</v>
      </c>
      <c r="F359" s="169"/>
      <c r="G359" s="176"/>
      <c r="H359" s="176"/>
      <c r="I359" s="176"/>
      <c r="J359" s="176"/>
      <c r="K359" s="171"/>
      <c r="L359" s="170"/>
      <c r="M359" s="170" t="str">
        <f>IFERROR(_xlfn.XLOOKUP($A359,Input_Raw!$A:$A,Input_Raw!BG:BG),"")</f>
        <v/>
      </c>
      <c r="N359" s="170" t="str">
        <f>IFERROR(_xlfn.XLOOKUP($A359,Input_Raw!$A:$A,Input_Raw!BH:BH),"")</f>
        <v/>
      </c>
      <c r="O359" s="173" t="str">
        <f t="shared" si="25"/>
        <v/>
      </c>
      <c r="P359" s="173" t="str">
        <f>IFERROR(1-SUMIF(WTG_BD!$F:$F,$A359,WTG_BD!$AA:$AA)/($AA359+SUMIF(WTG_BD!$F:$F,$A359,WTG_BD!$AA:$AA)),"")</f>
        <v/>
      </c>
      <c r="Q359" s="173" t="str">
        <f>IFERROR(1-SUMIF(IGA_BD!$F:$F,$A359,IGA_BD!$X:$X)/($AA359+SUMIF(IGA_BD!$F:$F,$A359,IGA_BD!$X:$X)),"")</f>
        <v/>
      </c>
      <c r="R359" s="173" t="str">
        <f>IFERROR(1-SUMIF(Grid_BD!$F:$F,$A359,Grid_BD!$Y:$Y)/($AA359+SUMIF(Grid_BD!$F:$F,$A359,Grid_BD!$Y:$Y)),"")</f>
        <v/>
      </c>
      <c r="S359" s="167"/>
      <c r="T359" s="172"/>
      <c r="U359" s="173"/>
      <c r="V359" s="167"/>
      <c r="W359" s="174" t="str">
        <f t="shared" si="26"/>
        <v/>
      </c>
      <c r="X359" s="167" t="str">
        <f>IFERROR(_xlfn.XLOOKUP($A359,Input_Raw!$A:$A,Input_Raw!$BF:$BF),"")</f>
        <v/>
      </c>
      <c r="Y359" s="167" t="str">
        <f>IFERROR(_xlfn.XLOOKUP($A359,Input_Raw!$A:$A,Input_Raw!BJ:BJ),"")</f>
        <v/>
      </c>
      <c r="Z359" s="167" t="str">
        <f>IFERROR(_xlfn.XLOOKUP($A359,Input_Raw!$A:$A,Input_Raw!BK:BK),"")</f>
        <v/>
      </c>
      <c r="AA359" s="167" t="str">
        <f>IFERROR(_xlfn.XLOOKUP($A359,Input_Raw!$A:$A,Input_Raw!BL:BL),"")</f>
        <v/>
      </c>
      <c r="AB359" s="167" t="str">
        <f>IFERROR(_xlfn.XLOOKUP($A359,Input_Raw!$A:$A,Input_Raw!$BO:$BO),"")</f>
        <v/>
      </c>
      <c r="AC359" s="176">
        <f>IFERROR(_xlfn.XLOOKUP($D359,'Modelling New'!$D:$D,'Modelling New'!$J:$J),"")</f>
        <v>6.89</v>
      </c>
      <c r="AD359" s="166">
        <f>IFERROR(_xlfn.XLOOKUP($D359,'Modelling New'!$D:$D,'Modelling New'!$T:$T)*1000,"")</f>
        <v>629607.18715270935</v>
      </c>
      <c r="AE359" s="174"/>
      <c r="AF359" s="174">
        <f>IFERROR(_xlfn.XLOOKUP($D359,'Modelling New'!$D:$D,'Modelling New'!$W:$W),"")</f>
        <v>0.3736984729064039</v>
      </c>
      <c r="AG359" s="174">
        <f>IFERROR(_xlfn.XLOOKUP($D359,'Modelling New'!$D:$D,'Modelling New'!$AE:$AE),"")</f>
        <v>0.96029999999999993</v>
      </c>
      <c r="AH359" s="174">
        <f>IFERROR(_xlfn.XLOOKUP($D359,'Modelling New'!$D:$D,'Modelling New'!$AF:$AF),"")</f>
        <v>0.995</v>
      </c>
      <c r="AI359" s="177" t="str">
        <f>IFERROR(_xlfn.XLOOKUP($A359,Input_Raw!$A:$A,Input_Raw!$BQ:$BQ),"")</f>
        <v/>
      </c>
      <c r="AJ359" s="167"/>
      <c r="AK359" s="167"/>
      <c r="AL359" s="167"/>
      <c r="AM359" s="167"/>
      <c r="AN359" s="175" t="str">
        <f>IFERROR(_xlfn.XLOOKUP($A359,Input_Raw!$A:$A,Input_Raw!$BN:$BN),"")</f>
        <v/>
      </c>
      <c r="AO359" s="174" t="str">
        <f>IFERROR((_xlfn.XLOOKUP($A359,'WTG Reactive Power'!$A:$A,'WTG Reactive Power'!$AE:$AE))/Table13[[#This Row],[Gen_Exp (kWh)]],"")</f>
        <v/>
      </c>
      <c r="AP359" s="174">
        <f>IFERROR(_xlfn.XLOOKUP($D359,'Modelling New'!$D:$D,'Modelling New'!$AK:$AK),"")</f>
        <v>0.05</v>
      </c>
      <c r="AQ359" s="174">
        <f>IFERROR(_xlfn.XLOOKUP($D359,'Modelling New'!$D:$D,'Modelling New'!$AL:$AL),"")</f>
        <v>0.05</v>
      </c>
      <c r="AR359" s="276">
        <f>IFERROR(_xlfn.XLOOKUP($D359,'Modelling New'!$D:$D,'Modelling New'!$N:$N),"")</f>
        <v>70.2</v>
      </c>
      <c r="AS359" s="276"/>
    </row>
    <row r="360" spans="1:45">
      <c r="A360" s="165">
        <f t="shared" si="27"/>
        <v>46103</v>
      </c>
      <c r="B360" s="166">
        <f>YEAR(Table13[[#This Row],[Date]])+IF(MONTH(Table13[[#This Row],[Date]])&gt;=4,1,0)</f>
        <v>2026</v>
      </c>
      <c r="C360" s="167">
        <f>YEAR(Table13[[#This Row],[Date]])</f>
        <v>2026</v>
      </c>
      <c r="D360" s="168">
        <f>Table13[[#This Row],[Date]]-DAY(Table13[[#This Row],[Date]])+1</f>
        <v>46082</v>
      </c>
      <c r="E360" s="167">
        <f t="shared" si="24"/>
        <v>31</v>
      </c>
      <c r="F360" s="169"/>
      <c r="G360" s="170"/>
      <c r="H360" s="170"/>
      <c r="I360" s="170"/>
      <c r="J360" s="170"/>
      <c r="K360" s="171"/>
      <c r="L360" s="170"/>
      <c r="M360" s="170" t="str">
        <f>IFERROR(_xlfn.XLOOKUP($A360,Input_Raw!$A:$A,Input_Raw!BG:BG),"")</f>
        <v/>
      </c>
      <c r="N360" s="170" t="str">
        <f>IFERROR(_xlfn.XLOOKUP($A360,Input_Raw!$A:$A,Input_Raw!BH:BH),"")</f>
        <v/>
      </c>
      <c r="O360" s="173" t="str">
        <f t="shared" si="25"/>
        <v/>
      </c>
      <c r="P360" s="173" t="str">
        <f>IFERROR(1-SUMIF(WTG_BD!$F:$F,$A360,WTG_BD!$AA:$AA)/($AA360+SUMIF(WTG_BD!$F:$F,$A360,WTG_BD!$AA:$AA)),"")</f>
        <v/>
      </c>
      <c r="Q360" s="173" t="str">
        <f>IFERROR(1-SUMIF(IGA_BD!$F:$F,$A360,IGA_BD!$X:$X)/($AA360+SUMIF(IGA_BD!$F:$F,$A360,IGA_BD!$X:$X)),"")</f>
        <v/>
      </c>
      <c r="R360" s="173" t="str">
        <f>IFERROR(1-SUMIF(Grid_BD!$F:$F,$A360,Grid_BD!$Y:$Y)/($AA360+SUMIF(Grid_BD!$F:$F,$A360,Grid_BD!$Y:$Y)),"")</f>
        <v/>
      </c>
      <c r="S360" s="167"/>
      <c r="T360" s="172"/>
      <c r="U360" s="173"/>
      <c r="V360" s="167"/>
      <c r="W360" s="174" t="str">
        <f t="shared" si="26"/>
        <v/>
      </c>
      <c r="X360" s="167" t="str">
        <f>IFERROR(_xlfn.XLOOKUP($A360,Input_Raw!$A:$A,Input_Raw!$BF:$BF),"")</f>
        <v/>
      </c>
      <c r="Y360" s="167" t="str">
        <f>IFERROR(_xlfn.XLOOKUP($A360,Input_Raw!$A:$A,Input_Raw!BJ:BJ),"")</f>
        <v/>
      </c>
      <c r="Z360" s="167" t="str">
        <f>IFERROR(_xlfn.XLOOKUP($A360,Input_Raw!$A:$A,Input_Raw!BK:BK),"")</f>
        <v/>
      </c>
      <c r="AA360" s="167" t="str">
        <f>IFERROR(_xlfn.XLOOKUP($A360,Input_Raw!$A:$A,Input_Raw!BL:BL),"")</f>
        <v/>
      </c>
      <c r="AB360" s="167" t="str">
        <f>IFERROR(_xlfn.XLOOKUP($A360,Input_Raw!$A:$A,Input_Raw!$BO:$BO),"")</f>
        <v/>
      </c>
      <c r="AC360" s="176">
        <f>IFERROR(_xlfn.XLOOKUP($D360,'Modelling New'!$D:$D,'Modelling New'!$J:$J),"")</f>
        <v>6.89</v>
      </c>
      <c r="AD360" s="166">
        <f>IFERROR(_xlfn.XLOOKUP($D360,'Modelling New'!$D:$D,'Modelling New'!$T:$T)*1000,"")</f>
        <v>629607.18715270935</v>
      </c>
      <c r="AE360" s="174"/>
      <c r="AF360" s="174">
        <f>IFERROR(_xlfn.XLOOKUP($D360,'Modelling New'!$D:$D,'Modelling New'!$W:$W),"")</f>
        <v>0.3736984729064039</v>
      </c>
      <c r="AG360" s="174">
        <f>IFERROR(_xlfn.XLOOKUP($D360,'Modelling New'!$D:$D,'Modelling New'!$AE:$AE),"")</f>
        <v>0.96029999999999993</v>
      </c>
      <c r="AH360" s="174">
        <f>IFERROR(_xlfn.XLOOKUP($D360,'Modelling New'!$D:$D,'Modelling New'!$AF:$AF),"")</f>
        <v>0.995</v>
      </c>
      <c r="AI360" s="177" t="str">
        <f>IFERROR(_xlfn.XLOOKUP($A360,Input_Raw!$A:$A,Input_Raw!$BQ:$BQ),"")</f>
        <v/>
      </c>
      <c r="AJ360" s="167"/>
      <c r="AK360" s="167"/>
      <c r="AL360" s="167"/>
      <c r="AM360" s="167"/>
      <c r="AN360" s="175" t="str">
        <f>IFERROR(_xlfn.XLOOKUP($A360,Input_Raw!$A:$A,Input_Raw!$BN:$BN),"")</f>
        <v/>
      </c>
      <c r="AO360" s="174" t="str">
        <f>IFERROR((_xlfn.XLOOKUP($A360,'WTG Reactive Power'!$A:$A,'WTG Reactive Power'!$AE:$AE))/Table13[[#This Row],[Gen_Exp (kWh)]],"")</f>
        <v/>
      </c>
      <c r="AP360" s="174">
        <f>IFERROR(_xlfn.XLOOKUP($D360,'Modelling New'!$D:$D,'Modelling New'!$AK:$AK),"")</f>
        <v>0.05</v>
      </c>
      <c r="AQ360" s="174">
        <f>IFERROR(_xlfn.XLOOKUP($D360,'Modelling New'!$D:$D,'Modelling New'!$AL:$AL),"")</f>
        <v>0.05</v>
      </c>
      <c r="AR360" s="276">
        <f>IFERROR(_xlfn.XLOOKUP($D360,'Modelling New'!$D:$D,'Modelling New'!$N:$N),"")</f>
        <v>70.2</v>
      </c>
      <c r="AS360" s="276"/>
    </row>
    <row r="361" spans="1:45">
      <c r="A361" s="165">
        <f t="shared" si="27"/>
        <v>46104</v>
      </c>
      <c r="B361" s="166">
        <f>YEAR(Table13[[#This Row],[Date]])+IF(MONTH(Table13[[#This Row],[Date]])&gt;=4,1,0)</f>
        <v>2026</v>
      </c>
      <c r="C361" s="167">
        <f>YEAR(Table13[[#This Row],[Date]])</f>
        <v>2026</v>
      </c>
      <c r="D361" s="168">
        <f>Table13[[#This Row],[Date]]-DAY(Table13[[#This Row],[Date]])+1</f>
        <v>46082</v>
      </c>
      <c r="E361" s="167">
        <f t="shared" si="24"/>
        <v>31</v>
      </c>
      <c r="F361" s="169"/>
      <c r="G361" s="176"/>
      <c r="H361" s="176"/>
      <c r="I361" s="176"/>
      <c r="J361" s="176"/>
      <c r="K361" s="171"/>
      <c r="L361" s="170"/>
      <c r="M361" s="170" t="str">
        <f>IFERROR(_xlfn.XLOOKUP($A361,Input_Raw!$A:$A,Input_Raw!BG:BG),"")</f>
        <v/>
      </c>
      <c r="N361" s="170" t="str">
        <f>IFERROR(_xlfn.XLOOKUP($A361,Input_Raw!$A:$A,Input_Raw!BH:BH),"")</f>
        <v/>
      </c>
      <c r="O361" s="173" t="str">
        <f t="shared" si="25"/>
        <v/>
      </c>
      <c r="P361" s="173" t="str">
        <f>IFERROR(1-SUMIF(WTG_BD!$F:$F,$A361,WTG_BD!$AA:$AA)/($AA361+SUMIF(WTG_BD!$F:$F,$A361,WTG_BD!$AA:$AA)),"")</f>
        <v/>
      </c>
      <c r="Q361" s="173" t="str">
        <f>IFERROR(1-SUMIF(IGA_BD!$F:$F,$A361,IGA_BD!$X:$X)/($AA361+SUMIF(IGA_BD!$F:$F,$A361,IGA_BD!$X:$X)),"")</f>
        <v/>
      </c>
      <c r="R361" s="173" t="str">
        <f>IFERROR(1-SUMIF(Grid_BD!$F:$F,$A361,Grid_BD!$Y:$Y)/($AA361+SUMIF(Grid_BD!$F:$F,$A361,Grid_BD!$Y:$Y)),"")</f>
        <v/>
      </c>
      <c r="S361" s="167"/>
      <c r="T361" s="172"/>
      <c r="U361" s="173"/>
      <c r="V361" s="167"/>
      <c r="W361" s="174" t="str">
        <f t="shared" si="26"/>
        <v/>
      </c>
      <c r="X361" s="167" t="str">
        <f>IFERROR(_xlfn.XLOOKUP($A361,Input_Raw!$A:$A,Input_Raw!$BF:$BF),"")</f>
        <v/>
      </c>
      <c r="Y361" s="167" t="str">
        <f>IFERROR(_xlfn.XLOOKUP($A361,Input_Raw!$A:$A,Input_Raw!BJ:BJ),"")</f>
        <v/>
      </c>
      <c r="Z361" s="167" t="str">
        <f>IFERROR(_xlfn.XLOOKUP($A361,Input_Raw!$A:$A,Input_Raw!BK:BK),"")</f>
        <v/>
      </c>
      <c r="AA361" s="167" t="str">
        <f>IFERROR(_xlfn.XLOOKUP($A361,Input_Raw!$A:$A,Input_Raw!BL:BL),"")</f>
        <v/>
      </c>
      <c r="AB361" s="167" t="str">
        <f>IFERROR(_xlfn.XLOOKUP($A361,Input_Raw!$A:$A,Input_Raw!$BO:$BO),"")</f>
        <v/>
      </c>
      <c r="AC361" s="176">
        <f>IFERROR(_xlfn.XLOOKUP($D361,'Modelling New'!$D:$D,'Modelling New'!$J:$J),"")</f>
        <v>6.89</v>
      </c>
      <c r="AD361" s="166">
        <f>IFERROR(_xlfn.XLOOKUP($D361,'Modelling New'!$D:$D,'Modelling New'!$T:$T)*1000,"")</f>
        <v>629607.18715270935</v>
      </c>
      <c r="AE361" s="174"/>
      <c r="AF361" s="174">
        <f>IFERROR(_xlfn.XLOOKUP($D361,'Modelling New'!$D:$D,'Modelling New'!$W:$W),"")</f>
        <v>0.3736984729064039</v>
      </c>
      <c r="AG361" s="174">
        <f>IFERROR(_xlfn.XLOOKUP($D361,'Modelling New'!$D:$D,'Modelling New'!$AE:$AE),"")</f>
        <v>0.96029999999999993</v>
      </c>
      <c r="AH361" s="174">
        <f>IFERROR(_xlfn.XLOOKUP($D361,'Modelling New'!$D:$D,'Modelling New'!$AF:$AF),"")</f>
        <v>0.995</v>
      </c>
      <c r="AI361" s="177" t="str">
        <f>IFERROR(_xlfn.XLOOKUP($A361,Input_Raw!$A:$A,Input_Raw!$BQ:$BQ),"")</f>
        <v/>
      </c>
      <c r="AJ361" s="167"/>
      <c r="AK361" s="167"/>
      <c r="AL361" s="167"/>
      <c r="AM361" s="167"/>
      <c r="AN361" s="175" t="str">
        <f>IFERROR(_xlfn.XLOOKUP($A361,Input_Raw!$A:$A,Input_Raw!$BN:$BN),"")</f>
        <v/>
      </c>
      <c r="AO361" s="174" t="str">
        <f>IFERROR((_xlfn.XLOOKUP($A361,'WTG Reactive Power'!$A:$A,'WTG Reactive Power'!$AE:$AE))/Table13[[#This Row],[Gen_Exp (kWh)]],"")</f>
        <v/>
      </c>
      <c r="AP361" s="174">
        <f>IFERROR(_xlfn.XLOOKUP($D361,'Modelling New'!$D:$D,'Modelling New'!$AK:$AK),"")</f>
        <v>0.05</v>
      </c>
      <c r="AQ361" s="174">
        <f>IFERROR(_xlfn.XLOOKUP($D361,'Modelling New'!$D:$D,'Modelling New'!$AL:$AL),"")</f>
        <v>0.05</v>
      </c>
      <c r="AR361" s="276">
        <f>IFERROR(_xlfn.XLOOKUP($D361,'Modelling New'!$D:$D,'Modelling New'!$N:$N),"")</f>
        <v>70.2</v>
      </c>
      <c r="AS361" s="276"/>
    </row>
    <row r="362" spans="1:45">
      <c r="A362" s="165">
        <f t="shared" si="27"/>
        <v>46105</v>
      </c>
      <c r="B362" s="166">
        <f>YEAR(Table13[[#This Row],[Date]])+IF(MONTH(Table13[[#This Row],[Date]])&gt;=4,1,0)</f>
        <v>2026</v>
      </c>
      <c r="C362" s="167">
        <f>YEAR(Table13[[#This Row],[Date]])</f>
        <v>2026</v>
      </c>
      <c r="D362" s="168">
        <f>Table13[[#This Row],[Date]]-DAY(Table13[[#This Row],[Date]])+1</f>
        <v>46082</v>
      </c>
      <c r="E362" s="167">
        <f t="shared" si="24"/>
        <v>31</v>
      </c>
      <c r="F362" s="169"/>
      <c r="G362" s="170"/>
      <c r="H362" s="170"/>
      <c r="I362" s="170"/>
      <c r="J362" s="170"/>
      <c r="K362" s="171"/>
      <c r="L362" s="170"/>
      <c r="M362" s="170" t="str">
        <f>IFERROR(_xlfn.XLOOKUP($A362,Input_Raw!$A:$A,Input_Raw!BG:BG),"")</f>
        <v/>
      </c>
      <c r="N362" s="170" t="str">
        <f>IFERROR(_xlfn.XLOOKUP($A362,Input_Raw!$A:$A,Input_Raw!BH:BH),"")</f>
        <v/>
      </c>
      <c r="O362" s="173" t="str">
        <f t="shared" si="25"/>
        <v/>
      </c>
      <c r="P362" s="173" t="str">
        <f>IFERROR(1-SUMIF(WTG_BD!$F:$F,$A362,WTG_BD!$AA:$AA)/($AA362+SUMIF(WTG_BD!$F:$F,$A362,WTG_BD!$AA:$AA)),"")</f>
        <v/>
      </c>
      <c r="Q362" s="173" t="str">
        <f>IFERROR(1-SUMIF(IGA_BD!$F:$F,$A362,IGA_BD!$X:$X)/($AA362+SUMIF(IGA_BD!$F:$F,$A362,IGA_BD!$X:$X)),"")</f>
        <v/>
      </c>
      <c r="R362" s="173" t="str">
        <f>IFERROR(1-SUMIF(Grid_BD!$F:$F,$A362,Grid_BD!$Y:$Y)/($AA362+SUMIF(Grid_BD!$F:$F,$A362,Grid_BD!$Y:$Y)),"")</f>
        <v/>
      </c>
      <c r="S362" s="167"/>
      <c r="T362" s="172"/>
      <c r="U362" s="173"/>
      <c r="V362" s="167"/>
      <c r="W362" s="174" t="str">
        <f t="shared" si="26"/>
        <v/>
      </c>
      <c r="X362" s="167" t="str">
        <f>IFERROR(_xlfn.XLOOKUP($A362,Input_Raw!$A:$A,Input_Raw!$BF:$BF),"")</f>
        <v/>
      </c>
      <c r="Y362" s="167" t="str">
        <f>IFERROR(_xlfn.XLOOKUP($A362,Input_Raw!$A:$A,Input_Raw!BJ:BJ),"")</f>
        <v/>
      </c>
      <c r="Z362" s="167" t="str">
        <f>IFERROR(_xlfn.XLOOKUP($A362,Input_Raw!$A:$A,Input_Raw!BK:BK),"")</f>
        <v/>
      </c>
      <c r="AA362" s="167" t="str">
        <f>IFERROR(_xlfn.XLOOKUP($A362,Input_Raw!$A:$A,Input_Raw!BL:BL),"")</f>
        <v/>
      </c>
      <c r="AB362" s="167" t="str">
        <f>IFERROR(_xlfn.XLOOKUP($A362,Input_Raw!$A:$A,Input_Raw!$BO:$BO),"")</f>
        <v/>
      </c>
      <c r="AC362" s="176">
        <f>IFERROR(_xlfn.XLOOKUP($D362,'Modelling New'!$D:$D,'Modelling New'!$J:$J),"")</f>
        <v>6.89</v>
      </c>
      <c r="AD362" s="166">
        <f>IFERROR(_xlfn.XLOOKUP($D362,'Modelling New'!$D:$D,'Modelling New'!$T:$T)*1000,"")</f>
        <v>629607.18715270935</v>
      </c>
      <c r="AE362" s="174"/>
      <c r="AF362" s="174">
        <f>IFERROR(_xlfn.XLOOKUP($D362,'Modelling New'!$D:$D,'Modelling New'!$W:$W),"")</f>
        <v>0.3736984729064039</v>
      </c>
      <c r="AG362" s="174">
        <f>IFERROR(_xlfn.XLOOKUP($D362,'Modelling New'!$D:$D,'Modelling New'!$AE:$AE),"")</f>
        <v>0.96029999999999993</v>
      </c>
      <c r="AH362" s="174">
        <f>IFERROR(_xlfn.XLOOKUP($D362,'Modelling New'!$D:$D,'Modelling New'!$AF:$AF),"")</f>
        <v>0.995</v>
      </c>
      <c r="AI362" s="177" t="str">
        <f>IFERROR(_xlfn.XLOOKUP($A362,Input_Raw!$A:$A,Input_Raw!$BQ:$BQ),"")</f>
        <v/>
      </c>
      <c r="AJ362" s="167"/>
      <c r="AK362" s="167"/>
      <c r="AL362" s="167"/>
      <c r="AM362" s="167"/>
      <c r="AN362" s="175" t="str">
        <f>IFERROR(_xlfn.XLOOKUP($A362,Input_Raw!$A:$A,Input_Raw!$BN:$BN),"")</f>
        <v/>
      </c>
      <c r="AO362" s="174" t="str">
        <f>IFERROR((_xlfn.XLOOKUP($A362,'WTG Reactive Power'!$A:$A,'WTG Reactive Power'!$AE:$AE))/Table13[[#This Row],[Gen_Exp (kWh)]],"")</f>
        <v/>
      </c>
      <c r="AP362" s="174">
        <f>IFERROR(_xlfn.XLOOKUP($D362,'Modelling New'!$D:$D,'Modelling New'!$AK:$AK),"")</f>
        <v>0.05</v>
      </c>
      <c r="AQ362" s="174">
        <f>IFERROR(_xlfn.XLOOKUP($D362,'Modelling New'!$D:$D,'Modelling New'!$AL:$AL),"")</f>
        <v>0.05</v>
      </c>
      <c r="AR362" s="276">
        <f>IFERROR(_xlfn.XLOOKUP($D362,'Modelling New'!$D:$D,'Modelling New'!$N:$N),"")</f>
        <v>70.2</v>
      </c>
      <c r="AS362" s="276"/>
    </row>
    <row r="363" spans="1:45">
      <c r="A363" s="165">
        <f t="shared" si="27"/>
        <v>46106</v>
      </c>
      <c r="B363" s="166">
        <f>YEAR(Table13[[#This Row],[Date]])+IF(MONTH(Table13[[#This Row],[Date]])&gt;=4,1,0)</f>
        <v>2026</v>
      </c>
      <c r="C363" s="167">
        <f>YEAR(Table13[[#This Row],[Date]])</f>
        <v>2026</v>
      </c>
      <c r="D363" s="168">
        <f>Table13[[#This Row],[Date]]-DAY(Table13[[#This Row],[Date]])+1</f>
        <v>46082</v>
      </c>
      <c r="E363" s="167">
        <f t="shared" si="24"/>
        <v>31</v>
      </c>
      <c r="F363" s="169"/>
      <c r="G363" s="176"/>
      <c r="H363" s="176"/>
      <c r="I363" s="176"/>
      <c r="J363" s="176"/>
      <c r="K363" s="171"/>
      <c r="L363" s="170"/>
      <c r="M363" s="170" t="str">
        <f>IFERROR(_xlfn.XLOOKUP($A363,Input_Raw!$A:$A,Input_Raw!BG:BG),"")</f>
        <v/>
      </c>
      <c r="N363" s="170" t="str">
        <f>IFERROR(_xlfn.XLOOKUP($A363,Input_Raw!$A:$A,Input_Raw!BH:BH),"")</f>
        <v/>
      </c>
      <c r="O363" s="173" t="str">
        <f t="shared" si="25"/>
        <v/>
      </c>
      <c r="P363" s="173" t="str">
        <f>IFERROR(1-SUMIF(WTG_BD!$F:$F,$A363,WTG_BD!$AA:$AA)/($AA363+SUMIF(WTG_BD!$F:$F,$A363,WTG_BD!$AA:$AA)),"")</f>
        <v/>
      </c>
      <c r="Q363" s="173" t="str">
        <f>IFERROR(1-SUMIF(IGA_BD!$F:$F,$A363,IGA_BD!$X:$X)/($AA363+SUMIF(IGA_BD!$F:$F,$A363,IGA_BD!$X:$X)),"")</f>
        <v/>
      </c>
      <c r="R363" s="173" t="str">
        <f>IFERROR(1-SUMIF(Grid_BD!$F:$F,$A363,Grid_BD!$Y:$Y)/($AA363+SUMIF(Grid_BD!$F:$F,$A363,Grid_BD!$Y:$Y)),"")</f>
        <v/>
      </c>
      <c r="S363" s="167"/>
      <c r="T363" s="172"/>
      <c r="U363" s="173"/>
      <c r="V363" s="167"/>
      <c r="W363" s="174" t="str">
        <f t="shared" si="26"/>
        <v/>
      </c>
      <c r="X363" s="167" t="str">
        <f>IFERROR(_xlfn.XLOOKUP($A363,Input_Raw!$A:$A,Input_Raw!$BF:$BF),"")</f>
        <v/>
      </c>
      <c r="Y363" s="167" t="str">
        <f>IFERROR(_xlfn.XLOOKUP($A363,Input_Raw!$A:$A,Input_Raw!BJ:BJ),"")</f>
        <v/>
      </c>
      <c r="Z363" s="167" t="str">
        <f>IFERROR(_xlfn.XLOOKUP($A363,Input_Raw!$A:$A,Input_Raw!BK:BK),"")</f>
        <v/>
      </c>
      <c r="AA363" s="167" t="str">
        <f>IFERROR(_xlfn.XLOOKUP($A363,Input_Raw!$A:$A,Input_Raw!BL:BL),"")</f>
        <v/>
      </c>
      <c r="AB363" s="167" t="str">
        <f>IFERROR(_xlfn.XLOOKUP($A363,Input_Raw!$A:$A,Input_Raw!$BO:$BO),"")</f>
        <v/>
      </c>
      <c r="AC363" s="176">
        <f>IFERROR(_xlfn.XLOOKUP($D363,'Modelling New'!$D:$D,'Modelling New'!$J:$J),"")</f>
        <v>6.89</v>
      </c>
      <c r="AD363" s="166">
        <f>IFERROR(_xlfn.XLOOKUP($D363,'Modelling New'!$D:$D,'Modelling New'!$T:$T)*1000,"")</f>
        <v>629607.18715270935</v>
      </c>
      <c r="AE363" s="174"/>
      <c r="AF363" s="174">
        <f>IFERROR(_xlfn.XLOOKUP($D363,'Modelling New'!$D:$D,'Modelling New'!$W:$W),"")</f>
        <v>0.3736984729064039</v>
      </c>
      <c r="AG363" s="174">
        <f>IFERROR(_xlfn.XLOOKUP($D363,'Modelling New'!$D:$D,'Modelling New'!$AE:$AE),"")</f>
        <v>0.96029999999999993</v>
      </c>
      <c r="AH363" s="174">
        <f>IFERROR(_xlfn.XLOOKUP($D363,'Modelling New'!$D:$D,'Modelling New'!$AF:$AF),"")</f>
        <v>0.995</v>
      </c>
      <c r="AI363" s="177" t="str">
        <f>IFERROR(_xlfn.XLOOKUP($A363,Input_Raw!$A:$A,Input_Raw!$BQ:$BQ),"")</f>
        <v/>
      </c>
      <c r="AJ363" s="167"/>
      <c r="AK363" s="167"/>
      <c r="AL363" s="167"/>
      <c r="AM363" s="167"/>
      <c r="AN363" s="175" t="str">
        <f>IFERROR(_xlfn.XLOOKUP($A363,Input_Raw!$A:$A,Input_Raw!$BN:$BN),"")</f>
        <v/>
      </c>
      <c r="AO363" s="174" t="str">
        <f>IFERROR((_xlfn.XLOOKUP($A363,'WTG Reactive Power'!$A:$A,'WTG Reactive Power'!$AE:$AE))/Table13[[#This Row],[Gen_Exp (kWh)]],"")</f>
        <v/>
      </c>
      <c r="AP363" s="174">
        <f>IFERROR(_xlfn.XLOOKUP($D363,'Modelling New'!$D:$D,'Modelling New'!$AK:$AK),"")</f>
        <v>0.05</v>
      </c>
      <c r="AQ363" s="174">
        <f>IFERROR(_xlfn.XLOOKUP($D363,'Modelling New'!$D:$D,'Modelling New'!$AL:$AL),"")</f>
        <v>0.05</v>
      </c>
      <c r="AR363" s="276">
        <f>IFERROR(_xlfn.XLOOKUP($D363,'Modelling New'!$D:$D,'Modelling New'!$N:$N),"")</f>
        <v>70.2</v>
      </c>
      <c r="AS363" s="276"/>
    </row>
    <row r="364" spans="1:45">
      <c r="A364" s="165">
        <f t="shared" si="27"/>
        <v>46107</v>
      </c>
      <c r="B364" s="166">
        <f>YEAR(Table13[[#This Row],[Date]])+IF(MONTH(Table13[[#This Row],[Date]])&gt;=4,1,0)</f>
        <v>2026</v>
      </c>
      <c r="C364" s="167">
        <f>YEAR(Table13[[#This Row],[Date]])</f>
        <v>2026</v>
      </c>
      <c r="D364" s="168">
        <f>Table13[[#This Row],[Date]]-DAY(Table13[[#This Row],[Date]])+1</f>
        <v>46082</v>
      </c>
      <c r="E364" s="167">
        <f t="shared" si="24"/>
        <v>31</v>
      </c>
      <c r="F364" s="169"/>
      <c r="G364" s="170"/>
      <c r="H364" s="170"/>
      <c r="I364" s="170"/>
      <c r="J364" s="170"/>
      <c r="K364" s="171"/>
      <c r="L364" s="170"/>
      <c r="M364" s="170" t="str">
        <f>IFERROR(_xlfn.XLOOKUP($A364,Input_Raw!$A:$A,Input_Raw!BG:BG),"")</f>
        <v/>
      </c>
      <c r="N364" s="170" t="str">
        <f>IFERROR(_xlfn.XLOOKUP($A364,Input_Raw!$A:$A,Input_Raw!BH:BH),"")</f>
        <v/>
      </c>
      <c r="O364" s="173" t="str">
        <f t="shared" si="25"/>
        <v/>
      </c>
      <c r="P364" s="173" t="str">
        <f>IFERROR(1-SUMIF(WTG_BD!$F:$F,$A364,WTG_BD!$AA:$AA)/($AA364+SUMIF(WTG_BD!$F:$F,$A364,WTG_BD!$AA:$AA)),"")</f>
        <v/>
      </c>
      <c r="Q364" s="173" t="str">
        <f>IFERROR(1-SUMIF(IGA_BD!$F:$F,$A364,IGA_BD!$X:$X)/($AA364+SUMIF(IGA_BD!$F:$F,$A364,IGA_BD!$X:$X)),"")</f>
        <v/>
      </c>
      <c r="R364" s="173" t="str">
        <f>IFERROR(1-SUMIF(Grid_BD!$F:$F,$A364,Grid_BD!$Y:$Y)/($AA364+SUMIF(Grid_BD!$F:$F,$A364,Grid_BD!$Y:$Y)),"")</f>
        <v/>
      </c>
      <c r="S364" s="167"/>
      <c r="T364" s="172"/>
      <c r="U364" s="173"/>
      <c r="V364" s="167"/>
      <c r="W364" s="174" t="str">
        <f t="shared" si="26"/>
        <v/>
      </c>
      <c r="X364" s="167" t="str">
        <f>IFERROR(_xlfn.XLOOKUP($A364,Input_Raw!$A:$A,Input_Raw!$BF:$BF),"")</f>
        <v/>
      </c>
      <c r="Y364" s="167" t="str">
        <f>IFERROR(_xlfn.XLOOKUP($A364,Input_Raw!$A:$A,Input_Raw!BJ:BJ),"")</f>
        <v/>
      </c>
      <c r="Z364" s="167" t="str">
        <f>IFERROR(_xlfn.XLOOKUP($A364,Input_Raw!$A:$A,Input_Raw!BK:BK),"")</f>
        <v/>
      </c>
      <c r="AA364" s="167" t="str">
        <f>IFERROR(_xlfn.XLOOKUP($A364,Input_Raw!$A:$A,Input_Raw!BL:BL),"")</f>
        <v/>
      </c>
      <c r="AB364" s="167" t="str">
        <f>IFERROR(_xlfn.XLOOKUP($A364,Input_Raw!$A:$A,Input_Raw!$BO:$BO),"")</f>
        <v/>
      </c>
      <c r="AC364" s="176">
        <f>IFERROR(_xlfn.XLOOKUP($D364,'Modelling New'!$D:$D,'Modelling New'!$J:$J),"")</f>
        <v>6.89</v>
      </c>
      <c r="AD364" s="166">
        <f>IFERROR(_xlfn.XLOOKUP($D364,'Modelling New'!$D:$D,'Modelling New'!$T:$T)*1000,"")</f>
        <v>629607.18715270935</v>
      </c>
      <c r="AE364" s="174"/>
      <c r="AF364" s="174">
        <f>IFERROR(_xlfn.XLOOKUP($D364,'Modelling New'!$D:$D,'Modelling New'!$W:$W),"")</f>
        <v>0.3736984729064039</v>
      </c>
      <c r="AG364" s="174">
        <f>IFERROR(_xlfn.XLOOKUP($D364,'Modelling New'!$D:$D,'Modelling New'!$AE:$AE),"")</f>
        <v>0.96029999999999993</v>
      </c>
      <c r="AH364" s="174">
        <f>IFERROR(_xlfn.XLOOKUP($D364,'Modelling New'!$D:$D,'Modelling New'!$AF:$AF),"")</f>
        <v>0.995</v>
      </c>
      <c r="AI364" s="177" t="str">
        <f>IFERROR(_xlfn.XLOOKUP($A364,Input_Raw!$A:$A,Input_Raw!$BQ:$BQ),"")</f>
        <v/>
      </c>
      <c r="AJ364" s="167"/>
      <c r="AK364" s="167"/>
      <c r="AL364" s="167"/>
      <c r="AM364" s="167"/>
      <c r="AN364" s="175" t="str">
        <f>IFERROR(_xlfn.XLOOKUP($A364,Input_Raw!$A:$A,Input_Raw!$BN:$BN),"")</f>
        <v/>
      </c>
      <c r="AO364" s="174" t="str">
        <f>IFERROR((_xlfn.XLOOKUP($A364,'WTG Reactive Power'!$A:$A,'WTG Reactive Power'!$AE:$AE))/Table13[[#This Row],[Gen_Exp (kWh)]],"")</f>
        <v/>
      </c>
      <c r="AP364" s="174">
        <f>IFERROR(_xlfn.XLOOKUP($D364,'Modelling New'!$D:$D,'Modelling New'!$AK:$AK),"")</f>
        <v>0.05</v>
      </c>
      <c r="AQ364" s="174">
        <f>IFERROR(_xlfn.XLOOKUP($D364,'Modelling New'!$D:$D,'Modelling New'!$AL:$AL),"")</f>
        <v>0.05</v>
      </c>
      <c r="AR364" s="276">
        <f>IFERROR(_xlfn.XLOOKUP($D364,'Modelling New'!$D:$D,'Modelling New'!$N:$N),"")</f>
        <v>70.2</v>
      </c>
      <c r="AS364" s="276"/>
    </row>
    <row r="365" spans="1:45">
      <c r="A365" s="165">
        <f t="shared" si="27"/>
        <v>46108</v>
      </c>
      <c r="B365" s="166">
        <f>YEAR(Table13[[#This Row],[Date]])+IF(MONTH(Table13[[#This Row],[Date]])&gt;=4,1,0)</f>
        <v>2026</v>
      </c>
      <c r="C365" s="167">
        <f>YEAR(Table13[[#This Row],[Date]])</f>
        <v>2026</v>
      </c>
      <c r="D365" s="168">
        <f>Table13[[#This Row],[Date]]-DAY(Table13[[#This Row],[Date]])+1</f>
        <v>46082</v>
      </c>
      <c r="E365" s="167">
        <f t="shared" si="24"/>
        <v>31</v>
      </c>
      <c r="F365" s="169"/>
      <c r="G365" s="176"/>
      <c r="H365" s="176"/>
      <c r="I365" s="176"/>
      <c r="J365" s="176"/>
      <c r="K365" s="171"/>
      <c r="L365" s="170"/>
      <c r="M365" s="170" t="str">
        <f>IFERROR(_xlfn.XLOOKUP($A365,Input_Raw!$A:$A,Input_Raw!BG:BG),"")</f>
        <v/>
      </c>
      <c r="N365" s="170" t="str">
        <f>IFERROR(_xlfn.XLOOKUP($A365,Input_Raw!$A:$A,Input_Raw!BH:BH),"")</f>
        <v/>
      </c>
      <c r="O365" s="173" t="str">
        <f t="shared" si="25"/>
        <v/>
      </c>
      <c r="P365" s="173" t="str">
        <f>IFERROR(1-SUMIF(WTG_BD!$F:$F,$A365,WTG_BD!$AA:$AA)/($AA365+SUMIF(WTG_BD!$F:$F,$A365,WTG_BD!$AA:$AA)),"")</f>
        <v/>
      </c>
      <c r="Q365" s="173" t="str">
        <f>IFERROR(1-SUMIF(IGA_BD!$F:$F,$A365,IGA_BD!$X:$X)/($AA365+SUMIF(IGA_BD!$F:$F,$A365,IGA_BD!$X:$X)),"")</f>
        <v/>
      </c>
      <c r="R365" s="173" t="str">
        <f>IFERROR(1-SUMIF(Grid_BD!$F:$F,$A365,Grid_BD!$Y:$Y)/($AA365+SUMIF(Grid_BD!$F:$F,$A365,Grid_BD!$Y:$Y)),"")</f>
        <v/>
      </c>
      <c r="S365" s="167"/>
      <c r="T365" s="172"/>
      <c r="U365" s="173"/>
      <c r="V365" s="167"/>
      <c r="W365" s="174" t="str">
        <f t="shared" si="26"/>
        <v/>
      </c>
      <c r="X365" s="167" t="str">
        <f>IFERROR(_xlfn.XLOOKUP($A365,Input_Raw!$A:$A,Input_Raw!$BF:$BF),"")</f>
        <v/>
      </c>
      <c r="Y365" s="167" t="str">
        <f>IFERROR(_xlfn.XLOOKUP($A365,Input_Raw!$A:$A,Input_Raw!BJ:BJ),"")</f>
        <v/>
      </c>
      <c r="Z365" s="167" t="str">
        <f>IFERROR(_xlfn.XLOOKUP($A365,Input_Raw!$A:$A,Input_Raw!BK:BK),"")</f>
        <v/>
      </c>
      <c r="AA365" s="167" t="str">
        <f>IFERROR(_xlfn.XLOOKUP($A365,Input_Raw!$A:$A,Input_Raw!BL:BL),"")</f>
        <v/>
      </c>
      <c r="AB365" s="167" t="str">
        <f>IFERROR(_xlfn.XLOOKUP($A365,Input_Raw!$A:$A,Input_Raw!$BO:$BO),"")</f>
        <v/>
      </c>
      <c r="AC365" s="176">
        <f>IFERROR(_xlfn.XLOOKUP($D365,'Modelling New'!$D:$D,'Modelling New'!$J:$J),"")</f>
        <v>6.89</v>
      </c>
      <c r="AD365" s="166">
        <f>IFERROR(_xlfn.XLOOKUP($D365,'Modelling New'!$D:$D,'Modelling New'!$T:$T)*1000,"")</f>
        <v>629607.18715270935</v>
      </c>
      <c r="AE365" s="174"/>
      <c r="AF365" s="174">
        <f>IFERROR(_xlfn.XLOOKUP($D365,'Modelling New'!$D:$D,'Modelling New'!$W:$W),"")</f>
        <v>0.3736984729064039</v>
      </c>
      <c r="AG365" s="174">
        <f>IFERROR(_xlfn.XLOOKUP($D365,'Modelling New'!$D:$D,'Modelling New'!$AE:$AE),"")</f>
        <v>0.96029999999999993</v>
      </c>
      <c r="AH365" s="174">
        <f>IFERROR(_xlfn.XLOOKUP($D365,'Modelling New'!$D:$D,'Modelling New'!$AF:$AF),"")</f>
        <v>0.995</v>
      </c>
      <c r="AI365" s="177" t="str">
        <f>IFERROR(_xlfn.XLOOKUP($A365,Input_Raw!$A:$A,Input_Raw!$BQ:$BQ),"")</f>
        <v/>
      </c>
      <c r="AJ365" s="167"/>
      <c r="AK365" s="167"/>
      <c r="AL365" s="167"/>
      <c r="AM365" s="167"/>
      <c r="AN365" s="175" t="str">
        <f>IFERROR(_xlfn.XLOOKUP($A365,Input_Raw!$A:$A,Input_Raw!$BN:$BN),"")</f>
        <v/>
      </c>
      <c r="AO365" s="174" t="str">
        <f>IFERROR((_xlfn.XLOOKUP($A365,'WTG Reactive Power'!$A:$A,'WTG Reactive Power'!$AE:$AE))/Table13[[#This Row],[Gen_Exp (kWh)]],"")</f>
        <v/>
      </c>
      <c r="AP365" s="174">
        <f>IFERROR(_xlfn.XLOOKUP($D365,'Modelling New'!$D:$D,'Modelling New'!$AK:$AK),"")</f>
        <v>0.05</v>
      </c>
      <c r="AQ365" s="174">
        <f>IFERROR(_xlfn.XLOOKUP($D365,'Modelling New'!$D:$D,'Modelling New'!$AL:$AL),"")</f>
        <v>0.05</v>
      </c>
      <c r="AR365" s="276">
        <f>IFERROR(_xlfn.XLOOKUP($D365,'Modelling New'!$D:$D,'Modelling New'!$N:$N),"")</f>
        <v>70.2</v>
      </c>
      <c r="AS365" s="276"/>
    </row>
    <row r="366" spans="1:45">
      <c r="A366" s="165">
        <f t="shared" si="27"/>
        <v>46109</v>
      </c>
      <c r="B366" s="166">
        <f>YEAR(Table13[[#This Row],[Date]])+IF(MONTH(Table13[[#This Row],[Date]])&gt;=4,1,0)</f>
        <v>2026</v>
      </c>
      <c r="C366" s="167">
        <f>YEAR(Table13[[#This Row],[Date]])</f>
        <v>2026</v>
      </c>
      <c r="D366" s="168">
        <f>Table13[[#This Row],[Date]]-DAY(Table13[[#This Row],[Date]])+1</f>
        <v>46082</v>
      </c>
      <c r="E366" s="167">
        <f t="shared" si="24"/>
        <v>31</v>
      </c>
      <c r="F366" s="169"/>
      <c r="G366" s="170"/>
      <c r="H366" s="170"/>
      <c r="I366" s="170"/>
      <c r="J366" s="170"/>
      <c r="K366" s="171"/>
      <c r="L366" s="170"/>
      <c r="M366" s="170" t="str">
        <f>IFERROR(_xlfn.XLOOKUP($A366,Input_Raw!$A:$A,Input_Raw!BG:BG),"")</f>
        <v/>
      </c>
      <c r="N366" s="170" t="str">
        <f>IFERROR(_xlfn.XLOOKUP($A366,Input_Raw!$A:$A,Input_Raw!BH:BH),"")</f>
        <v/>
      </c>
      <c r="O366" s="173" t="str">
        <f t="shared" si="25"/>
        <v/>
      </c>
      <c r="P366" s="173" t="str">
        <f>IFERROR(1-SUMIF(WTG_BD!$F:$F,$A366,WTG_BD!$AA:$AA)/($AA366+SUMIF(WTG_BD!$F:$F,$A366,WTG_BD!$AA:$AA)),"")</f>
        <v/>
      </c>
      <c r="Q366" s="173" t="str">
        <f>IFERROR(1-SUMIF(IGA_BD!$F:$F,$A366,IGA_BD!$X:$X)/($AA366+SUMIF(IGA_BD!$F:$F,$A366,IGA_BD!$X:$X)),"")</f>
        <v/>
      </c>
      <c r="R366" s="173" t="str">
        <f>IFERROR(1-SUMIF(Grid_BD!$F:$F,$A366,Grid_BD!$Y:$Y)/($AA366+SUMIF(Grid_BD!$F:$F,$A366,Grid_BD!$Y:$Y)),"")</f>
        <v/>
      </c>
      <c r="S366" s="167"/>
      <c r="T366" s="172"/>
      <c r="U366" s="173"/>
      <c r="V366" s="167"/>
      <c r="W366" s="174" t="str">
        <f t="shared" si="26"/>
        <v/>
      </c>
      <c r="X366" s="167" t="str">
        <f>IFERROR(_xlfn.XLOOKUP($A366,Input_Raw!$A:$A,Input_Raw!$BF:$BF),"")</f>
        <v/>
      </c>
      <c r="Y366" s="167" t="str">
        <f>IFERROR(_xlfn.XLOOKUP($A366,Input_Raw!$A:$A,Input_Raw!BJ:BJ),"")</f>
        <v/>
      </c>
      <c r="Z366" s="167" t="str">
        <f>IFERROR(_xlfn.XLOOKUP($A366,Input_Raw!$A:$A,Input_Raw!BK:BK),"")</f>
        <v/>
      </c>
      <c r="AA366" s="167" t="str">
        <f>IFERROR(_xlfn.XLOOKUP($A366,Input_Raw!$A:$A,Input_Raw!BL:BL),"")</f>
        <v/>
      </c>
      <c r="AB366" s="167" t="str">
        <f>IFERROR(_xlfn.XLOOKUP($A366,Input_Raw!$A:$A,Input_Raw!$BO:$BO),"")</f>
        <v/>
      </c>
      <c r="AC366" s="176">
        <f>IFERROR(_xlfn.XLOOKUP($D366,'Modelling New'!$D:$D,'Modelling New'!$J:$J),"")</f>
        <v>6.89</v>
      </c>
      <c r="AD366" s="166">
        <f>IFERROR(_xlfn.XLOOKUP($D366,'Modelling New'!$D:$D,'Modelling New'!$T:$T)*1000,"")</f>
        <v>629607.18715270935</v>
      </c>
      <c r="AE366" s="174"/>
      <c r="AF366" s="174">
        <f>IFERROR(_xlfn.XLOOKUP($D366,'Modelling New'!$D:$D,'Modelling New'!$W:$W),"")</f>
        <v>0.3736984729064039</v>
      </c>
      <c r="AG366" s="174">
        <f>IFERROR(_xlfn.XLOOKUP($D366,'Modelling New'!$D:$D,'Modelling New'!$AE:$AE),"")</f>
        <v>0.96029999999999993</v>
      </c>
      <c r="AH366" s="174">
        <f>IFERROR(_xlfn.XLOOKUP($D366,'Modelling New'!$D:$D,'Modelling New'!$AF:$AF),"")</f>
        <v>0.995</v>
      </c>
      <c r="AI366" s="177" t="str">
        <f>IFERROR(_xlfn.XLOOKUP($A366,Input_Raw!$A:$A,Input_Raw!$BQ:$BQ),"")</f>
        <v/>
      </c>
      <c r="AJ366" s="167"/>
      <c r="AK366" s="167"/>
      <c r="AL366" s="167"/>
      <c r="AM366" s="167"/>
      <c r="AN366" s="175" t="str">
        <f>IFERROR(_xlfn.XLOOKUP($A366,Input_Raw!$A:$A,Input_Raw!$BN:$BN),"")</f>
        <v/>
      </c>
      <c r="AO366" s="174" t="str">
        <f>IFERROR((_xlfn.XLOOKUP($A366,'WTG Reactive Power'!$A:$A,'WTG Reactive Power'!$AE:$AE))/Table13[[#This Row],[Gen_Exp (kWh)]],"")</f>
        <v/>
      </c>
      <c r="AP366" s="174">
        <f>IFERROR(_xlfn.XLOOKUP($D366,'Modelling New'!$D:$D,'Modelling New'!$AK:$AK),"")</f>
        <v>0.05</v>
      </c>
      <c r="AQ366" s="174">
        <f>IFERROR(_xlfn.XLOOKUP($D366,'Modelling New'!$D:$D,'Modelling New'!$AL:$AL),"")</f>
        <v>0.05</v>
      </c>
      <c r="AR366" s="276">
        <f>IFERROR(_xlfn.XLOOKUP($D366,'Modelling New'!$D:$D,'Modelling New'!$N:$N),"")</f>
        <v>70.2</v>
      </c>
      <c r="AS366" s="276"/>
    </row>
    <row r="367" spans="1:45">
      <c r="A367" s="165">
        <f t="shared" si="27"/>
        <v>46110</v>
      </c>
      <c r="B367" s="166">
        <f>YEAR(Table13[[#This Row],[Date]])+IF(MONTH(Table13[[#This Row],[Date]])&gt;=4,1,0)</f>
        <v>2026</v>
      </c>
      <c r="C367" s="167">
        <f>YEAR(Table13[[#This Row],[Date]])</f>
        <v>2026</v>
      </c>
      <c r="D367" s="168">
        <f>Table13[[#This Row],[Date]]-DAY(Table13[[#This Row],[Date]])+1</f>
        <v>46082</v>
      </c>
      <c r="E367" s="167">
        <f t="shared" si="24"/>
        <v>31</v>
      </c>
      <c r="F367" s="169"/>
      <c r="G367" s="176"/>
      <c r="H367" s="176"/>
      <c r="I367" s="176"/>
      <c r="J367" s="176"/>
      <c r="K367" s="171"/>
      <c r="L367" s="170"/>
      <c r="M367" s="170" t="str">
        <f>IFERROR(_xlfn.XLOOKUP($A367,Input_Raw!$A:$A,Input_Raw!BG:BG),"")</f>
        <v/>
      </c>
      <c r="N367" s="170" t="str">
        <f>IFERROR(_xlfn.XLOOKUP($A367,Input_Raw!$A:$A,Input_Raw!BH:BH),"")</f>
        <v/>
      </c>
      <c r="O367" s="173" t="str">
        <f t="shared" si="25"/>
        <v/>
      </c>
      <c r="P367" s="173" t="str">
        <f>IFERROR(1-SUMIF(WTG_BD!$F:$F,$A367,WTG_BD!$AA:$AA)/($AA367+SUMIF(WTG_BD!$F:$F,$A367,WTG_BD!$AA:$AA)),"")</f>
        <v/>
      </c>
      <c r="Q367" s="173" t="str">
        <f>IFERROR(1-SUMIF(IGA_BD!$F:$F,$A367,IGA_BD!$X:$X)/($AA367+SUMIF(IGA_BD!$F:$F,$A367,IGA_BD!$X:$X)),"")</f>
        <v/>
      </c>
      <c r="R367" s="173" t="str">
        <f>IFERROR(1-SUMIF(Grid_BD!$F:$F,$A367,Grid_BD!$Y:$Y)/($AA367+SUMIF(Grid_BD!$F:$F,$A367,Grid_BD!$Y:$Y)),"")</f>
        <v/>
      </c>
      <c r="S367" s="167"/>
      <c r="T367" s="172"/>
      <c r="U367" s="173"/>
      <c r="V367" s="167"/>
      <c r="W367" s="174" t="str">
        <f t="shared" si="26"/>
        <v/>
      </c>
      <c r="X367" s="167" t="str">
        <f>IFERROR(_xlfn.XLOOKUP($A367,Input_Raw!$A:$A,Input_Raw!$BF:$BF),"")</f>
        <v/>
      </c>
      <c r="Y367" s="167" t="str">
        <f>IFERROR(_xlfn.XLOOKUP($A367,Input_Raw!$A:$A,Input_Raw!BJ:BJ),"")</f>
        <v/>
      </c>
      <c r="Z367" s="167" t="str">
        <f>IFERROR(_xlfn.XLOOKUP($A367,Input_Raw!$A:$A,Input_Raw!BK:BK),"")</f>
        <v/>
      </c>
      <c r="AA367" s="167" t="str">
        <f>IFERROR(_xlfn.XLOOKUP($A367,Input_Raw!$A:$A,Input_Raw!BL:BL),"")</f>
        <v/>
      </c>
      <c r="AB367" s="167" t="str">
        <f>IFERROR(_xlfn.XLOOKUP($A367,Input_Raw!$A:$A,Input_Raw!$BO:$BO),"")</f>
        <v/>
      </c>
      <c r="AC367" s="176">
        <f>IFERROR(_xlfn.XLOOKUP($D367,'Modelling New'!$D:$D,'Modelling New'!$J:$J),"")</f>
        <v>6.89</v>
      </c>
      <c r="AD367" s="166">
        <f>IFERROR(_xlfn.XLOOKUP($D367,'Modelling New'!$D:$D,'Modelling New'!$T:$T)*1000,"")</f>
        <v>629607.18715270935</v>
      </c>
      <c r="AE367" s="174"/>
      <c r="AF367" s="174">
        <f>IFERROR(_xlfn.XLOOKUP($D367,'Modelling New'!$D:$D,'Modelling New'!$W:$W),"")</f>
        <v>0.3736984729064039</v>
      </c>
      <c r="AG367" s="174">
        <f>IFERROR(_xlfn.XLOOKUP($D367,'Modelling New'!$D:$D,'Modelling New'!$AE:$AE),"")</f>
        <v>0.96029999999999993</v>
      </c>
      <c r="AH367" s="174">
        <f>IFERROR(_xlfn.XLOOKUP($D367,'Modelling New'!$D:$D,'Modelling New'!$AF:$AF),"")</f>
        <v>0.995</v>
      </c>
      <c r="AI367" s="177" t="str">
        <f>IFERROR(_xlfn.XLOOKUP($A367,Input_Raw!$A:$A,Input_Raw!$BQ:$BQ),"")</f>
        <v/>
      </c>
      <c r="AJ367" s="167"/>
      <c r="AK367" s="167"/>
      <c r="AL367" s="167"/>
      <c r="AM367" s="167"/>
      <c r="AN367" s="175" t="str">
        <f>IFERROR(_xlfn.XLOOKUP($A367,Input_Raw!$A:$A,Input_Raw!$BN:$BN),"")</f>
        <v/>
      </c>
      <c r="AO367" s="174" t="str">
        <f>IFERROR((_xlfn.XLOOKUP($A367,'WTG Reactive Power'!$A:$A,'WTG Reactive Power'!$AE:$AE))/Table13[[#This Row],[Gen_Exp (kWh)]],"")</f>
        <v/>
      </c>
      <c r="AP367" s="174">
        <f>IFERROR(_xlfn.XLOOKUP($D367,'Modelling New'!$D:$D,'Modelling New'!$AK:$AK),"")</f>
        <v>0.05</v>
      </c>
      <c r="AQ367" s="174">
        <f>IFERROR(_xlfn.XLOOKUP($D367,'Modelling New'!$D:$D,'Modelling New'!$AL:$AL),"")</f>
        <v>0.05</v>
      </c>
      <c r="AR367" s="276">
        <f>IFERROR(_xlfn.XLOOKUP($D367,'Modelling New'!$D:$D,'Modelling New'!$N:$N),"")</f>
        <v>70.2</v>
      </c>
      <c r="AS367" s="276"/>
    </row>
    <row r="368" spans="1:45">
      <c r="A368" s="165">
        <f t="shared" si="27"/>
        <v>46111</v>
      </c>
      <c r="B368" s="166">
        <f>YEAR(Table13[[#This Row],[Date]])+IF(MONTH(Table13[[#This Row],[Date]])&gt;=4,1,0)</f>
        <v>2026</v>
      </c>
      <c r="C368" s="167">
        <f>YEAR(Table13[[#This Row],[Date]])</f>
        <v>2026</v>
      </c>
      <c r="D368" s="168">
        <f>Table13[[#This Row],[Date]]-DAY(Table13[[#This Row],[Date]])+1</f>
        <v>46082</v>
      </c>
      <c r="E368" s="167">
        <f t="shared" si="24"/>
        <v>31</v>
      </c>
      <c r="F368" s="169"/>
      <c r="G368" s="170"/>
      <c r="H368" s="170"/>
      <c r="I368" s="170"/>
      <c r="J368" s="170"/>
      <c r="K368" s="171"/>
      <c r="L368" s="170"/>
      <c r="M368" s="170" t="str">
        <f>IFERROR(_xlfn.XLOOKUP($A368,Input_Raw!$A:$A,Input_Raw!BG:BG),"")</f>
        <v/>
      </c>
      <c r="N368" s="170" t="str">
        <f>IFERROR(_xlfn.XLOOKUP($A368,Input_Raw!$A:$A,Input_Raw!BH:BH),"")</f>
        <v/>
      </c>
      <c r="O368" s="173" t="str">
        <f t="shared" si="25"/>
        <v/>
      </c>
      <c r="P368" s="173" t="str">
        <f>IFERROR(1-SUMIF(WTG_BD!$F:$F,$A368,WTG_BD!$AA:$AA)/($AA368+SUMIF(WTG_BD!$F:$F,$A368,WTG_BD!$AA:$AA)),"")</f>
        <v/>
      </c>
      <c r="Q368" s="173" t="str">
        <f>IFERROR(1-SUMIF(IGA_BD!$F:$F,$A368,IGA_BD!$X:$X)/($AA368+SUMIF(IGA_BD!$F:$F,$A368,IGA_BD!$X:$X)),"")</f>
        <v/>
      </c>
      <c r="R368" s="173" t="str">
        <f>IFERROR(1-SUMIF(Grid_BD!$F:$F,$A368,Grid_BD!$Y:$Y)/($AA368+SUMIF(Grid_BD!$F:$F,$A368,Grid_BD!$Y:$Y)),"")</f>
        <v/>
      </c>
      <c r="S368" s="167"/>
      <c r="T368" s="172"/>
      <c r="U368" s="173"/>
      <c r="V368" s="167"/>
      <c r="W368" s="174" t="str">
        <f t="shared" si="26"/>
        <v/>
      </c>
      <c r="X368" s="167" t="str">
        <f>IFERROR(_xlfn.XLOOKUP($A368,Input_Raw!$A:$A,Input_Raw!$BF:$BF),"")</f>
        <v/>
      </c>
      <c r="Y368" s="167" t="str">
        <f>IFERROR(_xlfn.XLOOKUP($A368,Input_Raw!$A:$A,Input_Raw!BJ:BJ),"")</f>
        <v/>
      </c>
      <c r="Z368" s="167" t="str">
        <f>IFERROR(_xlfn.XLOOKUP($A368,Input_Raw!$A:$A,Input_Raw!BK:BK),"")</f>
        <v/>
      </c>
      <c r="AA368" s="167" t="str">
        <f>IFERROR(_xlfn.XLOOKUP($A368,Input_Raw!$A:$A,Input_Raw!BL:BL),"")</f>
        <v/>
      </c>
      <c r="AB368" s="167" t="str">
        <f>IFERROR(_xlfn.XLOOKUP($A368,Input_Raw!$A:$A,Input_Raw!$BO:$BO),"")</f>
        <v/>
      </c>
      <c r="AC368" s="176">
        <f>IFERROR(_xlfn.XLOOKUP($D368,'Modelling New'!$D:$D,'Modelling New'!$J:$J),"")</f>
        <v>6.89</v>
      </c>
      <c r="AD368" s="166">
        <f>IFERROR(_xlfn.XLOOKUP($D368,'Modelling New'!$D:$D,'Modelling New'!$T:$T)*1000,"")</f>
        <v>629607.18715270935</v>
      </c>
      <c r="AE368" s="174"/>
      <c r="AF368" s="174">
        <f>IFERROR(_xlfn.XLOOKUP($D368,'Modelling New'!$D:$D,'Modelling New'!$W:$W),"")</f>
        <v>0.3736984729064039</v>
      </c>
      <c r="AG368" s="174">
        <f>IFERROR(_xlfn.XLOOKUP($D368,'Modelling New'!$D:$D,'Modelling New'!$AE:$AE),"")</f>
        <v>0.96029999999999993</v>
      </c>
      <c r="AH368" s="174">
        <f>IFERROR(_xlfn.XLOOKUP($D368,'Modelling New'!$D:$D,'Modelling New'!$AF:$AF),"")</f>
        <v>0.995</v>
      </c>
      <c r="AI368" s="177" t="str">
        <f>IFERROR(_xlfn.XLOOKUP($A368,Input_Raw!$A:$A,Input_Raw!$BQ:$BQ),"")</f>
        <v/>
      </c>
      <c r="AJ368" s="167"/>
      <c r="AK368" s="167"/>
      <c r="AL368" s="167"/>
      <c r="AM368" s="167"/>
      <c r="AN368" s="175" t="str">
        <f>IFERROR(_xlfn.XLOOKUP($A368,Input_Raw!$A:$A,Input_Raw!$BN:$BN),"")</f>
        <v/>
      </c>
      <c r="AO368" s="174" t="str">
        <f>IFERROR((_xlfn.XLOOKUP($A368,'WTG Reactive Power'!$A:$A,'WTG Reactive Power'!$AE:$AE))/Table13[[#This Row],[Gen_Exp (kWh)]],"")</f>
        <v/>
      </c>
      <c r="AP368" s="174">
        <f>IFERROR(_xlfn.XLOOKUP($D368,'Modelling New'!$D:$D,'Modelling New'!$AK:$AK),"")</f>
        <v>0.05</v>
      </c>
      <c r="AQ368" s="174">
        <f>IFERROR(_xlfn.XLOOKUP($D368,'Modelling New'!$D:$D,'Modelling New'!$AL:$AL),"")</f>
        <v>0.05</v>
      </c>
      <c r="AR368" s="276">
        <f>IFERROR(_xlfn.XLOOKUP($D368,'Modelling New'!$D:$D,'Modelling New'!$N:$N),"")</f>
        <v>70.2</v>
      </c>
      <c r="AS368" s="276"/>
    </row>
    <row r="369" spans="1:45">
      <c r="A369" s="165">
        <f t="shared" si="27"/>
        <v>46112</v>
      </c>
      <c r="B369" s="166">
        <f>YEAR(Table13[[#This Row],[Date]])+IF(MONTH(Table13[[#This Row],[Date]])&gt;=4,1,0)</f>
        <v>2026</v>
      </c>
      <c r="C369" s="167">
        <f>YEAR(Table13[[#This Row],[Date]])</f>
        <v>2026</v>
      </c>
      <c r="D369" s="168">
        <f>Table13[[#This Row],[Date]]-DAY(Table13[[#This Row],[Date]])+1</f>
        <v>46082</v>
      </c>
      <c r="E369" s="167">
        <f t="shared" si="24"/>
        <v>31</v>
      </c>
      <c r="F369" s="169"/>
      <c r="G369" s="176"/>
      <c r="H369" s="176"/>
      <c r="I369" s="176"/>
      <c r="J369" s="176"/>
      <c r="K369" s="171"/>
      <c r="L369" s="170"/>
      <c r="M369" s="170" t="str">
        <f>IFERROR(_xlfn.XLOOKUP($A369,Input_Raw!$A:$A,Input_Raw!BG:BG),"")</f>
        <v/>
      </c>
      <c r="N369" s="170" t="str">
        <f>IFERROR(_xlfn.XLOOKUP($A369,Input_Raw!$A:$A,Input_Raw!BH:BH),"")</f>
        <v/>
      </c>
      <c r="O369" s="173" t="str">
        <f t="shared" si="25"/>
        <v/>
      </c>
      <c r="P369" s="173" t="str">
        <f>IFERROR(1-SUMIF(WTG_BD!$F:$F,$A369,WTG_BD!$AA:$AA)/($AA369+SUMIF(WTG_BD!$F:$F,$A369,WTG_BD!$AA:$AA)),"")</f>
        <v/>
      </c>
      <c r="Q369" s="173" t="str">
        <f>IFERROR(1-SUMIF(IGA_BD!$F:$F,$A369,IGA_BD!$X:$X)/($AA369+SUMIF(IGA_BD!$F:$F,$A369,IGA_BD!$X:$X)),"")</f>
        <v/>
      </c>
      <c r="R369" s="173" t="str">
        <f>IFERROR(1-SUMIF(Grid_BD!$F:$F,$A369,Grid_BD!$Y:$Y)/($AA369+SUMIF(Grid_BD!$F:$F,$A369,Grid_BD!$Y:$Y)),"")</f>
        <v/>
      </c>
      <c r="S369" s="167"/>
      <c r="T369" s="172"/>
      <c r="U369" s="173"/>
      <c r="V369" s="167"/>
      <c r="W369" s="174" t="str">
        <f t="shared" si="26"/>
        <v/>
      </c>
      <c r="X369" s="167" t="str">
        <f>IFERROR(_xlfn.XLOOKUP($A369,Input_Raw!$A:$A,Input_Raw!$BF:$BF),"")</f>
        <v/>
      </c>
      <c r="Y369" s="167" t="str">
        <f>IFERROR(_xlfn.XLOOKUP($A369,Input_Raw!$A:$A,Input_Raw!BJ:BJ),"")</f>
        <v/>
      </c>
      <c r="Z369" s="167" t="str">
        <f>IFERROR(_xlfn.XLOOKUP($A369,Input_Raw!$A:$A,Input_Raw!BK:BK),"")</f>
        <v/>
      </c>
      <c r="AA369" s="167" t="str">
        <f>IFERROR(_xlfn.XLOOKUP($A369,Input_Raw!$A:$A,Input_Raw!BL:BL),"")</f>
        <v/>
      </c>
      <c r="AB369" s="167" t="str">
        <f>IFERROR(_xlfn.XLOOKUP($A369,Input_Raw!$A:$A,Input_Raw!$BO:$BO),"")</f>
        <v/>
      </c>
      <c r="AC369" s="176">
        <f>IFERROR(_xlfn.XLOOKUP($D369,'Modelling New'!$D:$D,'Modelling New'!$J:$J),"")</f>
        <v>6.89</v>
      </c>
      <c r="AD369" s="166">
        <f>IFERROR(_xlfn.XLOOKUP($D369,'Modelling New'!$D:$D,'Modelling New'!$T:$T)*1000,"")</f>
        <v>629607.18715270935</v>
      </c>
      <c r="AE369" s="174"/>
      <c r="AF369" s="174">
        <f>IFERROR(_xlfn.XLOOKUP($D369,'Modelling New'!$D:$D,'Modelling New'!$W:$W),"")</f>
        <v>0.3736984729064039</v>
      </c>
      <c r="AG369" s="174">
        <f>IFERROR(_xlfn.XLOOKUP($D369,'Modelling New'!$D:$D,'Modelling New'!$AE:$AE),"")</f>
        <v>0.96029999999999993</v>
      </c>
      <c r="AH369" s="174">
        <f>IFERROR(_xlfn.XLOOKUP($D369,'Modelling New'!$D:$D,'Modelling New'!$AF:$AF),"")</f>
        <v>0.995</v>
      </c>
      <c r="AI369" s="177" t="str">
        <f>IFERROR(_xlfn.XLOOKUP($A369,Input_Raw!$A:$A,Input_Raw!$BQ:$BQ),"")</f>
        <v/>
      </c>
      <c r="AJ369" s="167"/>
      <c r="AK369" s="167"/>
      <c r="AL369" s="167"/>
      <c r="AM369" s="167"/>
      <c r="AN369" s="175" t="str">
        <f>IFERROR(_xlfn.XLOOKUP($A369,Input_Raw!$A:$A,Input_Raw!$BN:$BN),"")</f>
        <v/>
      </c>
      <c r="AO369" s="174" t="str">
        <f>IFERROR((_xlfn.XLOOKUP($A369,'WTG Reactive Power'!$A:$A,'WTG Reactive Power'!$AE:$AE))/Table13[[#This Row],[Gen_Exp (kWh)]],"")</f>
        <v/>
      </c>
      <c r="AP369" s="174">
        <f>IFERROR(_xlfn.XLOOKUP($D369,'Modelling New'!$D:$D,'Modelling New'!$AK:$AK),"")</f>
        <v>0.05</v>
      </c>
      <c r="AQ369" s="174">
        <f>IFERROR(_xlfn.XLOOKUP($D369,'Modelling New'!$D:$D,'Modelling New'!$AL:$AL),"")</f>
        <v>0.05</v>
      </c>
      <c r="AR369" s="276">
        <f>IFERROR(_xlfn.XLOOKUP($D369,'Modelling New'!$D:$D,'Modelling New'!$N:$N),"")</f>
        <v>70.2</v>
      </c>
      <c r="AS369" s="276"/>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E4" sqref="E4"/>
    </sheetView>
  </sheetViews>
  <sheetFormatPr defaultColWidth="8.44140625" defaultRowHeight="14.4"/>
  <cols>
    <col min="1" max="1" width="11" customWidth="1"/>
    <col min="2" max="2" width="10.44140625" customWidth="1"/>
    <col min="3" max="5" width="13.44140625" customWidth="1"/>
    <col min="6" max="6" width="14" customWidth="1"/>
    <col min="7" max="7" width="9.44140625" customWidth="1"/>
    <col min="8" max="8" width="10.44140625" customWidth="1"/>
    <col min="10" max="10" width="9.44140625" customWidth="1"/>
    <col min="11" max="11" width="9" customWidth="1"/>
    <col min="12" max="12" width="9.44140625" customWidth="1"/>
    <col min="14" max="14" width="9.44140625" customWidth="1"/>
    <col min="16" max="16" width="10.44140625" customWidth="1"/>
  </cols>
  <sheetData>
    <row r="1" spans="1:19">
      <c r="A1" s="32" t="s">
        <v>43</v>
      </c>
      <c r="B1" s="33">
        <f>O2Summary!B4</f>
        <v>45852</v>
      </c>
      <c r="C1" s="115">
        <f>O2Summary!$B$3</f>
        <v>45839</v>
      </c>
    </row>
    <row r="2" spans="1:19" ht="21">
      <c r="A2" s="604" t="s">
        <v>44</v>
      </c>
      <c r="B2" s="605"/>
      <c r="C2" s="605"/>
      <c r="D2" s="605"/>
      <c r="E2" s="605"/>
      <c r="F2" s="605"/>
      <c r="G2" s="605"/>
      <c r="H2" s="605"/>
      <c r="I2" s="605"/>
      <c r="J2" s="605"/>
      <c r="K2" s="605"/>
      <c r="L2" s="605"/>
      <c r="M2" s="605"/>
      <c r="N2" s="605"/>
      <c r="O2" s="605"/>
      <c r="P2" s="605"/>
    </row>
    <row r="3" spans="1:19" ht="45.75" customHeight="1">
      <c r="A3" s="123" t="s">
        <v>45</v>
      </c>
      <c r="B3" s="123" t="s">
        <v>46</v>
      </c>
      <c r="C3" s="114" t="s">
        <v>47</v>
      </c>
      <c r="D3" s="114" t="s">
        <v>48</v>
      </c>
      <c r="E3" s="114" t="s">
        <v>49</v>
      </c>
      <c r="F3" s="114" t="s">
        <v>50</v>
      </c>
      <c r="G3" s="114" t="s">
        <v>51</v>
      </c>
      <c r="H3" s="114" t="s">
        <v>52</v>
      </c>
      <c r="I3" s="114" t="s">
        <v>53</v>
      </c>
      <c r="J3" s="114" t="s">
        <v>54</v>
      </c>
      <c r="K3" s="114" t="s">
        <v>55</v>
      </c>
      <c r="L3" s="114" t="s">
        <v>56</v>
      </c>
      <c r="M3" s="114" t="s">
        <v>57</v>
      </c>
      <c r="N3" s="114" t="s">
        <v>58</v>
      </c>
      <c r="O3" s="114" t="s">
        <v>59</v>
      </c>
      <c r="P3" s="114" t="s">
        <v>60</v>
      </c>
      <c r="Q3" s="198" t="s">
        <v>61</v>
      </c>
      <c r="R3" s="198" t="s">
        <v>62</v>
      </c>
      <c r="S3" s="198" t="s">
        <v>63</v>
      </c>
    </row>
    <row r="4" spans="1:19" s="35" customFormat="1" ht="15.75" customHeight="1">
      <c r="A4" s="124">
        <f>YEAR(B1)+IF(MONTH(B1)&gt;=4,1,0)</f>
        <v>2026</v>
      </c>
      <c r="B4" s="116">
        <f>$B$1-(O2Summary!$B$6)+1</f>
        <v>105</v>
      </c>
      <c r="C4" s="117">
        <f>_xlfn.XLOOKUP($C$1,'Modelling New'!$D:$D,'Modelling New'!$AD:$AD)</f>
        <v>7.2925000000000004</v>
      </c>
      <c r="D4" s="118">
        <f>AVERAGEIFS('Daily KPI'!$M:$M,'Daily KPI'!$A:$A,"&gt;="&amp;O2Summary!$B$6,'Daily KPI'!$A:$A,"&lt;="&amp;AnnualKPI!$B$1)</f>
        <v>6.8395640683576833</v>
      </c>
      <c r="E4" s="116">
        <f>_xlfn.XLOOKUP($C$1,'Modelling New'!$D:$D,'Modelling New'!$V:$V)</f>
        <v>86645.632384551747</v>
      </c>
      <c r="F4" s="119">
        <f>SUMIFS('Daily KPI'!$AA:$AA,'Daily KPI'!$A:$A,"&gt;="&amp;O2Summary!$B$6,'Daily KPI'!$A:$A,"&lt;="&amp;AnnualKPI!$B$1)/1000</f>
        <v>73061.100000000006</v>
      </c>
      <c r="G4" s="120">
        <f>_xlfn.XLOOKUP($C$1,'Modelling New'!$D:$D,'Modelling New'!$Y:$Y)</f>
        <v>0.48978899507389168</v>
      </c>
      <c r="H4" s="121">
        <f>IFERROR(F4/(B4*24*(_xlfn.XLOOKUP($B$1,'Daily KPI'!$A:$A,'Daily KPI'!$AR:$AR))),"")</f>
        <v>0.41299857549857555</v>
      </c>
      <c r="I4" s="120">
        <f>_xlfn.XLOOKUP($C$1,'Modelling New'!$D:$D,'Modelling New'!$AF:$AF)</f>
        <v>0.995</v>
      </c>
      <c r="J4" s="122">
        <f>AVERAGEIFS('Daily KPI'!$R:$R,'Daily KPI'!$A:$A,"&gt;="&amp;O2Summary!$B$6,'Daily KPI'!$A:$A,"&lt;="&amp;AnnualKPI!$B$1)</f>
        <v>1</v>
      </c>
      <c r="K4" s="120">
        <f>_xlfn.XLOOKUP($C$1,'Modelling New'!$D:$D,'Modelling New'!$AH:$AH)</f>
        <v>0.97</v>
      </c>
      <c r="L4" s="122">
        <f>AVERAGEIFS('Daily KPI'!$P:$P,'Daily KPI'!$A:$A,"&gt;="&amp;O2Summary!$B$6,'Daily KPI'!$A:$A,"&lt;="&amp;AnnualKPI!$B$1)</f>
        <v>0.96822313179659192</v>
      </c>
      <c r="M4" s="120">
        <f>_xlfn.XLOOKUP($C$1,'Modelling New'!$D:$D,'Modelling New'!$AI:$AI)</f>
        <v>0.99</v>
      </c>
      <c r="N4" s="122">
        <f>AVERAGEIFS('Daily KPI'!$Q:$Q,'Daily KPI'!$A:$A,"&gt;="&amp;O2Summary!$B$6,'Daily KPI'!$A:$A,"&lt;="&amp;AnnualKPI!$B$1)</f>
        <v>0.97190344272330997</v>
      </c>
      <c r="O4" s="120">
        <f>K4*M4</f>
        <v>0.96029999999999993</v>
      </c>
      <c r="P4" s="122">
        <f>L4*N4</f>
        <v>0.94101939511745281</v>
      </c>
      <c r="Q4" s="119">
        <f>SUMIFS('Daily KPI'!$AI:$AI,'Daily KPI'!$D:$D,"&gt;="&amp;O2Summary!$B$6,'Daily KPI'!$A:$A,"&lt;="&amp;AnnualKPI!$B$1)</f>
        <v>79506.354499999987</v>
      </c>
      <c r="R4" s="200">
        <f>IFERROR(AVERAGEIFS('Daily KPI'!$AN:$AN,'Daily KPI'!$D:$D,O2Summary!$B$6,'Daily KPI'!$A:$A,"&lt;="&amp;AnnualKPI!$B$1),"")</f>
        <v>3.43142594698315E-2</v>
      </c>
      <c r="S4" s="200">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I15" sqref="I15"/>
    </sheetView>
  </sheetViews>
  <sheetFormatPr defaultColWidth="8.44140625" defaultRowHeight="29.25" customHeight="1"/>
  <cols>
    <col min="1" max="1" width="14" bestFit="1" customWidth="1"/>
    <col min="2" max="2" width="23.44140625" bestFit="1" customWidth="1"/>
    <col min="3" max="3" width="18.5546875" bestFit="1" customWidth="1"/>
    <col min="4" max="4" width="12" customWidth="1"/>
    <col min="5" max="5" width="14.44140625" customWidth="1"/>
    <col min="6" max="16" width="12.44140625" customWidth="1"/>
    <col min="17" max="17" width="12" customWidth="1"/>
    <col min="18" max="18" width="9.44140625" bestFit="1" customWidth="1"/>
    <col min="20" max="20" width="9.44140625" bestFit="1" customWidth="1"/>
  </cols>
  <sheetData>
    <row r="2" spans="1:27" ht="29.25" customHeight="1">
      <c r="A2" s="125" t="s">
        <v>69</v>
      </c>
      <c r="B2" s="126">
        <f>O2Summary!B3</f>
        <v>45839</v>
      </c>
    </row>
    <row r="3" spans="1:27" ht="29.25" customHeight="1">
      <c r="A3" s="82" t="s">
        <v>70</v>
      </c>
      <c r="B3" s="83">
        <f>O2Summary!B4</f>
        <v>45852</v>
      </c>
      <c r="C3">
        <f>((B3-B2)+1)*24</f>
        <v>336</v>
      </c>
      <c r="D3" s="81">
        <f>MEDIAN(B21:AA21)</f>
        <v>6.7</v>
      </c>
    </row>
    <row r="4" spans="1:27" ht="29.25" customHeight="1">
      <c r="A4" s="127" t="s">
        <v>73</v>
      </c>
      <c r="B4" s="128" t="s">
        <v>74</v>
      </c>
      <c r="C4" s="128" t="s">
        <v>75</v>
      </c>
      <c r="D4" s="128" t="s">
        <v>76</v>
      </c>
      <c r="E4" s="128" t="s">
        <v>77</v>
      </c>
      <c r="F4" s="128" t="s">
        <v>78</v>
      </c>
      <c r="G4" s="128" t="s">
        <v>79</v>
      </c>
      <c r="H4" s="128" t="s">
        <v>80</v>
      </c>
      <c r="I4" s="128" t="s">
        <v>81</v>
      </c>
      <c r="J4" s="128" t="s">
        <v>82</v>
      </c>
      <c r="K4" s="128" t="s">
        <v>83</v>
      </c>
      <c r="L4" s="128" t="s">
        <v>84</v>
      </c>
      <c r="M4" s="128" t="s">
        <v>85</v>
      </c>
      <c r="N4" s="128" t="s">
        <v>86</v>
      </c>
      <c r="O4" s="128" t="s">
        <v>87</v>
      </c>
      <c r="P4" s="128" t="s">
        <v>88</v>
      </c>
      <c r="Q4" s="128" t="s">
        <v>89</v>
      </c>
      <c r="R4" s="128" t="s">
        <v>90</v>
      </c>
      <c r="S4" s="128" t="s">
        <v>91</v>
      </c>
      <c r="T4" s="128" t="s">
        <v>92</v>
      </c>
      <c r="U4" s="128" t="s">
        <v>93</v>
      </c>
      <c r="V4" s="128" t="s">
        <v>94</v>
      </c>
      <c r="W4" s="128" t="s">
        <v>95</v>
      </c>
      <c r="X4" s="128" t="s">
        <v>96</v>
      </c>
      <c r="Y4" s="128" t="s">
        <v>97</v>
      </c>
      <c r="Z4" s="128" t="s">
        <v>98</v>
      </c>
      <c r="AA4" s="128" t="s">
        <v>99</v>
      </c>
    </row>
    <row r="5" spans="1:27" ht="29.25" customHeight="1">
      <c r="A5" s="127" t="s">
        <v>100</v>
      </c>
      <c r="B5" s="155">
        <f>IFERROR(($C$3-B6)/$C$3,1)</f>
        <v>0.99990079365079354</v>
      </c>
      <c r="C5" s="155">
        <f>IFERROR(($C$3-C6)/$C$3,1)</f>
        <v>0.99990079365079354</v>
      </c>
      <c r="D5" s="155">
        <f t="shared" ref="D5:AA5" si="0">IFERROR(($C$3-D6)/$C$3,1)</f>
        <v>0.99990079365079354</v>
      </c>
      <c r="E5" s="155">
        <f t="shared" si="0"/>
        <v>0.99990079365079354</v>
      </c>
      <c r="F5" s="155">
        <f t="shared" si="0"/>
        <v>0.99990079365079354</v>
      </c>
      <c r="G5" s="155">
        <f t="shared" si="0"/>
        <v>0.99990079365079354</v>
      </c>
      <c r="H5" s="155">
        <f t="shared" si="0"/>
        <v>0.99990079365079354</v>
      </c>
      <c r="I5" s="155">
        <f t="shared" si="0"/>
        <v>0.99990079365079354</v>
      </c>
      <c r="J5" s="155">
        <f t="shared" si="0"/>
        <v>0.99990079365079354</v>
      </c>
      <c r="K5" s="155">
        <f t="shared" si="0"/>
        <v>0.99990079365079354</v>
      </c>
      <c r="L5" s="155">
        <f t="shared" si="0"/>
        <v>0.99990079365079354</v>
      </c>
      <c r="M5" s="155">
        <f t="shared" si="0"/>
        <v>0.99990079365079354</v>
      </c>
      <c r="N5" s="155">
        <f t="shared" si="0"/>
        <v>0.99990079365079354</v>
      </c>
      <c r="O5" s="155">
        <f t="shared" si="0"/>
        <v>0.99990079365079354</v>
      </c>
      <c r="P5" s="155">
        <f t="shared" si="0"/>
        <v>0.99990079365079354</v>
      </c>
      <c r="Q5" s="155">
        <f t="shared" si="0"/>
        <v>0.99990079365079354</v>
      </c>
      <c r="R5" s="155">
        <f t="shared" si="0"/>
        <v>0.99990079365079354</v>
      </c>
      <c r="S5" s="155">
        <f t="shared" si="0"/>
        <v>0.99990079365079354</v>
      </c>
      <c r="T5" s="155">
        <f t="shared" si="0"/>
        <v>0.99990079365079354</v>
      </c>
      <c r="U5" s="155">
        <f t="shared" si="0"/>
        <v>0.99990079365079354</v>
      </c>
      <c r="V5" s="155">
        <f t="shared" si="0"/>
        <v>0.99990079365079354</v>
      </c>
      <c r="W5" s="155">
        <f t="shared" si="0"/>
        <v>0.99990079365079354</v>
      </c>
      <c r="X5" s="155">
        <f t="shared" si="0"/>
        <v>0.99990079365079354</v>
      </c>
      <c r="Y5" s="155">
        <f t="shared" si="0"/>
        <v>0.99990079365079354</v>
      </c>
      <c r="Z5" s="155">
        <f t="shared" si="0"/>
        <v>0.99990079365079354</v>
      </c>
      <c r="AA5" s="155">
        <f t="shared" si="0"/>
        <v>0.99990079365079354</v>
      </c>
    </row>
    <row r="6" spans="1:27" ht="29.25" hidden="1" customHeight="1">
      <c r="A6" s="129" t="s">
        <v>101</v>
      </c>
      <c r="B6" s="154">
        <f>SUMIFS(WTG_BD!$T:$T,WTG_BD!$F:$F,"&gt;="&amp;Analytices!$B$2,WTG_BD!$F:$F,"&lt;="&amp;Analytices!$B$3,WTG_BD!$G:$G,$B$4)</f>
        <v>3.3333333333333215E-2</v>
      </c>
      <c r="C6" s="154">
        <f>SUMIFS(WTG_BD!$T:$T,WTG_BD!$F:$F,"&gt;="&amp;Analytices!$B$2,WTG_BD!$F:$F,"&lt;="&amp;Analytices!$B$3,WTG_BD!$G:$G,$B$4)</f>
        <v>3.3333333333333215E-2</v>
      </c>
      <c r="D6" s="154">
        <f>SUMIFS(WTG_BD!$T:$T,WTG_BD!$F:$F,"&gt;="&amp;Analytices!$B$2,WTG_BD!$F:$F,"&lt;="&amp;Analytices!$B$3,WTG_BD!$G:$G,$B$4)</f>
        <v>3.3333333333333215E-2</v>
      </c>
      <c r="E6" s="154">
        <f>SUMIFS(WTG_BD!$T:$T,WTG_BD!$F:$F,"&gt;="&amp;Analytices!$B$2,WTG_BD!$F:$F,"&lt;="&amp;Analytices!$B$3,WTG_BD!$G:$G,$B$4)</f>
        <v>3.3333333333333215E-2</v>
      </c>
      <c r="F6" s="154">
        <f>SUMIFS(WTG_BD!$T:$T,WTG_BD!$F:$F,"&gt;="&amp;Analytices!$B$2,WTG_BD!$F:$F,"&lt;="&amp;Analytices!$B$3,WTG_BD!$G:$G,$B$4)</f>
        <v>3.3333333333333215E-2</v>
      </c>
      <c r="G6" s="154">
        <f>SUMIFS(WTG_BD!$T:$T,WTG_BD!$F:$F,"&gt;="&amp;Analytices!$B$2,WTG_BD!$F:$F,"&lt;="&amp;Analytices!$B$3,WTG_BD!$G:$G,$B$4)</f>
        <v>3.3333333333333215E-2</v>
      </c>
      <c r="H6" s="154">
        <f>SUMIFS(WTG_BD!$T:$T,WTG_BD!$F:$F,"&gt;="&amp;Analytices!$B$2,WTG_BD!$F:$F,"&lt;="&amp;Analytices!$B$3,WTG_BD!$G:$G,$B$4)</f>
        <v>3.3333333333333215E-2</v>
      </c>
      <c r="I6" s="154">
        <f>SUMIFS(WTG_BD!$T:$T,WTG_BD!$F:$F,"&gt;="&amp;Analytices!$B$2,WTG_BD!$F:$F,"&lt;="&amp;Analytices!$B$3,WTG_BD!$G:$G,$B$4)</f>
        <v>3.3333333333333215E-2</v>
      </c>
      <c r="J6" s="154">
        <f>SUMIFS(WTG_BD!$T:$T,WTG_BD!$F:$F,"&gt;="&amp;Analytices!$B$2,WTG_BD!$F:$F,"&lt;="&amp;Analytices!$B$3,WTG_BD!$G:$G,$B$4)</f>
        <v>3.3333333333333215E-2</v>
      </c>
      <c r="K6" s="154">
        <f>SUMIFS(WTG_BD!$T:$T,WTG_BD!$F:$F,"&gt;="&amp;Analytices!$B$2,WTG_BD!$F:$F,"&lt;="&amp;Analytices!$B$3,WTG_BD!$G:$G,$B$4)</f>
        <v>3.3333333333333215E-2</v>
      </c>
      <c r="L6" s="154">
        <f>SUMIFS(WTG_BD!$T:$T,WTG_BD!$F:$F,"&gt;="&amp;Analytices!$B$2,WTG_BD!$F:$F,"&lt;="&amp;Analytices!$B$3,WTG_BD!$G:$G,$B$4)</f>
        <v>3.3333333333333215E-2</v>
      </c>
      <c r="M6" s="154">
        <f>SUMIFS(WTG_BD!$T:$T,WTG_BD!$F:$F,"&gt;="&amp;Analytices!$B$2,WTG_BD!$F:$F,"&lt;="&amp;Analytices!$B$3,WTG_BD!$G:$G,$B$4)</f>
        <v>3.3333333333333215E-2</v>
      </c>
      <c r="N6" s="154">
        <f>SUMIFS(WTG_BD!$T:$T,WTG_BD!$F:$F,"&gt;="&amp;Analytices!$B$2,WTG_BD!$F:$F,"&lt;="&amp;Analytices!$B$3,WTG_BD!$G:$G,$B$4)</f>
        <v>3.3333333333333215E-2</v>
      </c>
      <c r="O6" s="154">
        <f>SUMIFS(WTG_BD!$T:$T,WTG_BD!$F:$F,"&gt;="&amp;Analytices!$B$2,WTG_BD!$F:$F,"&lt;="&amp;Analytices!$B$3,WTG_BD!$G:$G,$B$4)</f>
        <v>3.3333333333333215E-2</v>
      </c>
      <c r="P6" s="154">
        <f>SUMIFS(WTG_BD!$T:$T,WTG_BD!$F:$F,"&gt;="&amp;Analytices!$B$2,WTG_BD!$F:$F,"&lt;="&amp;Analytices!$B$3,WTG_BD!$G:$G,$B$4)</f>
        <v>3.3333333333333215E-2</v>
      </c>
      <c r="Q6" s="154">
        <f>SUMIFS(WTG_BD!$T:$T,WTG_BD!$F:$F,"&gt;="&amp;Analytices!$B$2,WTG_BD!$F:$F,"&lt;="&amp;Analytices!$B$3,WTG_BD!$G:$G,$B$4)</f>
        <v>3.3333333333333215E-2</v>
      </c>
      <c r="R6" s="154">
        <f>SUMIFS(WTG_BD!$T:$T,WTG_BD!$F:$F,"&gt;="&amp;Analytices!$B$2,WTG_BD!$F:$F,"&lt;="&amp;Analytices!$B$3,WTG_BD!$G:$G,$B$4)</f>
        <v>3.3333333333333215E-2</v>
      </c>
      <c r="S6" s="154">
        <f>SUMIFS(WTG_BD!$T:$T,WTG_BD!$F:$F,"&gt;="&amp;Analytices!$B$2,WTG_BD!$F:$F,"&lt;="&amp;Analytices!$B$3,WTG_BD!$G:$G,$B$4)</f>
        <v>3.3333333333333215E-2</v>
      </c>
      <c r="T6" s="154">
        <f>SUMIFS(WTG_BD!$T:$T,WTG_BD!$F:$F,"&gt;="&amp;Analytices!$B$2,WTG_BD!$F:$F,"&lt;="&amp;Analytices!$B$3,WTG_BD!$G:$G,$B$4)</f>
        <v>3.3333333333333215E-2</v>
      </c>
      <c r="U6" s="154">
        <f>SUMIFS(WTG_BD!$T:$T,WTG_BD!$F:$F,"&gt;="&amp;Analytices!$B$2,WTG_BD!$F:$F,"&lt;="&amp;Analytices!$B$3,WTG_BD!$G:$G,$B$4)</f>
        <v>3.3333333333333215E-2</v>
      </c>
      <c r="V6" s="154">
        <f>SUMIFS(WTG_BD!$T:$T,WTG_BD!$F:$F,"&gt;="&amp;Analytices!$B$2,WTG_BD!$F:$F,"&lt;="&amp;Analytices!$B$3,WTG_BD!$G:$G,$B$4)</f>
        <v>3.3333333333333215E-2</v>
      </c>
      <c r="W6" s="154">
        <f>SUMIFS(WTG_BD!$T:$T,WTG_BD!$F:$F,"&gt;="&amp;Analytices!$B$2,WTG_BD!$F:$F,"&lt;="&amp;Analytices!$B$3,WTG_BD!$G:$G,$B$4)</f>
        <v>3.3333333333333215E-2</v>
      </c>
      <c r="X6" s="154">
        <f>SUMIFS(WTG_BD!$T:$T,WTG_BD!$F:$F,"&gt;="&amp;Analytices!$B$2,WTG_BD!$F:$F,"&lt;="&amp;Analytices!$B$3,WTG_BD!$G:$G,$B$4)</f>
        <v>3.3333333333333215E-2</v>
      </c>
      <c r="Y6" s="154">
        <f>SUMIFS(WTG_BD!$T:$T,WTG_BD!$F:$F,"&gt;="&amp;Analytices!$B$2,WTG_BD!$F:$F,"&lt;="&amp;Analytices!$B$3,WTG_BD!$G:$G,$B$4)</f>
        <v>3.3333333333333215E-2</v>
      </c>
      <c r="Z6" s="154">
        <f>SUMIFS(WTG_BD!$T:$T,WTG_BD!$F:$F,"&gt;="&amp;Analytices!$B$2,WTG_BD!$F:$F,"&lt;="&amp;Analytices!$B$3,WTG_BD!$G:$G,$B$4)</f>
        <v>3.3333333333333215E-2</v>
      </c>
      <c r="AA6" s="154">
        <f>SUMIFS(WTG_BD!$T:$T,WTG_BD!$F:$F,"&gt;="&amp;Analytices!$B$2,WTG_BD!$F:$F,"&lt;="&amp;Analytices!$B$3,WTG_BD!$G:$G,$B$4)</f>
        <v>3.3333333333333215E-2</v>
      </c>
    </row>
    <row r="7" spans="1:27" ht="29.25" customHeight="1">
      <c r="A7" s="127" t="s">
        <v>102</v>
      </c>
      <c r="B7" s="156">
        <f>($C$3-SUM(B8:B12))/$C$3</f>
        <v>0.99379960317460325</v>
      </c>
      <c r="C7" s="156">
        <f t="shared" ref="C7:AA7" si="1">($C$3-SUM(C8:C12))/$C$3</f>
        <v>0.99379960317460325</v>
      </c>
      <c r="D7" s="156">
        <f t="shared" si="1"/>
        <v>0.99379960317460325</v>
      </c>
      <c r="E7" s="156">
        <f t="shared" si="1"/>
        <v>0.9977678571428571</v>
      </c>
      <c r="F7" s="156">
        <f t="shared" si="1"/>
        <v>0.99379960317460325</v>
      </c>
      <c r="G7" s="156">
        <f t="shared" si="1"/>
        <v>0.9977678571428571</v>
      </c>
      <c r="H7" s="156">
        <f t="shared" si="1"/>
        <v>0.9977678571428571</v>
      </c>
      <c r="I7" s="156">
        <f t="shared" si="1"/>
        <v>0.9977678571428571</v>
      </c>
      <c r="J7" s="156">
        <f t="shared" si="1"/>
        <v>0.99379960317460325</v>
      </c>
      <c r="K7" s="156">
        <f t="shared" si="1"/>
        <v>0.99379960317460325</v>
      </c>
      <c r="L7" s="156">
        <f t="shared" si="1"/>
        <v>0.99379960317460325</v>
      </c>
      <c r="M7" s="156">
        <f t="shared" si="1"/>
        <v>0.99379960317460325</v>
      </c>
      <c r="N7" s="156">
        <f t="shared" si="1"/>
        <v>0.99379960317460325</v>
      </c>
      <c r="O7" s="156">
        <f t="shared" si="1"/>
        <v>0.99379960317460325</v>
      </c>
      <c r="P7" s="156">
        <f t="shared" si="1"/>
        <v>0.99379960317460325</v>
      </c>
      <c r="Q7" s="156">
        <f t="shared" si="1"/>
        <v>0.99379960317460325</v>
      </c>
      <c r="R7" s="156">
        <f t="shared" si="1"/>
        <v>0.9977678571428571</v>
      </c>
      <c r="S7" s="156">
        <f t="shared" si="1"/>
        <v>0.9977678571428571</v>
      </c>
      <c r="T7" s="156">
        <f t="shared" si="1"/>
        <v>0.9977678571428571</v>
      </c>
      <c r="U7" s="156">
        <f t="shared" si="1"/>
        <v>0.99379960317460325</v>
      </c>
      <c r="V7" s="156">
        <f t="shared" si="1"/>
        <v>0.9977678571428571</v>
      </c>
      <c r="W7" s="156">
        <f t="shared" si="1"/>
        <v>0.9977678571428571</v>
      </c>
      <c r="X7" s="156">
        <f t="shared" si="1"/>
        <v>0.9977678571428571</v>
      </c>
      <c r="Y7" s="156">
        <f t="shared" si="1"/>
        <v>0.9977678571428571</v>
      </c>
      <c r="Z7" s="156">
        <f t="shared" si="1"/>
        <v>0.9977678571428571</v>
      </c>
      <c r="AA7" s="156">
        <f t="shared" si="1"/>
        <v>0.9977678571428571</v>
      </c>
    </row>
    <row r="8" spans="1:27" ht="29.25" hidden="1" customHeight="1">
      <c r="A8" s="129" t="s">
        <v>103</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9.25" hidden="1" customHeight="1">
      <c r="A9" s="129" t="s">
        <v>104</v>
      </c>
      <c r="B9" s="154">
        <f>SUMIFS(IGA_BD!$Q:$Q,IGA_BD!$G:$G,(VLOOKUP(B$4,'Basic Data'!$A:$F,6,0)),IGA_BD!$F:$F,"&gt;="&amp;Analytices!$B$2,IGA_BD!$F:$F,"&lt;="&amp;Analytices!$B$3)</f>
        <v>2.0833333333333304</v>
      </c>
      <c r="C9" s="154">
        <f>SUMIFS(IGA_BD!$Q:$Q,IGA_BD!$G:$G,(VLOOKUP(C$4,'Basic Data'!$A:$F,6,0)),IGA_BD!$F:$F,"&gt;="&amp;Analytices!$B$2,IGA_BD!$F:$F,"&lt;="&amp;Analytices!$B$3)</f>
        <v>2.0833333333333304</v>
      </c>
      <c r="D9" s="154">
        <f>SUMIFS(IGA_BD!$Q:$Q,IGA_BD!$G:$G,(VLOOKUP(D$4,'Basic Data'!$A:$F,6,0)),IGA_BD!$F:$F,"&gt;="&amp;Analytices!$B$2,IGA_BD!$F:$F,"&lt;="&amp;Analytices!$B$3)</f>
        <v>2.0833333333333304</v>
      </c>
      <c r="E9" s="154">
        <f>SUMIFS(IGA_BD!$Q:$Q,IGA_BD!$G:$G,(VLOOKUP(E$4,'Basic Data'!$A:$F,6,0)),IGA_BD!$F:$F,"&gt;="&amp;Analytices!$B$2,IGA_BD!$F:$F,"&lt;="&amp;Analytices!$B$3)</f>
        <v>0.75</v>
      </c>
      <c r="F9" s="154">
        <f>SUMIFS(IGA_BD!$Q:$Q,IGA_BD!$G:$G,(VLOOKUP(F$4,'Basic Data'!$A:$F,6,0)),IGA_BD!$F:$F,"&gt;="&amp;Analytices!$B$2,IGA_BD!$F:$F,"&lt;="&amp;Analytices!$B$3)</f>
        <v>2.0833333333333304</v>
      </c>
      <c r="G9" s="154">
        <f>SUMIFS(IGA_BD!$Q:$Q,IGA_BD!$G:$G,(VLOOKUP(G$4,'Basic Data'!$A:$F,6,0)),IGA_BD!$F:$F,"&gt;="&amp;Analytices!$B$2,IGA_BD!$F:$F,"&lt;="&amp;Analytices!$B$3)</f>
        <v>0.75</v>
      </c>
      <c r="H9" s="154">
        <f>SUMIFS(IGA_BD!$Q:$Q,IGA_BD!$G:$G,(VLOOKUP(H$4,'Basic Data'!$A:$F,6,0)),IGA_BD!$F:$F,"&gt;="&amp;Analytices!$B$2,IGA_BD!$F:$F,"&lt;="&amp;Analytices!$B$3)</f>
        <v>0.75</v>
      </c>
      <c r="I9" s="154">
        <f>SUMIFS(IGA_BD!$Q:$Q,IGA_BD!$G:$G,(VLOOKUP(I$4,'Basic Data'!$A:$F,6,0)),IGA_BD!$F:$F,"&gt;="&amp;Analytices!$B$2,IGA_BD!$F:$F,"&lt;="&amp;Analytices!$B$3)</f>
        <v>0.75</v>
      </c>
      <c r="J9" s="154">
        <f>SUMIFS(IGA_BD!$Q:$Q,IGA_BD!$G:$G,(VLOOKUP(J$4,'Basic Data'!$A:$F,6,0)),IGA_BD!$F:$F,"&gt;="&amp;Analytices!$B$2,IGA_BD!$F:$F,"&lt;="&amp;Analytices!$B$3)</f>
        <v>2.0833333333333304</v>
      </c>
      <c r="K9" s="154">
        <f>SUMIFS(IGA_BD!$Q:$Q,IGA_BD!$G:$G,(VLOOKUP(K$4,'Basic Data'!$A:$F,6,0)),IGA_BD!$F:$F,"&gt;="&amp;Analytices!$B$2,IGA_BD!$F:$F,"&lt;="&amp;Analytices!$B$3)</f>
        <v>2.0833333333333304</v>
      </c>
      <c r="L9" s="154">
        <f>SUMIFS(IGA_BD!$Q:$Q,IGA_BD!$G:$G,(VLOOKUP(L$4,'Basic Data'!$A:$F,6,0)),IGA_BD!$F:$F,"&gt;="&amp;Analytices!$B$2,IGA_BD!$F:$F,"&lt;="&amp;Analytices!$B$3)</f>
        <v>2.0833333333333304</v>
      </c>
      <c r="M9" s="154">
        <f>SUMIFS(IGA_BD!$Q:$Q,IGA_BD!$G:$G,(VLOOKUP(M$4,'Basic Data'!$A:$F,6,0)),IGA_BD!$F:$F,"&gt;="&amp;Analytices!$B$2,IGA_BD!$F:$F,"&lt;="&amp;Analytices!$B$3)</f>
        <v>2.0833333333333304</v>
      </c>
      <c r="N9" s="154">
        <f>SUMIFS(IGA_BD!$Q:$Q,IGA_BD!$G:$G,(VLOOKUP(N$4,'Basic Data'!$A:$F,6,0)),IGA_BD!$F:$F,"&gt;="&amp;Analytices!$B$2,IGA_BD!$F:$F,"&lt;="&amp;Analytices!$B$3)</f>
        <v>2.0833333333333304</v>
      </c>
      <c r="O9" s="154">
        <f>SUMIFS(IGA_BD!$Q:$Q,IGA_BD!$G:$G,(VLOOKUP(O$4,'Basic Data'!$A:$F,6,0)),IGA_BD!$F:$F,"&gt;="&amp;Analytices!$B$2,IGA_BD!$F:$F,"&lt;="&amp;Analytices!$B$3)</f>
        <v>2.0833333333333304</v>
      </c>
      <c r="P9" s="154">
        <f>SUMIFS(IGA_BD!$Q:$Q,IGA_BD!$G:$G,(VLOOKUP(P$4,'Basic Data'!$A:$F,6,0)),IGA_BD!$F:$F,"&gt;="&amp;Analytices!$B$2,IGA_BD!$F:$F,"&lt;="&amp;Analytices!$B$3)</f>
        <v>2.0833333333333304</v>
      </c>
      <c r="Q9" s="154">
        <f>SUMIFS(IGA_BD!$Q:$Q,IGA_BD!$G:$G,(VLOOKUP(Q$4,'Basic Data'!$A:$F,6,0)),IGA_BD!$F:$F,"&gt;="&amp;Analytices!$B$2,IGA_BD!$F:$F,"&lt;="&amp;Analytices!$B$3)</f>
        <v>2.0833333333333304</v>
      </c>
      <c r="R9" s="154">
        <f>SUMIFS(IGA_BD!$Q:$Q,IGA_BD!$G:$G,(VLOOKUP(R$4,'Basic Data'!$A:$F,6,0)),IGA_BD!$F:$F,"&gt;="&amp;Analytices!$B$2,IGA_BD!$F:$F,"&lt;="&amp;Analytices!$B$3)</f>
        <v>0.75</v>
      </c>
      <c r="S9" s="154">
        <f>SUMIFS(IGA_BD!$Q:$Q,IGA_BD!$G:$G,(VLOOKUP(S$4,'Basic Data'!$A:$F,6,0)),IGA_BD!$F:$F,"&gt;="&amp;Analytices!$B$2,IGA_BD!$F:$F,"&lt;="&amp;Analytices!$B$3)</f>
        <v>0.75</v>
      </c>
      <c r="T9" s="154">
        <f>SUMIFS(IGA_BD!$Q:$Q,IGA_BD!$G:$G,(VLOOKUP(T$4,'Basic Data'!$A:$F,6,0)),IGA_BD!$F:$F,"&gt;="&amp;Analytices!$B$2,IGA_BD!$F:$F,"&lt;="&amp;Analytices!$B$3)</f>
        <v>0.75</v>
      </c>
      <c r="U9" s="154">
        <f>SUMIFS(IGA_BD!$Q:$Q,IGA_BD!$G:$G,(VLOOKUP(U$4,'Basic Data'!$A:$F,6,0)),IGA_BD!$F:$F,"&gt;="&amp;Analytices!$B$2,IGA_BD!$F:$F,"&lt;="&amp;Analytices!$B$3)</f>
        <v>2.0833333333333304</v>
      </c>
      <c r="V9" s="154">
        <f>SUMIFS(IGA_BD!$Q:$Q,IGA_BD!$G:$G,(VLOOKUP(V$4,'Basic Data'!$A:$F,6,0)),IGA_BD!$F:$F,"&gt;="&amp;Analytices!$B$2,IGA_BD!$F:$F,"&lt;="&amp;Analytices!$B$3)</f>
        <v>0.75</v>
      </c>
      <c r="W9" s="154">
        <f>SUMIFS(IGA_BD!$Q:$Q,IGA_BD!$G:$G,(VLOOKUP(W$4,'Basic Data'!$A:$F,6,0)),IGA_BD!$F:$F,"&gt;="&amp;Analytices!$B$2,IGA_BD!$F:$F,"&lt;="&amp;Analytices!$B$3)</f>
        <v>0.75</v>
      </c>
      <c r="X9" s="154">
        <f>SUMIFS(IGA_BD!$Q:$Q,IGA_BD!$G:$G,(VLOOKUP(X$4,'Basic Data'!$A:$F,6,0)),IGA_BD!$F:$F,"&gt;="&amp;Analytices!$B$2,IGA_BD!$F:$F,"&lt;="&amp;Analytices!$B$3)</f>
        <v>0.75</v>
      </c>
      <c r="Y9" s="154">
        <f>SUMIFS(IGA_BD!$Q:$Q,IGA_BD!$G:$G,(VLOOKUP(Y$4,'Basic Data'!$A:$F,6,0)),IGA_BD!$F:$F,"&gt;="&amp;Analytices!$B$2,IGA_BD!$F:$F,"&lt;="&amp;Analytices!$B$3)</f>
        <v>0.75</v>
      </c>
      <c r="Z9" s="154">
        <f>SUMIFS(IGA_BD!$Q:$Q,IGA_BD!$G:$G,(VLOOKUP(Z$4,'Basic Data'!$A:$F,6,0)),IGA_BD!$F:$F,"&gt;="&amp;Analytices!$B$2,IGA_BD!$F:$F,"&lt;="&amp;Analytices!$B$3)</f>
        <v>0.75</v>
      </c>
      <c r="AA9" s="154">
        <f>SUMIFS(IGA_BD!$Q:$Q,IGA_BD!$G:$G,(VLOOKUP(AA$4,'Basic Data'!$A:$F,6,0)),IGA_BD!$F:$F,"&gt;="&amp;Analytices!$B$2,IGA_BD!$F:$F,"&lt;="&amp;Analytices!$B$3)</f>
        <v>0.75</v>
      </c>
    </row>
    <row r="10" spans="1:27" ht="29.25" hidden="1" customHeight="1">
      <c r="A10" s="129" t="s">
        <v>105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row>
    <row r="11" spans="1:27" ht="29.25" hidden="1" customHeight="1">
      <c r="A11" s="129" t="s">
        <v>106</v>
      </c>
      <c r="B11" s="153">
        <f>SUMIFS(Grid_BD!$R:$R,Grid_BD!$G:$G,(VLOOKUP(B$4,'Basic Data'!$A:$G,7,0)),Grid_BD!$F:$F,"&gt;="&amp;Analytices!$B$2,Grid_BD!$F:$F,"&lt;="&amp;Analytices!$B$3)</f>
        <v>0</v>
      </c>
      <c r="C11" s="153">
        <f>SUMIFS(Grid_BD!$R:$R,Grid_BD!$G:$G,(VLOOKUP(C$4,'Basic Data'!$A:$G,7,0)),Grid_BD!$F:$F,"&gt;="&amp;Analytices!$B$2,Grid_BD!$F:$F,"&lt;="&amp;Analytices!$B$3)</f>
        <v>0</v>
      </c>
      <c r="D11" s="153">
        <f>SUMIFS(Grid_BD!$R:$R,Grid_BD!$G:$G,(VLOOKUP(D$4,'Basic Data'!$A:$G,7,0)),Grid_BD!$F:$F,"&gt;="&amp;Analytices!$B$2,Grid_BD!$F:$F,"&lt;="&amp;Analytices!$B$3)</f>
        <v>0</v>
      </c>
      <c r="E11" s="153">
        <f>SUMIFS(Grid_BD!$R:$R,Grid_BD!$G:$G,(VLOOKUP(E$4,'Basic Data'!$A:$G,7,0)),Grid_BD!$F:$F,"&gt;="&amp;Analytices!$B$2,Grid_BD!$F:$F,"&lt;="&amp;Analytices!$B$3)</f>
        <v>0</v>
      </c>
      <c r="F11" s="153">
        <f>SUMIFS(Grid_BD!$R:$R,Grid_BD!$G:$G,(VLOOKUP(F$4,'Basic Data'!$A:$G,7,0)),Grid_BD!$F:$F,"&gt;="&amp;Analytices!$B$2,Grid_BD!$F:$F,"&lt;="&amp;Analytices!$B$3)</f>
        <v>0</v>
      </c>
      <c r="G11" s="153">
        <f>SUMIFS(Grid_BD!$R:$R,Grid_BD!$G:$G,(VLOOKUP(G$4,'Basic Data'!$A:$G,7,0)),Grid_BD!$F:$F,"&gt;="&amp;Analytices!$B$2,Grid_BD!$F:$F,"&lt;="&amp;Analytices!$B$3)</f>
        <v>0</v>
      </c>
      <c r="H11" s="153">
        <f>SUMIFS(Grid_BD!$R:$R,Grid_BD!$G:$G,(VLOOKUP(H$4,'Basic Data'!$A:$G,7,0)),Grid_BD!$F:$F,"&gt;="&amp;Analytices!$B$2,Grid_BD!$F:$F,"&lt;="&amp;Analytices!$B$3)</f>
        <v>0</v>
      </c>
      <c r="I11" s="153">
        <f>SUMIFS(Grid_BD!$R:$R,Grid_BD!$G:$G,(VLOOKUP(I$4,'Basic Data'!$A:$G,7,0)),Grid_BD!$F:$F,"&gt;="&amp;Analytices!$B$2,Grid_BD!$F:$F,"&lt;="&amp;Analytices!$B$3)</f>
        <v>0</v>
      </c>
      <c r="J11" s="153">
        <f>SUMIFS(Grid_BD!$R:$R,Grid_BD!$G:$G,(VLOOKUP(J$4,'Basic Data'!$A:$G,7,0)),Grid_BD!$F:$F,"&gt;="&amp;Analytices!$B$2,Grid_BD!$F:$F,"&lt;="&amp;Analytices!$B$3)</f>
        <v>0</v>
      </c>
      <c r="K11" s="153">
        <f>SUMIFS(Grid_BD!$R:$R,Grid_BD!$G:$G,(VLOOKUP(K$4,'Basic Data'!$A:$G,7,0)),Grid_BD!$F:$F,"&gt;="&amp;Analytices!$B$2,Grid_BD!$F:$F,"&lt;="&amp;Analytices!$B$3)</f>
        <v>0</v>
      </c>
      <c r="L11" s="153">
        <f>SUMIFS(Grid_BD!$R:$R,Grid_BD!$G:$G,(VLOOKUP(L$4,'Basic Data'!$A:$G,7,0)),Grid_BD!$F:$F,"&gt;="&amp;Analytices!$B$2,Grid_BD!$F:$F,"&lt;="&amp;Analytices!$B$3)</f>
        <v>0</v>
      </c>
      <c r="M11" s="153">
        <f>SUMIFS(Grid_BD!$R:$R,Grid_BD!$G:$G,(VLOOKUP(M$4,'Basic Data'!$A:$G,7,0)),Grid_BD!$F:$F,"&gt;="&amp;Analytices!$B$2,Grid_BD!$F:$F,"&lt;="&amp;Analytices!$B$3)</f>
        <v>0</v>
      </c>
      <c r="N11" s="153">
        <f>SUMIFS(Grid_BD!$R:$R,Grid_BD!$G:$G,(VLOOKUP(N$4,'Basic Data'!$A:$G,7,0)),Grid_BD!$F:$F,"&gt;="&amp;Analytices!$B$2,Grid_BD!$F:$F,"&lt;="&amp;Analytices!$B$3)</f>
        <v>0</v>
      </c>
      <c r="O11" s="153">
        <f>SUMIFS(Grid_BD!$R:$R,Grid_BD!$G:$G,(VLOOKUP(O$4,'Basic Data'!$A:$G,7,0)),Grid_BD!$F:$F,"&gt;="&amp;Analytices!$B$2,Grid_BD!$F:$F,"&lt;="&amp;Analytices!$B$3)</f>
        <v>0</v>
      </c>
      <c r="P11" s="153">
        <f>SUMIFS(Grid_BD!$R:$R,Grid_BD!$G:$G,(VLOOKUP(P$4,'Basic Data'!$A:$G,7,0)),Grid_BD!$F:$F,"&gt;="&amp;Analytices!$B$2,Grid_BD!$F:$F,"&lt;="&amp;Analytices!$B$3)</f>
        <v>0</v>
      </c>
      <c r="Q11" s="153">
        <f>SUMIFS(Grid_BD!$R:$R,Grid_BD!$G:$G,(VLOOKUP(Q$4,'Basic Data'!$A:$G,7,0)),Grid_BD!$F:$F,"&gt;="&amp;Analytices!$B$2,Grid_BD!$F:$F,"&lt;="&amp;Analytices!$B$3)</f>
        <v>0</v>
      </c>
      <c r="R11" s="153">
        <f>SUMIFS(Grid_BD!$R:$R,Grid_BD!$G:$G,(VLOOKUP(R$4,'Basic Data'!$A:$G,7,0)),Grid_BD!$F:$F,"&gt;="&amp;Analytices!$B$2,Grid_BD!$F:$F,"&lt;="&amp;Analytices!$B$3)</f>
        <v>0</v>
      </c>
      <c r="S11" s="153">
        <f>SUMIFS(Grid_BD!$R:$R,Grid_BD!$G:$G,(VLOOKUP(S$4,'Basic Data'!$A:$G,7,0)),Grid_BD!$F:$F,"&gt;="&amp;Analytices!$B$2,Grid_BD!$F:$F,"&lt;="&amp;Analytices!$B$3)</f>
        <v>0</v>
      </c>
      <c r="T11" s="153">
        <f>SUMIFS(Grid_BD!$R:$R,Grid_BD!$G:$G,(VLOOKUP(T$4,'Basic Data'!$A:$G,7,0)),Grid_BD!$F:$F,"&gt;="&amp;Analytices!$B$2,Grid_BD!$F:$F,"&lt;="&amp;Analytices!$B$3)</f>
        <v>0</v>
      </c>
      <c r="U11" s="153">
        <f>SUMIFS(Grid_BD!$R:$R,Grid_BD!$G:$G,(VLOOKUP(U$4,'Basic Data'!$A:$G,7,0)),Grid_BD!$F:$F,"&gt;="&amp;Analytices!$B$2,Grid_BD!$F:$F,"&lt;="&amp;Analytices!$B$3)</f>
        <v>0</v>
      </c>
      <c r="V11" s="153">
        <f>SUMIFS(Grid_BD!$R:$R,Grid_BD!$G:$G,(VLOOKUP(V$4,'Basic Data'!$A:$G,7,0)),Grid_BD!$F:$F,"&gt;="&amp;Analytices!$B$2,Grid_BD!$F:$F,"&lt;="&amp;Analytices!$B$3)</f>
        <v>0</v>
      </c>
      <c r="W11" s="153">
        <f>SUMIFS(Grid_BD!$R:$R,Grid_BD!$G:$G,(VLOOKUP(W$4,'Basic Data'!$A:$G,7,0)),Grid_BD!$F:$F,"&gt;="&amp;Analytices!$B$2,Grid_BD!$F:$F,"&lt;="&amp;Analytices!$B$3)</f>
        <v>0</v>
      </c>
      <c r="X11" s="153">
        <f>SUMIFS(Grid_BD!$R:$R,Grid_BD!$G:$G,(VLOOKUP(X$4,'Basic Data'!$A:$G,7,0)),Grid_BD!$F:$F,"&gt;="&amp;Analytices!$B$2,Grid_BD!$F:$F,"&lt;="&amp;Analytices!$B$3)</f>
        <v>0</v>
      </c>
      <c r="Y11" s="153">
        <f>SUMIFS(Grid_BD!$R:$R,Grid_BD!$G:$G,(VLOOKUP(Y$4,'Basic Data'!$A:$G,7,0)),Grid_BD!$F:$F,"&gt;="&amp;Analytices!$B$2,Grid_BD!$F:$F,"&lt;="&amp;Analytices!$B$3)</f>
        <v>0</v>
      </c>
      <c r="Z11" s="153">
        <f>SUMIFS(Grid_BD!$R:$R,Grid_BD!$G:$G,(VLOOKUP(Z$4,'Basic Data'!$A:$G,7,0)),Grid_BD!$F:$F,"&gt;="&amp;Analytices!$B$2,Grid_BD!$F:$F,"&lt;="&amp;Analytices!$B$3)</f>
        <v>0</v>
      </c>
      <c r="AA11" s="153">
        <f>SUMIFS(Grid_BD!$R:$R,Grid_BD!$G:$G,(VLOOKUP(AA$4,'Basic Data'!$A:$G,7,0)),Grid_BD!$F:$F,"&gt;="&amp;Analytices!$B$2,Grid_BD!$F:$F,"&lt;="&amp;Analytices!$B$3)</f>
        <v>0</v>
      </c>
    </row>
    <row r="12" spans="1:27" ht="29.25" hidden="1" customHeight="1">
      <c r="A12" s="129" t="s">
        <v>107</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row>
    <row r="13" spans="1:27" ht="29.25" customHeight="1">
      <c r="A13" s="127" t="s">
        <v>108</v>
      </c>
      <c r="B13" s="157">
        <f>(C3-B14)/C3</f>
        <v>1</v>
      </c>
      <c r="C13" s="157">
        <f t="shared" ref="C13:AA13" si="2">$B$13</f>
        <v>1</v>
      </c>
      <c r="D13" s="157">
        <f t="shared" si="2"/>
        <v>1</v>
      </c>
      <c r="E13" s="158">
        <f t="shared" si="2"/>
        <v>1</v>
      </c>
      <c r="F13" s="158">
        <f t="shared" si="2"/>
        <v>1</v>
      </c>
      <c r="G13" s="158">
        <f t="shared" si="2"/>
        <v>1</v>
      </c>
      <c r="H13" s="158">
        <f t="shared" si="2"/>
        <v>1</v>
      </c>
      <c r="I13" s="158">
        <f t="shared" si="2"/>
        <v>1</v>
      </c>
      <c r="J13" s="158">
        <f t="shared" si="2"/>
        <v>1</v>
      </c>
      <c r="K13" s="158">
        <f t="shared" si="2"/>
        <v>1</v>
      </c>
      <c r="L13" s="158">
        <f t="shared" si="2"/>
        <v>1</v>
      </c>
      <c r="M13" s="158">
        <f t="shared" si="2"/>
        <v>1</v>
      </c>
      <c r="N13" s="158">
        <f t="shared" si="2"/>
        <v>1</v>
      </c>
      <c r="O13" s="158">
        <f t="shared" si="2"/>
        <v>1</v>
      </c>
      <c r="P13" s="158">
        <f t="shared" si="2"/>
        <v>1</v>
      </c>
      <c r="Q13" s="158">
        <f t="shared" si="2"/>
        <v>1</v>
      </c>
      <c r="R13" s="158">
        <f t="shared" si="2"/>
        <v>1</v>
      </c>
      <c r="S13" s="158">
        <f t="shared" si="2"/>
        <v>1</v>
      </c>
      <c r="T13" s="158">
        <f t="shared" si="2"/>
        <v>1</v>
      </c>
      <c r="U13" s="158">
        <f t="shared" si="2"/>
        <v>1</v>
      </c>
      <c r="V13" s="158">
        <f t="shared" si="2"/>
        <v>1</v>
      </c>
      <c r="W13" s="158">
        <f t="shared" si="2"/>
        <v>1</v>
      </c>
      <c r="X13" s="158">
        <f t="shared" si="2"/>
        <v>1</v>
      </c>
      <c r="Y13" s="158">
        <f t="shared" si="2"/>
        <v>1</v>
      </c>
      <c r="Z13" s="158">
        <f t="shared" si="2"/>
        <v>1</v>
      </c>
      <c r="AA13" s="158">
        <f t="shared" si="2"/>
        <v>1</v>
      </c>
    </row>
    <row r="14" spans="1:27" ht="29.25" hidden="1" customHeight="1">
      <c r="A14" s="129" t="s">
        <v>109</v>
      </c>
      <c r="B14" s="153">
        <f>(SUMIFS(Grid_BD!$R:$R,Grid_BD!$F:$F,"&gt;="&amp;Analytices!B2,Grid_BD!$F:$F,"&lt;="&amp;Analytices!B3,Grid_BD!$G:$G,"Line1"))</f>
        <v>0</v>
      </c>
      <c r="C14" s="153">
        <f>$B$14</f>
        <v>0</v>
      </c>
      <c r="D14" s="153">
        <f t="shared" ref="D14:AA14" si="3">$B$14</f>
        <v>0</v>
      </c>
      <c r="E14" s="153">
        <f t="shared" si="3"/>
        <v>0</v>
      </c>
      <c r="F14" s="153">
        <f t="shared" si="3"/>
        <v>0</v>
      </c>
      <c r="G14" s="153">
        <f t="shared" si="3"/>
        <v>0</v>
      </c>
      <c r="H14" s="153">
        <f t="shared" si="3"/>
        <v>0</v>
      </c>
      <c r="I14" s="153">
        <f t="shared" si="3"/>
        <v>0</v>
      </c>
      <c r="J14" s="153">
        <f t="shared" si="3"/>
        <v>0</v>
      </c>
      <c r="K14" s="153">
        <f t="shared" si="3"/>
        <v>0</v>
      </c>
      <c r="L14" s="153">
        <f t="shared" si="3"/>
        <v>0</v>
      </c>
      <c r="M14" s="153">
        <f t="shared" si="3"/>
        <v>0</v>
      </c>
      <c r="N14" s="153">
        <f t="shared" si="3"/>
        <v>0</v>
      </c>
      <c r="O14" s="153">
        <f t="shared" si="3"/>
        <v>0</v>
      </c>
      <c r="P14" s="153">
        <f t="shared" si="3"/>
        <v>0</v>
      </c>
      <c r="Q14" s="153">
        <f t="shared" si="3"/>
        <v>0</v>
      </c>
      <c r="R14" s="153">
        <f t="shared" si="3"/>
        <v>0</v>
      </c>
      <c r="S14" s="153">
        <f t="shared" si="3"/>
        <v>0</v>
      </c>
      <c r="T14" s="153">
        <f t="shared" si="3"/>
        <v>0</v>
      </c>
      <c r="U14" s="153">
        <f t="shared" si="3"/>
        <v>0</v>
      </c>
      <c r="V14" s="153">
        <f t="shared" si="3"/>
        <v>0</v>
      </c>
      <c r="W14" s="153">
        <f t="shared" si="3"/>
        <v>0</v>
      </c>
      <c r="X14" s="153">
        <f t="shared" si="3"/>
        <v>0</v>
      </c>
      <c r="Y14" s="153">
        <f t="shared" si="3"/>
        <v>0</v>
      </c>
      <c r="Z14" s="153">
        <f t="shared" si="3"/>
        <v>0</v>
      </c>
      <c r="AA14" s="153">
        <f t="shared" si="3"/>
        <v>0</v>
      </c>
    </row>
    <row r="15" spans="1:27" ht="29.25" customHeight="1">
      <c r="A15" s="127" t="s">
        <v>110</v>
      </c>
      <c r="B15" s="153">
        <f>SUMIFS(Input_Raw!F:F,Input_Raw!$A:$A,"&gt;="&amp;Analytices!$B$2,Input_Raw!$A:$A,"&lt;="&amp;Analytices!$B$3)</f>
        <v>353135</v>
      </c>
      <c r="C15" s="153">
        <f>SUMIFS(Input_Raw!G:G,Input_Raw!$A:$A,"&gt;="&amp;Analytices!$B$2,Input_Raw!$A:$A,"&lt;="&amp;Analytices!$B$3)</f>
        <v>380059</v>
      </c>
      <c r="D15" s="153">
        <f>SUMIFS(Input_Raw!H:H,Input_Raw!$A:$A,"&gt;="&amp;Analytices!$B$2,Input_Raw!$A:$A,"&lt;="&amp;Analytices!$B$3)</f>
        <v>355625</v>
      </c>
      <c r="E15" s="153">
        <f>SUMIFS(Input_Raw!I:I,Input_Raw!$A:$A,"&gt;="&amp;Analytices!$B$2,Input_Raw!$A:$A,"&lt;="&amp;Analytices!$B$3)</f>
        <v>362969</v>
      </c>
      <c r="F15" s="153">
        <f>SUMIFS(Input_Raw!J:J,Input_Raw!$A:$A,"&gt;="&amp;Analytices!$B$2,Input_Raw!$A:$A,"&lt;="&amp;Analytices!$B$3)</f>
        <v>373516</v>
      </c>
      <c r="G15" s="153">
        <f>SUMIFS(Input_Raw!K:K,Input_Raw!$A:$A,"&gt;="&amp;Analytices!$B$2,Input_Raw!$A:$A,"&lt;="&amp;Analytices!$B$3)</f>
        <v>392687</v>
      </c>
      <c r="H15" s="153">
        <f>SUMIFS(Input_Raw!L:L,Input_Raw!$A:$A,"&gt;="&amp;Analytices!$B$2,Input_Raw!$A:$A,"&lt;="&amp;Analytices!$B$3)</f>
        <v>349770</v>
      </c>
      <c r="I15" s="153">
        <f>SUMIFS(Input_Raw!M:M,Input_Raw!$A:$A,"&gt;="&amp;Analytices!$B$2,Input_Raw!$A:$A,"&lt;="&amp;Analytices!$B$3)</f>
        <v>375976</v>
      </c>
      <c r="J15" s="153">
        <f>SUMIFS(Input_Raw!N:N,Input_Raw!$A:$A,"&gt;="&amp;Analytices!$B$2,Input_Raw!$A:$A,"&lt;="&amp;Analytices!$B$3)</f>
        <v>362150</v>
      </c>
      <c r="K15" s="153">
        <f>SUMIFS(Input_Raw!O:O,Input_Raw!$A:$A,"&gt;="&amp;Analytices!$B$2,Input_Raw!$A:$A,"&lt;="&amp;Analytices!$B$3)</f>
        <v>371314</v>
      </c>
      <c r="L15" s="153">
        <f>SUMIFS(Input_Raw!P:P,Input_Raw!$A:$A,"&gt;="&amp;Analytices!$B$2,Input_Raw!$A:$A,"&lt;="&amp;Analytices!$B$3)</f>
        <v>353309</v>
      </c>
      <c r="M15" s="153">
        <f>SUMIFS(Input_Raw!Q:Q,Input_Raw!$A:$A,"&gt;="&amp;Analytices!$B$2,Input_Raw!$A:$A,"&lt;="&amp;Analytices!$B$3)</f>
        <v>157651</v>
      </c>
      <c r="N15" s="153">
        <f>SUMIFS(Input_Raw!R:R,Input_Raw!$A:$A,"&gt;="&amp;Analytices!$B$2,Input_Raw!$A:$A,"&lt;="&amp;Analytices!$B$3)</f>
        <v>364992</v>
      </c>
      <c r="O15" s="153">
        <f>SUMIFS(Input_Raw!S:S,Input_Raw!$A:$A,"&gt;="&amp;Analytices!$B$2,Input_Raw!$A:$A,"&lt;="&amp;Analytices!$B$3)</f>
        <v>372311</v>
      </c>
      <c r="P15" s="153">
        <f>SUMIFS(Input_Raw!T:T,Input_Raw!$A:$A,"&gt;="&amp;Analytices!$B$2,Input_Raw!$A:$A,"&lt;="&amp;Analytices!$B$3)</f>
        <v>355535</v>
      </c>
      <c r="Q15" s="153">
        <f>SUMIFS(Input_Raw!U:U,Input_Raw!$A:$A,"&gt;="&amp;Analytices!$B$2,Input_Raw!$A:$A,"&lt;="&amp;Analytices!$B$3)</f>
        <v>367770</v>
      </c>
      <c r="R15" s="153">
        <f>SUMIFS(Input_Raw!V:V,Input_Raw!$A:$A,"&gt;="&amp;Analytices!$B$2,Input_Raw!$A:$A,"&lt;="&amp;Analytices!$B$3)</f>
        <v>419504</v>
      </c>
      <c r="S15" s="153">
        <f>SUMIFS(Input_Raw!W:W,Input_Raw!$A:$A,"&gt;="&amp;Analytices!$B$2,Input_Raw!$A:$A,"&lt;="&amp;Analytices!$B$3)</f>
        <v>374073</v>
      </c>
      <c r="T15" s="153">
        <f>SUMIFS(Input_Raw!X:X,Input_Raw!$A:$A,"&gt;="&amp;Analytices!$B$2,Input_Raw!$A:$A,"&lt;="&amp;Analytices!$B$3)</f>
        <v>404220</v>
      </c>
      <c r="U15" s="153">
        <f>SUMIFS(Input_Raw!Y:Y,Input_Raw!$A:$A,"&gt;="&amp;Analytices!$B$2,Input_Raw!$A:$A,"&lt;="&amp;Analytices!$B$3)</f>
        <v>234601</v>
      </c>
      <c r="V15" s="153">
        <f>SUMIFS(Input_Raw!Z:Z,Input_Raw!$A:$A,"&gt;="&amp;Analytices!$B$2,Input_Raw!$A:$A,"&lt;="&amp;Analytices!$B$3)</f>
        <v>388130</v>
      </c>
      <c r="W15" s="153">
        <f>SUMIFS(Input_Raw!AA:AA,Input_Raw!$A:$A,"&gt;="&amp;Analytices!$B$2,Input_Raw!$A:$A,"&lt;="&amp;Analytices!$B$3)</f>
        <v>383658</v>
      </c>
      <c r="X15" s="153">
        <f>SUMIFS(Input_Raw!AB:AB,Input_Raw!$A:$A,"&gt;="&amp;Analytices!$B$2,Input_Raw!$A:$A,"&lt;="&amp;Analytices!$B$3)</f>
        <v>362781</v>
      </c>
      <c r="Y15" s="153">
        <f>SUMIFS(Input_Raw!AC:AC,Input_Raw!$A:$A,"&gt;="&amp;Analytices!$B$2,Input_Raw!$A:$A,"&lt;="&amp;Analytices!$B$3)</f>
        <v>393673</v>
      </c>
      <c r="Z15" s="153">
        <f>SUMIFS(Input_Raw!AD:AD,Input_Raw!$A:$A,"&gt;="&amp;Analytices!$B$2,Input_Raw!$A:$A,"&lt;="&amp;Analytices!$B$3)</f>
        <v>398347</v>
      </c>
      <c r="AA15" s="153">
        <f>SUMIFS(Input_Raw!AE:AE,Input_Raw!$A:$A,"&gt;="&amp;Analytices!$B$2,Input_Raw!$A:$A,"&lt;="&amp;Analytices!$B$3)</f>
        <v>364501</v>
      </c>
    </row>
    <row r="16" spans="1:27" ht="29.25" customHeight="1">
      <c r="A16" s="127" t="s">
        <v>111</v>
      </c>
      <c r="B16" s="155">
        <f>IFERROR(($C$3-(SUM(B8:B12,B14,B6)))/$C$3,1)</f>
        <v>0.99370039682539679</v>
      </c>
      <c r="C16" s="155">
        <f t="shared" ref="C16:AA16" si="4">IFERROR(($C$3-(SUM(C8:C12,C14,C6)))/$C$3,1)</f>
        <v>0.99370039682539679</v>
      </c>
      <c r="D16" s="155">
        <f t="shared" si="4"/>
        <v>0.99370039682539679</v>
      </c>
      <c r="E16" s="155">
        <f t="shared" si="4"/>
        <v>0.99766865079365075</v>
      </c>
      <c r="F16" s="155">
        <f t="shared" si="4"/>
        <v>0.99370039682539679</v>
      </c>
      <c r="G16" s="155">
        <f t="shared" si="4"/>
        <v>0.99766865079365075</v>
      </c>
      <c r="H16" s="155">
        <f t="shared" si="4"/>
        <v>0.99766865079365075</v>
      </c>
      <c r="I16" s="155">
        <f t="shared" si="4"/>
        <v>0.99766865079365075</v>
      </c>
      <c r="J16" s="155">
        <f t="shared" si="4"/>
        <v>0.99370039682539679</v>
      </c>
      <c r="K16" s="155">
        <f t="shared" si="4"/>
        <v>0.99370039682539679</v>
      </c>
      <c r="L16" s="155">
        <f t="shared" si="4"/>
        <v>0.99370039682539679</v>
      </c>
      <c r="M16" s="155">
        <f t="shared" si="4"/>
        <v>0.99370039682539679</v>
      </c>
      <c r="N16" s="155">
        <f t="shared" si="4"/>
        <v>0.99370039682539679</v>
      </c>
      <c r="O16" s="155">
        <f t="shared" si="4"/>
        <v>0.99370039682539679</v>
      </c>
      <c r="P16" s="155">
        <f t="shared" si="4"/>
        <v>0.99370039682539679</v>
      </c>
      <c r="Q16" s="155">
        <f t="shared" si="4"/>
        <v>0.99370039682539679</v>
      </c>
      <c r="R16" s="155">
        <f t="shared" si="4"/>
        <v>0.99766865079365075</v>
      </c>
      <c r="S16" s="155">
        <f t="shared" si="4"/>
        <v>0.99766865079365075</v>
      </c>
      <c r="T16" s="155">
        <f t="shared" si="4"/>
        <v>0.99766865079365075</v>
      </c>
      <c r="U16" s="155">
        <f t="shared" si="4"/>
        <v>0.99370039682539679</v>
      </c>
      <c r="V16" s="155">
        <f t="shared" si="4"/>
        <v>0.99766865079365075</v>
      </c>
      <c r="W16" s="155">
        <f t="shared" si="4"/>
        <v>0.99766865079365075</v>
      </c>
      <c r="X16" s="155">
        <f t="shared" si="4"/>
        <v>0.99766865079365075</v>
      </c>
      <c r="Y16" s="155">
        <f t="shared" si="4"/>
        <v>0.99766865079365075</v>
      </c>
      <c r="Z16" s="155">
        <f t="shared" si="4"/>
        <v>0.99766865079365075</v>
      </c>
      <c r="AA16" s="155">
        <f t="shared" si="4"/>
        <v>0.99766865079365075</v>
      </c>
    </row>
    <row r="17" spans="1:27" ht="29.25" hidden="1" customHeight="1">
      <c r="A17" s="129" t="s">
        <v>112</v>
      </c>
      <c r="B17" s="154">
        <f>SUMIFS(WTG_BD!$T:$T,WTG_BD!$F:$F,"&gt;="&amp;Analytices!$B$2,WTG_BD!$F:$F,"&lt;="&amp;Analytices!$B$3,WTG_BD!$G:$G,B4)</f>
        <v>3.3333333333333215E-2</v>
      </c>
      <c r="C17" s="154">
        <f>SUMIFS(WTG_BD!$T:$T,WTG_BD!$F:$F,"&gt;="&amp;Analytices!$B$2,WTG_BD!$F:$F,"&lt;="&amp;Analytices!$B$3,WTG_BD!$G:$G,C4)</f>
        <v>1.783333333333331</v>
      </c>
      <c r="D17" s="154">
        <f>SUMIFS(WTG_BD!$T:$T,WTG_BD!$F:$F,"&gt;="&amp;Analytices!$B$2,WTG_BD!$F:$F,"&lt;="&amp;Analytices!$B$3,WTG_BD!$G:$G,D4)</f>
        <v>10.466666666666667</v>
      </c>
      <c r="E17" s="154">
        <f>SUMIFS(WTG_BD!$T:$T,WTG_BD!$F:$F,"&gt;="&amp;Analytices!$B$2,WTG_BD!$F:$F,"&lt;="&amp;Analytices!$B$3,WTG_BD!$G:$G,E4)</f>
        <v>6.2500000000000027</v>
      </c>
      <c r="F17" s="154">
        <f>SUMIFS(WTG_BD!$T:$T,WTG_BD!$F:$F,"&gt;="&amp;Analytices!$B$2,WTG_BD!$F:$F,"&lt;="&amp;Analytices!$B$3,WTG_BD!$G:$G,F4)</f>
        <v>3.0166666666666639</v>
      </c>
      <c r="G17" s="154">
        <f>SUMIFS(WTG_BD!$T:$T,WTG_BD!$F:$F,"&gt;="&amp;Analytices!$B$2,WTG_BD!$F:$F,"&lt;="&amp;Analytices!$B$3,WTG_BD!$G:$G,G4)</f>
        <v>8.2833333333333332</v>
      </c>
      <c r="H17" s="154">
        <f>SUMIFS(WTG_BD!$T:$T,WTG_BD!$F:$F,"&gt;="&amp;Analytices!$B$2,WTG_BD!$F:$F,"&lt;="&amp;Analytices!$B$3,WTG_BD!$G:$G,H4)</f>
        <v>5.516666666666671</v>
      </c>
      <c r="I17" s="154">
        <f>SUMIFS(WTG_BD!$T:$T,WTG_BD!$F:$F,"&gt;="&amp;Analytices!$B$2,WTG_BD!$F:$F,"&lt;="&amp;Analytices!$B$3,WTG_BD!$G:$G,I4)</f>
        <v>3.1166666666666676</v>
      </c>
      <c r="J17" s="154">
        <f>SUMIFS(WTG_BD!$T:$T,WTG_BD!$F:$F,"&gt;="&amp;Analytices!$B$2,WTG_BD!$F:$F,"&lt;="&amp;Analytices!$B$3,WTG_BD!$G:$G,J4)</f>
        <v>0.89999999999999947</v>
      </c>
      <c r="K17" s="154">
        <f>SUMIFS(WTG_BD!$T:$T,WTG_BD!$F:$F,"&gt;="&amp;Analytices!$B$2,WTG_BD!$F:$F,"&lt;="&amp;Analytices!$B$3,WTG_BD!$G:$G,K4)</f>
        <v>0.56666666666666465</v>
      </c>
      <c r="L17" s="154">
        <f>SUMIFS(WTG_BD!$T:$T,WTG_BD!$F:$F,"&gt;="&amp;Analytices!$B$2,WTG_BD!$F:$F,"&lt;="&amp;Analytices!$B$3,WTG_BD!$G:$G,L4)</f>
        <v>10.433333333333337</v>
      </c>
      <c r="M17" s="154">
        <f>SUMIFS(WTG_BD!$T:$T,WTG_BD!$F:$F,"&gt;="&amp;Analytices!$B$2,WTG_BD!$F:$F,"&lt;="&amp;Analytices!$B$3,WTG_BD!$G:$G,M4)</f>
        <v>170.73222222222222</v>
      </c>
      <c r="N17" s="154">
        <f>SUMIFS(WTG_BD!$T:$T,WTG_BD!$F:$F,"&gt;="&amp;Analytices!$B$2,WTG_BD!$F:$F,"&lt;="&amp;Analytices!$B$3,WTG_BD!$G:$G,N4)</f>
        <v>0.79999999999999982</v>
      </c>
      <c r="O17" s="154">
        <f>SUMIFS(WTG_BD!$T:$T,WTG_BD!$F:$F,"&gt;="&amp;Analytices!$B$2,WTG_BD!$F:$F,"&lt;="&amp;Analytices!$B$3,WTG_BD!$G:$G,O4)</f>
        <v>1.8500000000000028</v>
      </c>
      <c r="P17" s="154">
        <f>SUMIFS(WTG_BD!$T:$T,WTG_BD!$F:$F,"&gt;="&amp;Analytices!$B$2,WTG_BD!$F:$F,"&lt;="&amp;Analytices!$B$3,WTG_BD!$G:$G,P4)</f>
        <v>4.799722222222222</v>
      </c>
      <c r="Q17" s="154">
        <f>SUMIFS(WTG_BD!$T:$T,WTG_BD!$F:$F,"&gt;="&amp;Analytices!$B$2,WTG_BD!$F:$F,"&lt;="&amp;Analytices!$B$3,WTG_BD!$G:$G,Q4)</f>
        <v>2.5833333333333335</v>
      </c>
      <c r="R17" s="154">
        <f>SUMIFS(WTG_BD!$T:$T,WTG_BD!$F:$F,"&gt;="&amp;Analytices!$B$2,WTG_BD!$F:$F,"&lt;="&amp;Analytices!$B$3,WTG_BD!$G:$G,R4)</f>
        <v>0</v>
      </c>
      <c r="S17" s="154">
        <f>SUMIFS(WTG_BD!$T:$T,WTG_BD!$F:$F,"&gt;="&amp;Analytices!$B$2,WTG_BD!$F:$F,"&lt;="&amp;Analytices!$B$3,WTG_BD!$G:$G,S4)</f>
        <v>20.349999999999994</v>
      </c>
      <c r="T17" s="154">
        <f>SUMIFS(WTG_BD!$T:$T,WTG_BD!$F:$F,"&gt;="&amp;Analytices!$B$2,WTG_BD!$F:$F,"&lt;="&amp;Analytices!$B$3,WTG_BD!$G:$G,T4)</f>
        <v>0</v>
      </c>
      <c r="U17" s="154">
        <f>SUMIFS(WTG_BD!$T:$T,WTG_BD!$F:$F,"&gt;="&amp;Analytices!$B$2,WTG_BD!$F:$F,"&lt;="&amp;Analytices!$B$3,WTG_BD!$G:$G,U4)</f>
        <v>106.1663888888889</v>
      </c>
      <c r="V17" s="154">
        <f>SUMIFS(WTG_BD!$T:$T,WTG_BD!$F:$F,"&gt;="&amp;Analytices!$B$2,WTG_BD!$F:$F,"&lt;="&amp;Analytices!$B$3,WTG_BD!$G:$G,V4)</f>
        <v>0.36666666666666803</v>
      </c>
      <c r="W17" s="154">
        <f>SUMIFS(WTG_BD!$T:$T,WTG_BD!$F:$F,"&gt;="&amp;Analytices!$B$2,WTG_BD!$F:$F,"&lt;="&amp;Analytices!$B$3,WTG_BD!$G:$G,W4)</f>
        <v>1.416666666666667</v>
      </c>
      <c r="X17" s="154">
        <f>SUMIFS(WTG_BD!$T:$T,WTG_BD!$F:$F,"&gt;="&amp;Analytices!$B$2,WTG_BD!$F:$F,"&lt;="&amp;Analytices!$B$3,WTG_BD!$G:$G,X4)</f>
        <v>2.0833333333333353</v>
      </c>
      <c r="Y17" s="154">
        <f>SUMIFS(WTG_BD!$T:$T,WTG_BD!$F:$F,"&gt;="&amp;Analytices!$B$2,WTG_BD!$F:$F,"&lt;="&amp;Analytices!$B$3,WTG_BD!$G:$G,Y4)</f>
        <v>0</v>
      </c>
      <c r="Z17" s="154">
        <f>SUMIFS(WTG_BD!$T:$T,WTG_BD!$F:$F,"&gt;="&amp;Analytices!$B$2,WTG_BD!$F:$F,"&lt;="&amp;Analytices!$B$3,WTG_BD!$G:$G,Z4)</f>
        <v>3.3333333333333215E-2</v>
      </c>
      <c r="AA17" s="154">
        <f>SUMIFS(WTG_BD!$T:$T,WTG_BD!$F:$F,"&gt;="&amp;Analytices!$B$2,WTG_BD!$F:$F,"&lt;="&amp;Analytices!$B$3,WTG_BD!$G:$G,AA4)</f>
        <v>1.0666666666666669</v>
      </c>
    </row>
    <row r="18" spans="1:27" ht="29.25" hidden="1" customHeight="1">
      <c r="A18" s="129" t="s">
        <v>113</v>
      </c>
      <c r="B18" s="154">
        <f>COUNTIFS(WTG_BD!$F:$F,"&gt;="&amp;Analytices!$B$2,WTG_BD!$F:$F,"&lt;="&amp;Analytices!$B$3,WTG_BD!$G:$G,B4)</f>
        <v>1</v>
      </c>
      <c r="C18" s="154">
        <f>COUNTIFS(WTG_BD!$F:$F,"&gt;="&amp;Analytices!$B$2,WTG_BD!$F:$F,"&lt;="&amp;Analytices!$B$3,WTG_BD!$G:$G,C4)</f>
        <v>7</v>
      </c>
      <c r="D18" s="154">
        <f>COUNTIFS(WTG_BD!$F:$F,"&gt;="&amp;Analytices!$B$2,WTG_BD!$F:$F,"&lt;="&amp;Analytices!$B$3,WTG_BD!$G:$G,D4)</f>
        <v>3</v>
      </c>
      <c r="E18" s="154">
        <f>COUNTIFS(WTG_BD!$F:$F,"&gt;="&amp;Analytices!$B$2,WTG_BD!$F:$F,"&lt;="&amp;Analytices!$B$3,WTG_BD!$G:$G,E4)</f>
        <v>8</v>
      </c>
      <c r="F18" s="154">
        <f>COUNTIFS(WTG_BD!$F:$F,"&gt;="&amp;Analytices!$B$2,WTG_BD!$F:$F,"&lt;="&amp;Analytices!$B$3,WTG_BD!$G:$G,F4)</f>
        <v>8</v>
      </c>
      <c r="G18" s="154">
        <f>COUNTIFS(WTG_BD!$F:$F,"&gt;="&amp;Analytices!$B$2,WTG_BD!$F:$F,"&lt;="&amp;Analytices!$B$3,WTG_BD!$G:$G,G4)</f>
        <v>4</v>
      </c>
      <c r="H18" s="154">
        <f>COUNTIFS(WTG_BD!$F:$F,"&gt;="&amp;Analytices!$B$2,WTG_BD!$F:$F,"&lt;="&amp;Analytices!$B$3,WTG_BD!$G:$G,H4)</f>
        <v>4</v>
      </c>
      <c r="I18" s="154">
        <f>COUNTIFS(WTG_BD!$F:$F,"&gt;="&amp;Analytices!$B$2,WTG_BD!$F:$F,"&lt;="&amp;Analytices!$B$3,WTG_BD!$G:$G,I4)</f>
        <v>1</v>
      </c>
      <c r="J18" s="154">
        <f>COUNTIFS(WTG_BD!$F:$F,"&gt;="&amp;Analytices!$B$2,WTG_BD!$F:$F,"&lt;="&amp;Analytices!$B$3,WTG_BD!$G:$G,J4)</f>
        <v>2</v>
      </c>
      <c r="K18" s="154">
        <f>COUNTIFS(WTG_BD!$F:$F,"&gt;="&amp;Analytices!$B$2,WTG_BD!$F:$F,"&lt;="&amp;Analytices!$B$3,WTG_BD!$G:$G,K4)</f>
        <v>1</v>
      </c>
      <c r="L18" s="154">
        <f>COUNTIFS(WTG_BD!$F:$F,"&gt;="&amp;Analytices!$B$2,WTG_BD!$F:$F,"&lt;="&amp;Analytices!$B$3,WTG_BD!$G:$G,L4)</f>
        <v>3</v>
      </c>
      <c r="M18" s="154">
        <f>COUNTIFS(WTG_BD!$F:$F,"&gt;="&amp;Analytices!$B$2,WTG_BD!$F:$F,"&lt;="&amp;Analytices!$B$3,WTG_BD!$G:$G,M4)</f>
        <v>36</v>
      </c>
      <c r="N18" s="154">
        <f>COUNTIFS(WTG_BD!$F:$F,"&gt;="&amp;Analytices!$B$2,WTG_BD!$F:$F,"&lt;="&amp;Analytices!$B$3,WTG_BD!$G:$G,N4)</f>
        <v>2</v>
      </c>
      <c r="O18" s="154">
        <f>COUNTIFS(WTG_BD!$F:$F,"&gt;="&amp;Analytices!$B$2,WTG_BD!$F:$F,"&lt;="&amp;Analytices!$B$3,WTG_BD!$G:$G,O4)</f>
        <v>7</v>
      </c>
      <c r="P18" s="154">
        <f>COUNTIFS(WTG_BD!$F:$F,"&gt;="&amp;Analytices!$B$2,WTG_BD!$F:$F,"&lt;="&amp;Analytices!$B$3,WTG_BD!$G:$G,P4)</f>
        <v>6</v>
      </c>
      <c r="Q18" s="154">
        <f>COUNTIFS(WTG_BD!$F:$F,"&gt;="&amp;Analytices!$B$2,WTG_BD!$F:$F,"&lt;="&amp;Analytices!$B$3,WTG_BD!$G:$G,Q4)</f>
        <v>3</v>
      </c>
      <c r="R18" s="154">
        <f>COUNTIFS(WTG_BD!$F:$F,"&gt;="&amp;Analytices!$B$2,WTG_BD!$F:$F,"&lt;="&amp;Analytices!$B$3,WTG_BD!$G:$G,R4)</f>
        <v>0</v>
      </c>
      <c r="S18" s="154">
        <f>COUNTIFS(WTG_BD!$F:$F,"&gt;="&amp;Analytices!$B$2,WTG_BD!$F:$F,"&lt;="&amp;Analytices!$B$3,WTG_BD!$G:$G,S4)</f>
        <v>5</v>
      </c>
      <c r="T18" s="154">
        <f>COUNTIFS(WTG_BD!$F:$F,"&gt;="&amp;Analytices!$B$2,WTG_BD!$F:$F,"&lt;="&amp;Analytices!$B$3,WTG_BD!$G:$G,T4)</f>
        <v>0</v>
      </c>
      <c r="U18" s="154">
        <f>COUNTIFS(WTG_BD!$F:$F,"&gt;="&amp;Analytices!$B$2,WTG_BD!$F:$F,"&lt;="&amp;Analytices!$B$3,WTG_BD!$G:$G,U4)</f>
        <v>9</v>
      </c>
      <c r="V18" s="154">
        <f>COUNTIFS(WTG_BD!$F:$F,"&gt;="&amp;Analytices!$B$2,WTG_BD!$F:$F,"&lt;="&amp;Analytices!$B$3,WTG_BD!$G:$G,V4)</f>
        <v>3</v>
      </c>
      <c r="W18" s="154">
        <f>COUNTIFS(WTG_BD!$F:$F,"&gt;="&amp;Analytices!$B$2,WTG_BD!$F:$F,"&lt;="&amp;Analytices!$B$3,WTG_BD!$G:$G,W4)</f>
        <v>3</v>
      </c>
      <c r="X18" s="154">
        <f>COUNTIFS(WTG_BD!$F:$F,"&gt;="&amp;Analytices!$B$2,WTG_BD!$F:$F,"&lt;="&amp;Analytices!$B$3,WTG_BD!$G:$G,X4)</f>
        <v>5</v>
      </c>
      <c r="Y18" s="154">
        <f>COUNTIFS(WTG_BD!$F:$F,"&gt;="&amp;Analytices!$B$2,WTG_BD!$F:$F,"&lt;="&amp;Analytices!$B$3,WTG_BD!$G:$G,Y4)</f>
        <v>0</v>
      </c>
      <c r="Z18" s="154">
        <f>COUNTIFS(WTG_BD!$F:$F,"&gt;="&amp;Analytices!$B$2,WTG_BD!$F:$F,"&lt;="&amp;Analytices!$B$3,WTG_BD!$G:$G,Z4)</f>
        <v>1</v>
      </c>
      <c r="AA18" s="154">
        <f>COUNTIFS(WTG_BD!$F:$F,"&gt;="&amp;Analytices!$B$2,WTG_BD!$F:$F,"&lt;="&amp;Analytices!$B$3,WTG_BD!$G:$G,AA4)</f>
        <v>2</v>
      </c>
    </row>
    <row r="19" spans="1:27" ht="29.25" customHeight="1">
      <c r="A19" s="127" t="s">
        <v>114</v>
      </c>
      <c r="B19" s="159">
        <f>IFERROR(B17/B18,0)</f>
        <v>3.3333333333333215E-2</v>
      </c>
      <c r="C19" s="159">
        <f t="shared" ref="C19:AA19" si="5">IFERROR(C17/C18,0)</f>
        <v>0.25476190476190441</v>
      </c>
      <c r="D19" s="159">
        <f t="shared" si="5"/>
        <v>3.4888888888888889</v>
      </c>
      <c r="E19" s="159">
        <f t="shared" si="5"/>
        <v>0.78125000000000033</v>
      </c>
      <c r="F19" s="159">
        <f t="shared" si="5"/>
        <v>0.37708333333333299</v>
      </c>
      <c r="G19" s="159">
        <f t="shared" si="5"/>
        <v>2.0708333333333333</v>
      </c>
      <c r="H19" s="159">
        <f t="shared" si="5"/>
        <v>1.3791666666666678</v>
      </c>
      <c r="I19" s="159">
        <f t="shared" si="5"/>
        <v>3.1166666666666676</v>
      </c>
      <c r="J19" s="159">
        <f t="shared" si="5"/>
        <v>0.44999999999999973</v>
      </c>
      <c r="K19" s="159">
        <f t="shared" si="5"/>
        <v>0.56666666666666465</v>
      </c>
      <c r="L19" s="159">
        <f t="shared" si="5"/>
        <v>3.4777777777777792</v>
      </c>
      <c r="M19" s="159">
        <f t="shared" si="5"/>
        <v>4.7425617283950618</v>
      </c>
      <c r="N19" s="159">
        <f t="shared" si="5"/>
        <v>0.39999999999999991</v>
      </c>
      <c r="O19" s="159">
        <f t="shared" si="5"/>
        <v>0.26428571428571468</v>
      </c>
      <c r="P19" s="159">
        <f t="shared" si="5"/>
        <v>0.79995370370370367</v>
      </c>
      <c r="Q19" s="159">
        <f t="shared" si="5"/>
        <v>0.86111111111111116</v>
      </c>
      <c r="R19" s="159">
        <f t="shared" si="5"/>
        <v>0</v>
      </c>
      <c r="S19" s="159">
        <f t="shared" si="5"/>
        <v>4.0699999999999985</v>
      </c>
      <c r="T19" s="159">
        <f t="shared" si="5"/>
        <v>0</v>
      </c>
      <c r="U19" s="159">
        <f t="shared" si="5"/>
        <v>11.796265432098767</v>
      </c>
      <c r="V19" s="159">
        <f t="shared" si="5"/>
        <v>0.12222222222222268</v>
      </c>
      <c r="W19" s="159">
        <f t="shared" si="5"/>
        <v>0.47222222222222232</v>
      </c>
      <c r="X19" s="159">
        <f t="shared" si="5"/>
        <v>0.41666666666666707</v>
      </c>
      <c r="Y19" s="159">
        <f t="shared" si="5"/>
        <v>0</v>
      </c>
      <c r="Z19" s="159">
        <f t="shared" si="5"/>
        <v>3.3333333333333215E-2</v>
      </c>
      <c r="AA19" s="159">
        <f t="shared" si="5"/>
        <v>0.53333333333333344</v>
      </c>
    </row>
    <row r="20" spans="1:27" ht="29.25" customHeight="1">
      <c r="A20" s="127" t="s">
        <v>115</v>
      </c>
      <c r="B20" s="159">
        <f>IFERROR(($C$3-B17)/B18,$C$3)</f>
        <v>335.96666666666664</v>
      </c>
      <c r="C20" s="159">
        <f t="shared" ref="C20:AA20" si="6">IFERROR(($C$3-C17)/C18,$C$3)</f>
        <v>47.745238095238101</v>
      </c>
      <c r="D20" s="159">
        <f t="shared" si="6"/>
        <v>108.51111111111112</v>
      </c>
      <c r="E20" s="159">
        <f t="shared" si="6"/>
        <v>41.21875</v>
      </c>
      <c r="F20" s="159">
        <f t="shared" si="6"/>
        <v>41.622916666666669</v>
      </c>
      <c r="G20" s="159">
        <f t="shared" si="6"/>
        <v>81.92916666666666</v>
      </c>
      <c r="H20" s="159">
        <f t="shared" si="6"/>
        <v>82.620833333333337</v>
      </c>
      <c r="I20" s="159">
        <f t="shared" si="6"/>
        <v>332.88333333333333</v>
      </c>
      <c r="J20" s="159">
        <f t="shared" si="6"/>
        <v>167.55</v>
      </c>
      <c r="K20" s="159">
        <f t="shared" si="6"/>
        <v>335.43333333333334</v>
      </c>
      <c r="L20" s="159">
        <f t="shared" si="6"/>
        <v>108.52222222222223</v>
      </c>
      <c r="M20" s="159">
        <f t="shared" si="6"/>
        <v>4.5907716049382721</v>
      </c>
      <c r="N20" s="159">
        <f t="shared" si="6"/>
        <v>167.6</v>
      </c>
      <c r="O20" s="159">
        <f t="shared" si="6"/>
        <v>47.73571428571428</v>
      </c>
      <c r="P20" s="159">
        <f t="shared" si="6"/>
        <v>55.2000462962963</v>
      </c>
      <c r="Q20" s="159">
        <f t="shared" si="6"/>
        <v>111.1388888888889</v>
      </c>
      <c r="R20" s="159">
        <f t="shared" si="6"/>
        <v>336</v>
      </c>
      <c r="S20" s="159">
        <f t="shared" si="6"/>
        <v>63.129999999999995</v>
      </c>
      <c r="T20" s="159">
        <f t="shared" si="6"/>
        <v>336</v>
      </c>
      <c r="U20" s="159">
        <f t="shared" si="6"/>
        <v>25.537067901234568</v>
      </c>
      <c r="V20" s="159">
        <f t="shared" si="6"/>
        <v>111.87777777777778</v>
      </c>
      <c r="W20" s="159">
        <f t="shared" si="6"/>
        <v>111.52777777777777</v>
      </c>
      <c r="X20" s="159">
        <f t="shared" si="6"/>
        <v>66.783333333333331</v>
      </c>
      <c r="Y20" s="159">
        <f t="shared" si="6"/>
        <v>336</v>
      </c>
      <c r="Z20" s="159">
        <f t="shared" si="6"/>
        <v>335.96666666666664</v>
      </c>
      <c r="AA20" s="159">
        <f t="shared" si="6"/>
        <v>167.46666666666667</v>
      </c>
    </row>
    <row r="21" spans="1:27" ht="29.25" customHeight="1">
      <c r="A21" s="127" t="s">
        <v>116</v>
      </c>
      <c r="B21" s="159">
        <f>ROUND(AVERAGEIFS(Input_Raw!AF:AF,Input_Raw!$A:$A,"&gt;="&amp;Analytices!$B$2,Input_Raw!$A:$A,"&lt;="&amp;Analytices!$B$3),1)</f>
        <v>6.7</v>
      </c>
      <c r="C21" s="159">
        <f>ROUND(AVERAGEIFS(Input_Raw!AG:AG,Input_Raw!$A:$A,"&gt;="&amp;Analytices!$B$2,Input_Raw!$A:$A,"&lt;="&amp;Analytices!$B$3),1)</f>
        <v>6.8</v>
      </c>
      <c r="D21" s="159">
        <f>ROUND(AVERAGEIFS(Input_Raw!AH:AH,Input_Raw!$A:$A,"&gt;="&amp;Analytices!$B$2,Input_Raw!$A:$A,"&lt;="&amp;Analytices!$B$3),1)</f>
        <v>6.6</v>
      </c>
      <c r="E21" s="159">
        <f>ROUND(AVERAGEIFS(Input_Raw!AI:AI,Input_Raw!$A:$A,"&gt;="&amp;Analytices!$B$2,Input_Raw!$A:$A,"&lt;="&amp;Analytices!$B$3),1)</f>
        <v>6.6</v>
      </c>
      <c r="F21" s="159">
        <f>ROUND(AVERAGEIFS(Input_Raw!AJ:AJ,Input_Raw!$A:$A,"&gt;="&amp;Analytices!$B$2,Input_Raw!$A:$A,"&lt;="&amp;Analytices!$B$3),1)</f>
        <v>6.8</v>
      </c>
      <c r="G21" s="159">
        <f>ROUND(AVERAGEIFS(Input_Raw!AK:AK,Input_Raw!$A:$A,"&gt;="&amp;Analytices!$B$2,Input_Raw!$A:$A,"&lt;="&amp;Analytices!$B$3),1)</f>
        <v>7.2</v>
      </c>
      <c r="H21" s="159">
        <f>ROUND(AVERAGEIFS(Input_Raw!AL:AL,Input_Raw!$A:$A,"&gt;="&amp;Analytices!$B$2,Input_Raw!$A:$A,"&lt;="&amp;Analytices!$B$3),1)</f>
        <v>6.6</v>
      </c>
      <c r="I21" s="159">
        <f>ROUND(AVERAGEIFS(Input_Raw!AM:AM,Input_Raw!$A:$A,"&gt;="&amp;Analytices!$B$2,Input_Raw!$A:$A,"&lt;="&amp;Analytices!$B$3),1)</f>
        <v>6.6</v>
      </c>
      <c r="J21" s="159">
        <f>ROUND(AVERAGEIFS(Input_Raw!AN:AN,Input_Raw!$A:$A,"&gt;="&amp;Analytices!$B$2,Input_Raw!$A:$A,"&lt;="&amp;Analytices!$B$3),1)</f>
        <v>6.7</v>
      </c>
      <c r="K21" s="159">
        <f>ROUND(AVERAGEIFS(Input_Raw!AO:AO,Input_Raw!$A:$A,"&gt;="&amp;Analytices!$B$2,Input_Raw!$A:$A,"&lt;="&amp;Analytices!$B$3),1)</f>
        <v>6.7</v>
      </c>
      <c r="L21" s="159">
        <f>ROUND(AVERAGEIFS(Input_Raw!AP:AP,Input_Raw!$A:$A,"&gt;="&amp;Analytices!$B$2,Input_Raw!$A:$A,"&lt;="&amp;Analytices!$B$3),1)</f>
        <v>6.7</v>
      </c>
      <c r="M21" s="159">
        <f>ROUND(AVERAGEIFS(Input_Raw!AQ:AQ,Input_Raw!$A:$A,"&gt;="&amp;Analytices!$B$2,Input_Raw!$A:$A,"&lt;="&amp;Analytices!$B$3),1)</f>
        <v>7.7</v>
      </c>
      <c r="N21" s="159">
        <f>ROUND(AVERAGEIFS(Input_Raw!AR:AR,Input_Raw!$A:$A,"&gt;="&amp;Analytices!$B$2,Input_Raw!$A:$A,"&lt;="&amp;Analytices!$B$3),1)</f>
        <v>6.7</v>
      </c>
      <c r="O21" s="159">
        <f>ROUND(AVERAGEIFS(Input_Raw!AS:AS,Input_Raw!$A:$A,"&gt;="&amp;Analytices!$B$2,Input_Raw!$A:$A,"&lt;="&amp;Analytices!$B$3),1)</f>
        <v>6.7</v>
      </c>
      <c r="P21" s="159">
        <f>ROUND(AVERAGEIFS(Input_Raw!AT:AT,Input_Raw!$A:$A,"&gt;="&amp;Analytices!$B$2,Input_Raw!$A:$A,"&lt;="&amp;Analytices!$B$3),1)</f>
        <v>6.6</v>
      </c>
      <c r="Q21" s="159">
        <f>ROUND(AVERAGEIFS(Input_Raw!AU:AU,Input_Raw!$A:$A,"&gt;="&amp;Analytices!$B$2,Input_Raw!$A:$A,"&lt;="&amp;Analytices!$B$3),1)</f>
        <v>6.7</v>
      </c>
      <c r="R21" s="159">
        <f>ROUND(AVERAGEIFS(Input_Raw!AV:AV,Input_Raw!$A:$A,"&gt;="&amp;Analytices!$B$2,Input_Raw!$A:$A,"&lt;="&amp;Analytices!$B$3),1)</f>
        <v>7.2</v>
      </c>
      <c r="S21" s="159">
        <f>ROUND(AVERAGEIFS(Input_Raw!AW:AW,Input_Raw!$A:$A,"&gt;="&amp;Analytices!$B$2,Input_Raw!$A:$A,"&lt;="&amp;Analytices!$B$3),1)</f>
        <v>6.8</v>
      </c>
      <c r="T21" s="159">
        <f>ROUND(AVERAGEIFS(Input_Raw!AX:AX,Input_Raw!$A:$A,"&gt;="&amp;Analytices!$B$2,Input_Raw!$A:$A,"&lt;="&amp;Analytices!$B$3),1)</f>
        <v>6.9</v>
      </c>
      <c r="U21" s="159">
        <f>ROUND(AVERAGEIFS(Input_Raw!AY:AY,Input_Raw!$A:$A,"&gt;="&amp;Analytices!$B$2,Input_Raw!$A:$A,"&lt;="&amp;Analytices!$B$3),1)</f>
        <v>6.6</v>
      </c>
      <c r="V21" s="159">
        <f>ROUND(AVERAGEIFS(Input_Raw!AZ:AZ,Input_Raw!$A:$A,"&gt;="&amp;Analytices!$B$2,Input_Raw!$A:$A,"&lt;="&amp;Analytices!$B$3),1)</f>
        <v>6.9</v>
      </c>
      <c r="W21" s="159">
        <f>ROUND(AVERAGEIFS(Input_Raw!BA:BA,Input_Raw!$A:$A,"&gt;="&amp;Analytices!$B$2,Input_Raw!$A:$A,"&lt;="&amp;Analytices!$B$3),1)</f>
        <v>7</v>
      </c>
      <c r="X21" s="159">
        <f>ROUND(AVERAGEIFS(Input_Raw!BB:BB,Input_Raw!$A:$A,"&gt;="&amp;Analytices!$B$2,Input_Raw!$A:$A,"&lt;="&amp;Analytices!$B$3),1)</f>
        <v>6.7</v>
      </c>
      <c r="Y21" s="159">
        <f>ROUND(AVERAGEIFS(Input_Raw!BC:BC,Input_Raw!$A:$A,"&gt;="&amp;Analytices!$B$2,Input_Raw!$A:$A,"&lt;="&amp;Analytices!$B$3),1)</f>
        <v>6.8</v>
      </c>
      <c r="Z21" s="159">
        <f>ROUND(AVERAGEIFS(Input_Raw!BD:BD,Input_Raw!$A:$A,"&gt;="&amp;Analytices!$B$2,Input_Raw!$A:$A,"&lt;="&amp;Analytices!$B$3),1)</f>
        <v>6.8</v>
      </c>
      <c r="AA21" s="159">
        <f>ROUND(AVERAGEIFS(Input_Raw!BE:BE,Input_Raw!$A:$A,"&gt;="&amp;Analytices!$B$2,Input_Raw!$A:$A,"&lt;="&amp;Analytices!$B$3),1)</f>
        <v>6.7</v>
      </c>
    </row>
    <row r="22" spans="1:27" ht="29.25" customHeight="1">
      <c r="A22" s="84"/>
    </row>
    <row r="23" spans="1:27" ht="29.25" customHeight="1">
      <c r="A23" s="608" t="s">
        <v>117</v>
      </c>
      <c r="B23" s="608"/>
      <c r="C23" s="608"/>
      <c r="D23" s="608"/>
      <c r="E23" s="608"/>
      <c r="F23" s="608"/>
      <c r="G23" s="608"/>
    </row>
    <row r="24" spans="1:27" ht="29.25" customHeight="1">
      <c r="A24" s="85">
        <v>45017</v>
      </c>
    </row>
    <row r="25" spans="1:27" ht="29.25" customHeight="1">
      <c r="D25" s="606" t="s">
        <v>118</v>
      </c>
      <c r="E25" s="606"/>
      <c r="F25" s="606" t="s">
        <v>119</v>
      </c>
      <c r="G25" s="606"/>
    </row>
    <row r="26" spans="1:27" ht="29.25" customHeight="1">
      <c r="D26" s="606">
        <f ca="1">F26</f>
        <v>20040</v>
      </c>
      <c r="E26" s="606"/>
      <c r="F26" s="607">
        <f ca="1">((TODAY()-1)-(A24))*24</f>
        <v>20040</v>
      </c>
      <c r="G26" s="607"/>
    </row>
    <row r="27" spans="1:27" ht="29.25" customHeight="1">
      <c r="A27" s="132" t="s">
        <v>120</v>
      </c>
      <c r="B27" s="131" t="s">
        <v>121</v>
      </c>
    </row>
    <row r="29" spans="1:27" ht="29.25" customHeight="1">
      <c r="A29" s="132" t="s">
        <v>122</v>
      </c>
      <c r="B29" s="131" t="s">
        <v>123</v>
      </c>
      <c r="C29" s="131" t="s">
        <v>124</v>
      </c>
      <c r="D29" s="131" t="s">
        <v>125</v>
      </c>
      <c r="E29" s="131" t="s">
        <v>126</v>
      </c>
    </row>
    <row r="30" spans="1:27" ht="29.25" customHeight="1">
      <c r="A30" s="112" t="s">
        <v>127</v>
      </c>
      <c r="B30" s="131"/>
      <c r="C30" s="131"/>
      <c r="D30" s="130" t="e">
        <f>B30/C30</f>
        <v>#DIV/0!</v>
      </c>
      <c r="E30" s="130" t="e">
        <f ca="1">$D$26/C30</f>
        <v>#DIV/0!</v>
      </c>
    </row>
    <row r="31" spans="1:27" ht="29.25" customHeight="1">
      <c r="D31" s="130" t="e">
        <f t="shared" ref="D31:D94" si="7">B31/C31</f>
        <v>#DIV/0!</v>
      </c>
      <c r="E31" s="130" t="e">
        <f t="shared" ref="E31:E94" ca="1" si="8">$D$26/C31</f>
        <v>#DIV/0!</v>
      </c>
    </row>
    <row r="32" spans="1:27" ht="29.25" customHeight="1">
      <c r="D32" s="130" t="e">
        <f t="shared" si="7"/>
        <v>#DIV/0!</v>
      </c>
      <c r="E32" s="130" t="e">
        <f t="shared" ca="1" si="8"/>
        <v>#DIV/0!</v>
      </c>
    </row>
    <row r="33" spans="4:5" ht="29.25" customHeight="1">
      <c r="D33" s="130" t="e">
        <f t="shared" si="7"/>
        <v>#DIV/0!</v>
      </c>
      <c r="E33" s="130" t="e">
        <f t="shared" ca="1" si="8"/>
        <v>#DIV/0!</v>
      </c>
    </row>
    <row r="34" spans="4:5" ht="29.25" customHeight="1">
      <c r="D34" s="130" t="e">
        <f t="shared" si="7"/>
        <v>#DIV/0!</v>
      </c>
      <c r="E34" s="130" t="e">
        <f t="shared" ca="1" si="8"/>
        <v>#DIV/0!</v>
      </c>
    </row>
    <row r="35" spans="4:5" ht="29.25" customHeight="1">
      <c r="D35" s="130" t="e">
        <f t="shared" si="7"/>
        <v>#DIV/0!</v>
      </c>
      <c r="E35" s="130" t="e">
        <f t="shared" ca="1" si="8"/>
        <v>#DIV/0!</v>
      </c>
    </row>
    <row r="36" spans="4:5" ht="29.25" customHeight="1">
      <c r="D36" s="130" t="e">
        <f t="shared" si="7"/>
        <v>#DIV/0!</v>
      </c>
      <c r="E36" s="130" t="e">
        <f t="shared" ca="1" si="8"/>
        <v>#DIV/0!</v>
      </c>
    </row>
    <row r="37" spans="4:5" ht="29.25" customHeight="1">
      <c r="D37" s="130" t="e">
        <f t="shared" si="7"/>
        <v>#DIV/0!</v>
      </c>
      <c r="E37" s="130" t="e">
        <f t="shared" ca="1" si="8"/>
        <v>#DIV/0!</v>
      </c>
    </row>
    <row r="38" spans="4:5" ht="29.25" customHeight="1">
      <c r="D38" s="130" t="e">
        <f t="shared" si="7"/>
        <v>#DIV/0!</v>
      </c>
      <c r="E38" s="130" t="e">
        <f t="shared" ca="1" si="8"/>
        <v>#DIV/0!</v>
      </c>
    </row>
    <row r="39" spans="4:5" ht="29.25" customHeight="1">
      <c r="D39" s="130" t="e">
        <f t="shared" si="7"/>
        <v>#DIV/0!</v>
      </c>
      <c r="E39" s="130" t="e">
        <f t="shared" ca="1" si="8"/>
        <v>#DIV/0!</v>
      </c>
    </row>
    <row r="40" spans="4:5" ht="29.25" customHeight="1">
      <c r="D40" s="130" t="e">
        <f t="shared" si="7"/>
        <v>#DIV/0!</v>
      </c>
      <c r="E40" s="130" t="e">
        <f t="shared" ca="1" si="8"/>
        <v>#DIV/0!</v>
      </c>
    </row>
    <row r="41" spans="4:5" ht="29.25" customHeight="1">
      <c r="D41" s="130" t="e">
        <f t="shared" si="7"/>
        <v>#DIV/0!</v>
      </c>
      <c r="E41" s="130" t="e">
        <f t="shared" ca="1" si="8"/>
        <v>#DIV/0!</v>
      </c>
    </row>
    <row r="42" spans="4:5" ht="29.25" customHeight="1">
      <c r="D42" s="130" t="e">
        <f t="shared" si="7"/>
        <v>#DIV/0!</v>
      </c>
      <c r="E42" s="130" t="e">
        <f t="shared" ca="1" si="8"/>
        <v>#DIV/0!</v>
      </c>
    </row>
    <row r="43" spans="4:5" ht="29.25" customHeight="1">
      <c r="D43" s="130" t="e">
        <f t="shared" si="7"/>
        <v>#DIV/0!</v>
      </c>
      <c r="E43" s="130" t="e">
        <f t="shared" ca="1" si="8"/>
        <v>#DIV/0!</v>
      </c>
    </row>
    <row r="44" spans="4:5" ht="29.25" customHeight="1">
      <c r="D44" s="130" t="e">
        <f t="shared" si="7"/>
        <v>#DIV/0!</v>
      </c>
      <c r="E44" s="130" t="e">
        <f t="shared" ca="1" si="8"/>
        <v>#DIV/0!</v>
      </c>
    </row>
    <row r="45" spans="4:5" ht="29.25" customHeight="1">
      <c r="D45" s="130" t="e">
        <f t="shared" si="7"/>
        <v>#DIV/0!</v>
      </c>
      <c r="E45" s="130" t="e">
        <f t="shared" ca="1" si="8"/>
        <v>#DIV/0!</v>
      </c>
    </row>
    <row r="46" spans="4:5" ht="29.25" customHeight="1">
      <c r="D46" s="130" t="e">
        <f t="shared" si="7"/>
        <v>#DIV/0!</v>
      </c>
      <c r="E46" s="130" t="e">
        <f t="shared" ca="1" si="8"/>
        <v>#DIV/0!</v>
      </c>
    </row>
    <row r="47" spans="4:5" ht="29.25" customHeight="1">
      <c r="D47" s="130" t="e">
        <f t="shared" si="7"/>
        <v>#DIV/0!</v>
      </c>
      <c r="E47" s="130" t="e">
        <f t="shared" ca="1" si="8"/>
        <v>#DIV/0!</v>
      </c>
    </row>
    <row r="48" spans="4:5" ht="29.25" customHeight="1">
      <c r="D48" s="130" t="e">
        <f t="shared" si="7"/>
        <v>#DIV/0!</v>
      </c>
      <c r="E48" s="130" t="e">
        <f t="shared" ca="1" si="8"/>
        <v>#DIV/0!</v>
      </c>
    </row>
    <row r="49" spans="4:5" ht="29.25" customHeight="1">
      <c r="D49" s="130" t="e">
        <f t="shared" si="7"/>
        <v>#DIV/0!</v>
      </c>
      <c r="E49" s="130" t="e">
        <f t="shared" ca="1" si="8"/>
        <v>#DIV/0!</v>
      </c>
    </row>
    <row r="50" spans="4:5" ht="29.25" customHeight="1">
      <c r="D50" s="130" t="e">
        <f t="shared" si="7"/>
        <v>#DIV/0!</v>
      </c>
      <c r="E50" s="130" t="e">
        <f t="shared" ca="1" si="8"/>
        <v>#DIV/0!</v>
      </c>
    </row>
    <row r="51" spans="4:5" ht="29.25" customHeight="1">
      <c r="D51" s="130" t="e">
        <f t="shared" si="7"/>
        <v>#DIV/0!</v>
      </c>
      <c r="E51" s="130" t="e">
        <f t="shared" ca="1" si="8"/>
        <v>#DIV/0!</v>
      </c>
    </row>
    <row r="52" spans="4:5" ht="29.25" customHeight="1">
      <c r="D52" s="130" t="e">
        <f t="shared" si="7"/>
        <v>#DIV/0!</v>
      </c>
      <c r="E52" s="130" t="e">
        <f t="shared" ca="1" si="8"/>
        <v>#DIV/0!</v>
      </c>
    </row>
    <row r="53" spans="4:5" ht="29.25" customHeight="1">
      <c r="D53" s="130" t="e">
        <f t="shared" si="7"/>
        <v>#DIV/0!</v>
      </c>
      <c r="E53" s="130" t="e">
        <f t="shared" ca="1" si="8"/>
        <v>#DIV/0!</v>
      </c>
    </row>
    <row r="54" spans="4:5" ht="29.25" customHeight="1">
      <c r="D54" s="130" t="e">
        <f t="shared" si="7"/>
        <v>#DIV/0!</v>
      </c>
      <c r="E54" s="130" t="e">
        <f t="shared" ca="1" si="8"/>
        <v>#DIV/0!</v>
      </c>
    </row>
    <row r="55" spans="4:5" ht="29.25" customHeight="1">
      <c r="D55" s="130" t="e">
        <f t="shared" si="7"/>
        <v>#DIV/0!</v>
      </c>
      <c r="E55" s="130" t="e">
        <f t="shared" ca="1" si="8"/>
        <v>#DIV/0!</v>
      </c>
    </row>
    <row r="56" spans="4:5" ht="29.25" customHeight="1">
      <c r="D56" s="130" t="e">
        <f t="shared" si="7"/>
        <v>#DIV/0!</v>
      </c>
      <c r="E56" s="130" t="e">
        <f t="shared" ca="1" si="8"/>
        <v>#DIV/0!</v>
      </c>
    </row>
    <row r="57" spans="4:5" ht="29.25" customHeight="1">
      <c r="D57" s="130" t="e">
        <f t="shared" si="7"/>
        <v>#DIV/0!</v>
      </c>
      <c r="E57" s="130" t="e">
        <f t="shared" ca="1" si="8"/>
        <v>#DIV/0!</v>
      </c>
    </row>
    <row r="58" spans="4:5" ht="29.25" customHeight="1">
      <c r="D58" s="130" t="e">
        <f t="shared" si="7"/>
        <v>#DIV/0!</v>
      </c>
      <c r="E58" s="130" t="e">
        <f t="shared" ca="1" si="8"/>
        <v>#DIV/0!</v>
      </c>
    </row>
    <row r="59" spans="4:5" ht="29.25" customHeight="1">
      <c r="D59" s="130" t="e">
        <f t="shared" si="7"/>
        <v>#DIV/0!</v>
      </c>
      <c r="E59" s="130" t="e">
        <f t="shared" ca="1" si="8"/>
        <v>#DIV/0!</v>
      </c>
    </row>
    <row r="60" spans="4:5" ht="29.25" customHeight="1">
      <c r="D60" s="130" t="e">
        <f t="shared" si="7"/>
        <v>#DIV/0!</v>
      </c>
      <c r="E60" s="130" t="e">
        <f t="shared" ca="1" si="8"/>
        <v>#DIV/0!</v>
      </c>
    </row>
    <row r="61" spans="4:5" ht="29.25" customHeight="1">
      <c r="D61" s="130" t="e">
        <f t="shared" si="7"/>
        <v>#DIV/0!</v>
      </c>
      <c r="E61" s="130" t="e">
        <f t="shared" ca="1" si="8"/>
        <v>#DIV/0!</v>
      </c>
    </row>
    <row r="62" spans="4:5" ht="29.25" customHeight="1">
      <c r="D62" s="130" t="e">
        <f t="shared" si="7"/>
        <v>#DIV/0!</v>
      </c>
      <c r="E62" s="130" t="e">
        <f t="shared" ca="1" si="8"/>
        <v>#DIV/0!</v>
      </c>
    </row>
    <row r="63" spans="4:5" ht="29.25" customHeight="1">
      <c r="D63" s="130" t="e">
        <f t="shared" si="7"/>
        <v>#DIV/0!</v>
      </c>
      <c r="E63" s="130" t="e">
        <f t="shared" ca="1" si="8"/>
        <v>#DIV/0!</v>
      </c>
    </row>
    <row r="64" spans="4:5" ht="29.25" customHeight="1">
      <c r="D64" s="130" t="e">
        <f t="shared" si="7"/>
        <v>#DIV/0!</v>
      </c>
      <c r="E64" s="130" t="e">
        <f t="shared" ca="1" si="8"/>
        <v>#DIV/0!</v>
      </c>
    </row>
    <row r="65" spans="4:5" ht="29.25" customHeight="1">
      <c r="D65" s="130" t="e">
        <f t="shared" si="7"/>
        <v>#DIV/0!</v>
      </c>
      <c r="E65" s="130" t="e">
        <f t="shared" ca="1" si="8"/>
        <v>#DIV/0!</v>
      </c>
    </row>
    <row r="66" spans="4:5" ht="29.25" customHeight="1">
      <c r="D66" s="130" t="e">
        <f t="shared" si="7"/>
        <v>#DIV/0!</v>
      </c>
      <c r="E66" s="130" t="e">
        <f t="shared" ca="1" si="8"/>
        <v>#DIV/0!</v>
      </c>
    </row>
    <row r="67" spans="4:5" ht="29.25" customHeight="1">
      <c r="D67" s="130" t="e">
        <f t="shared" si="7"/>
        <v>#DIV/0!</v>
      </c>
      <c r="E67" s="130" t="e">
        <f t="shared" ca="1" si="8"/>
        <v>#DIV/0!</v>
      </c>
    </row>
    <row r="68" spans="4:5" ht="29.25" customHeight="1">
      <c r="D68" s="130" t="e">
        <f t="shared" si="7"/>
        <v>#DIV/0!</v>
      </c>
      <c r="E68" s="130" t="e">
        <f t="shared" ca="1" si="8"/>
        <v>#DIV/0!</v>
      </c>
    </row>
    <row r="69" spans="4:5" ht="29.25" customHeight="1">
      <c r="D69" s="130" t="e">
        <f t="shared" si="7"/>
        <v>#DIV/0!</v>
      </c>
      <c r="E69" s="130" t="e">
        <f t="shared" ca="1" si="8"/>
        <v>#DIV/0!</v>
      </c>
    </row>
    <row r="70" spans="4:5" ht="29.25" customHeight="1">
      <c r="D70" s="130" t="e">
        <f t="shared" si="7"/>
        <v>#DIV/0!</v>
      </c>
      <c r="E70" s="130" t="e">
        <f t="shared" ca="1" si="8"/>
        <v>#DIV/0!</v>
      </c>
    </row>
    <row r="71" spans="4:5" ht="29.25" customHeight="1">
      <c r="D71" s="130" t="e">
        <f t="shared" si="7"/>
        <v>#DIV/0!</v>
      </c>
      <c r="E71" s="130" t="e">
        <f t="shared" ca="1" si="8"/>
        <v>#DIV/0!</v>
      </c>
    </row>
    <row r="72" spans="4:5" ht="29.25" customHeight="1">
      <c r="D72" s="130" t="e">
        <f t="shared" si="7"/>
        <v>#DIV/0!</v>
      </c>
      <c r="E72" s="130" t="e">
        <f t="shared" ca="1" si="8"/>
        <v>#DIV/0!</v>
      </c>
    </row>
    <row r="73" spans="4:5" ht="29.25" customHeight="1">
      <c r="D73" s="130" t="e">
        <f t="shared" si="7"/>
        <v>#DIV/0!</v>
      </c>
      <c r="E73" s="130" t="e">
        <f t="shared" ca="1" si="8"/>
        <v>#DIV/0!</v>
      </c>
    </row>
    <row r="74" spans="4:5" ht="29.25" customHeight="1">
      <c r="D74" s="130" t="e">
        <f t="shared" si="7"/>
        <v>#DIV/0!</v>
      </c>
      <c r="E74" s="130" t="e">
        <f t="shared" ca="1" si="8"/>
        <v>#DIV/0!</v>
      </c>
    </row>
    <row r="75" spans="4:5" ht="29.25" customHeight="1">
      <c r="D75" s="130" t="e">
        <f t="shared" si="7"/>
        <v>#DIV/0!</v>
      </c>
      <c r="E75" s="130" t="e">
        <f t="shared" ca="1" si="8"/>
        <v>#DIV/0!</v>
      </c>
    </row>
    <row r="76" spans="4:5" ht="29.25" customHeight="1">
      <c r="D76" s="130" t="e">
        <f t="shared" si="7"/>
        <v>#DIV/0!</v>
      </c>
      <c r="E76" s="130" t="e">
        <f t="shared" ca="1" si="8"/>
        <v>#DIV/0!</v>
      </c>
    </row>
    <row r="77" spans="4:5" ht="29.25" customHeight="1">
      <c r="D77" s="130" t="e">
        <f t="shared" si="7"/>
        <v>#DIV/0!</v>
      </c>
      <c r="E77" s="130" t="e">
        <f t="shared" ca="1" si="8"/>
        <v>#DIV/0!</v>
      </c>
    </row>
    <row r="78" spans="4:5" ht="29.25" customHeight="1">
      <c r="D78" s="130" t="e">
        <f t="shared" si="7"/>
        <v>#DIV/0!</v>
      </c>
      <c r="E78" s="130" t="e">
        <f t="shared" ca="1" si="8"/>
        <v>#DIV/0!</v>
      </c>
    </row>
    <row r="79" spans="4:5" ht="29.25" customHeight="1">
      <c r="D79" s="130" t="e">
        <f t="shared" si="7"/>
        <v>#DIV/0!</v>
      </c>
      <c r="E79" s="130" t="e">
        <f t="shared" ca="1" si="8"/>
        <v>#DIV/0!</v>
      </c>
    </row>
    <row r="80" spans="4:5" ht="29.25" customHeight="1">
      <c r="D80" s="130" t="e">
        <f t="shared" si="7"/>
        <v>#DIV/0!</v>
      </c>
      <c r="E80" s="130" t="e">
        <f t="shared" ca="1" si="8"/>
        <v>#DIV/0!</v>
      </c>
    </row>
    <row r="81" spans="4:5" ht="29.25" customHeight="1">
      <c r="D81" s="130" t="e">
        <f t="shared" si="7"/>
        <v>#DIV/0!</v>
      </c>
      <c r="E81" s="130" t="e">
        <f t="shared" ca="1" si="8"/>
        <v>#DIV/0!</v>
      </c>
    </row>
    <row r="82" spans="4:5" ht="29.25" customHeight="1">
      <c r="D82" s="130" t="e">
        <f t="shared" si="7"/>
        <v>#DIV/0!</v>
      </c>
      <c r="E82" s="130" t="e">
        <f t="shared" ca="1" si="8"/>
        <v>#DIV/0!</v>
      </c>
    </row>
    <row r="83" spans="4:5" ht="29.25" customHeight="1">
      <c r="D83" s="130" t="e">
        <f t="shared" si="7"/>
        <v>#DIV/0!</v>
      </c>
      <c r="E83" s="130" t="e">
        <f t="shared" ca="1" si="8"/>
        <v>#DIV/0!</v>
      </c>
    </row>
    <row r="84" spans="4:5" ht="29.25" customHeight="1">
      <c r="D84" s="130" t="e">
        <f t="shared" si="7"/>
        <v>#DIV/0!</v>
      </c>
      <c r="E84" s="130" t="e">
        <f t="shared" ca="1" si="8"/>
        <v>#DIV/0!</v>
      </c>
    </row>
    <row r="85" spans="4:5" ht="29.25" customHeight="1">
      <c r="D85" s="130" t="e">
        <f t="shared" si="7"/>
        <v>#DIV/0!</v>
      </c>
      <c r="E85" s="130" t="e">
        <f t="shared" ca="1" si="8"/>
        <v>#DIV/0!</v>
      </c>
    </row>
    <row r="86" spans="4:5" ht="29.25" customHeight="1">
      <c r="D86" s="130" t="e">
        <f t="shared" si="7"/>
        <v>#DIV/0!</v>
      </c>
      <c r="E86" s="130" t="e">
        <f t="shared" ca="1" si="8"/>
        <v>#DIV/0!</v>
      </c>
    </row>
    <row r="87" spans="4:5" ht="29.25" customHeight="1">
      <c r="D87" s="130" t="e">
        <f t="shared" si="7"/>
        <v>#DIV/0!</v>
      </c>
      <c r="E87" s="130" t="e">
        <f t="shared" ca="1" si="8"/>
        <v>#DIV/0!</v>
      </c>
    </row>
    <row r="88" spans="4:5" ht="29.25" customHeight="1">
      <c r="D88" s="130" t="e">
        <f t="shared" si="7"/>
        <v>#DIV/0!</v>
      </c>
      <c r="E88" s="130" t="e">
        <f t="shared" ca="1" si="8"/>
        <v>#DIV/0!</v>
      </c>
    </row>
    <row r="89" spans="4:5" ht="29.25" customHeight="1">
      <c r="D89" s="130" t="e">
        <f t="shared" si="7"/>
        <v>#DIV/0!</v>
      </c>
      <c r="E89" s="130" t="e">
        <f t="shared" ca="1" si="8"/>
        <v>#DIV/0!</v>
      </c>
    </row>
    <row r="90" spans="4:5" ht="29.25" customHeight="1">
      <c r="D90" s="130" t="e">
        <f t="shared" si="7"/>
        <v>#DIV/0!</v>
      </c>
      <c r="E90" s="130" t="e">
        <f t="shared" ca="1" si="8"/>
        <v>#DIV/0!</v>
      </c>
    </row>
    <row r="91" spans="4:5" ht="29.25" customHeight="1">
      <c r="D91" s="130" t="e">
        <f t="shared" si="7"/>
        <v>#DIV/0!</v>
      </c>
      <c r="E91" s="130" t="e">
        <f t="shared" ca="1" si="8"/>
        <v>#DIV/0!</v>
      </c>
    </row>
    <row r="92" spans="4:5" ht="29.25" customHeight="1">
      <c r="D92" s="130" t="e">
        <f t="shared" si="7"/>
        <v>#DIV/0!</v>
      </c>
      <c r="E92" s="130" t="e">
        <f t="shared" ca="1" si="8"/>
        <v>#DIV/0!</v>
      </c>
    </row>
    <row r="93" spans="4:5" ht="29.25" customHeight="1">
      <c r="D93" s="130" t="e">
        <f t="shared" si="7"/>
        <v>#DIV/0!</v>
      </c>
      <c r="E93" s="130" t="e">
        <f t="shared" ca="1" si="8"/>
        <v>#DIV/0!</v>
      </c>
    </row>
    <row r="94" spans="4:5" ht="29.25" customHeight="1">
      <c r="D94" s="130" t="e">
        <f t="shared" si="7"/>
        <v>#DIV/0!</v>
      </c>
      <c r="E94" s="130" t="e">
        <f t="shared" ca="1" si="8"/>
        <v>#DIV/0!</v>
      </c>
    </row>
    <row r="95" spans="4:5" ht="29.25" customHeight="1">
      <c r="D95" s="130" t="e">
        <f t="shared" ref="D95:D108" si="9">B95/C95</f>
        <v>#DIV/0!</v>
      </c>
      <c r="E95" s="130" t="e">
        <f t="shared" ref="E95:E108" ca="1" si="10">$D$26/C95</f>
        <v>#DIV/0!</v>
      </c>
    </row>
    <row r="96" spans="4:5" ht="29.25" customHeight="1">
      <c r="D96" s="130" t="e">
        <f t="shared" si="9"/>
        <v>#DIV/0!</v>
      </c>
      <c r="E96" s="130" t="e">
        <f t="shared" ca="1" si="10"/>
        <v>#DIV/0!</v>
      </c>
    </row>
    <row r="97" spans="4:5" ht="29.25" customHeight="1">
      <c r="D97" s="130" t="e">
        <f t="shared" si="9"/>
        <v>#DIV/0!</v>
      </c>
      <c r="E97" s="130" t="e">
        <f t="shared" ca="1" si="10"/>
        <v>#DIV/0!</v>
      </c>
    </row>
    <row r="98" spans="4:5" ht="29.25" customHeight="1">
      <c r="D98" s="130" t="e">
        <f t="shared" si="9"/>
        <v>#DIV/0!</v>
      </c>
      <c r="E98" s="130" t="e">
        <f t="shared" ca="1" si="10"/>
        <v>#DIV/0!</v>
      </c>
    </row>
    <row r="99" spans="4:5" ht="29.25" customHeight="1">
      <c r="D99" s="130" t="e">
        <f t="shared" si="9"/>
        <v>#DIV/0!</v>
      </c>
      <c r="E99" s="130" t="e">
        <f t="shared" ca="1" si="10"/>
        <v>#DIV/0!</v>
      </c>
    </row>
    <row r="100" spans="4:5" ht="29.25" customHeight="1">
      <c r="D100" s="130" t="e">
        <f t="shared" si="9"/>
        <v>#DIV/0!</v>
      </c>
      <c r="E100" s="130" t="e">
        <f t="shared" ca="1" si="10"/>
        <v>#DIV/0!</v>
      </c>
    </row>
    <row r="101" spans="4:5" ht="29.25" customHeight="1">
      <c r="D101" s="130" t="e">
        <f t="shared" si="9"/>
        <v>#DIV/0!</v>
      </c>
      <c r="E101" s="130" t="e">
        <f t="shared" ca="1" si="10"/>
        <v>#DIV/0!</v>
      </c>
    </row>
    <row r="102" spans="4:5" ht="29.25" customHeight="1">
      <c r="D102" s="130" t="e">
        <f t="shared" si="9"/>
        <v>#DIV/0!</v>
      </c>
      <c r="E102" s="130" t="e">
        <f t="shared" ca="1" si="10"/>
        <v>#DIV/0!</v>
      </c>
    </row>
    <row r="103" spans="4:5" ht="29.25" customHeight="1">
      <c r="D103" s="130" t="e">
        <f t="shared" si="9"/>
        <v>#DIV/0!</v>
      </c>
      <c r="E103" s="130" t="e">
        <f t="shared" ca="1" si="10"/>
        <v>#DIV/0!</v>
      </c>
    </row>
    <row r="104" spans="4:5" ht="29.25" customHeight="1">
      <c r="D104" s="130" t="e">
        <f t="shared" si="9"/>
        <v>#DIV/0!</v>
      </c>
      <c r="E104" s="130" t="e">
        <f t="shared" ca="1" si="10"/>
        <v>#DIV/0!</v>
      </c>
    </row>
    <row r="105" spans="4:5" ht="29.25" customHeight="1">
      <c r="D105" s="130" t="e">
        <f t="shared" si="9"/>
        <v>#DIV/0!</v>
      </c>
      <c r="E105" s="130" t="e">
        <f t="shared" ca="1" si="10"/>
        <v>#DIV/0!</v>
      </c>
    </row>
    <row r="106" spans="4:5" ht="29.25" customHeight="1">
      <c r="D106" s="130" t="e">
        <f t="shared" si="9"/>
        <v>#DIV/0!</v>
      </c>
      <c r="E106" s="130" t="e">
        <f t="shared" ca="1" si="10"/>
        <v>#DIV/0!</v>
      </c>
    </row>
    <row r="107" spans="4:5" ht="29.25" customHeight="1">
      <c r="D107" s="130" t="e">
        <f t="shared" si="9"/>
        <v>#DIV/0!</v>
      </c>
      <c r="E107" s="130" t="e">
        <f t="shared" ca="1" si="10"/>
        <v>#DIV/0!</v>
      </c>
    </row>
    <row r="108" spans="4:5" ht="29.25" customHeight="1">
      <c r="D108" s="130" t="e">
        <f t="shared" si="9"/>
        <v>#DIV/0!</v>
      </c>
      <c r="E108" s="130"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6" priority="10" operator="lessThan">
      <formula>$D$2+$D$3</formula>
    </cfRule>
    <cfRule type="cellIs" dxfId="5"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70" zoomScaleNormal="70" workbookViewId="0">
      <pane xSplit="4" ySplit="2" topLeftCell="E453" activePane="bottomRight" state="frozen"/>
      <selection pane="topRight" activeCell="E1" sqref="E1"/>
      <selection pane="bottomLeft" activeCell="A3" sqref="A3"/>
      <selection pane="bottomRight" activeCell="F473" sqref="F473"/>
    </sheetView>
  </sheetViews>
  <sheetFormatPr defaultColWidth="8.88671875" defaultRowHeight="14.4"/>
  <cols>
    <col min="1" max="1" width="10.109375" style="167" bestFit="1" customWidth="1"/>
    <col min="2" max="3" width="12.109375" style="167" customWidth="1"/>
    <col min="4" max="4" width="10.88671875" style="167" customWidth="1"/>
    <col min="5" max="30" width="8.88671875" style="167"/>
    <col min="31" max="31" width="10.88671875" style="167" customWidth="1"/>
    <col min="32" max="16384" width="8.88671875" style="167"/>
  </cols>
  <sheetData>
    <row r="1" spans="1:31">
      <c r="A1" s="167">
        <v>1</v>
      </c>
      <c r="B1" s="167">
        <f>A1+1</f>
        <v>2</v>
      </c>
      <c r="C1" s="167">
        <f t="shared" ref="C1:AE1" si="0">B1+1</f>
        <v>3</v>
      </c>
      <c r="D1" s="167">
        <f t="shared" si="0"/>
        <v>4</v>
      </c>
      <c r="E1" s="167">
        <f t="shared" si="0"/>
        <v>5</v>
      </c>
      <c r="F1" s="167">
        <f t="shared" si="0"/>
        <v>6</v>
      </c>
      <c r="G1" s="167">
        <f t="shared" si="0"/>
        <v>7</v>
      </c>
      <c r="H1" s="167">
        <f t="shared" si="0"/>
        <v>8</v>
      </c>
      <c r="I1" s="167">
        <f t="shared" si="0"/>
        <v>9</v>
      </c>
      <c r="J1" s="167">
        <f t="shared" si="0"/>
        <v>10</v>
      </c>
      <c r="K1" s="167">
        <f t="shared" si="0"/>
        <v>11</v>
      </c>
      <c r="L1" s="167">
        <f t="shared" si="0"/>
        <v>12</v>
      </c>
      <c r="M1" s="167">
        <f t="shared" si="0"/>
        <v>13</v>
      </c>
      <c r="N1" s="167">
        <f t="shared" si="0"/>
        <v>14</v>
      </c>
      <c r="O1" s="167">
        <f t="shared" si="0"/>
        <v>15</v>
      </c>
      <c r="P1" s="167">
        <f t="shared" si="0"/>
        <v>16</v>
      </c>
      <c r="Q1" s="167">
        <f t="shared" si="0"/>
        <v>17</v>
      </c>
      <c r="R1" s="167">
        <f t="shared" si="0"/>
        <v>18</v>
      </c>
      <c r="S1" s="167">
        <f t="shared" si="0"/>
        <v>19</v>
      </c>
      <c r="T1" s="167">
        <f t="shared" si="0"/>
        <v>20</v>
      </c>
      <c r="U1" s="167">
        <f t="shared" si="0"/>
        <v>21</v>
      </c>
      <c r="V1" s="167">
        <f t="shared" si="0"/>
        <v>22</v>
      </c>
      <c r="W1" s="167">
        <f t="shared" si="0"/>
        <v>23</v>
      </c>
      <c r="X1" s="167">
        <f t="shared" si="0"/>
        <v>24</v>
      </c>
      <c r="Y1" s="167">
        <f t="shared" si="0"/>
        <v>25</v>
      </c>
      <c r="Z1" s="167">
        <f t="shared" si="0"/>
        <v>26</v>
      </c>
      <c r="AA1" s="167">
        <f t="shared" si="0"/>
        <v>27</v>
      </c>
      <c r="AB1" s="167">
        <f t="shared" si="0"/>
        <v>28</v>
      </c>
      <c r="AC1" s="167">
        <f t="shared" si="0"/>
        <v>29</v>
      </c>
      <c r="AD1" s="167">
        <f t="shared" si="0"/>
        <v>30</v>
      </c>
      <c r="AE1" s="167">
        <f t="shared" si="0"/>
        <v>31</v>
      </c>
    </row>
    <row r="2" spans="1:31" ht="36.9" customHeight="1">
      <c r="A2" s="194" t="s">
        <v>128</v>
      </c>
      <c r="B2" s="195" t="s">
        <v>3</v>
      </c>
      <c r="C2" s="195" t="s">
        <v>129</v>
      </c>
      <c r="D2" s="195" t="s">
        <v>130</v>
      </c>
      <c r="E2" s="9" t="s">
        <v>416</v>
      </c>
      <c r="F2" s="9" t="s">
        <v>417</v>
      </c>
      <c r="G2" s="9" t="s">
        <v>418</v>
      </c>
      <c r="H2" s="9" t="s">
        <v>419</v>
      </c>
      <c r="I2" s="9" t="s">
        <v>420</v>
      </c>
      <c r="J2" s="9" t="s">
        <v>421</v>
      </c>
      <c r="K2" s="9" t="s">
        <v>422</v>
      </c>
      <c r="L2" s="97" t="s">
        <v>423</v>
      </c>
      <c r="M2" s="97" t="s">
        <v>424</v>
      </c>
      <c r="N2" s="97" t="s">
        <v>425</v>
      </c>
      <c r="O2" s="97" t="s">
        <v>426</v>
      </c>
      <c r="P2" s="97" t="s">
        <v>427</v>
      </c>
      <c r="Q2" s="97" t="s">
        <v>428</v>
      </c>
      <c r="R2" s="97" t="s">
        <v>429</v>
      </c>
      <c r="S2" s="97" t="s">
        <v>430</v>
      </c>
      <c r="T2" s="9" t="s">
        <v>431</v>
      </c>
      <c r="U2" s="9" t="s">
        <v>432</v>
      </c>
      <c r="V2" s="9" t="s">
        <v>433</v>
      </c>
      <c r="W2" s="9" t="s">
        <v>434</v>
      </c>
      <c r="X2" s="9" t="s">
        <v>435</v>
      </c>
      <c r="Y2" s="9" t="s">
        <v>436</v>
      </c>
      <c r="Z2" s="9" t="s">
        <v>437</v>
      </c>
      <c r="AA2" s="9" t="s">
        <v>438</v>
      </c>
      <c r="AB2" s="9" t="s">
        <v>439</v>
      </c>
      <c r="AC2" s="9" t="s">
        <v>440</v>
      </c>
      <c r="AD2" s="9" t="s">
        <v>441</v>
      </c>
      <c r="AE2" s="195" t="s">
        <v>442</v>
      </c>
    </row>
    <row r="3" spans="1:31">
      <c r="A3" s="196">
        <v>45383</v>
      </c>
      <c r="B3" s="167">
        <f>YEAR(Table7[[#This Row],[Date]])+IF(MONTH(Table7[[#This Row],[Date]])&gt;=4,1,0)</f>
        <v>2025</v>
      </c>
      <c r="C3" s="167">
        <f>YEAR(Table7[[#This Row],[Date]])</f>
        <v>2024</v>
      </c>
      <c r="D3" s="168">
        <f t="shared" ref="D3:D66" si="1">A3-DAY(A3)+1</f>
        <v>45383</v>
      </c>
      <c r="AE3" s="167">
        <f t="shared" ref="AE3:AE66" si="2">SUM(E3:AD3)</f>
        <v>0</v>
      </c>
    </row>
    <row r="4" spans="1:31">
      <c r="A4" s="197">
        <f>A3+1</f>
        <v>45384</v>
      </c>
      <c r="B4" s="167">
        <f>YEAR(Table7[[#This Row],[Date]])+IF(MONTH(Table7[[#This Row],[Date]])&gt;=4,1,0)</f>
        <v>2025</v>
      </c>
      <c r="C4" s="167">
        <f>YEAR(Table7[[#This Row],[Date]])</f>
        <v>2024</v>
      </c>
      <c r="D4" s="168">
        <f t="shared" si="1"/>
        <v>45383</v>
      </c>
      <c r="AE4" s="167">
        <f t="shared" si="2"/>
        <v>0</v>
      </c>
    </row>
    <row r="5" spans="1:31">
      <c r="A5" s="197">
        <f t="shared" ref="A5:A68" si="3">A4+1</f>
        <v>45385</v>
      </c>
      <c r="B5" s="167">
        <f>YEAR(Table7[[#This Row],[Date]])+IF(MONTH(Table7[[#This Row],[Date]])&gt;=4,1,0)</f>
        <v>2025</v>
      </c>
      <c r="C5" s="167">
        <f>YEAR(Table7[[#This Row],[Date]])</f>
        <v>2024</v>
      </c>
      <c r="D5" s="168">
        <f t="shared" si="1"/>
        <v>45383</v>
      </c>
      <c r="AE5" s="167">
        <f t="shared" si="2"/>
        <v>0</v>
      </c>
    </row>
    <row r="6" spans="1:31">
      <c r="A6" s="197">
        <f t="shared" si="3"/>
        <v>45386</v>
      </c>
      <c r="B6" s="167">
        <f>YEAR(Table7[[#This Row],[Date]])+IF(MONTH(Table7[[#This Row],[Date]])&gt;=4,1,0)</f>
        <v>2025</v>
      </c>
      <c r="C6" s="167">
        <f>YEAR(Table7[[#This Row],[Date]])</f>
        <v>2024</v>
      </c>
      <c r="D6" s="168">
        <f t="shared" si="1"/>
        <v>45383</v>
      </c>
      <c r="AE6" s="167">
        <f t="shared" si="2"/>
        <v>0</v>
      </c>
    </row>
    <row r="7" spans="1:31">
      <c r="A7" s="197">
        <f t="shared" si="3"/>
        <v>45387</v>
      </c>
      <c r="B7" s="167">
        <f>YEAR(Table7[[#This Row],[Date]])+IF(MONTH(Table7[[#This Row],[Date]])&gt;=4,1,0)</f>
        <v>2025</v>
      </c>
      <c r="C7" s="167">
        <f>YEAR(Table7[[#This Row],[Date]])</f>
        <v>2024</v>
      </c>
      <c r="D7" s="168">
        <f t="shared" si="1"/>
        <v>45383</v>
      </c>
      <c r="AE7" s="167">
        <f t="shared" si="2"/>
        <v>0</v>
      </c>
    </row>
    <row r="8" spans="1:31">
      <c r="A8" s="197">
        <f t="shared" si="3"/>
        <v>45388</v>
      </c>
      <c r="B8" s="167">
        <f>YEAR(Table7[[#This Row],[Date]])+IF(MONTH(Table7[[#This Row],[Date]])&gt;=4,1,0)</f>
        <v>2025</v>
      </c>
      <c r="C8" s="167">
        <f>YEAR(Table7[[#This Row],[Date]])</f>
        <v>2024</v>
      </c>
      <c r="D8" s="168">
        <f t="shared" si="1"/>
        <v>45383</v>
      </c>
      <c r="AE8" s="167">
        <f t="shared" si="2"/>
        <v>0</v>
      </c>
    </row>
    <row r="9" spans="1:31">
      <c r="A9" s="197">
        <f t="shared" si="3"/>
        <v>45389</v>
      </c>
      <c r="B9" s="167">
        <f>YEAR(Table7[[#This Row],[Date]])+IF(MONTH(Table7[[#This Row],[Date]])&gt;=4,1,0)</f>
        <v>2025</v>
      </c>
      <c r="C9" s="167">
        <f>YEAR(Table7[[#This Row],[Date]])</f>
        <v>2024</v>
      </c>
      <c r="D9" s="168">
        <f t="shared" si="1"/>
        <v>45383</v>
      </c>
      <c r="AE9" s="167">
        <f t="shared" si="2"/>
        <v>0</v>
      </c>
    </row>
    <row r="10" spans="1:31">
      <c r="A10" s="197">
        <f t="shared" si="3"/>
        <v>45390</v>
      </c>
      <c r="B10" s="167">
        <f>YEAR(Table7[[#This Row],[Date]])+IF(MONTH(Table7[[#This Row],[Date]])&gt;=4,1,0)</f>
        <v>2025</v>
      </c>
      <c r="C10" s="167">
        <f>YEAR(Table7[[#This Row],[Date]])</f>
        <v>2024</v>
      </c>
      <c r="D10" s="168">
        <f t="shared" si="1"/>
        <v>45383</v>
      </c>
      <c r="AE10" s="167">
        <f t="shared" si="2"/>
        <v>0</v>
      </c>
    </row>
    <row r="11" spans="1:31">
      <c r="A11" s="197">
        <f t="shared" si="3"/>
        <v>45391</v>
      </c>
      <c r="B11" s="167">
        <f>YEAR(Table7[[#This Row],[Date]])+IF(MONTH(Table7[[#This Row],[Date]])&gt;=4,1,0)</f>
        <v>2025</v>
      </c>
      <c r="C11" s="167">
        <f>YEAR(Table7[[#This Row],[Date]])</f>
        <v>2024</v>
      </c>
      <c r="D11" s="168">
        <f t="shared" si="1"/>
        <v>45383</v>
      </c>
      <c r="AE11" s="167">
        <f t="shared" si="2"/>
        <v>0</v>
      </c>
    </row>
    <row r="12" spans="1:31">
      <c r="A12" s="197">
        <f t="shared" si="3"/>
        <v>45392</v>
      </c>
      <c r="B12" s="167">
        <f>YEAR(Table7[[#This Row],[Date]])+IF(MONTH(Table7[[#This Row],[Date]])&gt;=4,1,0)</f>
        <v>2025</v>
      </c>
      <c r="C12" s="167">
        <f>YEAR(Table7[[#This Row],[Date]])</f>
        <v>2024</v>
      </c>
      <c r="D12" s="168">
        <f t="shared" si="1"/>
        <v>45383</v>
      </c>
      <c r="AE12" s="167">
        <f t="shared" si="2"/>
        <v>0</v>
      </c>
    </row>
    <row r="13" spans="1:31">
      <c r="A13" s="197">
        <f t="shared" si="3"/>
        <v>45393</v>
      </c>
      <c r="B13" s="167">
        <f>YEAR(Table7[[#This Row],[Date]])+IF(MONTH(Table7[[#This Row],[Date]])&gt;=4,1,0)</f>
        <v>2025</v>
      </c>
      <c r="C13" s="167">
        <f>YEAR(Table7[[#This Row],[Date]])</f>
        <v>2024</v>
      </c>
      <c r="D13" s="168">
        <f t="shared" si="1"/>
        <v>45383</v>
      </c>
      <c r="AE13" s="167">
        <f t="shared" si="2"/>
        <v>0</v>
      </c>
    </row>
    <row r="14" spans="1:31">
      <c r="A14" s="197">
        <f t="shared" si="3"/>
        <v>45394</v>
      </c>
      <c r="B14" s="167">
        <f>YEAR(Table7[[#This Row],[Date]])+IF(MONTH(Table7[[#This Row],[Date]])&gt;=4,1,0)</f>
        <v>2025</v>
      </c>
      <c r="C14" s="167">
        <f>YEAR(Table7[[#This Row],[Date]])</f>
        <v>2024</v>
      </c>
      <c r="D14" s="168">
        <f t="shared" si="1"/>
        <v>45383</v>
      </c>
      <c r="AE14" s="167">
        <f t="shared" si="2"/>
        <v>0</v>
      </c>
    </row>
    <row r="15" spans="1:31">
      <c r="A15" s="197">
        <f t="shared" si="3"/>
        <v>45395</v>
      </c>
      <c r="B15" s="167">
        <f>YEAR(Table7[[#This Row],[Date]])+IF(MONTH(Table7[[#This Row],[Date]])&gt;=4,1,0)</f>
        <v>2025</v>
      </c>
      <c r="C15" s="167">
        <f>YEAR(Table7[[#This Row],[Date]])</f>
        <v>2024</v>
      </c>
      <c r="D15" s="168">
        <f t="shared" si="1"/>
        <v>45383</v>
      </c>
      <c r="AE15" s="167">
        <f t="shared" si="2"/>
        <v>0</v>
      </c>
    </row>
    <row r="16" spans="1:31">
      <c r="A16" s="197">
        <f t="shared" si="3"/>
        <v>45396</v>
      </c>
      <c r="B16" s="167">
        <f>YEAR(Table7[[#This Row],[Date]])+IF(MONTH(Table7[[#This Row],[Date]])&gt;=4,1,0)</f>
        <v>2025</v>
      </c>
      <c r="C16" s="167">
        <f>YEAR(Table7[[#This Row],[Date]])</f>
        <v>2024</v>
      </c>
      <c r="D16" s="168">
        <f t="shared" si="1"/>
        <v>45383</v>
      </c>
      <c r="AE16" s="167">
        <f t="shared" si="2"/>
        <v>0</v>
      </c>
    </row>
    <row r="17" spans="1:31">
      <c r="A17" s="197">
        <f t="shared" si="3"/>
        <v>45397</v>
      </c>
      <c r="B17" s="167">
        <f>YEAR(Table7[[#This Row],[Date]])+IF(MONTH(Table7[[#This Row],[Date]])&gt;=4,1,0)</f>
        <v>2025</v>
      </c>
      <c r="C17" s="167">
        <f>YEAR(Table7[[#This Row],[Date]])</f>
        <v>2024</v>
      </c>
      <c r="D17" s="168">
        <f t="shared" si="1"/>
        <v>45383</v>
      </c>
      <c r="AE17" s="167">
        <f t="shared" si="2"/>
        <v>0</v>
      </c>
    </row>
    <row r="18" spans="1:31">
      <c r="A18" s="197">
        <f t="shared" si="3"/>
        <v>45398</v>
      </c>
      <c r="B18" s="167">
        <f>YEAR(Table7[[#This Row],[Date]])+IF(MONTH(Table7[[#This Row],[Date]])&gt;=4,1,0)</f>
        <v>2025</v>
      </c>
      <c r="C18" s="167">
        <f>YEAR(Table7[[#This Row],[Date]])</f>
        <v>2024</v>
      </c>
      <c r="D18" s="168">
        <f t="shared" si="1"/>
        <v>45383</v>
      </c>
      <c r="AE18" s="167">
        <f t="shared" si="2"/>
        <v>0</v>
      </c>
    </row>
    <row r="19" spans="1:31">
      <c r="A19" s="197">
        <f t="shared" si="3"/>
        <v>45399</v>
      </c>
      <c r="B19" s="167">
        <f>YEAR(Table7[[#This Row],[Date]])+IF(MONTH(Table7[[#This Row],[Date]])&gt;=4,1,0)</f>
        <v>2025</v>
      </c>
      <c r="C19" s="167">
        <f>YEAR(Table7[[#This Row],[Date]])</f>
        <v>2024</v>
      </c>
      <c r="D19" s="168">
        <f t="shared" si="1"/>
        <v>45383</v>
      </c>
      <c r="AE19" s="167">
        <f t="shared" si="2"/>
        <v>0</v>
      </c>
    </row>
    <row r="20" spans="1:31">
      <c r="A20" s="197">
        <f t="shared" si="3"/>
        <v>45400</v>
      </c>
      <c r="B20" s="167">
        <f>YEAR(Table7[[#This Row],[Date]])+IF(MONTH(Table7[[#This Row],[Date]])&gt;=4,1,0)</f>
        <v>2025</v>
      </c>
      <c r="C20" s="167">
        <f>YEAR(Table7[[#This Row],[Date]])</f>
        <v>2024</v>
      </c>
      <c r="D20" s="168">
        <f t="shared" si="1"/>
        <v>45383</v>
      </c>
      <c r="AE20" s="167">
        <f t="shared" si="2"/>
        <v>0</v>
      </c>
    </row>
    <row r="21" spans="1:31">
      <c r="A21" s="197">
        <f t="shared" si="3"/>
        <v>45401</v>
      </c>
      <c r="B21" s="167">
        <f>YEAR(Table7[[#This Row],[Date]])+IF(MONTH(Table7[[#This Row],[Date]])&gt;=4,1,0)</f>
        <v>2025</v>
      </c>
      <c r="C21" s="167">
        <f>YEAR(Table7[[#This Row],[Date]])</f>
        <v>2024</v>
      </c>
      <c r="D21" s="168">
        <f t="shared" si="1"/>
        <v>45383</v>
      </c>
      <c r="AE21" s="167">
        <f t="shared" si="2"/>
        <v>0</v>
      </c>
    </row>
    <row r="22" spans="1:31">
      <c r="A22" s="197">
        <f t="shared" si="3"/>
        <v>45402</v>
      </c>
      <c r="B22" s="167">
        <f>YEAR(Table7[[#This Row],[Date]])+IF(MONTH(Table7[[#This Row],[Date]])&gt;=4,1,0)</f>
        <v>2025</v>
      </c>
      <c r="C22" s="167">
        <f>YEAR(Table7[[#This Row],[Date]])</f>
        <v>2024</v>
      </c>
      <c r="D22" s="168">
        <f t="shared" si="1"/>
        <v>45383</v>
      </c>
      <c r="AE22" s="167">
        <f t="shared" si="2"/>
        <v>0</v>
      </c>
    </row>
    <row r="23" spans="1:31">
      <c r="A23" s="197">
        <f t="shared" si="3"/>
        <v>45403</v>
      </c>
      <c r="B23" s="167">
        <f>YEAR(Table7[[#This Row],[Date]])+IF(MONTH(Table7[[#This Row],[Date]])&gt;=4,1,0)</f>
        <v>2025</v>
      </c>
      <c r="C23" s="167">
        <f>YEAR(Table7[[#This Row],[Date]])</f>
        <v>2024</v>
      </c>
      <c r="D23" s="168">
        <f t="shared" si="1"/>
        <v>45383</v>
      </c>
      <c r="AE23" s="167">
        <f t="shared" si="2"/>
        <v>0</v>
      </c>
    </row>
    <row r="24" spans="1:31">
      <c r="A24" s="197">
        <f t="shared" si="3"/>
        <v>45404</v>
      </c>
      <c r="B24" s="167">
        <f>YEAR(Table7[[#This Row],[Date]])+IF(MONTH(Table7[[#This Row],[Date]])&gt;=4,1,0)</f>
        <v>2025</v>
      </c>
      <c r="C24" s="167">
        <f>YEAR(Table7[[#This Row],[Date]])</f>
        <v>2024</v>
      </c>
      <c r="D24" s="168">
        <f t="shared" si="1"/>
        <v>45383</v>
      </c>
      <c r="AE24" s="167">
        <f t="shared" si="2"/>
        <v>0</v>
      </c>
    </row>
    <row r="25" spans="1:31">
      <c r="A25" s="197">
        <f t="shared" si="3"/>
        <v>45405</v>
      </c>
      <c r="B25" s="167">
        <f>YEAR(Table7[[#This Row],[Date]])+IF(MONTH(Table7[[#This Row],[Date]])&gt;=4,1,0)</f>
        <v>2025</v>
      </c>
      <c r="C25" s="167">
        <f>YEAR(Table7[[#This Row],[Date]])</f>
        <v>2024</v>
      </c>
      <c r="D25" s="168">
        <f t="shared" si="1"/>
        <v>45383</v>
      </c>
      <c r="AE25" s="167">
        <f t="shared" si="2"/>
        <v>0</v>
      </c>
    </row>
    <row r="26" spans="1:31">
      <c r="A26" s="197">
        <f t="shared" si="3"/>
        <v>45406</v>
      </c>
      <c r="B26" s="167">
        <f>YEAR(Table7[[#This Row],[Date]])+IF(MONTH(Table7[[#This Row],[Date]])&gt;=4,1,0)</f>
        <v>2025</v>
      </c>
      <c r="C26" s="167">
        <f>YEAR(Table7[[#This Row],[Date]])</f>
        <v>2024</v>
      </c>
      <c r="D26" s="168">
        <f t="shared" si="1"/>
        <v>45383</v>
      </c>
      <c r="AE26" s="167">
        <f t="shared" si="2"/>
        <v>0</v>
      </c>
    </row>
    <row r="27" spans="1:31">
      <c r="A27" s="197">
        <f t="shared" si="3"/>
        <v>45407</v>
      </c>
      <c r="B27" s="167">
        <f>YEAR(Table7[[#This Row],[Date]])+IF(MONTH(Table7[[#This Row],[Date]])&gt;=4,1,0)</f>
        <v>2025</v>
      </c>
      <c r="C27" s="167">
        <f>YEAR(Table7[[#This Row],[Date]])</f>
        <v>2024</v>
      </c>
      <c r="D27" s="168">
        <f t="shared" si="1"/>
        <v>45383</v>
      </c>
      <c r="AE27" s="167">
        <f t="shared" si="2"/>
        <v>0</v>
      </c>
    </row>
    <row r="28" spans="1:31">
      <c r="A28" s="197">
        <f t="shared" si="3"/>
        <v>45408</v>
      </c>
      <c r="B28" s="167">
        <f>YEAR(Table7[[#This Row],[Date]])+IF(MONTH(Table7[[#This Row],[Date]])&gt;=4,1,0)</f>
        <v>2025</v>
      </c>
      <c r="C28" s="167">
        <f>YEAR(Table7[[#This Row],[Date]])</f>
        <v>2024</v>
      </c>
      <c r="D28" s="168">
        <f t="shared" si="1"/>
        <v>45383</v>
      </c>
      <c r="AE28" s="167">
        <f t="shared" si="2"/>
        <v>0</v>
      </c>
    </row>
    <row r="29" spans="1:31">
      <c r="A29" s="197">
        <f t="shared" si="3"/>
        <v>45409</v>
      </c>
      <c r="B29" s="167">
        <f>YEAR(Table7[[#This Row],[Date]])+IF(MONTH(Table7[[#This Row],[Date]])&gt;=4,1,0)</f>
        <v>2025</v>
      </c>
      <c r="C29" s="167">
        <f>YEAR(Table7[[#This Row],[Date]])</f>
        <v>2024</v>
      </c>
      <c r="D29" s="168">
        <f t="shared" si="1"/>
        <v>45383</v>
      </c>
      <c r="AE29" s="167">
        <f t="shared" si="2"/>
        <v>0</v>
      </c>
    </row>
    <row r="30" spans="1:31">
      <c r="A30" s="197">
        <f t="shared" si="3"/>
        <v>45410</v>
      </c>
      <c r="B30" s="167">
        <f>YEAR(Table7[[#This Row],[Date]])+IF(MONTH(Table7[[#This Row],[Date]])&gt;=4,1,0)</f>
        <v>2025</v>
      </c>
      <c r="C30" s="167">
        <f>YEAR(Table7[[#This Row],[Date]])</f>
        <v>2024</v>
      </c>
      <c r="D30" s="168">
        <f t="shared" si="1"/>
        <v>45383</v>
      </c>
      <c r="AE30" s="167">
        <f t="shared" si="2"/>
        <v>0</v>
      </c>
    </row>
    <row r="31" spans="1:31">
      <c r="A31" s="197">
        <f t="shared" si="3"/>
        <v>45411</v>
      </c>
      <c r="B31" s="167">
        <f>YEAR(Table7[[#This Row],[Date]])+IF(MONTH(Table7[[#This Row],[Date]])&gt;=4,1,0)</f>
        <v>2025</v>
      </c>
      <c r="C31" s="167">
        <f>YEAR(Table7[[#This Row],[Date]])</f>
        <v>2024</v>
      </c>
      <c r="D31" s="168">
        <f t="shared" si="1"/>
        <v>45383</v>
      </c>
      <c r="AE31" s="167">
        <f t="shared" si="2"/>
        <v>0</v>
      </c>
    </row>
    <row r="32" spans="1:31">
      <c r="A32" s="197">
        <f t="shared" si="3"/>
        <v>45412</v>
      </c>
      <c r="B32" s="167">
        <f>YEAR(Table7[[#This Row],[Date]])+IF(MONTH(Table7[[#This Row],[Date]])&gt;=4,1,0)</f>
        <v>2025</v>
      </c>
      <c r="C32" s="167">
        <f>YEAR(Table7[[#This Row],[Date]])</f>
        <v>2024</v>
      </c>
      <c r="D32" s="168">
        <f t="shared" si="1"/>
        <v>45383</v>
      </c>
      <c r="AE32" s="167">
        <f t="shared" si="2"/>
        <v>0</v>
      </c>
    </row>
    <row r="33" spans="1:31">
      <c r="A33" s="197">
        <f t="shared" si="3"/>
        <v>45413</v>
      </c>
      <c r="B33" s="167">
        <f>YEAR(Table7[[#This Row],[Date]])+IF(MONTH(Table7[[#This Row],[Date]])&gt;=4,1,0)</f>
        <v>2025</v>
      </c>
      <c r="C33" s="167">
        <f>YEAR(Table7[[#This Row],[Date]])</f>
        <v>2024</v>
      </c>
      <c r="D33" s="168">
        <f t="shared" si="1"/>
        <v>45413</v>
      </c>
      <c r="AE33" s="167">
        <f t="shared" si="2"/>
        <v>0</v>
      </c>
    </row>
    <row r="34" spans="1:31">
      <c r="A34" s="197">
        <f t="shared" si="3"/>
        <v>45414</v>
      </c>
      <c r="B34" s="167">
        <f>YEAR(Table7[[#This Row],[Date]])+IF(MONTH(Table7[[#This Row],[Date]])&gt;=4,1,0)</f>
        <v>2025</v>
      </c>
      <c r="C34" s="167">
        <f>YEAR(Table7[[#This Row],[Date]])</f>
        <v>2024</v>
      </c>
      <c r="D34" s="168">
        <f t="shared" si="1"/>
        <v>45413</v>
      </c>
      <c r="AE34" s="167">
        <f t="shared" si="2"/>
        <v>0</v>
      </c>
    </row>
    <row r="35" spans="1:31">
      <c r="A35" s="197">
        <f t="shared" si="3"/>
        <v>45415</v>
      </c>
      <c r="B35" s="167">
        <f>YEAR(Table7[[#This Row],[Date]])+IF(MONTH(Table7[[#This Row],[Date]])&gt;=4,1,0)</f>
        <v>2025</v>
      </c>
      <c r="C35" s="167">
        <f>YEAR(Table7[[#This Row],[Date]])</f>
        <v>2024</v>
      </c>
      <c r="D35" s="168">
        <f t="shared" si="1"/>
        <v>45413</v>
      </c>
      <c r="AE35" s="167">
        <f t="shared" si="2"/>
        <v>0</v>
      </c>
    </row>
    <row r="36" spans="1:31">
      <c r="A36" s="197">
        <f t="shared" si="3"/>
        <v>45416</v>
      </c>
      <c r="B36" s="167">
        <f>YEAR(Table7[[#This Row],[Date]])+IF(MONTH(Table7[[#This Row],[Date]])&gt;=4,1,0)</f>
        <v>2025</v>
      </c>
      <c r="C36" s="167">
        <f>YEAR(Table7[[#This Row],[Date]])</f>
        <v>2024</v>
      </c>
      <c r="D36" s="168">
        <f t="shared" si="1"/>
        <v>45413</v>
      </c>
      <c r="AE36" s="167">
        <f t="shared" si="2"/>
        <v>0</v>
      </c>
    </row>
    <row r="37" spans="1:31">
      <c r="A37" s="197">
        <f t="shared" si="3"/>
        <v>45417</v>
      </c>
      <c r="B37" s="167">
        <f>YEAR(Table7[[#This Row],[Date]])+IF(MONTH(Table7[[#This Row],[Date]])&gt;=4,1,0)</f>
        <v>2025</v>
      </c>
      <c r="C37" s="167">
        <f>YEAR(Table7[[#This Row],[Date]])</f>
        <v>2024</v>
      </c>
      <c r="D37" s="168">
        <f t="shared" si="1"/>
        <v>45413</v>
      </c>
      <c r="AE37" s="167">
        <f t="shared" si="2"/>
        <v>0</v>
      </c>
    </row>
    <row r="38" spans="1:31">
      <c r="A38" s="197">
        <f t="shared" si="3"/>
        <v>45418</v>
      </c>
      <c r="B38" s="167">
        <f>YEAR(Table7[[#This Row],[Date]])+IF(MONTH(Table7[[#This Row],[Date]])&gt;=4,1,0)</f>
        <v>2025</v>
      </c>
      <c r="C38" s="167">
        <f>YEAR(Table7[[#This Row],[Date]])</f>
        <v>2024</v>
      </c>
      <c r="D38" s="168">
        <f t="shared" si="1"/>
        <v>45413</v>
      </c>
      <c r="AE38" s="167">
        <f t="shared" si="2"/>
        <v>0</v>
      </c>
    </row>
    <row r="39" spans="1:31">
      <c r="A39" s="197">
        <f t="shared" si="3"/>
        <v>45419</v>
      </c>
      <c r="B39" s="167">
        <f>YEAR(Table7[[#This Row],[Date]])+IF(MONTH(Table7[[#This Row],[Date]])&gt;=4,1,0)</f>
        <v>2025</v>
      </c>
      <c r="C39" s="167">
        <f>YEAR(Table7[[#This Row],[Date]])</f>
        <v>2024</v>
      </c>
      <c r="D39" s="168">
        <f t="shared" si="1"/>
        <v>45413</v>
      </c>
      <c r="AE39" s="167">
        <f t="shared" si="2"/>
        <v>0</v>
      </c>
    </row>
    <row r="40" spans="1:31">
      <c r="A40" s="197">
        <f t="shared" si="3"/>
        <v>45420</v>
      </c>
      <c r="B40" s="167">
        <f>YEAR(Table7[[#This Row],[Date]])+IF(MONTH(Table7[[#This Row],[Date]])&gt;=4,1,0)</f>
        <v>2025</v>
      </c>
      <c r="C40" s="167">
        <f>YEAR(Table7[[#This Row],[Date]])</f>
        <v>2024</v>
      </c>
      <c r="D40" s="168">
        <f t="shared" si="1"/>
        <v>45413</v>
      </c>
      <c r="AE40" s="167">
        <f t="shared" si="2"/>
        <v>0</v>
      </c>
    </row>
    <row r="41" spans="1:31">
      <c r="A41" s="197">
        <f t="shared" si="3"/>
        <v>45421</v>
      </c>
      <c r="B41" s="167">
        <f>YEAR(Table7[[#This Row],[Date]])+IF(MONTH(Table7[[#This Row],[Date]])&gt;=4,1,0)</f>
        <v>2025</v>
      </c>
      <c r="C41" s="167">
        <f>YEAR(Table7[[#This Row],[Date]])</f>
        <v>2024</v>
      </c>
      <c r="D41" s="168">
        <f t="shared" si="1"/>
        <v>45413</v>
      </c>
      <c r="AE41" s="167">
        <f t="shared" si="2"/>
        <v>0</v>
      </c>
    </row>
    <row r="42" spans="1:31">
      <c r="A42" s="197">
        <f t="shared" si="3"/>
        <v>45422</v>
      </c>
      <c r="B42" s="167">
        <f>YEAR(Table7[[#This Row],[Date]])+IF(MONTH(Table7[[#This Row],[Date]])&gt;=4,1,0)</f>
        <v>2025</v>
      </c>
      <c r="C42" s="167">
        <f>YEAR(Table7[[#This Row],[Date]])</f>
        <v>2024</v>
      </c>
      <c r="D42" s="168">
        <f t="shared" si="1"/>
        <v>45413</v>
      </c>
      <c r="AE42" s="167">
        <f t="shared" si="2"/>
        <v>0</v>
      </c>
    </row>
    <row r="43" spans="1:31">
      <c r="A43" s="197">
        <f t="shared" si="3"/>
        <v>45423</v>
      </c>
      <c r="B43" s="167">
        <f>YEAR(Table7[[#This Row],[Date]])+IF(MONTH(Table7[[#This Row],[Date]])&gt;=4,1,0)</f>
        <v>2025</v>
      </c>
      <c r="C43" s="167">
        <f>YEAR(Table7[[#This Row],[Date]])</f>
        <v>2024</v>
      </c>
      <c r="D43" s="168">
        <f t="shared" si="1"/>
        <v>45413</v>
      </c>
      <c r="AE43" s="167">
        <f t="shared" si="2"/>
        <v>0</v>
      </c>
    </row>
    <row r="44" spans="1:31">
      <c r="A44" s="197">
        <f t="shared" si="3"/>
        <v>45424</v>
      </c>
      <c r="B44" s="167">
        <f>YEAR(Table7[[#This Row],[Date]])+IF(MONTH(Table7[[#This Row],[Date]])&gt;=4,1,0)</f>
        <v>2025</v>
      </c>
      <c r="C44" s="167">
        <f>YEAR(Table7[[#This Row],[Date]])</f>
        <v>2024</v>
      </c>
      <c r="D44" s="168">
        <f t="shared" si="1"/>
        <v>45413</v>
      </c>
      <c r="AE44" s="167">
        <f t="shared" si="2"/>
        <v>0</v>
      </c>
    </row>
    <row r="45" spans="1:31">
      <c r="A45" s="197">
        <f t="shared" si="3"/>
        <v>45425</v>
      </c>
      <c r="B45" s="167">
        <f>YEAR(Table7[[#This Row],[Date]])+IF(MONTH(Table7[[#This Row],[Date]])&gt;=4,1,0)</f>
        <v>2025</v>
      </c>
      <c r="C45" s="167">
        <f>YEAR(Table7[[#This Row],[Date]])</f>
        <v>2024</v>
      </c>
      <c r="D45" s="168">
        <f t="shared" si="1"/>
        <v>45413</v>
      </c>
      <c r="AE45" s="167">
        <f t="shared" si="2"/>
        <v>0</v>
      </c>
    </row>
    <row r="46" spans="1:31">
      <c r="A46" s="197">
        <f t="shared" si="3"/>
        <v>45426</v>
      </c>
      <c r="B46" s="167">
        <f>YEAR(Table7[[#This Row],[Date]])+IF(MONTH(Table7[[#This Row],[Date]])&gt;=4,1,0)</f>
        <v>2025</v>
      </c>
      <c r="C46" s="167">
        <f>YEAR(Table7[[#This Row],[Date]])</f>
        <v>2024</v>
      </c>
      <c r="D46" s="168">
        <f t="shared" si="1"/>
        <v>45413</v>
      </c>
      <c r="AE46" s="167">
        <f t="shared" si="2"/>
        <v>0</v>
      </c>
    </row>
    <row r="47" spans="1:31">
      <c r="A47" s="197">
        <f t="shared" si="3"/>
        <v>45427</v>
      </c>
      <c r="B47" s="167">
        <f>YEAR(Table7[[#This Row],[Date]])+IF(MONTH(Table7[[#This Row],[Date]])&gt;=4,1,0)</f>
        <v>2025</v>
      </c>
      <c r="C47" s="167">
        <f>YEAR(Table7[[#This Row],[Date]])</f>
        <v>2024</v>
      </c>
      <c r="D47" s="168">
        <f t="shared" si="1"/>
        <v>45413</v>
      </c>
      <c r="AE47" s="167">
        <f t="shared" si="2"/>
        <v>0</v>
      </c>
    </row>
    <row r="48" spans="1:31">
      <c r="A48" s="197">
        <f t="shared" si="3"/>
        <v>45428</v>
      </c>
      <c r="B48" s="167">
        <f>YEAR(Table7[[#This Row],[Date]])+IF(MONTH(Table7[[#This Row],[Date]])&gt;=4,1,0)</f>
        <v>2025</v>
      </c>
      <c r="C48" s="167">
        <f>YEAR(Table7[[#This Row],[Date]])</f>
        <v>2024</v>
      </c>
      <c r="D48" s="168">
        <f t="shared" si="1"/>
        <v>45413</v>
      </c>
      <c r="AE48" s="167">
        <f t="shared" si="2"/>
        <v>0</v>
      </c>
    </row>
    <row r="49" spans="1:31">
      <c r="A49" s="197">
        <f t="shared" si="3"/>
        <v>45429</v>
      </c>
      <c r="B49" s="167">
        <f>YEAR(Table7[[#This Row],[Date]])+IF(MONTH(Table7[[#This Row],[Date]])&gt;=4,1,0)</f>
        <v>2025</v>
      </c>
      <c r="C49" s="167">
        <f>YEAR(Table7[[#This Row],[Date]])</f>
        <v>2024</v>
      </c>
      <c r="D49" s="168">
        <f t="shared" si="1"/>
        <v>45413</v>
      </c>
      <c r="AE49" s="167">
        <f t="shared" si="2"/>
        <v>0</v>
      </c>
    </row>
    <row r="50" spans="1:31">
      <c r="A50" s="197">
        <f t="shared" si="3"/>
        <v>45430</v>
      </c>
      <c r="B50" s="167">
        <f>YEAR(Table7[[#This Row],[Date]])+IF(MONTH(Table7[[#This Row],[Date]])&gt;=4,1,0)</f>
        <v>2025</v>
      </c>
      <c r="C50" s="167">
        <f>YEAR(Table7[[#This Row],[Date]])</f>
        <v>2024</v>
      </c>
      <c r="D50" s="168">
        <f t="shared" si="1"/>
        <v>45413</v>
      </c>
      <c r="AE50" s="167">
        <f t="shared" si="2"/>
        <v>0</v>
      </c>
    </row>
    <row r="51" spans="1:31">
      <c r="A51" s="197">
        <f t="shared" si="3"/>
        <v>45431</v>
      </c>
      <c r="B51" s="167">
        <f>YEAR(Table7[[#This Row],[Date]])+IF(MONTH(Table7[[#This Row],[Date]])&gt;=4,1,0)</f>
        <v>2025</v>
      </c>
      <c r="C51" s="167">
        <f>YEAR(Table7[[#This Row],[Date]])</f>
        <v>2024</v>
      </c>
      <c r="D51" s="168">
        <f t="shared" si="1"/>
        <v>45413</v>
      </c>
      <c r="AE51" s="167">
        <f t="shared" si="2"/>
        <v>0</v>
      </c>
    </row>
    <row r="52" spans="1:31">
      <c r="A52" s="197">
        <f t="shared" si="3"/>
        <v>45432</v>
      </c>
      <c r="B52" s="167">
        <f>YEAR(Table7[[#This Row],[Date]])+IF(MONTH(Table7[[#This Row],[Date]])&gt;=4,1,0)</f>
        <v>2025</v>
      </c>
      <c r="C52" s="167">
        <f>YEAR(Table7[[#This Row],[Date]])</f>
        <v>2024</v>
      </c>
      <c r="D52" s="168">
        <f t="shared" si="1"/>
        <v>45413</v>
      </c>
      <c r="AE52" s="167">
        <f t="shared" si="2"/>
        <v>0</v>
      </c>
    </row>
    <row r="53" spans="1:31">
      <c r="A53" s="197">
        <f t="shared" si="3"/>
        <v>45433</v>
      </c>
      <c r="B53" s="167">
        <f>YEAR(Table7[[#This Row],[Date]])+IF(MONTH(Table7[[#This Row],[Date]])&gt;=4,1,0)</f>
        <v>2025</v>
      </c>
      <c r="C53" s="167">
        <f>YEAR(Table7[[#This Row],[Date]])</f>
        <v>2024</v>
      </c>
      <c r="D53" s="168">
        <f t="shared" si="1"/>
        <v>45413</v>
      </c>
      <c r="AE53" s="167">
        <f t="shared" si="2"/>
        <v>0</v>
      </c>
    </row>
    <row r="54" spans="1:31">
      <c r="A54" s="197">
        <f t="shared" si="3"/>
        <v>45434</v>
      </c>
      <c r="B54" s="167">
        <f>YEAR(Table7[[#This Row],[Date]])+IF(MONTH(Table7[[#This Row],[Date]])&gt;=4,1,0)</f>
        <v>2025</v>
      </c>
      <c r="C54" s="167">
        <f>YEAR(Table7[[#This Row],[Date]])</f>
        <v>2024</v>
      </c>
      <c r="D54" s="168">
        <f t="shared" si="1"/>
        <v>45413</v>
      </c>
      <c r="AE54" s="167">
        <f t="shared" si="2"/>
        <v>0</v>
      </c>
    </row>
    <row r="55" spans="1:31">
      <c r="A55" s="197">
        <f t="shared" si="3"/>
        <v>45435</v>
      </c>
      <c r="B55" s="167">
        <f>YEAR(Table7[[#This Row],[Date]])+IF(MONTH(Table7[[#This Row],[Date]])&gt;=4,1,0)</f>
        <v>2025</v>
      </c>
      <c r="C55" s="167">
        <f>YEAR(Table7[[#This Row],[Date]])</f>
        <v>2024</v>
      </c>
      <c r="D55" s="168">
        <f t="shared" si="1"/>
        <v>45413</v>
      </c>
      <c r="AE55" s="167">
        <f t="shared" si="2"/>
        <v>0</v>
      </c>
    </row>
    <row r="56" spans="1:31">
      <c r="A56" s="197">
        <f t="shared" si="3"/>
        <v>45436</v>
      </c>
      <c r="B56" s="167">
        <f>YEAR(Table7[[#This Row],[Date]])+IF(MONTH(Table7[[#This Row],[Date]])&gt;=4,1,0)</f>
        <v>2025</v>
      </c>
      <c r="C56" s="167">
        <f>YEAR(Table7[[#This Row],[Date]])</f>
        <v>2024</v>
      </c>
      <c r="D56" s="168">
        <f t="shared" si="1"/>
        <v>45413</v>
      </c>
      <c r="AE56" s="167">
        <f t="shared" si="2"/>
        <v>0</v>
      </c>
    </row>
    <row r="57" spans="1:31">
      <c r="A57" s="197">
        <f t="shared" si="3"/>
        <v>45437</v>
      </c>
      <c r="B57" s="167">
        <f>YEAR(Table7[[#This Row],[Date]])+IF(MONTH(Table7[[#This Row],[Date]])&gt;=4,1,0)</f>
        <v>2025</v>
      </c>
      <c r="C57" s="167">
        <f>YEAR(Table7[[#This Row],[Date]])</f>
        <v>2024</v>
      </c>
      <c r="D57" s="168">
        <f t="shared" si="1"/>
        <v>45413</v>
      </c>
      <c r="AE57" s="167">
        <f t="shared" si="2"/>
        <v>0</v>
      </c>
    </row>
    <row r="58" spans="1:31">
      <c r="A58" s="197">
        <f t="shared" si="3"/>
        <v>45438</v>
      </c>
      <c r="B58" s="167">
        <f>YEAR(Table7[[#This Row],[Date]])+IF(MONTH(Table7[[#This Row],[Date]])&gt;=4,1,0)</f>
        <v>2025</v>
      </c>
      <c r="C58" s="167">
        <f>YEAR(Table7[[#This Row],[Date]])</f>
        <v>2024</v>
      </c>
      <c r="D58" s="168">
        <f t="shared" si="1"/>
        <v>45413</v>
      </c>
      <c r="AE58" s="167">
        <f t="shared" si="2"/>
        <v>0</v>
      </c>
    </row>
    <row r="59" spans="1:31">
      <c r="A59" s="197">
        <f t="shared" si="3"/>
        <v>45439</v>
      </c>
      <c r="B59" s="167">
        <f>YEAR(Table7[[#This Row],[Date]])+IF(MONTH(Table7[[#This Row],[Date]])&gt;=4,1,0)</f>
        <v>2025</v>
      </c>
      <c r="C59" s="167">
        <f>YEAR(Table7[[#This Row],[Date]])</f>
        <v>2024</v>
      </c>
      <c r="D59" s="168">
        <f t="shared" si="1"/>
        <v>45413</v>
      </c>
      <c r="AE59" s="167">
        <f t="shared" si="2"/>
        <v>0</v>
      </c>
    </row>
    <row r="60" spans="1:31">
      <c r="A60" s="197">
        <f t="shared" si="3"/>
        <v>45440</v>
      </c>
      <c r="B60" s="167">
        <f>YEAR(Table7[[#This Row],[Date]])+IF(MONTH(Table7[[#This Row],[Date]])&gt;=4,1,0)</f>
        <v>2025</v>
      </c>
      <c r="C60" s="167">
        <f>YEAR(Table7[[#This Row],[Date]])</f>
        <v>2024</v>
      </c>
      <c r="D60" s="168">
        <f t="shared" si="1"/>
        <v>45413</v>
      </c>
      <c r="AE60" s="167">
        <f t="shared" si="2"/>
        <v>0</v>
      </c>
    </row>
    <row r="61" spans="1:31">
      <c r="A61" s="197">
        <f t="shared" si="3"/>
        <v>45441</v>
      </c>
      <c r="B61" s="167">
        <f>YEAR(Table7[[#This Row],[Date]])+IF(MONTH(Table7[[#This Row],[Date]])&gt;=4,1,0)</f>
        <v>2025</v>
      </c>
      <c r="C61" s="167">
        <f>YEAR(Table7[[#This Row],[Date]])</f>
        <v>2024</v>
      </c>
      <c r="D61" s="168">
        <f t="shared" si="1"/>
        <v>45413</v>
      </c>
      <c r="AE61" s="167">
        <f t="shared" si="2"/>
        <v>0</v>
      </c>
    </row>
    <row r="62" spans="1:31">
      <c r="A62" s="197">
        <f t="shared" si="3"/>
        <v>45442</v>
      </c>
      <c r="B62" s="167">
        <f>YEAR(Table7[[#This Row],[Date]])+IF(MONTH(Table7[[#This Row],[Date]])&gt;=4,1,0)</f>
        <v>2025</v>
      </c>
      <c r="C62" s="167">
        <f>YEAR(Table7[[#This Row],[Date]])</f>
        <v>2024</v>
      </c>
      <c r="D62" s="168">
        <f t="shared" si="1"/>
        <v>45413</v>
      </c>
      <c r="AE62" s="167">
        <f t="shared" si="2"/>
        <v>0</v>
      </c>
    </row>
    <row r="63" spans="1:31">
      <c r="A63" s="197">
        <f t="shared" si="3"/>
        <v>45443</v>
      </c>
      <c r="B63" s="167">
        <f>YEAR(Table7[[#This Row],[Date]])+IF(MONTH(Table7[[#This Row],[Date]])&gt;=4,1,0)</f>
        <v>2025</v>
      </c>
      <c r="C63" s="167">
        <f>YEAR(Table7[[#This Row],[Date]])</f>
        <v>2024</v>
      </c>
      <c r="D63" s="168">
        <f t="shared" si="1"/>
        <v>45413</v>
      </c>
      <c r="AE63" s="167">
        <f t="shared" si="2"/>
        <v>0</v>
      </c>
    </row>
    <row r="64" spans="1:31">
      <c r="A64" s="197">
        <f t="shared" si="3"/>
        <v>45444</v>
      </c>
      <c r="B64" s="167">
        <f>YEAR(Table7[[#This Row],[Date]])+IF(MONTH(Table7[[#This Row],[Date]])&gt;=4,1,0)</f>
        <v>2025</v>
      </c>
      <c r="C64" s="167">
        <f>YEAR(Table7[[#This Row],[Date]])</f>
        <v>2024</v>
      </c>
      <c r="D64" s="168">
        <f t="shared" si="1"/>
        <v>45444</v>
      </c>
      <c r="AE64" s="167">
        <f t="shared" si="2"/>
        <v>0</v>
      </c>
    </row>
    <row r="65" spans="1:31">
      <c r="A65" s="197">
        <f t="shared" si="3"/>
        <v>45445</v>
      </c>
      <c r="B65" s="167">
        <f>YEAR(Table7[[#This Row],[Date]])+IF(MONTH(Table7[[#This Row],[Date]])&gt;=4,1,0)</f>
        <v>2025</v>
      </c>
      <c r="C65" s="167">
        <f>YEAR(Table7[[#This Row],[Date]])</f>
        <v>2024</v>
      </c>
      <c r="D65" s="168">
        <f t="shared" si="1"/>
        <v>45444</v>
      </c>
      <c r="AE65" s="167">
        <f t="shared" si="2"/>
        <v>0</v>
      </c>
    </row>
    <row r="66" spans="1:31">
      <c r="A66" s="197">
        <f t="shared" si="3"/>
        <v>45446</v>
      </c>
      <c r="B66" s="167">
        <f>YEAR(Table7[[#This Row],[Date]])+IF(MONTH(Table7[[#This Row],[Date]])&gt;=4,1,0)</f>
        <v>2025</v>
      </c>
      <c r="C66" s="167">
        <f>YEAR(Table7[[#This Row],[Date]])</f>
        <v>2024</v>
      </c>
      <c r="D66" s="168">
        <f t="shared" si="1"/>
        <v>45444</v>
      </c>
      <c r="AE66" s="167">
        <f t="shared" si="2"/>
        <v>0</v>
      </c>
    </row>
    <row r="67" spans="1:31">
      <c r="A67" s="197">
        <f t="shared" si="3"/>
        <v>45447</v>
      </c>
      <c r="B67" s="167">
        <f>YEAR(Table7[[#This Row],[Date]])+IF(MONTH(Table7[[#This Row],[Date]])&gt;=4,1,0)</f>
        <v>2025</v>
      </c>
      <c r="C67" s="167">
        <f>YEAR(Table7[[#This Row],[Date]])</f>
        <v>2024</v>
      </c>
      <c r="D67" s="168">
        <f t="shared" ref="D67:D130" si="4">A67-DAY(A67)+1</f>
        <v>45444</v>
      </c>
      <c r="AE67" s="167">
        <f t="shared" ref="AE67:AE130" si="5">SUM(E67:AD67)</f>
        <v>0</v>
      </c>
    </row>
    <row r="68" spans="1:31">
      <c r="A68" s="197">
        <f t="shared" si="3"/>
        <v>45448</v>
      </c>
      <c r="B68" s="167">
        <f>YEAR(Table7[[#This Row],[Date]])+IF(MONTH(Table7[[#This Row],[Date]])&gt;=4,1,0)</f>
        <v>2025</v>
      </c>
      <c r="C68" s="167">
        <f>YEAR(Table7[[#This Row],[Date]])</f>
        <v>2024</v>
      </c>
      <c r="D68" s="168">
        <f t="shared" si="4"/>
        <v>45444</v>
      </c>
      <c r="AE68" s="167">
        <f t="shared" si="5"/>
        <v>0</v>
      </c>
    </row>
    <row r="69" spans="1:31">
      <c r="A69" s="197">
        <f t="shared" ref="A69:A132" si="6">A68+1</f>
        <v>45449</v>
      </c>
      <c r="B69" s="167">
        <f>YEAR(Table7[[#This Row],[Date]])+IF(MONTH(Table7[[#This Row],[Date]])&gt;=4,1,0)</f>
        <v>2025</v>
      </c>
      <c r="C69" s="167">
        <f>YEAR(Table7[[#This Row],[Date]])</f>
        <v>2024</v>
      </c>
      <c r="D69" s="168">
        <f t="shared" si="4"/>
        <v>45444</v>
      </c>
      <c r="AE69" s="167">
        <f t="shared" si="5"/>
        <v>0</v>
      </c>
    </row>
    <row r="70" spans="1:31">
      <c r="A70" s="197">
        <f t="shared" si="6"/>
        <v>45450</v>
      </c>
      <c r="B70" s="167">
        <f>YEAR(Table7[[#This Row],[Date]])+IF(MONTH(Table7[[#This Row],[Date]])&gt;=4,1,0)</f>
        <v>2025</v>
      </c>
      <c r="C70" s="167">
        <f>YEAR(Table7[[#This Row],[Date]])</f>
        <v>2024</v>
      </c>
      <c r="D70" s="168">
        <f t="shared" si="4"/>
        <v>45444</v>
      </c>
      <c r="AE70" s="167">
        <f t="shared" si="5"/>
        <v>0</v>
      </c>
    </row>
    <row r="71" spans="1:31">
      <c r="A71" s="197">
        <f t="shared" si="6"/>
        <v>45451</v>
      </c>
      <c r="B71" s="167">
        <f>YEAR(Table7[[#This Row],[Date]])+IF(MONTH(Table7[[#This Row],[Date]])&gt;=4,1,0)</f>
        <v>2025</v>
      </c>
      <c r="C71" s="167">
        <f>YEAR(Table7[[#This Row],[Date]])</f>
        <v>2024</v>
      </c>
      <c r="D71" s="168">
        <f t="shared" si="4"/>
        <v>45444</v>
      </c>
      <c r="AE71" s="167">
        <f t="shared" si="5"/>
        <v>0</v>
      </c>
    </row>
    <row r="72" spans="1:31">
      <c r="A72" s="197">
        <f t="shared" si="6"/>
        <v>45452</v>
      </c>
      <c r="B72" s="167">
        <f>YEAR(Table7[[#This Row],[Date]])+IF(MONTH(Table7[[#This Row],[Date]])&gt;=4,1,0)</f>
        <v>2025</v>
      </c>
      <c r="C72" s="167">
        <f>YEAR(Table7[[#This Row],[Date]])</f>
        <v>2024</v>
      </c>
      <c r="D72" s="168">
        <f t="shared" si="4"/>
        <v>45444</v>
      </c>
      <c r="AE72" s="167">
        <f t="shared" si="5"/>
        <v>0</v>
      </c>
    </row>
    <row r="73" spans="1:31">
      <c r="A73" s="197">
        <f t="shared" si="6"/>
        <v>45453</v>
      </c>
      <c r="B73" s="167">
        <f>YEAR(Table7[[#This Row],[Date]])+IF(MONTH(Table7[[#This Row],[Date]])&gt;=4,1,0)</f>
        <v>2025</v>
      </c>
      <c r="C73" s="167">
        <f>YEAR(Table7[[#This Row],[Date]])</f>
        <v>2024</v>
      </c>
      <c r="D73" s="168">
        <f t="shared" si="4"/>
        <v>45444</v>
      </c>
      <c r="AE73" s="167">
        <f t="shared" si="5"/>
        <v>0</v>
      </c>
    </row>
    <row r="74" spans="1:31">
      <c r="A74" s="197">
        <f t="shared" si="6"/>
        <v>45454</v>
      </c>
      <c r="B74" s="167">
        <f>YEAR(Table7[[#This Row],[Date]])+IF(MONTH(Table7[[#This Row],[Date]])&gt;=4,1,0)</f>
        <v>2025</v>
      </c>
      <c r="C74" s="167">
        <f>YEAR(Table7[[#This Row],[Date]])</f>
        <v>2024</v>
      </c>
      <c r="D74" s="168">
        <f t="shared" si="4"/>
        <v>45444</v>
      </c>
      <c r="AE74" s="167">
        <f t="shared" si="5"/>
        <v>0</v>
      </c>
    </row>
    <row r="75" spans="1:31">
      <c r="A75" s="197">
        <f t="shared" si="6"/>
        <v>45455</v>
      </c>
      <c r="B75" s="167">
        <f>YEAR(Table7[[#This Row],[Date]])+IF(MONTH(Table7[[#This Row],[Date]])&gt;=4,1,0)</f>
        <v>2025</v>
      </c>
      <c r="C75" s="167">
        <f>YEAR(Table7[[#This Row],[Date]])</f>
        <v>2024</v>
      </c>
      <c r="D75" s="168">
        <f t="shared" si="4"/>
        <v>45444</v>
      </c>
      <c r="AE75" s="167">
        <f t="shared" si="5"/>
        <v>0</v>
      </c>
    </row>
    <row r="76" spans="1:31">
      <c r="A76" s="197">
        <f t="shared" si="6"/>
        <v>45456</v>
      </c>
      <c r="B76" s="167">
        <f>YEAR(Table7[[#This Row],[Date]])+IF(MONTH(Table7[[#This Row],[Date]])&gt;=4,1,0)</f>
        <v>2025</v>
      </c>
      <c r="C76" s="167">
        <f>YEAR(Table7[[#This Row],[Date]])</f>
        <v>2024</v>
      </c>
      <c r="D76" s="168">
        <f t="shared" si="4"/>
        <v>45444</v>
      </c>
      <c r="AE76" s="167">
        <f t="shared" si="5"/>
        <v>0</v>
      </c>
    </row>
    <row r="77" spans="1:31">
      <c r="A77" s="197">
        <f t="shared" si="6"/>
        <v>45457</v>
      </c>
      <c r="B77" s="167">
        <f>YEAR(Table7[[#This Row],[Date]])+IF(MONTH(Table7[[#This Row],[Date]])&gt;=4,1,0)</f>
        <v>2025</v>
      </c>
      <c r="C77" s="167">
        <f>YEAR(Table7[[#This Row],[Date]])</f>
        <v>2024</v>
      </c>
      <c r="D77" s="168">
        <f t="shared" si="4"/>
        <v>45444</v>
      </c>
      <c r="AE77" s="167">
        <f t="shared" si="5"/>
        <v>0</v>
      </c>
    </row>
    <row r="78" spans="1:31">
      <c r="A78" s="197">
        <f t="shared" si="6"/>
        <v>45458</v>
      </c>
      <c r="B78" s="167">
        <f>YEAR(Table7[[#This Row],[Date]])+IF(MONTH(Table7[[#This Row],[Date]])&gt;=4,1,0)</f>
        <v>2025</v>
      </c>
      <c r="C78" s="167">
        <f>YEAR(Table7[[#This Row],[Date]])</f>
        <v>2024</v>
      </c>
      <c r="D78" s="168">
        <f t="shared" si="4"/>
        <v>45444</v>
      </c>
      <c r="AE78" s="167">
        <f t="shared" si="5"/>
        <v>0</v>
      </c>
    </row>
    <row r="79" spans="1:31">
      <c r="A79" s="197">
        <f t="shared" si="6"/>
        <v>45459</v>
      </c>
      <c r="B79" s="167">
        <f>YEAR(Table7[[#This Row],[Date]])+IF(MONTH(Table7[[#This Row],[Date]])&gt;=4,1,0)</f>
        <v>2025</v>
      </c>
      <c r="C79" s="167">
        <f>YEAR(Table7[[#This Row],[Date]])</f>
        <v>2024</v>
      </c>
      <c r="D79" s="168">
        <f t="shared" si="4"/>
        <v>45444</v>
      </c>
      <c r="AE79" s="167">
        <f t="shared" si="5"/>
        <v>0</v>
      </c>
    </row>
    <row r="80" spans="1:31">
      <c r="A80" s="197">
        <f t="shared" si="6"/>
        <v>45460</v>
      </c>
      <c r="B80" s="167">
        <f>YEAR(Table7[[#This Row],[Date]])+IF(MONTH(Table7[[#This Row],[Date]])&gt;=4,1,0)</f>
        <v>2025</v>
      </c>
      <c r="C80" s="167">
        <f>YEAR(Table7[[#This Row],[Date]])</f>
        <v>2024</v>
      </c>
      <c r="D80" s="168">
        <f t="shared" si="4"/>
        <v>45444</v>
      </c>
      <c r="AE80" s="167">
        <f t="shared" si="5"/>
        <v>0</v>
      </c>
    </row>
    <row r="81" spans="1:31">
      <c r="A81" s="197">
        <f t="shared" si="6"/>
        <v>45461</v>
      </c>
      <c r="B81" s="167">
        <f>YEAR(Table7[[#This Row],[Date]])+IF(MONTH(Table7[[#This Row],[Date]])&gt;=4,1,0)</f>
        <v>2025</v>
      </c>
      <c r="C81" s="167">
        <f>YEAR(Table7[[#This Row],[Date]])</f>
        <v>2024</v>
      </c>
      <c r="D81" s="168">
        <f t="shared" si="4"/>
        <v>45444</v>
      </c>
      <c r="AE81" s="167">
        <f t="shared" si="5"/>
        <v>0</v>
      </c>
    </row>
    <row r="82" spans="1:31">
      <c r="A82" s="197">
        <f t="shared" si="6"/>
        <v>45462</v>
      </c>
      <c r="B82" s="167">
        <f>YEAR(Table7[[#This Row],[Date]])+IF(MONTH(Table7[[#This Row],[Date]])&gt;=4,1,0)</f>
        <v>2025</v>
      </c>
      <c r="C82" s="167">
        <f>YEAR(Table7[[#This Row],[Date]])</f>
        <v>2024</v>
      </c>
      <c r="D82" s="168">
        <f t="shared" si="4"/>
        <v>45444</v>
      </c>
      <c r="AE82" s="167">
        <f t="shared" si="5"/>
        <v>0</v>
      </c>
    </row>
    <row r="83" spans="1:31">
      <c r="A83" s="197">
        <f t="shared" si="6"/>
        <v>45463</v>
      </c>
      <c r="B83" s="167">
        <f>YEAR(Table7[[#This Row],[Date]])+IF(MONTH(Table7[[#This Row],[Date]])&gt;=4,1,0)</f>
        <v>2025</v>
      </c>
      <c r="C83" s="167">
        <f>YEAR(Table7[[#This Row],[Date]])</f>
        <v>2024</v>
      </c>
      <c r="D83" s="168">
        <f t="shared" si="4"/>
        <v>45444</v>
      </c>
      <c r="AE83" s="167">
        <f t="shared" si="5"/>
        <v>0</v>
      </c>
    </row>
    <row r="84" spans="1:31">
      <c r="A84" s="197">
        <f t="shared" si="6"/>
        <v>45464</v>
      </c>
      <c r="B84" s="167">
        <f>YEAR(Table7[[#This Row],[Date]])+IF(MONTH(Table7[[#This Row],[Date]])&gt;=4,1,0)</f>
        <v>2025</v>
      </c>
      <c r="C84" s="167">
        <f>YEAR(Table7[[#This Row],[Date]])</f>
        <v>2024</v>
      </c>
      <c r="D84" s="168">
        <f t="shared" si="4"/>
        <v>45444</v>
      </c>
      <c r="AE84" s="167">
        <f t="shared" si="5"/>
        <v>0</v>
      </c>
    </row>
    <row r="85" spans="1:31">
      <c r="A85" s="197">
        <f t="shared" si="6"/>
        <v>45465</v>
      </c>
      <c r="B85" s="167">
        <f>YEAR(Table7[[#This Row],[Date]])+IF(MONTH(Table7[[#This Row],[Date]])&gt;=4,1,0)</f>
        <v>2025</v>
      </c>
      <c r="C85" s="167">
        <f>YEAR(Table7[[#This Row],[Date]])</f>
        <v>2024</v>
      </c>
      <c r="D85" s="168">
        <f t="shared" si="4"/>
        <v>45444</v>
      </c>
      <c r="AE85" s="167">
        <f t="shared" si="5"/>
        <v>0</v>
      </c>
    </row>
    <row r="86" spans="1:31">
      <c r="A86" s="197">
        <f t="shared" si="6"/>
        <v>45466</v>
      </c>
      <c r="B86" s="167">
        <f>YEAR(Table7[[#This Row],[Date]])+IF(MONTH(Table7[[#This Row],[Date]])&gt;=4,1,0)</f>
        <v>2025</v>
      </c>
      <c r="C86" s="167">
        <f>YEAR(Table7[[#This Row],[Date]])</f>
        <v>2024</v>
      </c>
      <c r="D86" s="168">
        <f t="shared" si="4"/>
        <v>45444</v>
      </c>
      <c r="AE86" s="167">
        <f t="shared" si="5"/>
        <v>0</v>
      </c>
    </row>
    <row r="87" spans="1:31">
      <c r="A87" s="197">
        <f t="shared" si="6"/>
        <v>45467</v>
      </c>
      <c r="B87" s="167">
        <f>YEAR(Table7[[#This Row],[Date]])+IF(MONTH(Table7[[#This Row],[Date]])&gt;=4,1,0)</f>
        <v>2025</v>
      </c>
      <c r="C87" s="167">
        <f>YEAR(Table7[[#This Row],[Date]])</f>
        <v>2024</v>
      </c>
      <c r="D87" s="168">
        <f t="shared" si="4"/>
        <v>45444</v>
      </c>
      <c r="AE87" s="167">
        <f t="shared" si="5"/>
        <v>0</v>
      </c>
    </row>
    <row r="88" spans="1:31">
      <c r="A88" s="197">
        <f t="shared" si="6"/>
        <v>45468</v>
      </c>
      <c r="B88" s="167">
        <f>YEAR(Table7[[#This Row],[Date]])+IF(MONTH(Table7[[#This Row],[Date]])&gt;=4,1,0)</f>
        <v>2025</v>
      </c>
      <c r="C88" s="167">
        <f>YEAR(Table7[[#This Row],[Date]])</f>
        <v>2024</v>
      </c>
      <c r="D88" s="168">
        <f t="shared" si="4"/>
        <v>45444</v>
      </c>
      <c r="AE88" s="167">
        <f t="shared" si="5"/>
        <v>0</v>
      </c>
    </row>
    <row r="89" spans="1:31">
      <c r="A89" s="197">
        <f t="shared" si="6"/>
        <v>45469</v>
      </c>
      <c r="B89" s="167">
        <f>YEAR(Table7[[#This Row],[Date]])+IF(MONTH(Table7[[#This Row],[Date]])&gt;=4,1,0)</f>
        <v>2025</v>
      </c>
      <c r="C89" s="167">
        <f>YEAR(Table7[[#This Row],[Date]])</f>
        <v>2024</v>
      </c>
      <c r="D89" s="168">
        <f t="shared" si="4"/>
        <v>45444</v>
      </c>
      <c r="AE89" s="167">
        <f t="shared" si="5"/>
        <v>0</v>
      </c>
    </row>
    <row r="90" spans="1:31">
      <c r="A90" s="197">
        <f t="shared" si="6"/>
        <v>45470</v>
      </c>
      <c r="B90" s="167">
        <f>YEAR(Table7[[#This Row],[Date]])+IF(MONTH(Table7[[#This Row],[Date]])&gt;=4,1,0)</f>
        <v>2025</v>
      </c>
      <c r="C90" s="167">
        <f>YEAR(Table7[[#This Row],[Date]])</f>
        <v>2024</v>
      </c>
      <c r="D90" s="168">
        <f t="shared" si="4"/>
        <v>45444</v>
      </c>
      <c r="AE90" s="167">
        <f t="shared" si="5"/>
        <v>0</v>
      </c>
    </row>
    <row r="91" spans="1:31">
      <c r="A91" s="197">
        <f t="shared" si="6"/>
        <v>45471</v>
      </c>
      <c r="B91" s="167">
        <f>YEAR(Table7[[#This Row],[Date]])+IF(MONTH(Table7[[#This Row],[Date]])&gt;=4,1,0)</f>
        <v>2025</v>
      </c>
      <c r="C91" s="167">
        <f>YEAR(Table7[[#This Row],[Date]])</f>
        <v>2024</v>
      </c>
      <c r="D91" s="168">
        <f t="shared" si="4"/>
        <v>45444</v>
      </c>
      <c r="AE91" s="167">
        <f t="shared" si="5"/>
        <v>0</v>
      </c>
    </row>
    <row r="92" spans="1:31">
      <c r="A92" s="197">
        <f t="shared" si="6"/>
        <v>45472</v>
      </c>
      <c r="B92" s="167">
        <f>YEAR(Table7[[#This Row],[Date]])+IF(MONTH(Table7[[#This Row],[Date]])&gt;=4,1,0)</f>
        <v>2025</v>
      </c>
      <c r="C92" s="167">
        <f>YEAR(Table7[[#This Row],[Date]])</f>
        <v>2024</v>
      </c>
      <c r="D92" s="168">
        <f t="shared" si="4"/>
        <v>45444</v>
      </c>
      <c r="AE92" s="167">
        <f t="shared" si="5"/>
        <v>0</v>
      </c>
    </row>
    <row r="93" spans="1:31">
      <c r="A93" s="197">
        <f t="shared" si="6"/>
        <v>45473</v>
      </c>
      <c r="B93" s="167">
        <f>YEAR(Table7[[#This Row],[Date]])+IF(MONTH(Table7[[#This Row],[Date]])&gt;=4,1,0)</f>
        <v>2025</v>
      </c>
      <c r="C93" s="167">
        <f>YEAR(Table7[[#This Row],[Date]])</f>
        <v>2024</v>
      </c>
      <c r="D93" s="168">
        <f t="shared" si="4"/>
        <v>45444</v>
      </c>
      <c r="AE93" s="167">
        <f t="shared" si="5"/>
        <v>0</v>
      </c>
    </row>
    <row r="94" spans="1:31">
      <c r="A94" s="197">
        <f t="shared" si="6"/>
        <v>45474</v>
      </c>
      <c r="B94" s="167">
        <f>YEAR(Table7[[#This Row],[Date]])+IF(MONTH(Table7[[#This Row],[Date]])&gt;=4,1,0)</f>
        <v>2025</v>
      </c>
      <c r="C94" s="167">
        <f>YEAR(Table7[[#This Row],[Date]])</f>
        <v>2024</v>
      </c>
      <c r="D94" s="168">
        <f t="shared" si="4"/>
        <v>45474</v>
      </c>
      <c r="AE94" s="167">
        <f t="shared" si="5"/>
        <v>0</v>
      </c>
    </row>
    <row r="95" spans="1:31">
      <c r="A95" s="197">
        <f t="shared" si="6"/>
        <v>45475</v>
      </c>
      <c r="B95" s="167">
        <f>YEAR(Table7[[#This Row],[Date]])+IF(MONTH(Table7[[#This Row],[Date]])&gt;=4,1,0)</f>
        <v>2025</v>
      </c>
      <c r="C95" s="167">
        <f>YEAR(Table7[[#This Row],[Date]])</f>
        <v>2024</v>
      </c>
      <c r="D95" s="168">
        <f t="shared" si="4"/>
        <v>45474</v>
      </c>
      <c r="AE95" s="167">
        <f t="shared" si="5"/>
        <v>0</v>
      </c>
    </row>
    <row r="96" spans="1:31">
      <c r="A96" s="197">
        <f t="shared" si="6"/>
        <v>45476</v>
      </c>
      <c r="B96" s="167">
        <f>YEAR(Table7[[#This Row],[Date]])+IF(MONTH(Table7[[#This Row],[Date]])&gt;=4,1,0)</f>
        <v>2025</v>
      </c>
      <c r="C96" s="167">
        <f>YEAR(Table7[[#This Row],[Date]])</f>
        <v>2024</v>
      </c>
      <c r="D96" s="168">
        <f t="shared" si="4"/>
        <v>45474</v>
      </c>
      <c r="AE96" s="167">
        <f t="shared" si="5"/>
        <v>0</v>
      </c>
    </row>
    <row r="97" spans="1:31">
      <c r="A97" s="197">
        <f t="shared" si="6"/>
        <v>45477</v>
      </c>
      <c r="B97" s="167">
        <f>YEAR(Table7[[#This Row],[Date]])+IF(MONTH(Table7[[#This Row],[Date]])&gt;=4,1,0)</f>
        <v>2025</v>
      </c>
      <c r="C97" s="167">
        <f>YEAR(Table7[[#This Row],[Date]])</f>
        <v>2024</v>
      </c>
      <c r="D97" s="168">
        <f t="shared" si="4"/>
        <v>45474</v>
      </c>
      <c r="AE97" s="167">
        <f t="shared" si="5"/>
        <v>0</v>
      </c>
    </row>
    <row r="98" spans="1:31">
      <c r="A98" s="197">
        <f t="shared" si="6"/>
        <v>45478</v>
      </c>
      <c r="B98" s="167">
        <f>YEAR(Table7[[#This Row],[Date]])+IF(MONTH(Table7[[#This Row],[Date]])&gt;=4,1,0)</f>
        <v>2025</v>
      </c>
      <c r="C98" s="167">
        <f>YEAR(Table7[[#This Row],[Date]])</f>
        <v>2024</v>
      </c>
      <c r="D98" s="168">
        <f t="shared" si="4"/>
        <v>45474</v>
      </c>
      <c r="AE98" s="167">
        <f t="shared" si="5"/>
        <v>0</v>
      </c>
    </row>
    <row r="99" spans="1:31">
      <c r="A99" s="197">
        <f t="shared" si="6"/>
        <v>45479</v>
      </c>
      <c r="B99" s="167">
        <f>YEAR(Table7[[#This Row],[Date]])+IF(MONTH(Table7[[#This Row],[Date]])&gt;=4,1,0)</f>
        <v>2025</v>
      </c>
      <c r="C99" s="167">
        <f>YEAR(Table7[[#This Row],[Date]])</f>
        <v>2024</v>
      </c>
      <c r="D99" s="168">
        <f t="shared" si="4"/>
        <v>45474</v>
      </c>
      <c r="AE99" s="167">
        <f t="shared" si="5"/>
        <v>0</v>
      </c>
    </row>
    <row r="100" spans="1:31">
      <c r="A100" s="197">
        <f t="shared" si="6"/>
        <v>45480</v>
      </c>
      <c r="B100" s="167">
        <f>YEAR(Table7[[#This Row],[Date]])+IF(MONTH(Table7[[#This Row],[Date]])&gt;=4,1,0)</f>
        <v>2025</v>
      </c>
      <c r="C100" s="167">
        <f>YEAR(Table7[[#This Row],[Date]])</f>
        <v>2024</v>
      </c>
      <c r="D100" s="168">
        <f t="shared" si="4"/>
        <v>45474</v>
      </c>
      <c r="AE100" s="167">
        <f t="shared" si="5"/>
        <v>0</v>
      </c>
    </row>
    <row r="101" spans="1:31">
      <c r="A101" s="197">
        <f t="shared" si="6"/>
        <v>45481</v>
      </c>
      <c r="B101" s="167">
        <f>YEAR(Table7[[#This Row],[Date]])+IF(MONTH(Table7[[#This Row],[Date]])&gt;=4,1,0)</f>
        <v>2025</v>
      </c>
      <c r="C101" s="167">
        <f>YEAR(Table7[[#This Row],[Date]])</f>
        <v>2024</v>
      </c>
      <c r="D101" s="168">
        <f t="shared" si="4"/>
        <v>45474</v>
      </c>
      <c r="AE101" s="167">
        <f t="shared" si="5"/>
        <v>0</v>
      </c>
    </row>
    <row r="102" spans="1:31">
      <c r="A102" s="197">
        <f t="shared" si="6"/>
        <v>45482</v>
      </c>
      <c r="B102" s="167">
        <f>YEAR(Table7[[#This Row],[Date]])+IF(MONTH(Table7[[#This Row],[Date]])&gt;=4,1,0)</f>
        <v>2025</v>
      </c>
      <c r="C102" s="167">
        <f>YEAR(Table7[[#This Row],[Date]])</f>
        <v>2024</v>
      </c>
      <c r="D102" s="168">
        <f t="shared" si="4"/>
        <v>45474</v>
      </c>
      <c r="AE102" s="167">
        <f t="shared" si="5"/>
        <v>0</v>
      </c>
    </row>
    <row r="103" spans="1:31">
      <c r="A103" s="197">
        <f t="shared" si="6"/>
        <v>45483</v>
      </c>
      <c r="B103" s="167">
        <f>YEAR(Table7[[#This Row],[Date]])+IF(MONTH(Table7[[#This Row],[Date]])&gt;=4,1,0)</f>
        <v>2025</v>
      </c>
      <c r="C103" s="167">
        <f>YEAR(Table7[[#This Row],[Date]])</f>
        <v>2024</v>
      </c>
      <c r="D103" s="168">
        <f t="shared" si="4"/>
        <v>45474</v>
      </c>
      <c r="AE103" s="167">
        <f t="shared" si="5"/>
        <v>0</v>
      </c>
    </row>
    <row r="104" spans="1:31">
      <c r="A104" s="197">
        <f t="shared" si="6"/>
        <v>45484</v>
      </c>
      <c r="B104" s="167">
        <f>YEAR(Table7[[#This Row],[Date]])+IF(MONTH(Table7[[#This Row],[Date]])&gt;=4,1,0)</f>
        <v>2025</v>
      </c>
      <c r="C104" s="167">
        <f>YEAR(Table7[[#This Row],[Date]])</f>
        <v>2024</v>
      </c>
      <c r="D104" s="168">
        <f t="shared" si="4"/>
        <v>45474</v>
      </c>
      <c r="AE104" s="167">
        <f t="shared" si="5"/>
        <v>0</v>
      </c>
    </row>
    <row r="105" spans="1:31">
      <c r="A105" s="197">
        <f t="shared" si="6"/>
        <v>45485</v>
      </c>
      <c r="B105" s="167">
        <f>YEAR(Table7[[#This Row],[Date]])+IF(MONTH(Table7[[#This Row],[Date]])&gt;=4,1,0)</f>
        <v>2025</v>
      </c>
      <c r="C105" s="167">
        <f>YEAR(Table7[[#This Row],[Date]])</f>
        <v>2024</v>
      </c>
      <c r="D105" s="168">
        <f t="shared" si="4"/>
        <v>45474</v>
      </c>
      <c r="AE105" s="167">
        <f t="shared" si="5"/>
        <v>0</v>
      </c>
    </row>
    <row r="106" spans="1:31">
      <c r="A106" s="197">
        <f t="shared" si="6"/>
        <v>45486</v>
      </c>
      <c r="B106" s="167">
        <f>YEAR(Table7[[#This Row],[Date]])+IF(MONTH(Table7[[#This Row],[Date]])&gt;=4,1,0)</f>
        <v>2025</v>
      </c>
      <c r="C106" s="167">
        <f>YEAR(Table7[[#This Row],[Date]])</f>
        <v>2024</v>
      </c>
      <c r="D106" s="168">
        <f t="shared" si="4"/>
        <v>45474</v>
      </c>
      <c r="AE106" s="167">
        <f t="shared" si="5"/>
        <v>0</v>
      </c>
    </row>
    <row r="107" spans="1:31">
      <c r="A107" s="197">
        <f t="shared" si="6"/>
        <v>45487</v>
      </c>
      <c r="B107" s="167">
        <f>YEAR(Table7[[#This Row],[Date]])+IF(MONTH(Table7[[#This Row],[Date]])&gt;=4,1,0)</f>
        <v>2025</v>
      </c>
      <c r="C107" s="167">
        <f>YEAR(Table7[[#This Row],[Date]])</f>
        <v>2024</v>
      </c>
      <c r="D107" s="168">
        <f t="shared" si="4"/>
        <v>45474</v>
      </c>
      <c r="AE107" s="167">
        <f t="shared" si="5"/>
        <v>0</v>
      </c>
    </row>
    <row r="108" spans="1:31">
      <c r="A108" s="197">
        <f t="shared" si="6"/>
        <v>45488</v>
      </c>
      <c r="B108" s="167">
        <f>YEAR(Table7[[#This Row],[Date]])+IF(MONTH(Table7[[#This Row],[Date]])&gt;=4,1,0)</f>
        <v>2025</v>
      </c>
      <c r="C108" s="167">
        <f>YEAR(Table7[[#This Row],[Date]])</f>
        <v>2024</v>
      </c>
      <c r="D108" s="168">
        <f t="shared" si="4"/>
        <v>45474</v>
      </c>
      <c r="AE108" s="167">
        <f t="shared" si="5"/>
        <v>0</v>
      </c>
    </row>
    <row r="109" spans="1:31">
      <c r="A109" s="197">
        <f t="shared" si="6"/>
        <v>45489</v>
      </c>
      <c r="B109" s="167">
        <f>YEAR(Table7[[#This Row],[Date]])+IF(MONTH(Table7[[#This Row],[Date]])&gt;=4,1,0)</f>
        <v>2025</v>
      </c>
      <c r="C109" s="167">
        <f>YEAR(Table7[[#This Row],[Date]])</f>
        <v>2024</v>
      </c>
      <c r="D109" s="168">
        <f t="shared" si="4"/>
        <v>45474</v>
      </c>
      <c r="AE109" s="167">
        <f t="shared" si="5"/>
        <v>0</v>
      </c>
    </row>
    <row r="110" spans="1:31">
      <c r="A110" s="197">
        <f t="shared" si="6"/>
        <v>45490</v>
      </c>
      <c r="B110" s="167">
        <f>YEAR(Table7[[#This Row],[Date]])+IF(MONTH(Table7[[#This Row],[Date]])&gt;=4,1,0)</f>
        <v>2025</v>
      </c>
      <c r="C110" s="167">
        <f>YEAR(Table7[[#This Row],[Date]])</f>
        <v>2024</v>
      </c>
      <c r="D110" s="168">
        <f t="shared" si="4"/>
        <v>45474</v>
      </c>
      <c r="AE110" s="167">
        <f t="shared" si="5"/>
        <v>0</v>
      </c>
    </row>
    <row r="111" spans="1:31">
      <c r="A111" s="197">
        <f t="shared" si="6"/>
        <v>45491</v>
      </c>
      <c r="B111" s="167">
        <f>YEAR(Table7[[#This Row],[Date]])+IF(MONTH(Table7[[#This Row],[Date]])&gt;=4,1,0)</f>
        <v>2025</v>
      </c>
      <c r="C111" s="167">
        <f>YEAR(Table7[[#This Row],[Date]])</f>
        <v>2024</v>
      </c>
      <c r="D111" s="168">
        <f t="shared" si="4"/>
        <v>45474</v>
      </c>
      <c r="AE111" s="167">
        <f t="shared" si="5"/>
        <v>0</v>
      </c>
    </row>
    <row r="112" spans="1:31">
      <c r="A112" s="197">
        <f t="shared" si="6"/>
        <v>45492</v>
      </c>
      <c r="B112" s="167">
        <f>YEAR(Table7[[#This Row],[Date]])+IF(MONTH(Table7[[#This Row],[Date]])&gt;=4,1,0)</f>
        <v>2025</v>
      </c>
      <c r="C112" s="167">
        <f>YEAR(Table7[[#This Row],[Date]])</f>
        <v>2024</v>
      </c>
      <c r="D112" s="168">
        <f t="shared" si="4"/>
        <v>45474</v>
      </c>
      <c r="AE112" s="167">
        <f t="shared" si="5"/>
        <v>0</v>
      </c>
    </row>
    <row r="113" spans="1:31">
      <c r="A113" s="197">
        <f t="shared" si="6"/>
        <v>45493</v>
      </c>
      <c r="B113" s="167">
        <f>YEAR(Table7[[#This Row],[Date]])+IF(MONTH(Table7[[#This Row],[Date]])&gt;=4,1,0)</f>
        <v>2025</v>
      </c>
      <c r="C113" s="167">
        <f>YEAR(Table7[[#This Row],[Date]])</f>
        <v>2024</v>
      </c>
      <c r="D113" s="168">
        <f t="shared" si="4"/>
        <v>45474</v>
      </c>
      <c r="AE113" s="167">
        <f t="shared" si="5"/>
        <v>0</v>
      </c>
    </row>
    <row r="114" spans="1:31">
      <c r="A114" s="197">
        <f t="shared" si="6"/>
        <v>45494</v>
      </c>
      <c r="B114" s="167">
        <f>YEAR(Table7[[#This Row],[Date]])+IF(MONTH(Table7[[#This Row],[Date]])&gt;=4,1,0)</f>
        <v>2025</v>
      </c>
      <c r="C114" s="167">
        <f>YEAR(Table7[[#This Row],[Date]])</f>
        <v>2024</v>
      </c>
      <c r="D114" s="168">
        <f t="shared" si="4"/>
        <v>45474</v>
      </c>
      <c r="AE114" s="167">
        <f t="shared" si="5"/>
        <v>0</v>
      </c>
    </row>
    <row r="115" spans="1:31">
      <c r="A115" s="197">
        <f t="shared" si="6"/>
        <v>45495</v>
      </c>
      <c r="B115" s="167">
        <f>YEAR(Table7[[#This Row],[Date]])+IF(MONTH(Table7[[#This Row],[Date]])&gt;=4,1,0)</f>
        <v>2025</v>
      </c>
      <c r="C115" s="167">
        <f>YEAR(Table7[[#This Row],[Date]])</f>
        <v>2024</v>
      </c>
      <c r="D115" s="168">
        <f t="shared" si="4"/>
        <v>45474</v>
      </c>
      <c r="AE115" s="167">
        <f t="shared" si="5"/>
        <v>0</v>
      </c>
    </row>
    <row r="116" spans="1:31">
      <c r="A116" s="197">
        <f t="shared" si="6"/>
        <v>45496</v>
      </c>
      <c r="B116" s="167">
        <f>YEAR(Table7[[#This Row],[Date]])+IF(MONTH(Table7[[#This Row],[Date]])&gt;=4,1,0)</f>
        <v>2025</v>
      </c>
      <c r="C116" s="167">
        <f>YEAR(Table7[[#This Row],[Date]])</f>
        <v>2024</v>
      </c>
      <c r="D116" s="168">
        <f t="shared" si="4"/>
        <v>45474</v>
      </c>
      <c r="AE116" s="167">
        <f t="shared" si="5"/>
        <v>0</v>
      </c>
    </row>
    <row r="117" spans="1:31">
      <c r="A117" s="197">
        <f t="shared" si="6"/>
        <v>45497</v>
      </c>
      <c r="B117" s="167">
        <f>YEAR(Table7[[#This Row],[Date]])+IF(MONTH(Table7[[#This Row],[Date]])&gt;=4,1,0)</f>
        <v>2025</v>
      </c>
      <c r="C117" s="167">
        <f>YEAR(Table7[[#This Row],[Date]])</f>
        <v>2024</v>
      </c>
      <c r="D117" s="168">
        <f t="shared" si="4"/>
        <v>45474</v>
      </c>
      <c r="AE117" s="167">
        <f t="shared" si="5"/>
        <v>0</v>
      </c>
    </row>
    <row r="118" spans="1:31">
      <c r="A118" s="197">
        <f t="shared" si="6"/>
        <v>45498</v>
      </c>
      <c r="B118" s="167">
        <f>YEAR(Table7[[#This Row],[Date]])+IF(MONTH(Table7[[#This Row],[Date]])&gt;=4,1,0)</f>
        <v>2025</v>
      </c>
      <c r="C118" s="167">
        <f>YEAR(Table7[[#This Row],[Date]])</f>
        <v>2024</v>
      </c>
      <c r="D118" s="168">
        <f t="shared" si="4"/>
        <v>45474</v>
      </c>
      <c r="AE118" s="167">
        <f t="shared" si="5"/>
        <v>0</v>
      </c>
    </row>
    <row r="119" spans="1:31">
      <c r="A119" s="197">
        <f t="shared" si="6"/>
        <v>45499</v>
      </c>
      <c r="B119" s="167">
        <f>YEAR(Table7[[#This Row],[Date]])+IF(MONTH(Table7[[#This Row],[Date]])&gt;=4,1,0)</f>
        <v>2025</v>
      </c>
      <c r="C119" s="167">
        <f>YEAR(Table7[[#This Row],[Date]])</f>
        <v>2024</v>
      </c>
      <c r="D119" s="168">
        <f t="shared" si="4"/>
        <v>45474</v>
      </c>
      <c r="AE119" s="167">
        <f t="shared" si="5"/>
        <v>0</v>
      </c>
    </row>
    <row r="120" spans="1:31">
      <c r="A120" s="197">
        <f t="shared" si="6"/>
        <v>45500</v>
      </c>
      <c r="B120" s="167">
        <f>YEAR(Table7[[#This Row],[Date]])+IF(MONTH(Table7[[#This Row],[Date]])&gt;=4,1,0)</f>
        <v>2025</v>
      </c>
      <c r="C120" s="167">
        <f>YEAR(Table7[[#This Row],[Date]])</f>
        <v>2024</v>
      </c>
      <c r="D120" s="168">
        <f t="shared" si="4"/>
        <v>45474</v>
      </c>
      <c r="AE120" s="167">
        <f t="shared" si="5"/>
        <v>0</v>
      </c>
    </row>
    <row r="121" spans="1:31">
      <c r="A121" s="197">
        <f t="shared" si="6"/>
        <v>45501</v>
      </c>
      <c r="B121" s="167">
        <f>YEAR(Table7[[#This Row],[Date]])+IF(MONTH(Table7[[#This Row],[Date]])&gt;=4,1,0)</f>
        <v>2025</v>
      </c>
      <c r="C121" s="167">
        <f>YEAR(Table7[[#This Row],[Date]])</f>
        <v>2024</v>
      </c>
      <c r="D121" s="168">
        <f t="shared" si="4"/>
        <v>45474</v>
      </c>
      <c r="AE121" s="167">
        <f t="shared" si="5"/>
        <v>0</v>
      </c>
    </row>
    <row r="122" spans="1:31">
      <c r="A122" s="197">
        <f t="shared" si="6"/>
        <v>45502</v>
      </c>
      <c r="B122" s="167">
        <f>YEAR(Table7[[#This Row],[Date]])+IF(MONTH(Table7[[#This Row],[Date]])&gt;=4,1,0)</f>
        <v>2025</v>
      </c>
      <c r="C122" s="167">
        <f>YEAR(Table7[[#This Row],[Date]])</f>
        <v>2024</v>
      </c>
      <c r="D122" s="168">
        <f t="shared" si="4"/>
        <v>45474</v>
      </c>
      <c r="AE122" s="167">
        <f t="shared" si="5"/>
        <v>0</v>
      </c>
    </row>
    <row r="123" spans="1:31">
      <c r="A123" s="197">
        <f t="shared" si="6"/>
        <v>45503</v>
      </c>
      <c r="B123" s="167">
        <f>YEAR(Table7[[#This Row],[Date]])+IF(MONTH(Table7[[#This Row],[Date]])&gt;=4,1,0)</f>
        <v>2025</v>
      </c>
      <c r="C123" s="167">
        <f>YEAR(Table7[[#This Row],[Date]])</f>
        <v>2024</v>
      </c>
      <c r="D123" s="168">
        <f t="shared" si="4"/>
        <v>45474</v>
      </c>
      <c r="AE123" s="167">
        <f t="shared" si="5"/>
        <v>0</v>
      </c>
    </row>
    <row r="124" spans="1:31">
      <c r="A124" s="197">
        <f t="shared" si="6"/>
        <v>45504</v>
      </c>
      <c r="B124" s="167">
        <f>YEAR(Table7[[#This Row],[Date]])+IF(MONTH(Table7[[#This Row],[Date]])&gt;=4,1,0)</f>
        <v>2025</v>
      </c>
      <c r="C124" s="167">
        <f>YEAR(Table7[[#This Row],[Date]])</f>
        <v>2024</v>
      </c>
      <c r="D124" s="168">
        <f t="shared" si="4"/>
        <v>45474</v>
      </c>
      <c r="AE124" s="167">
        <f t="shared" si="5"/>
        <v>0</v>
      </c>
    </row>
    <row r="125" spans="1:31">
      <c r="A125" s="197">
        <f t="shared" si="6"/>
        <v>45505</v>
      </c>
      <c r="B125" s="167">
        <f>YEAR(Table7[[#This Row],[Date]])+IF(MONTH(Table7[[#This Row],[Date]])&gt;=4,1,0)</f>
        <v>2025</v>
      </c>
      <c r="C125" s="167">
        <f>YEAR(Table7[[#This Row],[Date]])</f>
        <v>2024</v>
      </c>
      <c r="D125" s="168">
        <f t="shared" si="4"/>
        <v>45505</v>
      </c>
      <c r="AE125" s="167">
        <f t="shared" si="5"/>
        <v>0</v>
      </c>
    </row>
    <row r="126" spans="1:31">
      <c r="A126" s="197">
        <f t="shared" si="6"/>
        <v>45506</v>
      </c>
      <c r="B126" s="167">
        <f>YEAR(Table7[[#This Row],[Date]])+IF(MONTH(Table7[[#This Row],[Date]])&gt;=4,1,0)</f>
        <v>2025</v>
      </c>
      <c r="C126" s="167">
        <f>YEAR(Table7[[#This Row],[Date]])</f>
        <v>2024</v>
      </c>
      <c r="D126" s="168">
        <f t="shared" si="4"/>
        <v>45505</v>
      </c>
      <c r="AE126" s="167">
        <f t="shared" si="5"/>
        <v>0</v>
      </c>
    </row>
    <row r="127" spans="1:31">
      <c r="A127" s="197">
        <f t="shared" si="6"/>
        <v>45507</v>
      </c>
      <c r="B127" s="167">
        <f>YEAR(Table7[[#This Row],[Date]])+IF(MONTH(Table7[[#This Row],[Date]])&gt;=4,1,0)</f>
        <v>2025</v>
      </c>
      <c r="C127" s="167">
        <f>YEAR(Table7[[#This Row],[Date]])</f>
        <v>2024</v>
      </c>
      <c r="D127" s="168">
        <f t="shared" si="4"/>
        <v>45505</v>
      </c>
      <c r="AE127" s="167">
        <f t="shared" si="5"/>
        <v>0</v>
      </c>
    </row>
    <row r="128" spans="1:31">
      <c r="A128" s="197">
        <f t="shared" si="6"/>
        <v>45508</v>
      </c>
      <c r="B128" s="167">
        <f>YEAR(Table7[[#This Row],[Date]])+IF(MONTH(Table7[[#This Row],[Date]])&gt;=4,1,0)</f>
        <v>2025</v>
      </c>
      <c r="C128" s="167">
        <f>YEAR(Table7[[#This Row],[Date]])</f>
        <v>2024</v>
      </c>
      <c r="D128" s="168">
        <f t="shared" si="4"/>
        <v>45505</v>
      </c>
      <c r="AE128" s="167">
        <f t="shared" si="5"/>
        <v>0</v>
      </c>
    </row>
    <row r="129" spans="1:31">
      <c r="A129" s="197">
        <f t="shared" si="6"/>
        <v>45509</v>
      </c>
      <c r="B129" s="167">
        <f>YEAR(Table7[[#This Row],[Date]])+IF(MONTH(Table7[[#This Row],[Date]])&gt;=4,1,0)</f>
        <v>2025</v>
      </c>
      <c r="C129" s="167">
        <f>YEAR(Table7[[#This Row],[Date]])</f>
        <v>2024</v>
      </c>
      <c r="D129" s="168">
        <f t="shared" si="4"/>
        <v>45505</v>
      </c>
      <c r="AE129" s="167">
        <f t="shared" si="5"/>
        <v>0</v>
      </c>
    </row>
    <row r="130" spans="1:31">
      <c r="A130" s="197">
        <f t="shared" si="6"/>
        <v>45510</v>
      </c>
      <c r="B130" s="167">
        <f>YEAR(Table7[[#This Row],[Date]])+IF(MONTH(Table7[[#This Row],[Date]])&gt;=4,1,0)</f>
        <v>2025</v>
      </c>
      <c r="C130" s="167">
        <f>YEAR(Table7[[#This Row],[Date]])</f>
        <v>2024</v>
      </c>
      <c r="D130" s="168">
        <f t="shared" si="4"/>
        <v>45505</v>
      </c>
      <c r="AE130" s="167">
        <f t="shared" si="5"/>
        <v>0</v>
      </c>
    </row>
    <row r="131" spans="1:31">
      <c r="A131" s="197">
        <f t="shared" si="6"/>
        <v>45511</v>
      </c>
      <c r="B131" s="167">
        <f>YEAR(Table7[[#This Row],[Date]])+IF(MONTH(Table7[[#This Row],[Date]])&gt;=4,1,0)</f>
        <v>2025</v>
      </c>
      <c r="C131" s="167">
        <f>YEAR(Table7[[#This Row],[Date]])</f>
        <v>2024</v>
      </c>
      <c r="D131" s="168">
        <f t="shared" ref="D131:D194" si="7">A131-DAY(A131)+1</f>
        <v>45505</v>
      </c>
      <c r="AE131" s="167">
        <f t="shared" ref="AE131:AE194" si="8">SUM(E131:AD131)</f>
        <v>0</v>
      </c>
    </row>
    <row r="132" spans="1:31">
      <c r="A132" s="197">
        <f t="shared" si="6"/>
        <v>45512</v>
      </c>
      <c r="B132" s="167">
        <f>YEAR(Table7[[#This Row],[Date]])+IF(MONTH(Table7[[#This Row],[Date]])&gt;=4,1,0)</f>
        <v>2025</v>
      </c>
      <c r="C132" s="167">
        <f>YEAR(Table7[[#This Row],[Date]])</f>
        <v>2024</v>
      </c>
      <c r="D132" s="168">
        <f t="shared" si="7"/>
        <v>45505</v>
      </c>
      <c r="AE132" s="167">
        <f t="shared" si="8"/>
        <v>0</v>
      </c>
    </row>
    <row r="133" spans="1:31">
      <c r="A133" s="197">
        <f t="shared" ref="A133:A196" si="9">A132+1</f>
        <v>45513</v>
      </c>
      <c r="B133" s="167">
        <f>YEAR(Table7[[#This Row],[Date]])+IF(MONTH(Table7[[#This Row],[Date]])&gt;=4,1,0)</f>
        <v>2025</v>
      </c>
      <c r="C133" s="167">
        <f>YEAR(Table7[[#This Row],[Date]])</f>
        <v>2024</v>
      </c>
      <c r="D133" s="168">
        <f t="shared" si="7"/>
        <v>45505</v>
      </c>
      <c r="AE133" s="167">
        <f t="shared" si="8"/>
        <v>0</v>
      </c>
    </row>
    <row r="134" spans="1:31">
      <c r="A134" s="197">
        <f t="shared" si="9"/>
        <v>45514</v>
      </c>
      <c r="B134" s="167">
        <f>YEAR(Table7[[#This Row],[Date]])+IF(MONTH(Table7[[#This Row],[Date]])&gt;=4,1,0)</f>
        <v>2025</v>
      </c>
      <c r="C134" s="167">
        <f>YEAR(Table7[[#This Row],[Date]])</f>
        <v>2024</v>
      </c>
      <c r="D134" s="168">
        <f t="shared" si="7"/>
        <v>45505</v>
      </c>
      <c r="AE134" s="167">
        <f t="shared" si="8"/>
        <v>0</v>
      </c>
    </row>
    <row r="135" spans="1:31">
      <c r="A135" s="197">
        <f t="shared" si="9"/>
        <v>45515</v>
      </c>
      <c r="B135" s="167">
        <f>YEAR(Table7[[#This Row],[Date]])+IF(MONTH(Table7[[#This Row],[Date]])&gt;=4,1,0)</f>
        <v>2025</v>
      </c>
      <c r="C135" s="167">
        <f>YEAR(Table7[[#This Row],[Date]])</f>
        <v>2024</v>
      </c>
      <c r="D135" s="168">
        <f t="shared" si="7"/>
        <v>45505</v>
      </c>
      <c r="AE135" s="167">
        <f t="shared" si="8"/>
        <v>0</v>
      </c>
    </row>
    <row r="136" spans="1:31">
      <c r="A136" s="197">
        <f t="shared" si="9"/>
        <v>45516</v>
      </c>
      <c r="B136" s="167">
        <f>YEAR(Table7[[#This Row],[Date]])+IF(MONTH(Table7[[#This Row],[Date]])&gt;=4,1,0)</f>
        <v>2025</v>
      </c>
      <c r="C136" s="167">
        <f>YEAR(Table7[[#This Row],[Date]])</f>
        <v>2024</v>
      </c>
      <c r="D136" s="168">
        <f t="shared" si="7"/>
        <v>45505</v>
      </c>
      <c r="AE136" s="167">
        <f t="shared" si="8"/>
        <v>0</v>
      </c>
    </row>
    <row r="137" spans="1:31">
      <c r="A137" s="197">
        <f t="shared" si="9"/>
        <v>45517</v>
      </c>
      <c r="B137" s="167">
        <f>YEAR(Table7[[#This Row],[Date]])+IF(MONTH(Table7[[#This Row],[Date]])&gt;=4,1,0)</f>
        <v>2025</v>
      </c>
      <c r="C137" s="167">
        <f>YEAR(Table7[[#This Row],[Date]])</f>
        <v>2024</v>
      </c>
      <c r="D137" s="168">
        <f t="shared" si="7"/>
        <v>45505</v>
      </c>
      <c r="AE137" s="167">
        <f t="shared" si="8"/>
        <v>0</v>
      </c>
    </row>
    <row r="138" spans="1:31">
      <c r="A138" s="197">
        <f t="shared" si="9"/>
        <v>45518</v>
      </c>
      <c r="B138" s="167">
        <f>YEAR(Table7[[#This Row],[Date]])+IF(MONTH(Table7[[#This Row],[Date]])&gt;=4,1,0)</f>
        <v>2025</v>
      </c>
      <c r="C138" s="167">
        <f>YEAR(Table7[[#This Row],[Date]])</f>
        <v>2024</v>
      </c>
      <c r="D138" s="168">
        <f t="shared" si="7"/>
        <v>45505</v>
      </c>
      <c r="AE138" s="167">
        <f t="shared" si="8"/>
        <v>0</v>
      </c>
    </row>
    <row r="139" spans="1:31">
      <c r="A139" s="197">
        <f t="shared" si="9"/>
        <v>45519</v>
      </c>
      <c r="B139" s="167">
        <f>YEAR(Table7[[#This Row],[Date]])+IF(MONTH(Table7[[#This Row],[Date]])&gt;=4,1,0)</f>
        <v>2025</v>
      </c>
      <c r="C139" s="167">
        <f>YEAR(Table7[[#This Row],[Date]])</f>
        <v>2024</v>
      </c>
      <c r="D139" s="168">
        <f t="shared" si="7"/>
        <v>45505</v>
      </c>
      <c r="AE139" s="167">
        <f t="shared" si="8"/>
        <v>0</v>
      </c>
    </row>
    <row r="140" spans="1:31">
      <c r="A140" s="197">
        <f t="shared" si="9"/>
        <v>45520</v>
      </c>
      <c r="B140" s="167">
        <f>YEAR(Table7[[#This Row],[Date]])+IF(MONTH(Table7[[#This Row],[Date]])&gt;=4,1,0)</f>
        <v>2025</v>
      </c>
      <c r="C140" s="167">
        <f>YEAR(Table7[[#This Row],[Date]])</f>
        <v>2024</v>
      </c>
      <c r="D140" s="168">
        <f t="shared" si="7"/>
        <v>45505</v>
      </c>
      <c r="AE140" s="167">
        <f t="shared" si="8"/>
        <v>0</v>
      </c>
    </row>
    <row r="141" spans="1:31">
      <c r="A141" s="197">
        <f t="shared" si="9"/>
        <v>45521</v>
      </c>
      <c r="B141" s="167">
        <f>YEAR(Table7[[#This Row],[Date]])+IF(MONTH(Table7[[#This Row],[Date]])&gt;=4,1,0)</f>
        <v>2025</v>
      </c>
      <c r="C141" s="167">
        <f>YEAR(Table7[[#This Row],[Date]])</f>
        <v>2024</v>
      </c>
      <c r="D141" s="168">
        <f t="shared" si="7"/>
        <v>45505</v>
      </c>
      <c r="AE141" s="167">
        <f t="shared" si="8"/>
        <v>0</v>
      </c>
    </row>
    <row r="142" spans="1:31">
      <c r="A142" s="197">
        <f t="shared" si="9"/>
        <v>45522</v>
      </c>
      <c r="B142" s="167">
        <f>YEAR(Table7[[#This Row],[Date]])+IF(MONTH(Table7[[#This Row],[Date]])&gt;=4,1,0)</f>
        <v>2025</v>
      </c>
      <c r="C142" s="167">
        <f>YEAR(Table7[[#This Row],[Date]])</f>
        <v>2024</v>
      </c>
      <c r="D142" s="168">
        <f t="shared" si="7"/>
        <v>45505</v>
      </c>
      <c r="AE142" s="167">
        <f t="shared" si="8"/>
        <v>0</v>
      </c>
    </row>
    <row r="143" spans="1:31">
      <c r="A143" s="197">
        <f t="shared" si="9"/>
        <v>45523</v>
      </c>
      <c r="B143" s="167">
        <f>YEAR(Table7[[#This Row],[Date]])+IF(MONTH(Table7[[#This Row],[Date]])&gt;=4,1,0)</f>
        <v>2025</v>
      </c>
      <c r="C143" s="167">
        <f>YEAR(Table7[[#This Row],[Date]])</f>
        <v>2024</v>
      </c>
      <c r="D143" s="168">
        <f t="shared" si="7"/>
        <v>45505</v>
      </c>
      <c r="AE143" s="167">
        <f t="shared" si="8"/>
        <v>0</v>
      </c>
    </row>
    <row r="144" spans="1:31">
      <c r="A144" s="197">
        <f t="shared" si="9"/>
        <v>45524</v>
      </c>
      <c r="B144" s="167">
        <f>YEAR(Table7[[#This Row],[Date]])+IF(MONTH(Table7[[#This Row],[Date]])&gt;=4,1,0)</f>
        <v>2025</v>
      </c>
      <c r="C144" s="167">
        <f>YEAR(Table7[[#This Row],[Date]])</f>
        <v>2024</v>
      </c>
      <c r="D144" s="168">
        <f t="shared" si="7"/>
        <v>45505</v>
      </c>
      <c r="AE144" s="167">
        <f t="shared" si="8"/>
        <v>0</v>
      </c>
    </row>
    <row r="145" spans="1:31">
      <c r="A145" s="197">
        <f t="shared" si="9"/>
        <v>45525</v>
      </c>
      <c r="B145" s="167">
        <f>YEAR(Table7[[#This Row],[Date]])+IF(MONTH(Table7[[#This Row],[Date]])&gt;=4,1,0)</f>
        <v>2025</v>
      </c>
      <c r="C145" s="167">
        <f>YEAR(Table7[[#This Row],[Date]])</f>
        <v>2024</v>
      </c>
      <c r="D145" s="168">
        <f t="shared" si="7"/>
        <v>45505</v>
      </c>
      <c r="AE145" s="167">
        <f t="shared" si="8"/>
        <v>0</v>
      </c>
    </row>
    <row r="146" spans="1:31">
      <c r="A146" s="197">
        <f t="shared" si="9"/>
        <v>45526</v>
      </c>
      <c r="B146" s="167">
        <f>YEAR(Table7[[#This Row],[Date]])+IF(MONTH(Table7[[#This Row],[Date]])&gt;=4,1,0)</f>
        <v>2025</v>
      </c>
      <c r="C146" s="167">
        <f>YEAR(Table7[[#This Row],[Date]])</f>
        <v>2024</v>
      </c>
      <c r="D146" s="168">
        <f t="shared" si="7"/>
        <v>45505</v>
      </c>
      <c r="AE146" s="167">
        <f t="shared" si="8"/>
        <v>0</v>
      </c>
    </row>
    <row r="147" spans="1:31">
      <c r="A147" s="197">
        <f t="shared" si="9"/>
        <v>45527</v>
      </c>
      <c r="B147" s="167">
        <f>YEAR(Table7[[#This Row],[Date]])+IF(MONTH(Table7[[#This Row],[Date]])&gt;=4,1,0)</f>
        <v>2025</v>
      </c>
      <c r="C147" s="167">
        <f>YEAR(Table7[[#This Row],[Date]])</f>
        <v>2024</v>
      </c>
      <c r="D147" s="168">
        <f t="shared" si="7"/>
        <v>45505</v>
      </c>
      <c r="AE147" s="167">
        <f t="shared" si="8"/>
        <v>0</v>
      </c>
    </row>
    <row r="148" spans="1:31">
      <c r="A148" s="197">
        <f t="shared" si="9"/>
        <v>45528</v>
      </c>
      <c r="B148" s="167">
        <f>YEAR(Table7[[#This Row],[Date]])+IF(MONTH(Table7[[#This Row],[Date]])&gt;=4,1,0)</f>
        <v>2025</v>
      </c>
      <c r="C148" s="167">
        <f>YEAR(Table7[[#This Row],[Date]])</f>
        <v>2024</v>
      </c>
      <c r="D148" s="168">
        <f t="shared" si="7"/>
        <v>45505</v>
      </c>
      <c r="AE148" s="167">
        <f t="shared" si="8"/>
        <v>0</v>
      </c>
    </row>
    <row r="149" spans="1:31">
      <c r="A149" s="197">
        <f t="shared" si="9"/>
        <v>45529</v>
      </c>
      <c r="B149" s="167">
        <f>YEAR(Table7[[#This Row],[Date]])+IF(MONTH(Table7[[#This Row],[Date]])&gt;=4,1,0)</f>
        <v>2025</v>
      </c>
      <c r="C149" s="167">
        <f>YEAR(Table7[[#This Row],[Date]])</f>
        <v>2024</v>
      </c>
      <c r="D149" s="168">
        <f t="shared" si="7"/>
        <v>45505</v>
      </c>
      <c r="AE149" s="167">
        <f t="shared" si="8"/>
        <v>0</v>
      </c>
    </row>
    <row r="150" spans="1:31">
      <c r="A150" s="197">
        <f t="shared" si="9"/>
        <v>45530</v>
      </c>
      <c r="B150" s="167">
        <f>YEAR(Table7[[#This Row],[Date]])+IF(MONTH(Table7[[#This Row],[Date]])&gt;=4,1,0)</f>
        <v>2025</v>
      </c>
      <c r="C150" s="167">
        <f>YEAR(Table7[[#This Row],[Date]])</f>
        <v>2024</v>
      </c>
      <c r="D150" s="168">
        <f t="shared" si="7"/>
        <v>45505</v>
      </c>
      <c r="AE150" s="167">
        <f t="shared" si="8"/>
        <v>0</v>
      </c>
    </row>
    <row r="151" spans="1:31">
      <c r="A151" s="197">
        <f t="shared" si="9"/>
        <v>45531</v>
      </c>
      <c r="B151" s="167">
        <f>YEAR(Table7[[#This Row],[Date]])+IF(MONTH(Table7[[#This Row],[Date]])&gt;=4,1,0)</f>
        <v>2025</v>
      </c>
      <c r="C151" s="167">
        <f>YEAR(Table7[[#This Row],[Date]])</f>
        <v>2024</v>
      </c>
      <c r="D151" s="168">
        <f t="shared" si="7"/>
        <v>45505</v>
      </c>
      <c r="AE151" s="167">
        <f t="shared" si="8"/>
        <v>0</v>
      </c>
    </row>
    <row r="152" spans="1:31">
      <c r="A152" s="197">
        <f t="shared" si="9"/>
        <v>45532</v>
      </c>
      <c r="B152" s="167">
        <f>YEAR(Table7[[#This Row],[Date]])+IF(MONTH(Table7[[#This Row],[Date]])&gt;=4,1,0)</f>
        <v>2025</v>
      </c>
      <c r="C152" s="167">
        <f>YEAR(Table7[[#This Row],[Date]])</f>
        <v>2024</v>
      </c>
      <c r="D152" s="168">
        <f t="shared" si="7"/>
        <v>45505</v>
      </c>
      <c r="AE152" s="167">
        <f t="shared" si="8"/>
        <v>0</v>
      </c>
    </row>
    <row r="153" spans="1:31">
      <c r="A153" s="197">
        <f t="shared" si="9"/>
        <v>45533</v>
      </c>
      <c r="B153" s="167">
        <f>YEAR(Table7[[#This Row],[Date]])+IF(MONTH(Table7[[#This Row],[Date]])&gt;=4,1,0)</f>
        <v>2025</v>
      </c>
      <c r="C153" s="167">
        <f>YEAR(Table7[[#This Row],[Date]])</f>
        <v>2024</v>
      </c>
      <c r="D153" s="168">
        <f t="shared" si="7"/>
        <v>45505</v>
      </c>
      <c r="AE153" s="167">
        <f t="shared" si="8"/>
        <v>0</v>
      </c>
    </row>
    <row r="154" spans="1:31">
      <c r="A154" s="197">
        <f t="shared" si="9"/>
        <v>45534</v>
      </c>
      <c r="B154" s="167">
        <f>YEAR(Table7[[#This Row],[Date]])+IF(MONTH(Table7[[#This Row],[Date]])&gt;=4,1,0)</f>
        <v>2025</v>
      </c>
      <c r="C154" s="167">
        <f>YEAR(Table7[[#This Row],[Date]])</f>
        <v>2024</v>
      </c>
      <c r="D154" s="168">
        <f t="shared" si="7"/>
        <v>45505</v>
      </c>
      <c r="AE154" s="167">
        <f t="shared" si="8"/>
        <v>0</v>
      </c>
    </row>
    <row r="155" spans="1:31">
      <c r="A155" s="197">
        <f t="shared" si="9"/>
        <v>45535</v>
      </c>
      <c r="B155" s="167">
        <f>YEAR(Table7[[#This Row],[Date]])+IF(MONTH(Table7[[#This Row],[Date]])&gt;=4,1,0)</f>
        <v>2025</v>
      </c>
      <c r="C155" s="167">
        <f>YEAR(Table7[[#This Row],[Date]])</f>
        <v>2024</v>
      </c>
      <c r="D155" s="168">
        <f t="shared" si="7"/>
        <v>45505</v>
      </c>
      <c r="AE155" s="167">
        <f t="shared" si="8"/>
        <v>0</v>
      </c>
    </row>
    <row r="156" spans="1:31">
      <c r="A156" s="197">
        <f t="shared" si="9"/>
        <v>45536</v>
      </c>
      <c r="B156" s="167">
        <f>YEAR(Table7[[#This Row],[Date]])+IF(MONTH(Table7[[#This Row],[Date]])&gt;=4,1,0)</f>
        <v>2025</v>
      </c>
      <c r="C156" s="167">
        <f>YEAR(Table7[[#This Row],[Date]])</f>
        <v>2024</v>
      </c>
      <c r="D156" s="168">
        <f t="shared" si="7"/>
        <v>45536</v>
      </c>
      <c r="AE156" s="167">
        <f t="shared" si="8"/>
        <v>0</v>
      </c>
    </row>
    <row r="157" spans="1:31">
      <c r="A157" s="197">
        <f t="shared" si="9"/>
        <v>45537</v>
      </c>
      <c r="B157" s="167">
        <f>YEAR(Table7[[#This Row],[Date]])+IF(MONTH(Table7[[#This Row],[Date]])&gt;=4,1,0)</f>
        <v>2025</v>
      </c>
      <c r="C157" s="167">
        <f>YEAR(Table7[[#This Row],[Date]])</f>
        <v>2024</v>
      </c>
      <c r="D157" s="168">
        <f t="shared" si="7"/>
        <v>45536</v>
      </c>
      <c r="AE157" s="167">
        <f t="shared" si="8"/>
        <v>0</v>
      </c>
    </row>
    <row r="158" spans="1:31">
      <c r="A158" s="197">
        <f t="shared" si="9"/>
        <v>45538</v>
      </c>
      <c r="B158" s="167">
        <f>YEAR(Table7[[#This Row],[Date]])+IF(MONTH(Table7[[#This Row],[Date]])&gt;=4,1,0)</f>
        <v>2025</v>
      </c>
      <c r="C158" s="167">
        <f>YEAR(Table7[[#This Row],[Date]])</f>
        <v>2024</v>
      </c>
      <c r="D158" s="168">
        <f t="shared" si="7"/>
        <v>45536</v>
      </c>
      <c r="AE158" s="167">
        <f t="shared" si="8"/>
        <v>0</v>
      </c>
    </row>
    <row r="159" spans="1:31">
      <c r="A159" s="197">
        <f t="shared" si="9"/>
        <v>45539</v>
      </c>
      <c r="B159" s="167">
        <f>YEAR(Table7[[#This Row],[Date]])+IF(MONTH(Table7[[#This Row],[Date]])&gt;=4,1,0)</f>
        <v>2025</v>
      </c>
      <c r="C159" s="167">
        <f>YEAR(Table7[[#This Row],[Date]])</f>
        <v>2024</v>
      </c>
      <c r="D159" s="168">
        <f t="shared" si="7"/>
        <v>45536</v>
      </c>
      <c r="AE159" s="167">
        <f t="shared" si="8"/>
        <v>0</v>
      </c>
    </row>
    <row r="160" spans="1:31">
      <c r="A160" s="197">
        <f t="shared" si="9"/>
        <v>45540</v>
      </c>
      <c r="B160" s="167">
        <f>YEAR(Table7[[#This Row],[Date]])+IF(MONTH(Table7[[#This Row],[Date]])&gt;=4,1,0)</f>
        <v>2025</v>
      </c>
      <c r="C160" s="167">
        <f>YEAR(Table7[[#This Row],[Date]])</f>
        <v>2024</v>
      </c>
      <c r="D160" s="168">
        <f t="shared" si="7"/>
        <v>45536</v>
      </c>
      <c r="AE160" s="167">
        <f t="shared" si="8"/>
        <v>0</v>
      </c>
    </row>
    <row r="161" spans="1:31">
      <c r="A161" s="197">
        <f t="shared" si="9"/>
        <v>45541</v>
      </c>
      <c r="B161" s="167">
        <f>YEAR(Table7[[#This Row],[Date]])+IF(MONTH(Table7[[#This Row],[Date]])&gt;=4,1,0)</f>
        <v>2025</v>
      </c>
      <c r="C161" s="167">
        <f>YEAR(Table7[[#This Row],[Date]])</f>
        <v>2024</v>
      </c>
      <c r="D161" s="168">
        <f t="shared" si="7"/>
        <v>45536</v>
      </c>
      <c r="AE161" s="167">
        <f t="shared" si="8"/>
        <v>0</v>
      </c>
    </row>
    <row r="162" spans="1:31">
      <c r="A162" s="197">
        <f t="shared" si="9"/>
        <v>45542</v>
      </c>
      <c r="B162" s="167">
        <f>YEAR(Table7[[#This Row],[Date]])+IF(MONTH(Table7[[#This Row],[Date]])&gt;=4,1,0)</f>
        <v>2025</v>
      </c>
      <c r="C162" s="167">
        <f>YEAR(Table7[[#This Row],[Date]])</f>
        <v>2024</v>
      </c>
      <c r="D162" s="168">
        <f t="shared" si="7"/>
        <v>45536</v>
      </c>
      <c r="AE162" s="167">
        <f t="shared" si="8"/>
        <v>0</v>
      </c>
    </row>
    <row r="163" spans="1:31">
      <c r="A163" s="197">
        <f t="shared" si="9"/>
        <v>45543</v>
      </c>
      <c r="B163" s="167">
        <f>YEAR(Table7[[#This Row],[Date]])+IF(MONTH(Table7[[#This Row],[Date]])&gt;=4,1,0)</f>
        <v>2025</v>
      </c>
      <c r="C163" s="167">
        <f>YEAR(Table7[[#This Row],[Date]])</f>
        <v>2024</v>
      </c>
      <c r="D163" s="168">
        <f t="shared" si="7"/>
        <v>45536</v>
      </c>
      <c r="AE163" s="167">
        <f t="shared" si="8"/>
        <v>0</v>
      </c>
    </row>
    <row r="164" spans="1:31">
      <c r="A164" s="197">
        <f t="shared" si="9"/>
        <v>45544</v>
      </c>
      <c r="B164" s="167">
        <f>YEAR(Table7[[#This Row],[Date]])+IF(MONTH(Table7[[#This Row],[Date]])&gt;=4,1,0)</f>
        <v>2025</v>
      </c>
      <c r="C164" s="167">
        <f>YEAR(Table7[[#This Row],[Date]])</f>
        <v>2024</v>
      </c>
      <c r="D164" s="168">
        <f t="shared" si="7"/>
        <v>45536</v>
      </c>
      <c r="AE164" s="167">
        <f t="shared" si="8"/>
        <v>0</v>
      </c>
    </row>
    <row r="165" spans="1:31">
      <c r="A165" s="197">
        <f t="shared" si="9"/>
        <v>45545</v>
      </c>
      <c r="B165" s="167">
        <f>YEAR(Table7[[#This Row],[Date]])+IF(MONTH(Table7[[#This Row],[Date]])&gt;=4,1,0)</f>
        <v>2025</v>
      </c>
      <c r="C165" s="167">
        <f>YEAR(Table7[[#This Row],[Date]])</f>
        <v>2024</v>
      </c>
      <c r="D165" s="168">
        <f t="shared" si="7"/>
        <v>45536</v>
      </c>
      <c r="AE165" s="167">
        <f t="shared" si="8"/>
        <v>0</v>
      </c>
    </row>
    <row r="166" spans="1:31">
      <c r="A166" s="197">
        <f t="shared" si="9"/>
        <v>45546</v>
      </c>
      <c r="B166" s="167">
        <f>YEAR(Table7[[#This Row],[Date]])+IF(MONTH(Table7[[#This Row],[Date]])&gt;=4,1,0)</f>
        <v>2025</v>
      </c>
      <c r="C166" s="167">
        <f>YEAR(Table7[[#This Row],[Date]])</f>
        <v>2024</v>
      </c>
      <c r="D166" s="168">
        <f t="shared" si="7"/>
        <v>45536</v>
      </c>
      <c r="AE166" s="167">
        <f t="shared" si="8"/>
        <v>0</v>
      </c>
    </row>
    <row r="167" spans="1:31">
      <c r="A167" s="197">
        <f t="shared" si="9"/>
        <v>45547</v>
      </c>
      <c r="B167" s="167">
        <f>YEAR(Table7[[#This Row],[Date]])+IF(MONTH(Table7[[#This Row],[Date]])&gt;=4,1,0)</f>
        <v>2025</v>
      </c>
      <c r="C167" s="167">
        <f>YEAR(Table7[[#This Row],[Date]])</f>
        <v>2024</v>
      </c>
      <c r="D167" s="168">
        <f t="shared" si="7"/>
        <v>45536</v>
      </c>
      <c r="AE167" s="167">
        <f t="shared" si="8"/>
        <v>0</v>
      </c>
    </row>
    <row r="168" spans="1:31">
      <c r="A168" s="197">
        <f t="shared" si="9"/>
        <v>45548</v>
      </c>
      <c r="B168" s="167">
        <f>YEAR(Table7[[#This Row],[Date]])+IF(MONTH(Table7[[#This Row],[Date]])&gt;=4,1,0)</f>
        <v>2025</v>
      </c>
      <c r="C168" s="167">
        <f>YEAR(Table7[[#This Row],[Date]])</f>
        <v>2024</v>
      </c>
      <c r="D168" s="168">
        <f t="shared" si="7"/>
        <v>45536</v>
      </c>
      <c r="AE168" s="167">
        <f t="shared" si="8"/>
        <v>0</v>
      </c>
    </row>
    <row r="169" spans="1:31">
      <c r="A169" s="197">
        <f t="shared" si="9"/>
        <v>45549</v>
      </c>
      <c r="B169" s="167">
        <f>YEAR(Table7[[#This Row],[Date]])+IF(MONTH(Table7[[#This Row],[Date]])&gt;=4,1,0)</f>
        <v>2025</v>
      </c>
      <c r="C169" s="167">
        <f>YEAR(Table7[[#This Row],[Date]])</f>
        <v>2024</v>
      </c>
      <c r="D169" s="168">
        <f t="shared" si="7"/>
        <v>45536</v>
      </c>
      <c r="AE169" s="167">
        <f t="shared" si="8"/>
        <v>0</v>
      </c>
    </row>
    <row r="170" spans="1:31">
      <c r="A170" s="197">
        <f t="shared" si="9"/>
        <v>45550</v>
      </c>
      <c r="B170" s="167">
        <f>YEAR(Table7[[#This Row],[Date]])+IF(MONTH(Table7[[#This Row],[Date]])&gt;=4,1,0)</f>
        <v>2025</v>
      </c>
      <c r="C170" s="167">
        <f>YEAR(Table7[[#This Row],[Date]])</f>
        <v>2024</v>
      </c>
      <c r="D170" s="168">
        <f t="shared" si="7"/>
        <v>45536</v>
      </c>
      <c r="AE170" s="167">
        <f t="shared" si="8"/>
        <v>0</v>
      </c>
    </row>
    <row r="171" spans="1:31">
      <c r="A171" s="197">
        <f t="shared" si="9"/>
        <v>45551</v>
      </c>
      <c r="B171" s="167">
        <f>YEAR(Table7[[#This Row],[Date]])+IF(MONTH(Table7[[#This Row],[Date]])&gt;=4,1,0)</f>
        <v>2025</v>
      </c>
      <c r="C171" s="167">
        <f>YEAR(Table7[[#This Row],[Date]])</f>
        <v>2024</v>
      </c>
      <c r="D171" s="168">
        <f t="shared" si="7"/>
        <v>45536</v>
      </c>
      <c r="AE171" s="167">
        <f t="shared" si="8"/>
        <v>0</v>
      </c>
    </row>
    <row r="172" spans="1:31">
      <c r="A172" s="197">
        <f t="shared" si="9"/>
        <v>45552</v>
      </c>
      <c r="B172" s="167">
        <f>YEAR(Table7[[#This Row],[Date]])+IF(MONTH(Table7[[#This Row],[Date]])&gt;=4,1,0)</f>
        <v>2025</v>
      </c>
      <c r="C172" s="167">
        <f>YEAR(Table7[[#This Row],[Date]])</f>
        <v>2024</v>
      </c>
      <c r="D172" s="168">
        <f t="shared" si="7"/>
        <v>45536</v>
      </c>
      <c r="AE172" s="167">
        <f t="shared" si="8"/>
        <v>0</v>
      </c>
    </row>
    <row r="173" spans="1:31">
      <c r="A173" s="197">
        <f t="shared" si="9"/>
        <v>45553</v>
      </c>
      <c r="B173" s="167">
        <f>YEAR(Table7[[#This Row],[Date]])+IF(MONTH(Table7[[#This Row],[Date]])&gt;=4,1,0)</f>
        <v>2025</v>
      </c>
      <c r="C173" s="167">
        <f>YEAR(Table7[[#This Row],[Date]])</f>
        <v>2024</v>
      </c>
      <c r="D173" s="168">
        <f t="shared" si="7"/>
        <v>45536</v>
      </c>
      <c r="AE173" s="167">
        <f t="shared" si="8"/>
        <v>0</v>
      </c>
    </row>
    <row r="174" spans="1:31">
      <c r="A174" s="197">
        <f t="shared" si="9"/>
        <v>45554</v>
      </c>
      <c r="B174" s="167">
        <f>YEAR(Table7[[#This Row],[Date]])+IF(MONTH(Table7[[#This Row],[Date]])&gt;=4,1,0)</f>
        <v>2025</v>
      </c>
      <c r="C174" s="167">
        <f>YEAR(Table7[[#This Row],[Date]])</f>
        <v>2024</v>
      </c>
      <c r="D174" s="168">
        <f t="shared" si="7"/>
        <v>45536</v>
      </c>
      <c r="AE174" s="167">
        <f t="shared" si="8"/>
        <v>0</v>
      </c>
    </row>
    <row r="175" spans="1:31">
      <c r="A175" s="197">
        <f t="shared" si="9"/>
        <v>45555</v>
      </c>
      <c r="B175" s="167">
        <f>YEAR(Table7[[#This Row],[Date]])+IF(MONTH(Table7[[#This Row],[Date]])&gt;=4,1,0)</f>
        <v>2025</v>
      </c>
      <c r="C175" s="167">
        <f>YEAR(Table7[[#This Row],[Date]])</f>
        <v>2024</v>
      </c>
      <c r="D175" s="168">
        <f t="shared" si="7"/>
        <v>45536</v>
      </c>
      <c r="AE175" s="167">
        <f t="shared" si="8"/>
        <v>0</v>
      </c>
    </row>
    <row r="176" spans="1:31">
      <c r="A176" s="197">
        <f t="shared" si="9"/>
        <v>45556</v>
      </c>
      <c r="B176" s="167">
        <f>YEAR(Table7[[#This Row],[Date]])+IF(MONTH(Table7[[#This Row],[Date]])&gt;=4,1,0)</f>
        <v>2025</v>
      </c>
      <c r="C176" s="167">
        <f>YEAR(Table7[[#This Row],[Date]])</f>
        <v>2024</v>
      </c>
      <c r="D176" s="168">
        <f t="shared" si="7"/>
        <v>45536</v>
      </c>
      <c r="AE176" s="167">
        <f t="shared" si="8"/>
        <v>0</v>
      </c>
    </row>
    <row r="177" spans="1:31">
      <c r="A177" s="197">
        <f t="shared" si="9"/>
        <v>45557</v>
      </c>
      <c r="B177" s="167">
        <f>YEAR(Table7[[#This Row],[Date]])+IF(MONTH(Table7[[#This Row],[Date]])&gt;=4,1,0)</f>
        <v>2025</v>
      </c>
      <c r="C177" s="167">
        <f>YEAR(Table7[[#This Row],[Date]])</f>
        <v>2024</v>
      </c>
      <c r="D177" s="168">
        <f t="shared" si="7"/>
        <v>45536</v>
      </c>
      <c r="AE177" s="167">
        <f t="shared" si="8"/>
        <v>0</v>
      </c>
    </row>
    <row r="178" spans="1:31">
      <c r="A178" s="197">
        <f t="shared" si="9"/>
        <v>45558</v>
      </c>
      <c r="B178" s="167">
        <f>YEAR(Table7[[#This Row],[Date]])+IF(MONTH(Table7[[#This Row],[Date]])&gt;=4,1,0)</f>
        <v>2025</v>
      </c>
      <c r="C178" s="167">
        <f>YEAR(Table7[[#This Row],[Date]])</f>
        <v>2024</v>
      </c>
      <c r="D178" s="168">
        <f t="shared" si="7"/>
        <v>45536</v>
      </c>
      <c r="AE178" s="167">
        <f t="shared" si="8"/>
        <v>0</v>
      </c>
    </row>
    <row r="179" spans="1:31">
      <c r="A179" s="197">
        <f t="shared" si="9"/>
        <v>45559</v>
      </c>
      <c r="B179" s="167">
        <f>YEAR(Table7[[#This Row],[Date]])+IF(MONTH(Table7[[#This Row],[Date]])&gt;=4,1,0)</f>
        <v>2025</v>
      </c>
      <c r="C179" s="167">
        <f>YEAR(Table7[[#This Row],[Date]])</f>
        <v>2024</v>
      </c>
      <c r="D179" s="168">
        <f t="shared" si="7"/>
        <v>45536</v>
      </c>
      <c r="AE179" s="167">
        <f t="shared" si="8"/>
        <v>0</v>
      </c>
    </row>
    <row r="180" spans="1:31">
      <c r="A180" s="197">
        <f t="shared" si="9"/>
        <v>45560</v>
      </c>
      <c r="B180" s="167">
        <f>YEAR(Table7[[#This Row],[Date]])+IF(MONTH(Table7[[#This Row],[Date]])&gt;=4,1,0)</f>
        <v>2025</v>
      </c>
      <c r="C180" s="167">
        <f>YEAR(Table7[[#This Row],[Date]])</f>
        <v>2024</v>
      </c>
      <c r="D180" s="168">
        <f t="shared" si="7"/>
        <v>45536</v>
      </c>
      <c r="AE180" s="167">
        <f t="shared" si="8"/>
        <v>0</v>
      </c>
    </row>
    <row r="181" spans="1:31">
      <c r="A181" s="197">
        <f t="shared" si="9"/>
        <v>45561</v>
      </c>
      <c r="B181" s="167">
        <f>YEAR(Table7[[#This Row],[Date]])+IF(MONTH(Table7[[#This Row],[Date]])&gt;=4,1,0)</f>
        <v>2025</v>
      </c>
      <c r="C181" s="167">
        <f>YEAR(Table7[[#This Row],[Date]])</f>
        <v>2024</v>
      </c>
      <c r="D181" s="168">
        <f t="shared" si="7"/>
        <v>45536</v>
      </c>
      <c r="AE181" s="167">
        <f t="shared" si="8"/>
        <v>0</v>
      </c>
    </row>
    <row r="182" spans="1:31">
      <c r="A182" s="197">
        <f t="shared" si="9"/>
        <v>45562</v>
      </c>
      <c r="B182" s="167">
        <f>YEAR(Table7[[#This Row],[Date]])+IF(MONTH(Table7[[#This Row],[Date]])&gt;=4,1,0)</f>
        <v>2025</v>
      </c>
      <c r="C182" s="167">
        <f>YEAR(Table7[[#This Row],[Date]])</f>
        <v>2024</v>
      </c>
      <c r="D182" s="168">
        <f t="shared" si="7"/>
        <v>45536</v>
      </c>
      <c r="AE182" s="167">
        <f t="shared" si="8"/>
        <v>0</v>
      </c>
    </row>
    <row r="183" spans="1:31">
      <c r="A183" s="197">
        <f t="shared" si="9"/>
        <v>45563</v>
      </c>
      <c r="B183" s="167">
        <f>YEAR(Table7[[#This Row],[Date]])+IF(MONTH(Table7[[#This Row],[Date]])&gt;=4,1,0)</f>
        <v>2025</v>
      </c>
      <c r="C183" s="167">
        <f>YEAR(Table7[[#This Row],[Date]])</f>
        <v>2024</v>
      </c>
      <c r="D183" s="168">
        <f t="shared" si="7"/>
        <v>45536</v>
      </c>
      <c r="AE183" s="167">
        <f t="shared" si="8"/>
        <v>0</v>
      </c>
    </row>
    <row r="184" spans="1:31">
      <c r="A184" s="197">
        <f t="shared" si="9"/>
        <v>45564</v>
      </c>
      <c r="B184" s="167">
        <f>YEAR(Table7[[#This Row],[Date]])+IF(MONTH(Table7[[#This Row],[Date]])&gt;=4,1,0)</f>
        <v>2025</v>
      </c>
      <c r="C184" s="167">
        <f>YEAR(Table7[[#This Row],[Date]])</f>
        <v>2024</v>
      </c>
      <c r="D184" s="168">
        <f t="shared" si="7"/>
        <v>45536</v>
      </c>
      <c r="AE184" s="167">
        <f t="shared" si="8"/>
        <v>0</v>
      </c>
    </row>
    <row r="185" spans="1:31">
      <c r="A185" s="197">
        <f t="shared" si="9"/>
        <v>45565</v>
      </c>
      <c r="B185" s="167">
        <f>YEAR(Table7[[#This Row],[Date]])+IF(MONTH(Table7[[#This Row],[Date]])&gt;=4,1,0)</f>
        <v>2025</v>
      </c>
      <c r="C185" s="167">
        <f>YEAR(Table7[[#This Row],[Date]])</f>
        <v>2024</v>
      </c>
      <c r="D185" s="168">
        <f t="shared" si="7"/>
        <v>45536</v>
      </c>
      <c r="AE185" s="167">
        <f t="shared" si="8"/>
        <v>0</v>
      </c>
    </row>
    <row r="186" spans="1:31">
      <c r="A186" s="197">
        <f t="shared" si="9"/>
        <v>45566</v>
      </c>
      <c r="B186" s="167">
        <f>YEAR(Table7[[#This Row],[Date]])+IF(MONTH(Table7[[#This Row],[Date]])&gt;=4,1,0)</f>
        <v>2025</v>
      </c>
      <c r="C186" s="167">
        <f>YEAR(Table7[[#This Row],[Date]])</f>
        <v>2024</v>
      </c>
      <c r="D186" s="168">
        <f t="shared" si="7"/>
        <v>45566</v>
      </c>
      <c r="AE186" s="167">
        <f t="shared" si="8"/>
        <v>0</v>
      </c>
    </row>
    <row r="187" spans="1:31">
      <c r="A187" s="197">
        <f t="shared" si="9"/>
        <v>45567</v>
      </c>
      <c r="B187" s="167">
        <f>YEAR(Table7[[#This Row],[Date]])+IF(MONTH(Table7[[#This Row],[Date]])&gt;=4,1,0)</f>
        <v>2025</v>
      </c>
      <c r="C187" s="167">
        <f>YEAR(Table7[[#This Row],[Date]])</f>
        <v>2024</v>
      </c>
      <c r="D187" s="168">
        <f t="shared" si="7"/>
        <v>45566</v>
      </c>
      <c r="AE187" s="167">
        <f t="shared" si="8"/>
        <v>0</v>
      </c>
    </row>
    <row r="188" spans="1:31">
      <c r="A188" s="197">
        <f t="shared" si="9"/>
        <v>45568</v>
      </c>
      <c r="B188" s="167">
        <f>YEAR(Table7[[#This Row],[Date]])+IF(MONTH(Table7[[#This Row],[Date]])&gt;=4,1,0)</f>
        <v>2025</v>
      </c>
      <c r="C188" s="167">
        <f>YEAR(Table7[[#This Row],[Date]])</f>
        <v>2024</v>
      </c>
      <c r="D188" s="168">
        <f t="shared" si="7"/>
        <v>45566</v>
      </c>
      <c r="AE188" s="167">
        <f t="shared" si="8"/>
        <v>0</v>
      </c>
    </row>
    <row r="189" spans="1:31">
      <c r="A189" s="197">
        <f t="shared" si="9"/>
        <v>45569</v>
      </c>
      <c r="B189" s="167">
        <f>YEAR(Table7[[#This Row],[Date]])+IF(MONTH(Table7[[#This Row],[Date]])&gt;=4,1,0)</f>
        <v>2025</v>
      </c>
      <c r="C189" s="167">
        <f>YEAR(Table7[[#This Row],[Date]])</f>
        <v>2024</v>
      </c>
      <c r="D189" s="168">
        <f t="shared" si="7"/>
        <v>45566</v>
      </c>
      <c r="AE189" s="167">
        <f t="shared" si="8"/>
        <v>0</v>
      </c>
    </row>
    <row r="190" spans="1:31">
      <c r="A190" s="197">
        <f t="shared" si="9"/>
        <v>45570</v>
      </c>
      <c r="B190" s="167">
        <f>YEAR(Table7[[#This Row],[Date]])+IF(MONTH(Table7[[#This Row],[Date]])&gt;=4,1,0)</f>
        <v>2025</v>
      </c>
      <c r="C190" s="167">
        <f>YEAR(Table7[[#This Row],[Date]])</f>
        <v>2024</v>
      </c>
      <c r="D190" s="168">
        <f t="shared" si="7"/>
        <v>45566</v>
      </c>
      <c r="AE190" s="167">
        <f t="shared" si="8"/>
        <v>0</v>
      </c>
    </row>
    <row r="191" spans="1:31">
      <c r="A191" s="197">
        <f t="shared" si="9"/>
        <v>45571</v>
      </c>
      <c r="B191" s="167">
        <f>YEAR(Table7[[#This Row],[Date]])+IF(MONTH(Table7[[#This Row],[Date]])&gt;=4,1,0)</f>
        <v>2025</v>
      </c>
      <c r="C191" s="167">
        <f>YEAR(Table7[[#This Row],[Date]])</f>
        <v>2024</v>
      </c>
      <c r="D191" s="168">
        <f t="shared" si="7"/>
        <v>45566</v>
      </c>
      <c r="AE191" s="167">
        <f t="shared" si="8"/>
        <v>0</v>
      </c>
    </row>
    <row r="192" spans="1:31">
      <c r="A192" s="197">
        <f t="shared" si="9"/>
        <v>45572</v>
      </c>
      <c r="B192" s="167">
        <f>YEAR(Table7[[#This Row],[Date]])+IF(MONTH(Table7[[#This Row],[Date]])&gt;=4,1,0)</f>
        <v>2025</v>
      </c>
      <c r="C192" s="167">
        <f>YEAR(Table7[[#This Row],[Date]])</f>
        <v>2024</v>
      </c>
      <c r="D192" s="168">
        <f t="shared" si="7"/>
        <v>45566</v>
      </c>
      <c r="AE192" s="167">
        <f t="shared" si="8"/>
        <v>0</v>
      </c>
    </row>
    <row r="193" spans="1:31">
      <c r="A193" s="197">
        <f t="shared" si="9"/>
        <v>45573</v>
      </c>
      <c r="B193" s="167">
        <f>YEAR(Table7[[#This Row],[Date]])+IF(MONTH(Table7[[#This Row],[Date]])&gt;=4,1,0)</f>
        <v>2025</v>
      </c>
      <c r="C193" s="167">
        <f>YEAR(Table7[[#This Row],[Date]])</f>
        <v>2024</v>
      </c>
      <c r="D193" s="168">
        <f t="shared" si="7"/>
        <v>45566</v>
      </c>
      <c r="AE193" s="167">
        <f t="shared" si="8"/>
        <v>0</v>
      </c>
    </row>
    <row r="194" spans="1:31">
      <c r="A194" s="197">
        <f t="shared" si="9"/>
        <v>45574</v>
      </c>
      <c r="B194" s="167">
        <f>YEAR(Table7[[#This Row],[Date]])+IF(MONTH(Table7[[#This Row],[Date]])&gt;=4,1,0)</f>
        <v>2025</v>
      </c>
      <c r="C194" s="167">
        <f>YEAR(Table7[[#This Row],[Date]])</f>
        <v>2024</v>
      </c>
      <c r="D194" s="168">
        <f t="shared" si="7"/>
        <v>45566</v>
      </c>
      <c r="AE194" s="167">
        <f t="shared" si="8"/>
        <v>0</v>
      </c>
    </row>
    <row r="195" spans="1:31">
      <c r="A195" s="197">
        <f t="shared" si="9"/>
        <v>45575</v>
      </c>
      <c r="B195" s="167">
        <f>YEAR(Table7[[#This Row],[Date]])+IF(MONTH(Table7[[#This Row],[Date]])&gt;=4,1,0)</f>
        <v>2025</v>
      </c>
      <c r="C195" s="167">
        <f>YEAR(Table7[[#This Row],[Date]])</f>
        <v>2024</v>
      </c>
      <c r="D195" s="168">
        <f t="shared" ref="D195:D258" si="10">A195-DAY(A195)+1</f>
        <v>45566</v>
      </c>
      <c r="AE195" s="167">
        <f t="shared" ref="AE195:AE258" si="11">SUM(E195:AD195)</f>
        <v>0</v>
      </c>
    </row>
    <row r="196" spans="1:31">
      <c r="A196" s="197">
        <f t="shared" si="9"/>
        <v>45576</v>
      </c>
      <c r="B196" s="167">
        <f>YEAR(Table7[[#This Row],[Date]])+IF(MONTH(Table7[[#This Row],[Date]])&gt;=4,1,0)</f>
        <v>2025</v>
      </c>
      <c r="C196" s="167">
        <f>YEAR(Table7[[#This Row],[Date]])</f>
        <v>2024</v>
      </c>
      <c r="D196" s="168">
        <f t="shared" si="10"/>
        <v>45566</v>
      </c>
      <c r="AE196" s="167">
        <f t="shared" si="11"/>
        <v>0</v>
      </c>
    </row>
    <row r="197" spans="1:31">
      <c r="A197" s="197">
        <f t="shared" ref="A197:A260" si="12">A196+1</f>
        <v>45577</v>
      </c>
      <c r="B197" s="167">
        <f>YEAR(Table7[[#This Row],[Date]])+IF(MONTH(Table7[[#This Row],[Date]])&gt;=4,1,0)</f>
        <v>2025</v>
      </c>
      <c r="C197" s="167">
        <f>YEAR(Table7[[#This Row],[Date]])</f>
        <v>2024</v>
      </c>
      <c r="D197" s="168">
        <f t="shared" si="10"/>
        <v>45566</v>
      </c>
      <c r="AE197" s="167">
        <f t="shared" si="11"/>
        <v>0</v>
      </c>
    </row>
    <row r="198" spans="1:31">
      <c r="A198" s="197">
        <f t="shared" si="12"/>
        <v>45578</v>
      </c>
      <c r="B198" s="167">
        <f>YEAR(Table7[[#This Row],[Date]])+IF(MONTH(Table7[[#This Row],[Date]])&gt;=4,1,0)</f>
        <v>2025</v>
      </c>
      <c r="C198" s="167">
        <f>YEAR(Table7[[#This Row],[Date]])</f>
        <v>2024</v>
      </c>
      <c r="D198" s="168">
        <f t="shared" si="10"/>
        <v>45566</v>
      </c>
      <c r="AE198" s="167">
        <f t="shared" si="11"/>
        <v>0</v>
      </c>
    </row>
    <row r="199" spans="1:31">
      <c r="A199" s="197">
        <f t="shared" si="12"/>
        <v>45579</v>
      </c>
      <c r="B199" s="167">
        <f>YEAR(Table7[[#This Row],[Date]])+IF(MONTH(Table7[[#This Row],[Date]])&gt;=4,1,0)</f>
        <v>2025</v>
      </c>
      <c r="C199" s="167">
        <f>YEAR(Table7[[#This Row],[Date]])</f>
        <v>2024</v>
      </c>
      <c r="D199" s="168">
        <f t="shared" si="10"/>
        <v>45566</v>
      </c>
      <c r="AE199" s="167">
        <f t="shared" si="11"/>
        <v>0</v>
      </c>
    </row>
    <row r="200" spans="1:31">
      <c r="A200" s="197">
        <f t="shared" si="12"/>
        <v>45580</v>
      </c>
      <c r="B200" s="167">
        <f>YEAR(Table7[[#This Row],[Date]])+IF(MONTH(Table7[[#This Row],[Date]])&gt;=4,1,0)</f>
        <v>2025</v>
      </c>
      <c r="C200" s="167">
        <f>YEAR(Table7[[#This Row],[Date]])</f>
        <v>2024</v>
      </c>
      <c r="D200" s="168">
        <f t="shared" si="10"/>
        <v>45566</v>
      </c>
      <c r="AE200" s="167">
        <f t="shared" si="11"/>
        <v>0</v>
      </c>
    </row>
    <row r="201" spans="1:31">
      <c r="A201" s="197">
        <f t="shared" si="12"/>
        <v>45581</v>
      </c>
      <c r="B201" s="167">
        <f>YEAR(Table7[[#This Row],[Date]])+IF(MONTH(Table7[[#This Row],[Date]])&gt;=4,1,0)</f>
        <v>2025</v>
      </c>
      <c r="C201" s="167">
        <f>YEAR(Table7[[#This Row],[Date]])</f>
        <v>2024</v>
      </c>
      <c r="D201" s="168">
        <f t="shared" si="10"/>
        <v>45566</v>
      </c>
      <c r="AE201" s="167">
        <f t="shared" si="11"/>
        <v>0</v>
      </c>
    </row>
    <row r="202" spans="1:31">
      <c r="A202" s="197">
        <f t="shared" si="12"/>
        <v>45582</v>
      </c>
      <c r="B202" s="167">
        <f>YEAR(Table7[[#This Row],[Date]])+IF(MONTH(Table7[[#This Row],[Date]])&gt;=4,1,0)</f>
        <v>2025</v>
      </c>
      <c r="C202" s="167">
        <f>YEAR(Table7[[#This Row],[Date]])</f>
        <v>2024</v>
      </c>
      <c r="D202" s="168">
        <f t="shared" si="10"/>
        <v>45566</v>
      </c>
      <c r="AE202" s="167">
        <f t="shared" si="11"/>
        <v>0</v>
      </c>
    </row>
    <row r="203" spans="1:31">
      <c r="A203" s="197">
        <f t="shared" si="12"/>
        <v>45583</v>
      </c>
      <c r="B203" s="167">
        <f>YEAR(Table7[[#This Row],[Date]])+IF(MONTH(Table7[[#This Row],[Date]])&gt;=4,1,0)</f>
        <v>2025</v>
      </c>
      <c r="C203" s="167">
        <f>YEAR(Table7[[#This Row],[Date]])</f>
        <v>2024</v>
      </c>
      <c r="D203" s="168">
        <f t="shared" si="10"/>
        <v>45566</v>
      </c>
      <c r="AE203" s="167">
        <f t="shared" si="11"/>
        <v>0</v>
      </c>
    </row>
    <row r="204" spans="1:31">
      <c r="A204" s="197">
        <f t="shared" si="12"/>
        <v>45584</v>
      </c>
      <c r="B204" s="167">
        <f>YEAR(Table7[[#This Row],[Date]])+IF(MONTH(Table7[[#This Row],[Date]])&gt;=4,1,0)</f>
        <v>2025</v>
      </c>
      <c r="C204" s="167">
        <f>YEAR(Table7[[#This Row],[Date]])</f>
        <v>2024</v>
      </c>
      <c r="D204" s="168">
        <f t="shared" si="10"/>
        <v>45566</v>
      </c>
      <c r="AE204" s="167">
        <f t="shared" si="11"/>
        <v>0</v>
      </c>
    </row>
    <row r="205" spans="1:31">
      <c r="A205" s="197">
        <f t="shared" si="12"/>
        <v>45585</v>
      </c>
      <c r="B205" s="167">
        <f>YEAR(Table7[[#This Row],[Date]])+IF(MONTH(Table7[[#This Row],[Date]])&gt;=4,1,0)</f>
        <v>2025</v>
      </c>
      <c r="C205" s="167">
        <f>YEAR(Table7[[#This Row],[Date]])</f>
        <v>2024</v>
      </c>
      <c r="D205" s="168">
        <f t="shared" si="10"/>
        <v>45566</v>
      </c>
      <c r="AE205" s="167">
        <f t="shared" si="11"/>
        <v>0</v>
      </c>
    </row>
    <row r="206" spans="1:31">
      <c r="A206" s="197">
        <f t="shared" si="12"/>
        <v>45586</v>
      </c>
      <c r="B206" s="167">
        <f>YEAR(Table7[[#This Row],[Date]])+IF(MONTH(Table7[[#This Row],[Date]])&gt;=4,1,0)</f>
        <v>2025</v>
      </c>
      <c r="C206" s="167">
        <f>YEAR(Table7[[#This Row],[Date]])</f>
        <v>2024</v>
      </c>
      <c r="D206" s="168">
        <f t="shared" si="10"/>
        <v>45566</v>
      </c>
      <c r="AE206" s="167">
        <f t="shared" si="11"/>
        <v>0</v>
      </c>
    </row>
    <row r="207" spans="1:31">
      <c r="A207" s="197">
        <f t="shared" si="12"/>
        <v>45587</v>
      </c>
      <c r="B207" s="167">
        <f>YEAR(Table7[[#This Row],[Date]])+IF(MONTH(Table7[[#This Row],[Date]])&gt;=4,1,0)</f>
        <v>2025</v>
      </c>
      <c r="C207" s="167">
        <f>YEAR(Table7[[#This Row],[Date]])</f>
        <v>2024</v>
      </c>
      <c r="D207" s="168">
        <f t="shared" si="10"/>
        <v>45566</v>
      </c>
      <c r="AE207" s="167">
        <f t="shared" si="11"/>
        <v>0</v>
      </c>
    </row>
    <row r="208" spans="1:31">
      <c r="A208" s="197">
        <f t="shared" si="12"/>
        <v>45588</v>
      </c>
      <c r="B208" s="167">
        <f>YEAR(Table7[[#This Row],[Date]])+IF(MONTH(Table7[[#This Row],[Date]])&gt;=4,1,0)</f>
        <v>2025</v>
      </c>
      <c r="C208" s="167">
        <f>YEAR(Table7[[#This Row],[Date]])</f>
        <v>2024</v>
      </c>
      <c r="D208" s="168">
        <f t="shared" si="10"/>
        <v>45566</v>
      </c>
      <c r="AE208" s="167">
        <f t="shared" si="11"/>
        <v>0</v>
      </c>
    </row>
    <row r="209" spans="1:31">
      <c r="A209" s="197">
        <f t="shared" si="12"/>
        <v>45589</v>
      </c>
      <c r="B209" s="167">
        <f>YEAR(Table7[[#This Row],[Date]])+IF(MONTH(Table7[[#This Row],[Date]])&gt;=4,1,0)</f>
        <v>2025</v>
      </c>
      <c r="C209" s="167">
        <f>YEAR(Table7[[#This Row],[Date]])</f>
        <v>2024</v>
      </c>
      <c r="D209" s="168">
        <f t="shared" si="10"/>
        <v>45566</v>
      </c>
      <c r="AE209" s="167">
        <f t="shared" si="11"/>
        <v>0</v>
      </c>
    </row>
    <row r="210" spans="1:31">
      <c r="A210" s="197">
        <f t="shared" si="12"/>
        <v>45590</v>
      </c>
      <c r="B210" s="167">
        <f>YEAR(Table7[[#This Row],[Date]])+IF(MONTH(Table7[[#This Row],[Date]])&gt;=4,1,0)</f>
        <v>2025</v>
      </c>
      <c r="C210" s="167">
        <f>YEAR(Table7[[#This Row],[Date]])</f>
        <v>2024</v>
      </c>
      <c r="D210" s="168">
        <f t="shared" si="10"/>
        <v>45566</v>
      </c>
      <c r="AE210" s="167">
        <f t="shared" si="11"/>
        <v>0</v>
      </c>
    </row>
    <row r="211" spans="1:31">
      <c r="A211" s="197">
        <f t="shared" si="12"/>
        <v>45591</v>
      </c>
      <c r="B211" s="167">
        <f>YEAR(Table7[[#This Row],[Date]])+IF(MONTH(Table7[[#This Row],[Date]])&gt;=4,1,0)</f>
        <v>2025</v>
      </c>
      <c r="C211" s="167">
        <f>YEAR(Table7[[#This Row],[Date]])</f>
        <v>2024</v>
      </c>
      <c r="D211" s="168">
        <f t="shared" si="10"/>
        <v>45566</v>
      </c>
      <c r="AE211" s="167">
        <f t="shared" si="11"/>
        <v>0</v>
      </c>
    </row>
    <row r="212" spans="1:31">
      <c r="A212" s="197">
        <f t="shared" si="12"/>
        <v>45592</v>
      </c>
      <c r="B212" s="167">
        <f>YEAR(Table7[[#This Row],[Date]])+IF(MONTH(Table7[[#This Row],[Date]])&gt;=4,1,0)</f>
        <v>2025</v>
      </c>
      <c r="C212" s="167">
        <f>YEAR(Table7[[#This Row],[Date]])</f>
        <v>2024</v>
      </c>
      <c r="D212" s="168">
        <f t="shared" si="10"/>
        <v>45566</v>
      </c>
      <c r="AE212" s="167">
        <f t="shared" si="11"/>
        <v>0</v>
      </c>
    </row>
    <row r="213" spans="1:31">
      <c r="A213" s="197">
        <f t="shared" si="12"/>
        <v>45593</v>
      </c>
      <c r="B213" s="167">
        <f>YEAR(Table7[[#This Row],[Date]])+IF(MONTH(Table7[[#This Row],[Date]])&gt;=4,1,0)</f>
        <v>2025</v>
      </c>
      <c r="C213" s="167">
        <f>YEAR(Table7[[#This Row],[Date]])</f>
        <v>2024</v>
      </c>
      <c r="D213" s="168">
        <f t="shared" si="10"/>
        <v>45566</v>
      </c>
      <c r="AE213" s="167">
        <f t="shared" si="11"/>
        <v>0</v>
      </c>
    </row>
    <row r="214" spans="1:31">
      <c r="A214" s="197">
        <f t="shared" si="12"/>
        <v>45594</v>
      </c>
      <c r="B214" s="167">
        <f>YEAR(Table7[[#This Row],[Date]])+IF(MONTH(Table7[[#This Row],[Date]])&gt;=4,1,0)</f>
        <v>2025</v>
      </c>
      <c r="C214" s="167">
        <f>YEAR(Table7[[#This Row],[Date]])</f>
        <v>2024</v>
      </c>
      <c r="D214" s="168">
        <f t="shared" si="10"/>
        <v>45566</v>
      </c>
      <c r="AE214" s="167">
        <f t="shared" si="11"/>
        <v>0</v>
      </c>
    </row>
    <row r="215" spans="1:31">
      <c r="A215" s="197">
        <f t="shared" si="12"/>
        <v>45595</v>
      </c>
      <c r="B215" s="167">
        <f>YEAR(Table7[[#This Row],[Date]])+IF(MONTH(Table7[[#This Row],[Date]])&gt;=4,1,0)</f>
        <v>2025</v>
      </c>
      <c r="C215" s="167">
        <f>YEAR(Table7[[#This Row],[Date]])</f>
        <v>2024</v>
      </c>
      <c r="D215" s="168">
        <f t="shared" si="10"/>
        <v>45566</v>
      </c>
      <c r="AE215" s="167">
        <f t="shared" si="11"/>
        <v>0</v>
      </c>
    </row>
    <row r="216" spans="1:31">
      <c r="A216" s="197">
        <f t="shared" si="12"/>
        <v>45596</v>
      </c>
      <c r="B216" s="167">
        <f>YEAR(Table7[[#This Row],[Date]])+IF(MONTH(Table7[[#This Row],[Date]])&gt;=4,1,0)</f>
        <v>2025</v>
      </c>
      <c r="C216" s="167">
        <f>YEAR(Table7[[#This Row],[Date]])</f>
        <v>2024</v>
      </c>
      <c r="D216" s="168">
        <f t="shared" si="10"/>
        <v>45566</v>
      </c>
      <c r="AE216" s="167">
        <f t="shared" si="11"/>
        <v>0</v>
      </c>
    </row>
    <row r="217" spans="1:31">
      <c r="A217" s="197">
        <f t="shared" si="12"/>
        <v>45597</v>
      </c>
      <c r="B217" s="167">
        <f>YEAR(Table7[[#This Row],[Date]])+IF(MONTH(Table7[[#This Row],[Date]])&gt;=4,1,0)</f>
        <v>2025</v>
      </c>
      <c r="C217" s="167">
        <f>YEAR(Table7[[#This Row],[Date]])</f>
        <v>2024</v>
      </c>
      <c r="D217" s="168">
        <f t="shared" si="10"/>
        <v>45597</v>
      </c>
      <c r="AE217" s="167">
        <f t="shared" si="11"/>
        <v>0</v>
      </c>
    </row>
    <row r="218" spans="1:31">
      <c r="A218" s="197">
        <f t="shared" si="12"/>
        <v>45598</v>
      </c>
      <c r="B218" s="167">
        <f>YEAR(Table7[[#This Row],[Date]])+IF(MONTH(Table7[[#This Row],[Date]])&gt;=4,1,0)</f>
        <v>2025</v>
      </c>
      <c r="C218" s="167">
        <f>YEAR(Table7[[#This Row],[Date]])</f>
        <v>2024</v>
      </c>
      <c r="D218" s="168">
        <f t="shared" si="10"/>
        <v>45597</v>
      </c>
      <c r="AE218" s="167">
        <f t="shared" si="11"/>
        <v>0</v>
      </c>
    </row>
    <row r="219" spans="1:31">
      <c r="A219" s="197">
        <f t="shared" si="12"/>
        <v>45599</v>
      </c>
      <c r="B219" s="167">
        <f>YEAR(Table7[[#This Row],[Date]])+IF(MONTH(Table7[[#This Row],[Date]])&gt;=4,1,0)</f>
        <v>2025</v>
      </c>
      <c r="C219" s="167">
        <f>YEAR(Table7[[#This Row],[Date]])</f>
        <v>2024</v>
      </c>
      <c r="D219" s="168">
        <f t="shared" si="10"/>
        <v>45597</v>
      </c>
      <c r="AE219" s="167">
        <f t="shared" si="11"/>
        <v>0</v>
      </c>
    </row>
    <row r="220" spans="1:31">
      <c r="A220" s="197">
        <f t="shared" si="12"/>
        <v>45600</v>
      </c>
      <c r="B220" s="167">
        <f>YEAR(Table7[[#This Row],[Date]])+IF(MONTH(Table7[[#This Row],[Date]])&gt;=4,1,0)</f>
        <v>2025</v>
      </c>
      <c r="C220" s="167">
        <f>YEAR(Table7[[#This Row],[Date]])</f>
        <v>2024</v>
      </c>
      <c r="D220" s="168">
        <f t="shared" si="10"/>
        <v>45597</v>
      </c>
      <c r="AE220" s="167">
        <f t="shared" si="11"/>
        <v>0</v>
      </c>
    </row>
    <row r="221" spans="1:31">
      <c r="A221" s="197">
        <f t="shared" si="12"/>
        <v>45601</v>
      </c>
      <c r="B221" s="167">
        <f>YEAR(Table7[[#This Row],[Date]])+IF(MONTH(Table7[[#This Row],[Date]])&gt;=4,1,0)</f>
        <v>2025</v>
      </c>
      <c r="C221" s="167">
        <f>YEAR(Table7[[#This Row],[Date]])</f>
        <v>2024</v>
      </c>
      <c r="D221" s="168">
        <f t="shared" si="10"/>
        <v>45597</v>
      </c>
      <c r="AE221" s="167">
        <f t="shared" si="11"/>
        <v>0</v>
      </c>
    </row>
    <row r="222" spans="1:31">
      <c r="A222" s="197">
        <f t="shared" si="12"/>
        <v>45602</v>
      </c>
      <c r="B222" s="167">
        <f>YEAR(Table7[[#This Row],[Date]])+IF(MONTH(Table7[[#This Row],[Date]])&gt;=4,1,0)</f>
        <v>2025</v>
      </c>
      <c r="C222" s="167">
        <f>YEAR(Table7[[#This Row],[Date]])</f>
        <v>2024</v>
      </c>
      <c r="D222" s="168">
        <f t="shared" si="10"/>
        <v>45597</v>
      </c>
      <c r="AE222" s="167">
        <f t="shared" si="11"/>
        <v>0</v>
      </c>
    </row>
    <row r="223" spans="1:31">
      <c r="A223" s="197">
        <f t="shared" si="12"/>
        <v>45603</v>
      </c>
      <c r="B223" s="167">
        <f>YEAR(Table7[[#This Row],[Date]])+IF(MONTH(Table7[[#This Row],[Date]])&gt;=4,1,0)</f>
        <v>2025</v>
      </c>
      <c r="C223" s="167">
        <f>YEAR(Table7[[#This Row],[Date]])</f>
        <v>2024</v>
      </c>
      <c r="D223" s="168">
        <f t="shared" si="10"/>
        <v>45597</v>
      </c>
      <c r="AE223" s="167">
        <f t="shared" si="11"/>
        <v>0</v>
      </c>
    </row>
    <row r="224" spans="1:31">
      <c r="A224" s="197">
        <f t="shared" si="12"/>
        <v>45604</v>
      </c>
      <c r="B224" s="167">
        <f>YEAR(Table7[[#This Row],[Date]])+IF(MONTH(Table7[[#This Row],[Date]])&gt;=4,1,0)</f>
        <v>2025</v>
      </c>
      <c r="C224" s="167">
        <f>YEAR(Table7[[#This Row],[Date]])</f>
        <v>2024</v>
      </c>
      <c r="D224" s="168">
        <f t="shared" si="10"/>
        <v>45597</v>
      </c>
      <c r="AE224" s="167">
        <f t="shared" si="11"/>
        <v>0</v>
      </c>
    </row>
    <row r="225" spans="1:31">
      <c r="A225" s="197">
        <f t="shared" si="12"/>
        <v>45605</v>
      </c>
      <c r="B225" s="167">
        <f>YEAR(Table7[[#This Row],[Date]])+IF(MONTH(Table7[[#This Row],[Date]])&gt;=4,1,0)</f>
        <v>2025</v>
      </c>
      <c r="C225" s="167">
        <f>YEAR(Table7[[#This Row],[Date]])</f>
        <v>2024</v>
      </c>
      <c r="D225" s="168">
        <f t="shared" si="10"/>
        <v>45597</v>
      </c>
      <c r="AE225" s="167">
        <f t="shared" si="11"/>
        <v>0</v>
      </c>
    </row>
    <row r="226" spans="1:31">
      <c r="A226" s="197">
        <f t="shared" si="12"/>
        <v>45606</v>
      </c>
      <c r="B226" s="167">
        <f>YEAR(Table7[[#This Row],[Date]])+IF(MONTH(Table7[[#This Row],[Date]])&gt;=4,1,0)</f>
        <v>2025</v>
      </c>
      <c r="C226" s="167">
        <f>YEAR(Table7[[#This Row],[Date]])</f>
        <v>2024</v>
      </c>
      <c r="D226" s="168">
        <f t="shared" si="10"/>
        <v>45597</v>
      </c>
      <c r="AE226" s="167">
        <f t="shared" si="11"/>
        <v>0</v>
      </c>
    </row>
    <row r="227" spans="1:31">
      <c r="A227" s="197">
        <f t="shared" si="12"/>
        <v>45607</v>
      </c>
      <c r="B227" s="167">
        <f>YEAR(Table7[[#This Row],[Date]])+IF(MONTH(Table7[[#This Row],[Date]])&gt;=4,1,0)</f>
        <v>2025</v>
      </c>
      <c r="C227" s="167">
        <f>YEAR(Table7[[#This Row],[Date]])</f>
        <v>2024</v>
      </c>
      <c r="D227" s="168">
        <f t="shared" si="10"/>
        <v>45597</v>
      </c>
      <c r="AE227" s="167">
        <f t="shared" si="11"/>
        <v>0</v>
      </c>
    </row>
    <row r="228" spans="1:31">
      <c r="A228" s="197">
        <f t="shared" si="12"/>
        <v>45608</v>
      </c>
      <c r="B228" s="167">
        <f>YEAR(Table7[[#This Row],[Date]])+IF(MONTH(Table7[[#This Row],[Date]])&gt;=4,1,0)</f>
        <v>2025</v>
      </c>
      <c r="C228" s="167">
        <f>YEAR(Table7[[#This Row],[Date]])</f>
        <v>2024</v>
      </c>
      <c r="D228" s="168">
        <f t="shared" si="10"/>
        <v>45597</v>
      </c>
      <c r="AE228" s="167">
        <f t="shared" si="11"/>
        <v>0</v>
      </c>
    </row>
    <row r="229" spans="1:31">
      <c r="A229" s="197">
        <f t="shared" si="12"/>
        <v>45609</v>
      </c>
      <c r="B229" s="167">
        <f>YEAR(Table7[[#This Row],[Date]])+IF(MONTH(Table7[[#This Row],[Date]])&gt;=4,1,0)</f>
        <v>2025</v>
      </c>
      <c r="C229" s="167">
        <f>YEAR(Table7[[#This Row],[Date]])</f>
        <v>2024</v>
      </c>
      <c r="D229" s="168">
        <f t="shared" si="10"/>
        <v>45597</v>
      </c>
      <c r="AE229" s="167">
        <f t="shared" si="11"/>
        <v>0</v>
      </c>
    </row>
    <row r="230" spans="1:31">
      <c r="A230" s="197">
        <f t="shared" si="12"/>
        <v>45610</v>
      </c>
      <c r="B230" s="167">
        <f>YEAR(Table7[[#This Row],[Date]])+IF(MONTH(Table7[[#This Row],[Date]])&gt;=4,1,0)</f>
        <v>2025</v>
      </c>
      <c r="C230" s="167">
        <f>YEAR(Table7[[#This Row],[Date]])</f>
        <v>2024</v>
      </c>
      <c r="D230" s="168">
        <f t="shared" si="10"/>
        <v>45597</v>
      </c>
      <c r="AE230" s="167">
        <f t="shared" si="11"/>
        <v>0</v>
      </c>
    </row>
    <row r="231" spans="1:31">
      <c r="A231" s="197">
        <f t="shared" si="12"/>
        <v>45611</v>
      </c>
      <c r="B231" s="167">
        <f>YEAR(Table7[[#This Row],[Date]])+IF(MONTH(Table7[[#This Row],[Date]])&gt;=4,1,0)</f>
        <v>2025</v>
      </c>
      <c r="C231" s="167">
        <f>YEAR(Table7[[#This Row],[Date]])</f>
        <v>2024</v>
      </c>
      <c r="D231" s="168">
        <f t="shared" si="10"/>
        <v>45597</v>
      </c>
      <c r="AE231" s="167">
        <f t="shared" si="11"/>
        <v>0</v>
      </c>
    </row>
    <row r="232" spans="1:31">
      <c r="A232" s="197">
        <f t="shared" si="12"/>
        <v>45612</v>
      </c>
      <c r="B232" s="167">
        <f>YEAR(Table7[[#This Row],[Date]])+IF(MONTH(Table7[[#This Row],[Date]])&gt;=4,1,0)</f>
        <v>2025</v>
      </c>
      <c r="C232" s="167">
        <f>YEAR(Table7[[#This Row],[Date]])</f>
        <v>2024</v>
      </c>
      <c r="D232" s="168">
        <f t="shared" si="10"/>
        <v>45597</v>
      </c>
      <c r="AE232" s="167">
        <f t="shared" si="11"/>
        <v>0</v>
      </c>
    </row>
    <row r="233" spans="1:31">
      <c r="A233" s="197">
        <f t="shared" si="12"/>
        <v>45613</v>
      </c>
      <c r="B233" s="167">
        <f>YEAR(Table7[[#This Row],[Date]])+IF(MONTH(Table7[[#This Row],[Date]])&gt;=4,1,0)</f>
        <v>2025</v>
      </c>
      <c r="C233" s="167">
        <f>YEAR(Table7[[#This Row],[Date]])</f>
        <v>2024</v>
      </c>
      <c r="D233" s="168">
        <f t="shared" si="10"/>
        <v>45597</v>
      </c>
      <c r="AE233" s="167">
        <f t="shared" si="11"/>
        <v>0</v>
      </c>
    </row>
    <row r="234" spans="1:31">
      <c r="A234" s="197">
        <f t="shared" si="12"/>
        <v>45614</v>
      </c>
      <c r="B234" s="167">
        <f>YEAR(Table7[[#This Row],[Date]])+IF(MONTH(Table7[[#This Row],[Date]])&gt;=4,1,0)</f>
        <v>2025</v>
      </c>
      <c r="C234" s="167">
        <f>YEAR(Table7[[#This Row],[Date]])</f>
        <v>2024</v>
      </c>
      <c r="D234" s="168">
        <f t="shared" si="10"/>
        <v>45597</v>
      </c>
      <c r="AE234" s="167">
        <f t="shared" si="11"/>
        <v>0</v>
      </c>
    </row>
    <row r="235" spans="1:31">
      <c r="A235" s="197">
        <f t="shared" si="12"/>
        <v>45615</v>
      </c>
      <c r="B235" s="167">
        <f>YEAR(Table7[[#This Row],[Date]])+IF(MONTH(Table7[[#This Row],[Date]])&gt;=4,1,0)</f>
        <v>2025</v>
      </c>
      <c r="C235" s="167">
        <f>YEAR(Table7[[#This Row],[Date]])</f>
        <v>2024</v>
      </c>
      <c r="D235" s="168">
        <f t="shared" si="10"/>
        <v>45597</v>
      </c>
      <c r="AE235" s="167">
        <f t="shared" si="11"/>
        <v>0</v>
      </c>
    </row>
    <row r="236" spans="1:31">
      <c r="A236" s="197">
        <f t="shared" si="12"/>
        <v>45616</v>
      </c>
      <c r="B236" s="167">
        <f>YEAR(Table7[[#This Row],[Date]])+IF(MONTH(Table7[[#This Row],[Date]])&gt;=4,1,0)</f>
        <v>2025</v>
      </c>
      <c r="C236" s="167">
        <f>YEAR(Table7[[#This Row],[Date]])</f>
        <v>2024</v>
      </c>
      <c r="D236" s="168">
        <f t="shared" si="10"/>
        <v>45597</v>
      </c>
      <c r="AE236" s="167">
        <f t="shared" si="11"/>
        <v>0</v>
      </c>
    </row>
    <row r="237" spans="1:31">
      <c r="A237" s="197">
        <f t="shared" si="12"/>
        <v>45617</v>
      </c>
      <c r="B237" s="167">
        <f>YEAR(Table7[[#This Row],[Date]])+IF(MONTH(Table7[[#This Row],[Date]])&gt;=4,1,0)</f>
        <v>2025</v>
      </c>
      <c r="C237" s="167">
        <f>YEAR(Table7[[#This Row],[Date]])</f>
        <v>2024</v>
      </c>
      <c r="D237" s="168">
        <f t="shared" si="10"/>
        <v>45597</v>
      </c>
      <c r="AE237" s="167">
        <f t="shared" si="11"/>
        <v>0</v>
      </c>
    </row>
    <row r="238" spans="1:31">
      <c r="A238" s="197">
        <f t="shared" si="12"/>
        <v>45618</v>
      </c>
      <c r="B238" s="167">
        <f>YEAR(Table7[[#This Row],[Date]])+IF(MONTH(Table7[[#This Row],[Date]])&gt;=4,1,0)</f>
        <v>2025</v>
      </c>
      <c r="C238" s="167">
        <f>YEAR(Table7[[#This Row],[Date]])</f>
        <v>2024</v>
      </c>
      <c r="D238" s="168">
        <f t="shared" si="10"/>
        <v>45597</v>
      </c>
      <c r="AE238" s="167">
        <f t="shared" si="11"/>
        <v>0</v>
      </c>
    </row>
    <row r="239" spans="1:31">
      <c r="A239" s="197">
        <f t="shared" si="12"/>
        <v>45619</v>
      </c>
      <c r="B239" s="167">
        <f>YEAR(Table7[[#This Row],[Date]])+IF(MONTH(Table7[[#This Row],[Date]])&gt;=4,1,0)</f>
        <v>2025</v>
      </c>
      <c r="C239" s="167">
        <f>YEAR(Table7[[#This Row],[Date]])</f>
        <v>2024</v>
      </c>
      <c r="D239" s="168">
        <f t="shared" si="10"/>
        <v>45597</v>
      </c>
      <c r="AE239" s="167">
        <f t="shared" si="11"/>
        <v>0</v>
      </c>
    </row>
    <row r="240" spans="1:31">
      <c r="A240" s="197">
        <f t="shared" si="12"/>
        <v>45620</v>
      </c>
      <c r="B240" s="167">
        <f>YEAR(Table7[[#This Row],[Date]])+IF(MONTH(Table7[[#This Row],[Date]])&gt;=4,1,0)</f>
        <v>2025</v>
      </c>
      <c r="C240" s="167">
        <f>YEAR(Table7[[#This Row],[Date]])</f>
        <v>2024</v>
      </c>
      <c r="D240" s="168">
        <f t="shared" si="10"/>
        <v>45597</v>
      </c>
      <c r="AE240" s="167">
        <f t="shared" si="11"/>
        <v>0</v>
      </c>
    </row>
    <row r="241" spans="1:31">
      <c r="A241" s="197">
        <f t="shared" si="12"/>
        <v>45621</v>
      </c>
      <c r="B241" s="167">
        <f>YEAR(Table7[[#This Row],[Date]])+IF(MONTH(Table7[[#This Row],[Date]])&gt;=4,1,0)</f>
        <v>2025</v>
      </c>
      <c r="C241" s="167">
        <f>YEAR(Table7[[#This Row],[Date]])</f>
        <v>2024</v>
      </c>
      <c r="D241" s="168">
        <f t="shared" si="10"/>
        <v>45597</v>
      </c>
      <c r="AE241" s="167">
        <f t="shared" si="11"/>
        <v>0</v>
      </c>
    </row>
    <row r="242" spans="1:31">
      <c r="A242" s="197">
        <f t="shared" si="12"/>
        <v>45622</v>
      </c>
      <c r="B242" s="167">
        <f>YEAR(Table7[[#This Row],[Date]])+IF(MONTH(Table7[[#This Row],[Date]])&gt;=4,1,0)</f>
        <v>2025</v>
      </c>
      <c r="C242" s="167">
        <f>YEAR(Table7[[#This Row],[Date]])</f>
        <v>2024</v>
      </c>
      <c r="D242" s="168">
        <f t="shared" si="10"/>
        <v>45597</v>
      </c>
      <c r="AE242" s="167">
        <f t="shared" si="11"/>
        <v>0</v>
      </c>
    </row>
    <row r="243" spans="1:31">
      <c r="A243" s="197">
        <f t="shared" si="12"/>
        <v>45623</v>
      </c>
      <c r="B243" s="167">
        <f>YEAR(Table7[[#This Row],[Date]])+IF(MONTH(Table7[[#This Row],[Date]])&gt;=4,1,0)</f>
        <v>2025</v>
      </c>
      <c r="C243" s="167">
        <f>YEAR(Table7[[#This Row],[Date]])</f>
        <v>2024</v>
      </c>
      <c r="D243" s="168">
        <f t="shared" si="10"/>
        <v>45597</v>
      </c>
      <c r="AE243" s="167">
        <f t="shared" si="11"/>
        <v>0</v>
      </c>
    </row>
    <row r="244" spans="1:31">
      <c r="A244" s="197">
        <f t="shared" si="12"/>
        <v>45624</v>
      </c>
      <c r="B244" s="167">
        <f>YEAR(Table7[[#This Row],[Date]])+IF(MONTH(Table7[[#This Row],[Date]])&gt;=4,1,0)</f>
        <v>2025</v>
      </c>
      <c r="C244" s="167">
        <f>YEAR(Table7[[#This Row],[Date]])</f>
        <v>2024</v>
      </c>
      <c r="D244" s="168">
        <f t="shared" si="10"/>
        <v>45597</v>
      </c>
      <c r="AE244" s="167">
        <f t="shared" si="11"/>
        <v>0</v>
      </c>
    </row>
    <row r="245" spans="1:31">
      <c r="A245" s="197">
        <f t="shared" si="12"/>
        <v>45625</v>
      </c>
      <c r="B245" s="167">
        <f>YEAR(Table7[[#This Row],[Date]])+IF(MONTH(Table7[[#This Row],[Date]])&gt;=4,1,0)</f>
        <v>2025</v>
      </c>
      <c r="C245" s="167">
        <f>YEAR(Table7[[#This Row],[Date]])</f>
        <v>2024</v>
      </c>
      <c r="D245" s="168">
        <f t="shared" si="10"/>
        <v>45597</v>
      </c>
      <c r="AE245" s="167">
        <f t="shared" si="11"/>
        <v>0</v>
      </c>
    </row>
    <row r="246" spans="1:31">
      <c r="A246" s="197">
        <f t="shared" si="12"/>
        <v>45626</v>
      </c>
      <c r="B246" s="167">
        <f>YEAR(Table7[[#This Row],[Date]])+IF(MONTH(Table7[[#This Row],[Date]])&gt;=4,1,0)</f>
        <v>2025</v>
      </c>
      <c r="C246" s="167">
        <f>YEAR(Table7[[#This Row],[Date]])</f>
        <v>2024</v>
      </c>
      <c r="D246" s="168">
        <f t="shared" si="10"/>
        <v>45597</v>
      </c>
      <c r="AE246" s="167">
        <f t="shared" si="11"/>
        <v>0</v>
      </c>
    </row>
    <row r="247" spans="1:31">
      <c r="A247" s="197">
        <f t="shared" si="12"/>
        <v>45627</v>
      </c>
      <c r="B247" s="167">
        <f>YEAR(Table7[[#This Row],[Date]])+IF(MONTH(Table7[[#This Row],[Date]])&gt;=4,1,0)</f>
        <v>2025</v>
      </c>
      <c r="C247" s="167">
        <f>YEAR(Table7[[#This Row],[Date]])</f>
        <v>2024</v>
      </c>
      <c r="D247" s="168">
        <f t="shared" si="10"/>
        <v>45627</v>
      </c>
      <c r="AE247" s="167">
        <f t="shared" si="11"/>
        <v>0</v>
      </c>
    </row>
    <row r="248" spans="1:31">
      <c r="A248" s="197">
        <f t="shared" si="12"/>
        <v>45628</v>
      </c>
      <c r="B248" s="167">
        <f>YEAR(Table7[[#This Row],[Date]])+IF(MONTH(Table7[[#This Row],[Date]])&gt;=4,1,0)</f>
        <v>2025</v>
      </c>
      <c r="C248" s="167">
        <f>YEAR(Table7[[#This Row],[Date]])</f>
        <v>2024</v>
      </c>
      <c r="D248" s="168">
        <f t="shared" si="10"/>
        <v>45627</v>
      </c>
      <c r="AE248" s="167">
        <f t="shared" si="11"/>
        <v>0</v>
      </c>
    </row>
    <row r="249" spans="1:31">
      <c r="A249" s="197">
        <f t="shared" si="12"/>
        <v>45629</v>
      </c>
      <c r="B249" s="167">
        <f>YEAR(Table7[[#This Row],[Date]])+IF(MONTH(Table7[[#This Row],[Date]])&gt;=4,1,0)</f>
        <v>2025</v>
      </c>
      <c r="C249" s="167">
        <f>YEAR(Table7[[#This Row],[Date]])</f>
        <v>2024</v>
      </c>
      <c r="D249" s="168">
        <f t="shared" si="10"/>
        <v>45627</v>
      </c>
      <c r="AE249" s="167">
        <f t="shared" si="11"/>
        <v>0</v>
      </c>
    </row>
    <row r="250" spans="1:31">
      <c r="A250" s="197">
        <f t="shared" si="12"/>
        <v>45630</v>
      </c>
      <c r="B250" s="167">
        <f>YEAR(Table7[[#This Row],[Date]])+IF(MONTH(Table7[[#This Row],[Date]])&gt;=4,1,0)</f>
        <v>2025</v>
      </c>
      <c r="C250" s="167">
        <f>YEAR(Table7[[#This Row],[Date]])</f>
        <v>2024</v>
      </c>
      <c r="D250" s="168">
        <f t="shared" si="10"/>
        <v>45627</v>
      </c>
      <c r="AE250" s="167">
        <f t="shared" si="11"/>
        <v>0</v>
      </c>
    </row>
    <row r="251" spans="1:31">
      <c r="A251" s="197">
        <f t="shared" si="12"/>
        <v>45631</v>
      </c>
      <c r="B251" s="167">
        <f>YEAR(Table7[[#This Row],[Date]])+IF(MONTH(Table7[[#This Row],[Date]])&gt;=4,1,0)</f>
        <v>2025</v>
      </c>
      <c r="C251" s="167">
        <f>YEAR(Table7[[#This Row],[Date]])</f>
        <v>2024</v>
      </c>
      <c r="D251" s="168">
        <f t="shared" si="10"/>
        <v>45627</v>
      </c>
      <c r="AE251" s="167">
        <f t="shared" si="11"/>
        <v>0</v>
      </c>
    </row>
    <row r="252" spans="1:31">
      <c r="A252" s="197">
        <f t="shared" si="12"/>
        <v>45632</v>
      </c>
      <c r="B252" s="167">
        <f>YEAR(Table7[[#This Row],[Date]])+IF(MONTH(Table7[[#This Row],[Date]])&gt;=4,1,0)</f>
        <v>2025</v>
      </c>
      <c r="C252" s="167">
        <f>YEAR(Table7[[#This Row],[Date]])</f>
        <v>2024</v>
      </c>
      <c r="D252" s="168">
        <f t="shared" si="10"/>
        <v>45627</v>
      </c>
      <c r="AE252" s="167">
        <f t="shared" si="11"/>
        <v>0</v>
      </c>
    </row>
    <row r="253" spans="1:31">
      <c r="A253" s="197">
        <f t="shared" si="12"/>
        <v>45633</v>
      </c>
      <c r="B253" s="167">
        <f>YEAR(Table7[[#This Row],[Date]])+IF(MONTH(Table7[[#This Row],[Date]])&gt;=4,1,0)</f>
        <v>2025</v>
      </c>
      <c r="C253" s="167">
        <f>YEAR(Table7[[#This Row],[Date]])</f>
        <v>2024</v>
      </c>
      <c r="D253" s="168">
        <f t="shared" si="10"/>
        <v>45627</v>
      </c>
      <c r="AE253" s="167">
        <f t="shared" si="11"/>
        <v>0</v>
      </c>
    </row>
    <row r="254" spans="1:31">
      <c r="A254" s="197">
        <f t="shared" si="12"/>
        <v>45634</v>
      </c>
      <c r="B254" s="167">
        <f>YEAR(Table7[[#This Row],[Date]])+IF(MONTH(Table7[[#This Row],[Date]])&gt;=4,1,0)</f>
        <v>2025</v>
      </c>
      <c r="C254" s="167">
        <f>YEAR(Table7[[#This Row],[Date]])</f>
        <v>2024</v>
      </c>
      <c r="D254" s="168">
        <f t="shared" si="10"/>
        <v>45627</v>
      </c>
      <c r="AE254" s="167">
        <f t="shared" si="11"/>
        <v>0</v>
      </c>
    </row>
    <row r="255" spans="1:31">
      <c r="A255" s="197">
        <f t="shared" si="12"/>
        <v>45635</v>
      </c>
      <c r="B255" s="167">
        <f>YEAR(Table7[[#This Row],[Date]])+IF(MONTH(Table7[[#This Row],[Date]])&gt;=4,1,0)</f>
        <v>2025</v>
      </c>
      <c r="C255" s="167">
        <f>YEAR(Table7[[#This Row],[Date]])</f>
        <v>2024</v>
      </c>
      <c r="D255" s="168">
        <f t="shared" si="10"/>
        <v>45627</v>
      </c>
      <c r="AE255" s="167">
        <f t="shared" si="11"/>
        <v>0</v>
      </c>
    </row>
    <row r="256" spans="1:31">
      <c r="A256" s="197">
        <f t="shared" si="12"/>
        <v>45636</v>
      </c>
      <c r="B256" s="167">
        <f>YEAR(Table7[[#This Row],[Date]])+IF(MONTH(Table7[[#This Row],[Date]])&gt;=4,1,0)</f>
        <v>2025</v>
      </c>
      <c r="C256" s="167">
        <f>YEAR(Table7[[#This Row],[Date]])</f>
        <v>2024</v>
      </c>
      <c r="D256" s="168">
        <f t="shared" si="10"/>
        <v>45627</v>
      </c>
      <c r="AE256" s="167">
        <f t="shared" si="11"/>
        <v>0</v>
      </c>
    </row>
    <row r="257" spans="1:31">
      <c r="A257" s="197">
        <f t="shared" si="12"/>
        <v>45637</v>
      </c>
      <c r="B257" s="167">
        <f>YEAR(Table7[[#This Row],[Date]])+IF(MONTH(Table7[[#This Row],[Date]])&gt;=4,1,0)</f>
        <v>2025</v>
      </c>
      <c r="C257" s="167">
        <f>YEAR(Table7[[#This Row],[Date]])</f>
        <v>2024</v>
      </c>
      <c r="D257" s="168">
        <f t="shared" si="10"/>
        <v>45627</v>
      </c>
      <c r="AE257" s="167">
        <f t="shared" si="11"/>
        <v>0</v>
      </c>
    </row>
    <row r="258" spans="1:31">
      <c r="A258" s="197">
        <f t="shared" si="12"/>
        <v>45638</v>
      </c>
      <c r="B258" s="167">
        <f>YEAR(Table7[[#This Row],[Date]])+IF(MONTH(Table7[[#This Row],[Date]])&gt;=4,1,0)</f>
        <v>2025</v>
      </c>
      <c r="C258" s="167">
        <f>YEAR(Table7[[#This Row],[Date]])</f>
        <v>2024</v>
      </c>
      <c r="D258" s="168">
        <f t="shared" si="10"/>
        <v>45627</v>
      </c>
      <c r="AE258" s="167">
        <f t="shared" si="11"/>
        <v>0</v>
      </c>
    </row>
    <row r="259" spans="1:31">
      <c r="A259" s="197">
        <f t="shared" si="12"/>
        <v>45639</v>
      </c>
      <c r="B259" s="167">
        <f>YEAR(Table7[[#This Row],[Date]])+IF(MONTH(Table7[[#This Row],[Date]])&gt;=4,1,0)</f>
        <v>2025</v>
      </c>
      <c r="C259" s="167">
        <f>YEAR(Table7[[#This Row],[Date]])</f>
        <v>2024</v>
      </c>
      <c r="D259" s="168">
        <f t="shared" ref="D259:D322" si="13">A259-DAY(A259)+1</f>
        <v>45627</v>
      </c>
      <c r="AE259" s="167">
        <f t="shared" ref="AE259:AE322" si="14">SUM(E259:AD259)</f>
        <v>0</v>
      </c>
    </row>
    <row r="260" spans="1:31">
      <c r="A260" s="197">
        <f t="shared" si="12"/>
        <v>45640</v>
      </c>
      <c r="B260" s="167">
        <f>YEAR(Table7[[#This Row],[Date]])+IF(MONTH(Table7[[#This Row],[Date]])&gt;=4,1,0)</f>
        <v>2025</v>
      </c>
      <c r="C260" s="167">
        <f>YEAR(Table7[[#This Row],[Date]])</f>
        <v>2024</v>
      </c>
      <c r="D260" s="168">
        <f t="shared" si="13"/>
        <v>45627</v>
      </c>
      <c r="AE260" s="167">
        <f t="shared" si="14"/>
        <v>0</v>
      </c>
    </row>
    <row r="261" spans="1:31">
      <c r="A261" s="197">
        <f t="shared" ref="A261:A324" si="15">A260+1</f>
        <v>45641</v>
      </c>
      <c r="B261" s="167">
        <f>YEAR(Table7[[#This Row],[Date]])+IF(MONTH(Table7[[#This Row],[Date]])&gt;=4,1,0)</f>
        <v>2025</v>
      </c>
      <c r="C261" s="167">
        <f>YEAR(Table7[[#This Row],[Date]])</f>
        <v>2024</v>
      </c>
      <c r="D261" s="168">
        <f t="shared" si="13"/>
        <v>45627</v>
      </c>
      <c r="AE261" s="167">
        <f t="shared" si="14"/>
        <v>0</v>
      </c>
    </row>
    <row r="262" spans="1:31">
      <c r="A262" s="197">
        <f t="shared" si="15"/>
        <v>45642</v>
      </c>
      <c r="B262" s="167">
        <f>YEAR(Table7[[#This Row],[Date]])+IF(MONTH(Table7[[#This Row],[Date]])&gt;=4,1,0)</f>
        <v>2025</v>
      </c>
      <c r="C262" s="167">
        <f>YEAR(Table7[[#This Row],[Date]])</f>
        <v>2024</v>
      </c>
      <c r="D262" s="168">
        <f t="shared" si="13"/>
        <v>45627</v>
      </c>
      <c r="AE262" s="167">
        <f t="shared" si="14"/>
        <v>0</v>
      </c>
    </row>
    <row r="263" spans="1:31">
      <c r="A263" s="197">
        <f t="shared" si="15"/>
        <v>45643</v>
      </c>
      <c r="B263" s="167">
        <f>YEAR(Table7[[#This Row],[Date]])+IF(MONTH(Table7[[#This Row],[Date]])&gt;=4,1,0)</f>
        <v>2025</v>
      </c>
      <c r="C263" s="167">
        <f>YEAR(Table7[[#This Row],[Date]])</f>
        <v>2024</v>
      </c>
      <c r="D263" s="168">
        <f t="shared" si="13"/>
        <v>45627</v>
      </c>
      <c r="AE263" s="167">
        <f t="shared" si="14"/>
        <v>0</v>
      </c>
    </row>
    <row r="264" spans="1:31">
      <c r="A264" s="197">
        <f t="shared" si="15"/>
        <v>45644</v>
      </c>
      <c r="B264" s="167">
        <f>YEAR(Table7[[#This Row],[Date]])+IF(MONTH(Table7[[#This Row],[Date]])&gt;=4,1,0)</f>
        <v>2025</v>
      </c>
      <c r="C264" s="167">
        <f>YEAR(Table7[[#This Row],[Date]])</f>
        <v>2024</v>
      </c>
      <c r="D264" s="168">
        <f t="shared" si="13"/>
        <v>45627</v>
      </c>
      <c r="AE264" s="167">
        <f t="shared" si="14"/>
        <v>0</v>
      </c>
    </row>
    <row r="265" spans="1:31">
      <c r="A265" s="197">
        <f t="shared" si="15"/>
        <v>45645</v>
      </c>
      <c r="B265" s="167">
        <f>YEAR(Table7[[#This Row],[Date]])+IF(MONTH(Table7[[#This Row],[Date]])&gt;=4,1,0)</f>
        <v>2025</v>
      </c>
      <c r="C265" s="167">
        <f>YEAR(Table7[[#This Row],[Date]])</f>
        <v>2024</v>
      </c>
      <c r="D265" s="168">
        <f t="shared" si="13"/>
        <v>45627</v>
      </c>
      <c r="AE265" s="167">
        <f t="shared" si="14"/>
        <v>0</v>
      </c>
    </row>
    <row r="266" spans="1:31">
      <c r="A266" s="197">
        <f t="shared" si="15"/>
        <v>45646</v>
      </c>
      <c r="B266" s="167">
        <f>YEAR(Table7[[#This Row],[Date]])+IF(MONTH(Table7[[#This Row],[Date]])&gt;=4,1,0)</f>
        <v>2025</v>
      </c>
      <c r="C266" s="167">
        <f>YEAR(Table7[[#This Row],[Date]])</f>
        <v>2024</v>
      </c>
      <c r="D266" s="168">
        <f t="shared" si="13"/>
        <v>45627</v>
      </c>
      <c r="AE266" s="167">
        <f t="shared" si="14"/>
        <v>0</v>
      </c>
    </row>
    <row r="267" spans="1:31">
      <c r="A267" s="197">
        <f t="shared" si="15"/>
        <v>45647</v>
      </c>
      <c r="B267" s="167">
        <f>YEAR(Table7[[#This Row],[Date]])+IF(MONTH(Table7[[#This Row],[Date]])&gt;=4,1,0)</f>
        <v>2025</v>
      </c>
      <c r="C267" s="167">
        <f>YEAR(Table7[[#This Row],[Date]])</f>
        <v>2024</v>
      </c>
      <c r="D267" s="168">
        <f t="shared" si="13"/>
        <v>45627</v>
      </c>
      <c r="AE267" s="167">
        <f t="shared" si="14"/>
        <v>0</v>
      </c>
    </row>
    <row r="268" spans="1:31">
      <c r="A268" s="197">
        <f t="shared" si="15"/>
        <v>45648</v>
      </c>
      <c r="B268" s="167">
        <f>YEAR(Table7[[#This Row],[Date]])+IF(MONTH(Table7[[#This Row],[Date]])&gt;=4,1,0)</f>
        <v>2025</v>
      </c>
      <c r="C268" s="167">
        <f>YEAR(Table7[[#This Row],[Date]])</f>
        <v>2024</v>
      </c>
      <c r="D268" s="168">
        <f t="shared" si="13"/>
        <v>45627</v>
      </c>
      <c r="AE268" s="167">
        <f t="shared" si="14"/>
        <v>0</v>
      </c>
    </row>
    <row r="269" spans="1:31">
      <c r="A269" s="197">
        <f t="shared" si="15"/>
        <v>45649</v>
      </c>
      <c r="B269" s="167">
        <f>YEAR(Table7[[#This Row],[Date]])+IF(MONTH(Table7[[#This Row],[Date]])&gt;=4,1,0)</f>
        <v>2025</v>
      </c>
      <c r="C269" s="167">
        <f>YEAR(Table7[[#This Row],[Date]])</f>
        <v>2024</v>
      </c>
      <c r="D269" s="168">
        <f t="shared" si="13"/>
        <v>45627</v>
      </c>
      <c r="AE269" s="167">
        <f t="shared" si="14"/>
        <v>0</v>
      </c>
    </row>
    <row r="270" spans="1:31">
      <c r="A270" s="197">
        <f t="shared" si="15"/>
        <v>45650</v>
      </c>
      <c r="B270" s="167">
        <f>YEAR(Table7[[#This Row],[Date]])+IF(MONTH(Table7[[#This Row],[Date]])&gt;=4,1,0)</f>
        <v>2025</v>
      </c>
      <c r="C270" s="167">
        <f>YEAR(Table7[[#This Row],[Date]])</f>
        <v>2024</v>
      </c>
      <c r="D270" s="168">
        <f t="shared" si="13"/>
        <v>45627</v>
      </c>
      <c r="AE270" s="167">
        <f t="shared" si="14"/>
        <v>0</v>
      </c>
    </row>
    <row r="271" spans="1:31">
      <c r="A271" s="197">
        <f t="shared" si="15"/>
        <v>45651</v>
      </c>
      <c r="B271" s="167">
        <f>YEAR(Table7[[#This Row],[Date]])+IF(MONTH(Table7[[#This Row],[Date]])&gt;=4,1,0)</f>
        <v>2025</v>
      </c>
      <c r="C271" s="167">
        <f>YEAR(Table7[[#This Row],[Date]])</f>
        <v>2024</v>
      </c>
      <c r="D271" s="168">
        <f t="shared" si="13"/>
        <v>45627</v>
      </c>
      <c r="AE271" s="167">
        <f t="shared" si="14"/>
        <v>0</v>
      </c>
    </row>
    <row r="272" spans="1:31">
      <c r="A272" s="197">
        <f t="shared" si="15"/>
        <v>45652</v>
      </c>
      <c r="B272" s="167">
        <f>YEAR(Table7[[#This Row],[Date]])+IF(MONTH(Table7[[#This Row],[Date]])&gt;=4,1,0)</f>
        <v>2025</v>
      </c>
      <c r="C272" s="167">
        <f>YEAR(Table7[[#This Row],[Date]])</f>
        <v>2024</v>
      </c>
      <c r="D272" s="168">
        <f t="shared" si="13"/>
        <v>45627</v>
      </c>
      <c r="AE272" s="167">
        <f t="shared" si="14"/>
        <v>0</v>
      </c>
    </row>
    <row r="273" spans="1:31">
      <c r="A273" s="197">
        <f t="shared" si="15"/>
        <v>45653</v>
      </c>
      <c r="B273" s="167">
        <f>YEAR(Table7[[#This Row],[Date]])+IF(MONTH(Table7[[#This Row],[Date]])&gt;=4,1,0)</f>
        <v>2025</v>
      </c>
      <c r="C273" s="167">
        <f>YEAR(Table7[[#This Row],[Date]])</f>
        <v>2024</v>
      </c>
      <c r="D273" s="168">
        <f t="shared" si="13"/>
        <v>45627</v>
      </c>
      <c r="AE273" s="167">
        <f t="shared" si="14"/>
        <v>0</v>
      </c>
    </row>
    <row r="274" spans="1:31">
      <c r="A274" s="197">
        <f t="shared" si="15"/>
        <v>45654</v>
      </c>
      <c r="B274" s="167">
        <f>YEAR(Table7[[#This Row],[Date]])+IF(MONTH(Table7[[#This Row],[Date]])&gt;=4,1,0)</f>
        <v>2025</v>
      </c>
      <c r="C274" s="167">
        <f>YEAR(Table7[[#This Row],[Date]])</f>
        <v>2024</v>
      </c>
      <c r="D274" s="168">
        <f t="shared" si="13"/>
        <v>45627</v>
      </c>
      <c r="AE274" s="167">
        <f t="shared" si="14"/>
        <v>0</v>
      </c>
    </row>
    <row r="275" spans="1:31">
      <c r="A275" s="197">
        <f t="shared" si="15"/>
        <v>45655</v>
      </c>
      <c r="B275" s="167">
        <f>YEAR(Table7[[#This Row],[Date]])+IF(MONTH(Table7[[#This Row],[Date]])&gt;=4,1,0)</f>
        <v>2025</v>
      </c>
      <c r="C275" s="167">
        <f>YEAR(Table7[[#This Row],[Date]])</f>
        <v>2024</v>
      </c>
      <c r="D275" s="168">
        <f t="shared" si="13"/>
        <v>45627</v>
      </c>
      <c r="AE275" s="167">
        <f t="shared" si="14"/>
        <v>0</v>
      </c>
    </row>
    <row r="276" spans="1:31">
      <c r="A276" s="197">
        <f t="shared" si="15"/>
        <v>45656</v>
      </c>
      <c r="B276" s="167">
        <f>YEAR(Table7[[#This Row],[Date]])+IF(MONTH(Table7[[#This Row],[Date]])&gt;=4,1,0)</f>
        <v>2025</v>
      </c>
      <c r="C276" s="167">
        <f>YEAR(Table7[[#This Row],[Date]])</f>
        <v>2024</v>
      </c>
      <c r="D276" s="168">
        <f t="shared" si="13"/>
        <v>45627</v>
      </c>
      <c r="AE276" s="167">
        <f t="shared" si="14"/>
        <v>0</v>
      </c>
    </row>
    <row r="277" spans="1:31">
      <c r="A277" s="197">
        <f t="shared" si="15"/>
        <v>45657</v>
      </c>
      <c r="B277" s="167">
        <f>YEAR(Table7[[#This Row],[Date]])+IF(MONTH(Table7[[#This Row],[Date]])&gt;=4,1,0)</f>
        <v>2025</v>
      </c>
      <c r="C277" s="167">
        <f>YEAR(Table7[[#This Row],[Date]])</f>
        <v>2024</v>
      </c>
      <c r="D277" s="168">
        <f t="shared" si="13"/>
        <v>45627</v>
      </c>
      <c r="AE277" s="167">
        <f t="shared" si="14"/>
        <v>0</v>
      </c>
    </row>
    <row r="278" spans="1:31">
      <c r="A278" s="197">
        <f t="shared" si="15"/>
        <v>45658</v>
      </c>
      <c r="B278" s="167">
        <f>YEAR(Table7[[#This Row],[Date]])+IF(MONTH(Table7[[#This Row],[Date]])&gt;=4,1,0)</f>
        <v>2025</v>
      </c>
      <c r="C278" s="167">
        <f>YEAR(Table7[[#This Row],[Date]])</f>
        <v>2025</v>
      </c>
      <c r="D278" s="168">
        <f t="shared" si="13"/>
        <v>45658</v>
      </c>
      <c r="AE278" s="167">
        <f t="shared" si="14"/>
        <v>0</v>
      </c>
    </row>
    <row r="279" spans="1:31">
      <c r="A279" s="197">
        <f t="shared" si="15"/>
        <v>45659</v>
      </c>
      <c r="B279" s="167">
        <f>YEAR(Table7[[#This Row],[Date]])+IF(MONTH(Table7[[#This Row],[Date]])&gt;=4,1,0)</f>
        <v>2025</v>
      </c>
      <c r="C279" s="167">
        <f>YEAR(Table7[[#This Row],[Date]])</f>
        <v>2025</v>
      </c>
      <c r="D279" s="168">
        <f t="shared" si="13"/>
        <v>45658</v>
      </c>
      <c r="AE279" s="167">
        <f t="shared" si="14"/>
        <v>0</v>
      </c>
    </row>
    <row r="280" spans="1:31">
      <c r="A280" s="197">
        <f t="shared" si="15"/>
        <v>45660</v>
      </c>
      <c r="B280" s="167">
        <f>YEAR(Table7[[#This Row],[Date]])+IF(MONTH(Table7[[#This Row],[Date]])&gt;=4,1,0)</f>
        <v>2025</v>
      </c>
      <c r="C280" s="167">
        <f>YEAR(Table7[[#This Row],[Date]])</f>
        <v>2025</v>
      </c>
      <c r="D280" s="168">
        <f t="shared" si="13"/>
        <v>45658</v>
      </c>
      <c r="AE280" s="167">
        <f t="shared" si="14"/>
        <v>0</v>
      </c>
    </row>
    <row r="281" spans="1:31">
      <c r="A281" s="197">
        <f t="shared" si="15"/>
        <v>45661</v>
      </c>
      <c r="B281" s="167">
        <f>YEAR(Table7[[#This Row],[Date]])+IF(MONTH(Table7[[#This Row],[Date]])&gt;=4,1,0)</f>
        <v>2025</v>
      </c>
      <c r="C281" s="167">
        <f>YEAR(Table7[[#This Row],[Date]])</f>
        <v>2025</v>
      </c>
      <c r="D281" s="168">
        <f t="shared" si="13"/>
        <v>45658</v>
      </c>
      <c r="AE281" s="167">
        <f t="shared" si="14"/>
        <v>0</v>
      </c>
    </row>
    <row r="282" spans="1:31">
      <c r="A282" s="197">
        <f t="shared" si="15"/>
        <v>45662</v>
      </c>
      <c r="B282" s="167">
        <f>YEAR(Table7[[#This Row],[Date]])+IF(MONTH(Table7[[#This Row],[Date]])&gt;=4,1,0)</f>
        <v>2025</v>
      </c>
      <c r="C282" s="167">
        <f>YEAR(Table7[[#This Row],[Date]])</f>
        <v>2025</v>
      </c>
      <c r="D282" s="168">
        <f t="shared" si="13"/>
        <v>45658</v>
      </c>
      <c r="AE282" s="167">
        <f t="shared" si="14"/>
        <v>0</v>
      </c>
    </row>
    <row r="283" spans="1:31">
      <c r="A283" s="197">
        <f t="shared" si="15"/>
        <v>45663</v>
      </c>
      <c r="B283" s="167">
        <f>YEAR(Table7[[#This Row],[Date]])+IF(MONTH(Table7[[#This Row],[Date]])&gt;=4,1,0)</f>
        <v>2025</v>
      </c>
      <c r="C283" s="167">
        <f>YEAR(Table7[[#This Row],[Date]])</f>
        <v>2025</v>
      </c>
      <c r="D283" s="168">
        <f t="shared" si="13"/>
        <v>45658</v>
      </c>
      <c r="AE283" s="167">
        <f t="shared" si="14"/>
        <v>0</v>
      </c>
    </row>
    <row r="284" spans="1:31">
      <c r="A284" s="197">
        <f t="shared" si="15"/>
        <v>45664</v>
      </c>
      <c r="B284" s="167">
        <f>YEAR(Table7[[#This Row],[Date]])+IF(MONTH(Table7[[#This Row],[Date]])&gt;=4,1,0)</f>
        <v>2025</v>
      </c>
      <c r="C284" s="167">
        <f>YEAR(Table7[[#This Row],[Date]])</f>
        <v>2025</v>
      </c>
      <c r="D284" s="168">
        <f t="shared" si="13"/>
        <v>45658</v>
      </c>
      <c r="AE284" s="167">
        <f t="shared" si="14"/>
        <v>0</v>
      </c>
    </row>
    <row r="285" spans="1:31">
      <c r="A285" s="197">
        <f t="shared" si="15"/>
        <v>45665</v>
      </c>
      <c r="B285" s="167">
        <f>YEAR(Table7[[#This Row],[Date]])+IF(MONTH(Table7[[#This Row],[Date]])&gt;=4,1,0)</f>
        <v>2025</v>
      </c>
      <c r="C285" s="167">
        <f>YEAR(Table7[[#This Row],[Date]])</f>
        <v>2025</v>
      </c>
      <c r="D285" s="168">
        <f t="shared" si="13"/>
        <v>45658</v>
      </c>
      <c r="AE285" s="167">
        <f t="shared" si="14"/>
        <v>0</v>
      </c>
    </row>
    <row r="286" spans="1:31">
      <c r="A286" s="197">
        <f t="shared" si="15"/>
        <v>45666</v>
      </c>
      <c r="B286" s="167">
        <f>YEAR(Table7[[#This Row],[Date]])+IF(MONTH(Table7[[#This Row],[Date]])&gt;=4,1,0)</f>
        <v>2025</v>
      </c>
      <c r="C286" s="167">
        <f>YEAR(Table7[[#This Row],[Date]])</f>
        <v>2025</v>
      </c>
      <c r="D286" s="168">
        <f t="shared" si="13"/>
        <v>45658</v>
      </c>
      <c r="AE286" s="167">
        <f t="shared" si="14"/>
        <v>0</v>
      </c>
    </row>
    <row r="287" spans="1:31">
      <c r="A287" s="197">
        <f t="shared" si="15"/>
        <v>45667</v>
      </c>
      <c r="B287" s="167">
        <f>YEAR(Table7[[#This Row],[Date]])+IF(MONTH(Table7[[#This Row],[Date]])&gt;=4,1,0)</f>
        <v>2025</v>
      </c>
      <c r="C287" s="167">
        <f>YEAR(Table7[[#This Row],[Date]])</f>
        <v>2025</v>
      </c>
      <c r="D287" s="168">
        <f t="shared" si="13"/>
        <v>45658</v>
      </c>
      <c r="AE287" s="167">
        <f t="shared" si="14"/>
        <v>0</v>
      </c>
    </row>
    <row r="288" spans="1:31">
      <c r="A288" s="197">
        <f t="shared" si="15"/>
        <v>45668</v>
      </c>
      <c r="B288" s="167">
        <f>YEAR(Table7[[#This Row],[Date]])+IF(MONTH(Table7[[#This Row],[Date]])&gt;=4,1,0)</f>
        <v>2025</v>
      </c>
      <c r="C288" s="167">
        <f>YEAR(Table7[[#This Row],[Date]])</f>
        <v>2025</v>
      </c>
      <c r="D288" s="168">
        <f t="shared" si="13"/>
        <v>45658</v>
      </c>
      <c r="AE288" s="167">
        <f t="shared" si="14"/>
        <v>0</v>
      </c>
    </row>
    <row r="289" spans="1:31">
      <c r="A289" s="197">
        <f t="shared" si="15"/>
        <v>45669</v>
      </c>
      <c r="B289" s="167">
        <f>YEAR(Table7[[#This Row],[Date]])+IF(MONTH(Table7[[#This Row],[Date]])&gt;=4,1,0)</f>
        <v>2025</v>
      </c>
      <c r="C289" s="167">
        <f>YEAR(Table7[[#This Row],[Date]])</f>
        <v>2025</v>
      </c>
      <c r="D289" s="168">
        <f t="shared" si="13"/>
        <v>45658</v>
      </c>
      <c r="AE289" s="167">
        <f t="shared" si="14"/>
        <v>0</v>
      </c>
    </row>
    <row r="290" spans="1:31">
      <c r="A290" s="197">
        <f t="shared" si="15"/>
        <v>45670</v>
      </c>
      <c r="B290" s="167">
        <f>YEAR(Table7[[#This Row],[Date]])+IF(MONTH(Table7[[#This Row],[Date]])&gt;=4,1,0)</f>
        <v>2025</v>
      </c>
      <c r="C290" s="167">
        <f>YEAR(Table7[[#This Row],[Date]])</f>
        <v>2025</v>
      </c>
      <c r="D290" s="168">
        <f t="shared" si="13"/>
        <v>45658</v>
      </c>
      <c r="AE290" s="167">
        <f t="shared" si="14"/>
        <v>0</v>
      </c>
    </row>
    <row r="291" spans="1:31">
      <c r="A291" s="197">
        <f t="shared" si="15"/>
        <v>45671</v>
      </c>
      <c r="B291" s="167">
        <f>YEAR(Table7[[#This Row],[Date]])+IF(MONTH(Table7[[#This Row],[Date]])&gt;=4,1,0)</f>
        <v>2025</v>
      </c>
      <c r="C291" s="167">
        <f>YEAR(Table7[[#This Row],[Date]])</f>
        <v>2025</v>
      </c>
      <c r="D291" s="168">
        <f t="shared" si="13"/>
        <v>45658</v>
      </c>
      <c r="AE291" s="167">
        <f t="shared" si="14"/>
        <v>0</v>
      </c>
    </row>
    <row r="292" spans="1:31">
      <c r="A292" s="197">
        <f t="shared" si="15"/>
        <v>45672</v>
      </c>
      <c r="B292" s="167">
        <f>YEAR(Table7[[#This Row],[Date]])+IF(MONTH(Table7[[#This Row],[Date]])&gt;=4,1,0)</f>
        <v>2025</v>
      </c>
      <c r="C292" s="167">
        <f>YEAR(Table7[[#This Row],[Date]])</f>
        <v>2025</v>
      </c>
      <c r="D292" s="168">
        <f t="shared" si="13"/>
        <v>45658</v>
      </c>
      <c r="AE292" s="167">
        <f t="shared" si="14"/>
        <v>0</v>
      </c>
    </row>
    <row r="293" spans="1:31">
      <c r="A293" s="197">
        <f t="shared" si="15"/>
        <v>45673</v>
      </c>
      <c r="B293" s="167">
        <f>YEAR(Table7[[#This Row],[Date]])+IF(MONTH(Table7[[#This Row],[Date]])&gt;=4,1,0)</f>
        <v>2025</v>
      </c>
      <c r="C293" s="167">
        <f>YEAR(Table7[[#This Row],[Date]])</f>
        <v>2025</v>
      </c>
      <c r="D293" s="168">
        <f t="shared" si="13"/>
        <v>45658</v>
      </c>
      <c r="AE293" s="167">
        <f t="shared" si="14"/>
        <v>0</v>
      </c>
    </row>
    <row r="294" spans="1:31">
      <c r="A294" s="197">
        <f t="shared" si="15"/>
        <v>45674</v>
      </c>
      <c r="B294" s="167">
        <f>YEAR(Table7[[#This Row],[Date]])+IF(MONTH(Table7[[#This Row],[Date]])&gt;=4,1,0)</f>
        <v>2025</v>
      </c>
      <c r="C294" s="167">
        <f>YEAR(Table7[[#This Row],[Date]])</f>
        <v>2025</v>
      </c>
      <c r="D294" s="168">
        <f t="shared" si="13"/>
        <v>45658</v>
      </c>
      <c r="AE294" s="167">
        <f t="shared" si="14"/>
        <v>0</v>
      </c>
    </row>
    <row r="295" spans="1:31">
      <c r="A295" s="197">
        <f t="shared" si="15"/>
        <v>45675</v>
      </c>
      <c r="B295" s="167">
        <f>YEAR(Table7[[#This Row],[Date]])+IF(MONTH(Table7[[#This Row],[Date]])&gt;=4,1,0)</f>
        <v>2025</v>
      </c>
      <c r="C295" s="167">
        <f>YEAR(Table7[[#This Row],[Date]])</f>
        <v>2025</v>
      </c>
      <c r="D295" s="168">
        <f t="shared" si="13"/>
        <v>45658</v>
      </c>
      <c r="AE295" s="167">
        <f t="shared" si="14"/>
        <v>0</v>
      </c>
    </row>
    <row r="296" spans="1:31">
      <c r="A296" s="197">
        <f t="shared" si="15"/>
        <v>45676</v>
      </c>
      <c r="B296" s="167">
        <f>YEAR(Table7[[#This Row],[Date]])+IF(MONTH(Table7[[#This Row],[Date]])&gt;=4,1,0)</f>
        <v>2025</v>
      </c>
      <c r="C296" s="167">
        <f>YEAR(Table7[[#This Row],[Date]])</f>
        <v>2025</v>
      </c>
      <c r="D296" s="168">
        <f t="shared" si="13"/>
        <v>45658</v>
      </c>
      <c r="AE296" s="167">
        <f t="shared" si="14"/>
        <v>0</v>
      </c>
    </row>
    <row r="297" spans="1:31">
      <c r="A297" s="197">
        <f t="shared" si="15"/>
        <v>45677</v>
      </c>
      <c r="B297" s="167">
        <f>YEAR(Table7[[#This Row],[Date]])+IF(MONTH(Table7[[#This Row],[Date]])&gt;=4,1,0)</f>
        <v>2025</v>
      </c>
      <c r="C297" s="167">
        <f>YEAR(Table7[[#This Row],[Date]])</f>
        <v>2025</v>
      </c>
      <c r="D297" s="168">
        <f t="shared" si="13"/>
        <v>45658</v>
      </c>
      <c r="AE297" s="167">
        <f t="shared" si="14"/>
        <v>0</v>
      </c>
    </row>
    <row r="298" spans="1:31">
      <c r="A298" s="197">
        <f t="shared" si="15"/>
        <v>45678</v>
      </c>
      <c r="B298" s="167">
        <f>YEAR(Table7[[#This Row],[Date]])+IF(MONTH(Table7[[#This Row],[Date]])&gt;=4,1,0)</f>
        <v>2025</v>
      </c>
      <c r="C298" s="167">
        <f>YEAR(Table7[[#This Row],[Date]])</f>
        <v>2025</v>
      </c>
      <c r="D298" s="168">
        <f t="shared" si="13"/>
        <v>45658</v>
      </c>
      <c r="AE298" s="167">
        <f t="shared" si="14"/>
        <v>0</v>
      </c>
    </row>
    <row r="299" spans="1:31">
      <c r="A299" s="197">
        <f t="shared" si="15"/>
        <v>45679</v>
      </c>
      <c r="B299" s="167">
        <f>YEAR(Table7[[#This Row],[Date]])+IF(MONTH(Table7[[#This Row],[Date]])&gt;=4,1,0)</f>
        <v>2025</v>
      </c>
      <c r="C299" s="167">
        <f>YEAR(Table7[[#This Row],[Date]])</f>
        <v>2025</v>
      </c>
      <c r="D299" s="168">
        <f t="shared" si="13"/>
        <v>45658</v>
      </c>
      <c r="AE299" s="167">
        <f t="shared" si="14"/>
        <v>0</v>
      </c>
    </row>
    <row r="300" spans="1:31">
      <c r="A300" s="197">
        <f t="shared" si="15"/>
        <v>45680</v>
      </c>
      <c r="B300" s="167">
        <f>YEAR(Table7[[#This Row],[Date]])+IF(MONTH(Table7[[#This Row],[Date]])&gt;=4,1,0)</f>
        <v>2025</v>
      </c>
      <c r="C300" s="167">
        <f>YEAR(Table7[[#This Row],[Date]])</f>
        <v>2025</v>
      </c>
      <c r="D300" s="168">
        <f t="shared" si="13"/>
        <v>45658</v>
      </c>
      <c r="AE300" s="167">
        <f t="shared" si="14"/>
        <v>0</v>
      </c>
    </row>
    <row r="301" spans="1:31">
      <c r="A301" s="197">
        <f t="shared" si="15"/>
        <v>45681</v>
      </c>
      <c r="B301" s="167">
        <f>YEAR(Table7[[#This Row],[Date]])+IF(MONTH(Table7[[#This Row],[Date]])&gt;=4,1,0)</f>
        <v>2025</v>
      </c>
      <c r="C301" s="167">
        <f>YEAR(Table7[[#This Row],[Date]])</f>
        <v>2025</v>
      </c>
      <c r="D301" s="168">
        <f t="shared" si="13"/>
        <v>45658</v>
      </c>
      <c r="AE301" s="167">
        <f t="shared" si="14"/>
        <v>0</v>
      </c>
    </row>
    <row r="302" spans="1:31">
      <c r="A302" s="197">
        <f t="shared" si="15"/>
        <v>45682</v>
      </c>
      <c r="B302" s="167">
        <f>YEAR(Table7[[#This Row],[Date]])+IF(MONTH(Table7[[#This Row],[Date]])&gt;=4,1,0)</f>
        <v>2025</v>
      </c>
      <c r="C302" s="167">
        <f>YEAR(Table7[[#This Row],[Date]])</f>
        <v>2025</v>
      </c>
      <c r="D302" s="168">
        <f t="shared" si="13"/>
        <v>45658</v>
      </c>
      <c r="AE302" s="167">
        <f t="shared" si="14"/>
        <v>0</v>
      </c>
    </row>
    <row r="303" spans="1:31">
      <c r="A303" s="197">
        <f t="shared" si="15"/>
        <v>45683</v>
      </c>
      <c r="B303" s="167">
        <f>YEAR(Table7[[#This Row],[Date]])+IF(MONTH(Table7[[#This Row],[Date]])&gt;=4,1,0)</f>
        <v>2025</v>
      </c>
      <c r="C303" s="167">
        <f>YEAR(Table7[[#This Row],[Date]])</f>
        <v>2025</v>
      </c>
      <c r="D303" s="168">
        <f t="shared" si="13"/>
        <v>45658</v>
      </c>
      <c r="AE303" s="167">
        <f t="shared" si="14"/>
        <v>0</v>
      </c>
    </row>
    <row r="304" spans="1:31">
      <c r="A304" s="197">
        <f t="shared" si="15"/>
        <v>45684</v>
      </c>
      <c r="B304" s="167">
        <f>YEAR(Table7[[#This Row],[Date]])+IF(MONTH(Table7[[#This Row],[Date]])&gt;=4,1,0)</f>
        <v>2025</v>
      </c>
      <c r="C304" s="167">
        <f>YEAR(Table7[[#This Row],[Date]])</f>
        <v>2025</v>
      </c>
      <c r="D304" s="168">
        <f t="shared" si="13"/>
        <v>45658</v>
      </c>
      <c r="AE304" s="167">
        <f t="shared" si="14"/>
        <v>0</v>
      </c>
    </row>
    <row r="305" spans="1:31">
      <c r="A305" s="197">
        <f t="shared" si="15"/>
        <v>45685</v>
      </c>
      <c r="B305" s="167">
        <f>YEAR(Table7[[#This Row],[Date]])+IF(MONTH(Table7[[#This Row],[Date]])&gt;=4,1,0)</f>
        <v>2025</v>
      </c>
      <c r="C305" s="167">
        <f>YEAR(Table7[[#This Row],[Date]])</f>
        <v>2025</v>
      </c>
      <c r="D305" s="168">
        <f t="shared" si="13"/>
        <v>45658</v>
      </c>
      <c r="AE305" s="167">
        <f t="shared" si="14"/>
        <v>0</v>
      </c>
    </row>
    <row r="306" spans="1:31">
      <c r="A306" s="197">
        <f t="shared" si="15"/>
        <v>45686</v>
      </c>
      <c r="B306" s="167">
        <f>YEAR(Table7[[#This Row],[Date]])+IF(MONTH(Table7[[#This Row],[Date]])&gt;=4,1,0)</f>
        <v>2025</v>
      </c>
      <c r="C306" s="167">
        <f>YEAR(Table7[[#This Row],[Date]])</f>
        <v>2025</v>
      </c>
      <c r="D306" s="168">
        <f t="shared" si="13"/>
        <v>45658</v>
      </c>
      <c r="AE306" s="167">
        <f t="shared" si="14"/>
        <v>0</v>
      </c>
    </row>
    <row r="307" spans="1:31">
      <c r="A307" s="197">
        <f t="shared" si="15"/>
        <v>45687</v>
      </c>
      <c r="B307" s="167">
        <f>YEAR(Table7[[#This Row],[Date]])+IF(MONTH(Table7[[#This Row],[Date]])&gt;=4,1,0)</f>
        <v>2025</v>
      </c>
      <c r="C307" s="167">
        <f>YEAR(Table7[[#This Row],[Date]])</f>
        <v>2025</v>
      </c>
      <c r="D307" s="168">
        <f t="shared" si="13"/>
        <v>45658</v>
      </c>
      <c r="AE307" s="167">
        <f t="shared" si="14"/>
        <v>0</v>
      </c>
    </row>
    <row r="308" spans="1:31">
      <c r="A308" s="197">
        <f t="shared" si="15"/>
        <v>45688</v>
      </c>
      <c r="B308" s="167">
        <f>YEAR(Table7[[#This Row],[Date]])+IF(MONTH(Table7[[#This Row],[Date]])&gt;=4,1,0)</f>
        <v>2025</v>
      </c>
      <c r="C308" s="167">
        <f>YEAR(Table7[[#This Row],[Date]])</f>
        <v>2025</v>
      </c>
      <c r="D308" s="168">
        <f t="shared" si="13"/>
        <v>45658</v>
      </c>
      <c r="AE308" s="167">
        <f t="shared" si="14"/>
        <v>0</v>
      </c>
    </row>
    <row r="309" spans="1:31">
      <c r="A309" s="197">
        <f t="shared" si="15"/>
        <v>45689</v>
      </c>
      <c r="B309" s="167">
        <f>YEAR(Table7[[#This Row],[Date]])+IF(MONTH(Table7[[#This Row],[Date]])&gt;=4,1,0)</f>
        <v>2025</v>
      </c>
      <c r="C309" s="167">
        <f>YEAR(Table7[[#This Row],[Date]])</f>
        <v>2025</v>
      </c>
      <c r="D309" s="168">
        <f t="shared" si="13"/>
        <v>45689</v>
      </c>
      <c r="AE309" s="167">
        <f t="shared" si="14"/>
        <v>0</v>
      </c>
    </row>
    <row r="310" spans="1:31">
      <c r="A310" s="197">
        <f t="shared" si="15"/>
        <v>45690</v>
      </c>
      <c r="B310" s="167">
        <f>YEAR(Table7[[#This Row],[Date]])+IF(MONTH(Table7[[#This Row],[Date]])&gt;=4,1,0)</f>
        <v>2025</v>
      </c>
      <c r="C310" s="167">
        <f>YEAR(Table7[[#This Row],[Date]])</f>
        <v>2025</v>
      </c>
      <c r="D310" s="168">
        <f t="shared" si="13"/>
        <v>45689</v>
      </c>
      <c r="AE310" s="167">
        <f t="shared" si="14"/>
        <v>0</v>
      </c>
    </row>
    <row r="311" spans="1:31">
      <c r="A311" s="197">
        <f t="shared" si="15"/>
        <v>45691</v>
      </c>
      <c r="B311" s="167">
        <f>YEAR(Table7[[#This Row],[Date]])+IF(MONTH(Table7[[#This Row],[Date]])&gt;=4,1,0)</f>
        <v>2025</v>
      </c>
      <c r="C311" s="167">
        <f>YEAR(Table7[[#This Row],[Date]])</f>
        <v>2025</v>
      </c>
      <c r="D311" s="168">
        <f t="shared" si="13"/>
        <v>45689</v>
      </c>
      <c r="AE311" s="167">
        <f t="shared" si="14"/>
        <v>0</v>
      </c>
    </row>
    <row r="312" spans="1:31">
      <c r="A312" s="197">
        <f t="shared" si="15"/>
        <v>45692</v>
      </c>
      <c r="B312" s="167">
        <f>YEAR(Table7[[#This Row],[Date]])+IF(MONTH(Table7[[#This Row],[Date]])&gt;=4,1,0)</f>
        <v>2025</v>
      </c>
      <c r="C312" s="167">
        <f>YEAR(Table7[[#This Row],[Date]])</f>
        <v>2025</v>
      </c>
      <c r="D312" s="168">
        <f t="shared" si="13"/>
        <v>45689</v>
      </c>
      <c r="AE312" s="167">
        <f t="shared" si="14"/>
        <v>0</v>
      </c>
    </row>
    <row r="313" spans="1:31">
      <c r="A313" s="197">
        <f t="shared" si="15"/>
        <v>45693</v>
      </c>
      <c r="B313" s="167">
        <f>YEAR(Table7[[#This Row],[Date]])+IF(MONTH(Table7[[#This Row],[Date]])&gt;=4,1,0)</f>
        <v>2025</v>
      </c>
      <c r="C313" s="167">
        <f>YEAR(Table7[[#This Row],[Date]])</f>
        <v>2025</v>
      </c>
      <c r="D313" s="168">
        <f t="shared" si="13"/>
        <v>45689</v>
      </c>
      <c r="AE313" s="167">
        <f t="shared" si="14"/>
        <v>0</v>
      </c>
    </row>
    <row r="314" spans="1:31">
      <c r="A314" s="197">
        <f t="shared" si="15"/>
        <v>45694</v>
      </c>
      <c r="B314" s="167">
        <f>YEAR(Table7[[#This Row],[Date]])+IF(MONTH(Table7[[#This Row],[Date]])&gt;=4,1,0)</f>
        <v>2025</v>
      </c>
      <c r="C314" s="167">
        <f>YEAR(Table7[[#This Row],[Date]])</f>
        <v>2025</v>
      </c>
      <c r="D314" s="168">
        <f t="shared" si="13"/>
        <v>45689</v>
      </c>
      <c r="AE314" s="167">
        <f t="shared" si="14"/>
        <v>0</v>
      </c>
    </row>
    <row r="315" spans="1:31">
      <c r="A315" s="197">
        <f t="shared" si="15"/>
        <v>45695</v>
      </c>
      <c r="B315" s="167">
        <f>YEAR(Table7[[#This Row],[Date]])+IF(MONTH(Table7[[#This Row],[Date]])&gt;=4,1,0)</f>
        <v>2025</v>
      </c>
      <c r="C315" s="167">
        <f>YEAR(Table7[[#This Row],[Date]])</f>
        <v>2025</v>
      </c>
      <c r="D315" s="168">
        <f t="shared" si="13"/>
        <v>45689</v>
      </c>
      <c r="AE315" s="167">
        <f t="shared" si="14"/>
        <v>0</v>
      </c>
    </row>
    <row r="316" spans="1:31">
      <c r="A316" s="197">
        <f t="shared" si="15"/>
        <v>45696</v>
      </c>
      <c r="B316" s="167">
        <f>YEAR(Table7[[#This Row],[Date]])+IF(MONTH(Table7[[#This Row],[Date]])&gt;=4,1,0)</f>
        <v>2025</v>
      </c>
      <c r="C316" s="167">
        <f>YEAR(Table7[[#This Row],[Date]])</f>
        <v>2025</v>
      </c>
      <c r="D316" s="168">
        <f t="shared" si="13"/>
        <v>45689</v>
      </c>
      <c r="AE316" s="167">
        <f t="shared" si="14"/>
        <v>0</v>
      </c>
    </row>
    <row r="317" spans="1:31">
      <c r="A317" s="197">
        <f t="shared" si="15"/>
        <v>45697</v>
      </c>
      <c r="B317" s="167">
        <f>YEAR(Table7[[#This Row],[Date]])+IF(MONTH(Table7[[#This Row],[Date]])&gt;=4,1,0)</f>
        <v>2025</v>
      </c>
      <c r="C317" s="167">
        <f>YEAR(Table7[[#This Row],[Date]])</f>
        <v>2025</v>
      </c>
      <c r="D317" s="168">
        <f t="shared" si="13"/>
        <v>45689</v>
      </c>
      <c r="AE317" s="167">
        <f t="shared" si="14"/>
        <v>0</v>
      </c>
    </row>
    <row r="318" spans="1:31">
      <c r="A318" s="197">
        <f t="shared" si="15"/>
        <v>45698</v>
      </c>
      <c r="B318" s="167">
        <f>YEAR(Table7[[#This Row],[Date]])+IF(MONTH(Table7[[#This Row],[Date]])&gt;=4,1,0)</f>
        <v>2025</v>
      </c>
      <c r="C318" s="167">
        <f>YEAR(Table7[[#This Row],[Date]])</f>
        <v>2025</v>
      </c>
      <c r="D318" s="168">
        <f t="shared" si="13"/>
        <v>45689</v>
      </c>
      <c r="AE318" s="167">
        <f t="shared" si="14"/>
        <v>0</v>
      </c>
    </row>
    <row r="319" spans="1:31">
      <c r="A319" s="197">
        <f t="shared" si="15"/>
        <v>45699</v>
      </c>
      <c r="B319" s="167">
        <f>YEAR(Table7[[#This Row],[Date]])+IF(MONTH(Table7[[#This Row],[Date]])&gt;=4,1,0)</f>
        <v>2025</v>
      </c>
      <c r="C319" s="167">
        <f>YEAR(Table7[[#This Row],[Date]])</f>
        <v>2025</v>
      </c>
      <c r="D319" s="168">
        <f t="shared" si="13"/>
        <v>45689</v>
      </c>
      <c r="AE319" s="167">
        <f t="shared" si="14"/>
        <v>0</v>
      </c>
    </row>
    <row r="320" spans="1:31">
      <c r="A320" s="197">
        <f t="shared" si="15"/>
        <v>45700</v>
      </c>
      <c r="B320" s="167">
        <f>YEAR(Table7[[#This Row],[Date]])+IF(MONTH(Table7[[#This Row],[Date]])&gt;=4,1,0)</f>
        <v>2025</v>
      </c>
      <c r="C320" s="167">
        <f>YEAR(Table7[[#This Row],[Date]])</f>
        <v>2025</v>
      </c>
      <c r="D320" s="168">
        <f t="shared" si="13"/>
        <v>45689</v>
      </c>
      <c r="AE320" s="167">
        <f t="shared" si="14"/>
        <v>0</v>
      </c>
    </row>
    <row r="321" spans="1:31">
      <c r="A321" s="197">
        <f t="shared" si="15"/>
        <v>45701</v>
      </c>
      <c r="B321" s="167">
        <f>YEAR(Table7[[#This Row],[Date]])+IF(MONTH(Table7[[#This Row],[Date]])&gt;=4,1,0)</f>
        <v>2025</v>
      </c>
      <c r="C321" s="167">
        <f>YEAR(Table7[[#This Row],[Date]])</f>
        <v>2025</v>
      </c>
      <c r="D321" s="168">
        <f t="shared" si="13"/>
        <v>45689</v>
      </c>
      <c r="AE321" s="167">
        <f t="shared" si="14"/>
        <v>0</v>
      </c>
    </row>
    <row r="322" spans="1:31">
      <c r="A322" s="197">
        <f t="shared" si="15"/>
        <v>45702</v>
      </c>
      <c r="B322" s="167">
        <f>YEAR(Table7[[#This Row],[Date]])+IF(MONTH(Table7[[#This Row],[Date]])&gt;=4,1,0)</f>
        <v>2025</v>
      </c>
      <c r="C322" s="167">
        <f>YEAR(Table7[[#This Row],[Date]])</f>
        <v>2025</v>
      </c>
      <c r="D322" s="168">
        <f t="shared" si="13"/>
        <v>45689</v>
      </c>
      <c r="AE322" s="167">
        <f t="shared" si="14"/>
        <v>0</v>
      </c>
    </row>
    <row r="323" spans="1:31">
      <c r="A323" s="197">
        <f t="shared" si="15"/>
        <v>45703</v>
      </c>
      <c r="B323" s="167">
        <f>YEAR(Table7[[#This Row],[Date]])+IF(MONTH(Table7[[#This Row],[Date]])&gt;=4,1,0)</f>
        <v>2025</v>
      </c>
      <c r="C323" s="167">
        <f>YEAR(Table7[[#This Row],[Date]])</f>
        <v>2025</v>
      </c>
      <c r="D323" s="168">
        <f t="shared" ref="D323:D386" si="16">A323-DAY(A323)+1</f>
        <v>45689</v>
      </c>
      <c r="AE323" s="167">
        <f t="shared" ref="AE323:AE386" si="17">SUM(E323:AD323)</f>
        <v>0</v>
      </c>
    </row>
    <row r="324" spans="1:31">
      <c r="A324" s="197">
        <f t="shared" si="15"/>
        <v>45704</v>
      </c>
      <c r="B324" s="167">
        <f>YEAR(Table7[[#This Row],[Date]])+IF(MONTH(Table7[[#This Row],[Date]])&gt;=4,1,0)</f>
        <v>2025</v>
      </c>
      <c r="C324" s="167">
        <f>YEAR(Table7[[#This Row],[Date]])</f>
        <v>2025</v>
      </c>
      <c r="D324" s="168">
        <f t="shared" si="16"/>
        <v>45689</v>
      </c>
      <c r="AE324" s="167">
        <f t="shared" si="17"/>
        <v>0</v>
      </c>
    </row>
    <row r="325" spans="1:31">
      <c r="A325" s="197">
        <f t="shared" ref="A325:A388" si="18">A324+1</f>
        <v>45705</v>
      </c>
      <c r="B325" s="167">
        <f>YEAR(Table7[[#This Row],[Date]])+IF(MONTH(Table7[[#This Row],[Date]])&gt;=4,1,0)</f>
        <v>2025</v>
      </c>
      <c r="C325" s="167">
        <f>YEAR(Table7[[#This Row],[Date]])</f>
        <v>2025</v>
      </c>
      <c r="D325" s="168">
        <f t="shared" si="16"/>
        <v>45689</v>
      </c>
      <c r="AE325" s="167">
        <f t="shared" si="17"/>
        <v>0</v>
      </c>
    </row>
    <row r="326" spans="1:31">
      <c r="A326" s="197">
        <f t="shared" si="18"/>
        <v>45706</v>
      </c>
      <c r="B326" s="167">
        <f>YEAR(Table7[[#This Row],[Date]])+IF(MONTH(Table7[[#This Row],[Date]])&gt;=4,1,0)</f>
        <v>2025</v>
      </c>
      <c r="C326" s="167">
        <f>YEAR(Table7[[#This Row],[Date]])</f>
        <v>2025</v>
      </c>
      <c r="D326" s="168">
        <f t="shared" si="16"/>
        <v>45689</v>
      </c>
      <c r="AE326" s="167">
        <f t="shared" si="17"/>
        <v>0</v>
      </c>
    </row>
    <row r="327" spans="1:31">
      <c r="A327" s="197">
        <f t="shared" si="18"/>
        <v>45707</v>
      </c>
      <c r="B327" s="167">
        <f>YEAR(Table7[[#This Row],[Date]])+IF(MONTH(Table7[[#This Row],[Date]])&gt;=4,1,0)</f>
        <v>2025</v>
      </c>
      <c r="C327" s="167">
        <f>YEAR(Table7[[#This Row],[Date]])</f>
        <v>2025</v>
      </c>
      <c r="D327" s="168">
        <f t="shared" si="16"/>
        <v>45689</v>
      </c>
      <c r="AE327" s="167">
        <f t="shared" si="17"/>
        <v>0</v>
      </c>
    </row>
    <row r="328" spans="1:31">
      <c r="A328" s="197">
        <f t="shared" si="18"/>
        <v>45708</v>
      </c>
      <c r="B328" s="167">
        <f>YEAR(Table7[[#This Row],[Date]])+IF(MONTH(Table7[[#This Row],[Date]])&gt;=4,1,0)</f>
        <v>2025</v>
      </c>
      <c r="C328" s="167">
        <f>YEAR(Table7[[#This Row],[Date]])</f>
        <v>2025</v>
      </c>
      <c r="D328" s="168">
        <f t="shared" si="16"/>
        <v>45689</v>
      </c>
      <c r="AE328" s="167">
        <f t="shared" si="17"/>
        <v>0</v>
      </c>
    </row>
    <row r="329" spans="1:31">
      <c r="A329" s="197">
        <f t="shared" si="18"/>
        <v>45709</v>
      </c>
      <c r="B329" s="167">
        <f>YEAR(Table7[[#This Row],[Date]])+IF(MONTH(Table7[[#This Row],[Date]])&gt;=4,1,0)</f>
        <v>2025</v>
      </c>
      <c r="C329" s="167">
        <f>YEAR(Table7[[#This Row],[Date]])</f>
        <v>2025</v>
      </c>
      <c r="D329" s="168">
        <f t="shared" si="16"/>
        <v>45689</v>
      </c>
      <c r="AE329" s="167">
        <f t="shared" si="17"/>
        <v>0</v>
      </c>
    </row>
    <row r="330" spans="1:31">
      <c r="A330" s="197">
        <f t="shared" si="18"/>
        <v>45710</v>
      </c>
      <c r="B330" s="167">
        <f>YEAR(Table7[[#This Row],[Date]])+IF(MONTH(Table7[[#This Row],[Date]])&gt;=4,1,0)</f>
        <v>2025</v>
      </c>
      <c r="C330" s="167">
        <f>YEAR(Table7[[#This Row],[Date]])</f>
        <v>2025</v>
      </c>
      <c r="D330" s="168">
        <f t="shared" si="16"/>
        <v>45689</v>
      </c>
      <c r="AE330" s="167">
        <f t="shared" si="17"/>
        <v>0</v>
      </c>
    </row>
    <row r="331" spans="1:31">
      <c r="A331" s="197">
        <f t="shared" si="18"/>
        <v>45711</v>
      </c>
      <c r="B331" s="167">
        <f>YEAR(Table7[[#This Row],[Date]])+IF(MONTH(Table7[[#This Row],[Date]])&gt;=4,1,0)</f>
        <v>2025</v>
      </c>
      <c r="C331" s="167">
        <f>YEAR(Table7[[#This Row],[Date]])</f>
        <v>2025</v>
      </c>
      <c r="D331" s="168">
        <f t="shared" si="16"/>
        <v>45689</v>
      </c>
      <c r="AE331" s="167">
        <f t="shared" si="17"/>
        <v>0</v>
      </c>
    </row>
    <row r="332" spans="1:31">
      <c r="A332" s="197">
        <f t="shared" si="18"/>
        <v>45712</v>
      </c>
      <c r="B332" s="167">
        <f>YEAR(Table7[[#This Row],[Date]])+IF(MONTH(Table7[[#This Row],[Date]])&gt;=4,1,0)</f>
        <v>2025</v>
      </c>
      <c r="C332" s="167">
        <f>YEAR(Table7[[#This Row],[Date]])</f>
        <v>2025</v>
      </c>
      <c r="D332" s="168">
        <f t="shared" si="16"/>
        <v>45689</v>
      </c>
      <c r="AE332" s="167">
        <f t="shared" si="17"/>
        <v>0</v>
      </c>
    </row>
    <row r="333" spans="1:31">
      <c r="A333" s="197">
        <f t="shared" si="18"/>
        <v>45713</v>
      </c>
      <c r="B333" s="167">
        <f>YEAR(Table7[[#This Row],[Date]])+IF(MONTH(Table7[[#This Row],[Date]])&gt;=4,1,0)</f>
        <v>2025</v>
      </c>
      <c r="C333" s="167">
        <f>YEAR(Table7[[#This Row],[Date]])</f>
        <v>2025</v>
      </c>
      <c r="D333" s="168">
        <f t="shared" si="16"/>
        <v>45689</v>
      </c>
      <c r="AE333" s="167">
        <f t="shared" si="17"/>
        <v>0</v>
      </c>
    </row>
    <row r="334" spans="1:31">
      <c r="A334" s="197">
        <f t="shared" si="18"/>
        <v>45714</v>
      </c>
      <c r="B334" s="167">
        <f>YEAR(Table7[[#This Row],[Date]])+IF(MONTH(Table7[[#This Row],[Date]])&gt;=4,1,0)</f>
        <v>2025</v>
      </c>
      <c r="C334" s="167">
        <f>YEAR(Table7[[#This Row],[Date]])</f>
        <v>2025</v>
      </c>
      <c r="D334" s="168">
        <f t="shared" si="16"/>
        <v>45689</v>
      </c>
      <c r="AE334" s="167">
        <f t="shared" si="17"/>
        <v>0</v>
      </c>
    </row>
    <row r="335" spans="1:31">
      <c r="A335" s="197">
        <f t="shared" si="18"/>
        <v>45715</v>
      </c>
      <c r="B335" s="167">
        <f>YEAR(Table7[[#This Row],[Date]])+IF(MONTH(Table7[[#This Row],[Date]])&gt;=4,1,0)</f>
        <v>2025</v>
      </c>
      <c r="C335" s="167">
        <f>YEAR(Table7[[#This Row],[Date]])</f>
        <v>2025</v>
      </c>
      <c r="D335" s="168">
        <f t="shared" si="16"/>
        <v>45689</v>
      </c>
      <c r="AE335" s="167">
        <f t="shared" si="17"/>
        <v>0</v>
      </c>
    </row>
    <row r="336" spans="1:31">
      <c r="A336" s="197">
        <f t="shared" si="18"/>
        <v>45716</v>
      </c>
      <c r="B336" s="167">
        <f>YEAR(Table7[[#This Row],[Date]])+IF(MONTH(Table7[[#This Row],[Date]])&gt;=4,1,0)</f>
        <v>2025</v>
      </c>
      <c r="C336" s="167">
        <f>YEAR(Table7[[#This Row],[Date]])</f>
        <v>2025</v>
      </c>
      <c r="D336" s="168">
        <f t="shared" si="16"/>
        <v>45689</v>
      </c>
      <c r="AE336" s="167">
        <f t="shared" si="17"/>
        <v>0</v>
      </c>
    </row>
    <row r="337" spans="1:31">
      <c r="A337" s="197">
        <f t="shared" si="18"/>
        <v>45717</v>
      </c>
      <c r="B337" s="167">
        <f>YEAR(Table7[[#This Row],[Date]])+IF(MONTH(Table7[[#This Row],[Date]])&gt;=4,1,0)</f>
        <v>2025</v>
      </c>
      <c r="C337" s="167">
        <f>YEAR(Table7[[#This Row],[Date]])</f>
        <v>2025</v>
      </c>
      <c r="D337" s="168">
        <f t="shared" si="16"/>
        <v>45717</v>
      </c>
      <c r="AE337" s="167">
        <f t="shared" si="17"/>
        <v>0</v>
      </c>
    </row>
    <row r="338" spans="1:31">
      <c r="A338" s="197">
        <f t="shared" si="18"/>
        <v>45718</v>
      </c>
      <c r="B338" s="167">
        <f>YEAR(Table7[[#This Row],[Date]])+IF(MONTH(Table7[[#This Row],[Date]])&gt;=4,1,0)</f>
        <v>2025</v>
      </c>
      <c r="C338" s="167">
        <f>YEAR(Table7[[#This Row],[Date]])</f>
        <v>2025</v>
      </c>
      <c r="D338" s="168">
        <f t="shared" si="16"/>
        <v>45717</v>
      </c>
      <c r="AE338" s="167">
        <f t="shared" si="17"/>
        <v>0</v>
      </c>
    </row>
    <row r="339" spans="1:31">
      <c r="A339" s="197">
        <f t="shared" si="18"/>
        <v>45719</v>
      </c>
      <c r="B339" s="167">
        <f>YEAR(Table7[[#This Row],[Date]])+IF(MONTH(Table7[[#This Row],[Date]])&gt;=4,1,0)</f>
        <v>2025</v>
      </c>
      <c r="C339" s="167">
        <f>YEAR(Table7[[#This Row],[Date]])</f>
        <v>2025</v>
      </c>
      <c r="D339" s="168">
        <f t="shared" si="16"/>
        <v>45717</v>
      </c>
      <c r="AE339" s="167">
        <f t="shared" si="17"/>
        <v>0</v>
      </c>
    </row>
    <row r="340" spans="1:31">
      <c r="A340" s="197">
        <f t="shared" si="18"/>
        <v>45720</v>
      </c>
      <c r="B340" s="167">
        <f>YEAR(Table7[[#This Row],[Date]])+IF(MONTH(Table7[[#This Row],[Date]])&gt;=4,1,0)</f>
        <v>2025</v>
      </c>
      <c r="C340" s="167">
        <f>YEAR(Table7[[#This Row],[Date]])</f>
        <v>2025</v>
      </c>
      <c r="D340" s="168">
        <f t="shared" si="16"/>
        <v>45717</v>
      </c>
      <c r="AE340" s="167">
        <f t="shared" si="17"/>
        <v>0</v>
      </c>
    </row>
    <row r="341" spans="1:31">
      <c r="A341" s="197">
        <f t="shared" si="18"/>
        <v>45721</v>
      </c>
      <c r="B341" s="167">
        <f>YEAR(Table7[[#This Row],[Date]])+IF(MONTH(Table7[[#This Row],[Date]])&gt;=4,1,0)</f>
        <v>2025</v>
      </c>
      <c r="C341" s="167">
        <f>YEAR(Table7[[#This Row],[Date]])</f>
        <v>2025</v>
      </c>
      <c r="D341" s="168">
        <f t="shared" si="16"/>
        <v>45717</v>
      </c>
      <c r="AE341" s="167">
        <f t="shared" si="17"/>
        <v>0</v>
      </c>
    </row>
    <row r="342" spans="1:31">
      <c r="A342" s="197">
        <f t="shared" si="18"/>
        <v>45722</v>
      </c>
      <c r="B342" s="167">
        <f>YEAR(Table7[[#This Row],[Date]])+IF(MONTH(Table7[[#This Row],[Date]])&gt;=4,1,0)</f>
        <v>2025</v>
      </c>
      <c r="C342" s="167">
        <f>YEAR(Table7[[#This Row],[Date]])</f>
        <v>2025</v>
      </c>
      <c r="D342" s="168">
        <f t="shared" si="16"/>
        <v>45717</v>
      </c>
      <c r="AE342" s="167">
        <f t="shared" si="17"/>
        <v>0</v>
      </c>
    </row>
    <row r="343" spans="1:31">
      <c r="A343" s="197">
        <f t="shared" si="18"/>
        <v>45723</v>
      </c>
      <c r="B343" s="167">
        <f>YEAR(Table7[[#This Row],[Date]])+IF(MONTH(Table7[[#This Row],[Date]])&gt;=4,1,0)</f>
        <v>2025</v>
      </c>
      <c r="C343" s="167">
        <f>YEAR(Table7[[#This Row],[Date]])</f>
        <v>2025</v>
      </c>
      <c r="D343" s="168">
        <f t="shared" si="16"/>
        <v>45717</v>
      </c>
      <c r="AE343" s="167">
        <f t="shared" si="17"/>
        <v>0</v>
      </c>
    </row>
    <row r="344" spans="1:31">
      <c r="A344" s="197">
        <f t="shared" si="18"/>
        <v>45724</v>
      </c>
      <c r="B344" s="167">
        <f>YEAR(Table7[[#This Row],[Date]])+IF(MONTH(Table7[[#This Row],[Date]])&gt;=4,1,0)</f>
        <v>2025</v>
      </c>
      <c r="C344" s="167">
        <f>YEAR(Table7[[#This Row],[Date]])</f>
        <v>2025</v>
      </c>
      <c r="D344" s="168">
        <f t="shared" si="16"/>
        <v>45717</v>
      </c>
      <c r="AE344" s="167">
        <f t="shared" si="17"/>
        <v>0</v>
      </c>
    </row>
    <row r="345" spans="1:31">
      <c r="A345" s="197">
        <f t="shared" si="18"/>
        <v>45725</v>
      </c>
      <c r="B345" s="167">
        <f>YEAR(Table7[[#This Row],[Date]])+IF(MONTH(Table7[[#This Row],[Date]])&gt;=4,1,0)</f>
        <v>2025</v>
      </c>
      <c r="C345" s="167">
        <f>YEAR(Table7[[#This Row],[Date]])</f>
        <v>2025</v>
      </c>
      <c r="D345" s="168">
        <f t="shared" si="16"/>
        <v>45717</v>
      </c>
      <c r="AE345" s="167">
        <f t="shared" si="17"/>
        <v>0</v>
      </c>
    </row>
    <row r="346" spans="1:31">
      <c r="A346" s="197">
        <f t="shared" si="18"/>
        <v>45726</v>
      </c>
      <c r="B346" s="167">
        <f>YEAR(Table7[[#This Row],[Date]])+IF(MONTH(Table7[[#This Row],[Date]])&gt;=4,1,0)</f>
        <v>2025</v>
      </c>
      <c r="C346" s="167">
        <f>YEAR(Table7[[#This Row],[Date]])</f>
        <v>2025</v>
      </c>
      <c r="D346" s="168">
        <f t="shared" si="16"/>
        <v>45717</v>
      </c>
      <c r="AE346" s="167">
        <f t="shared" si="17"/>
        <v>0</v>
      </c>
    </row>
    <row r="347" spans="1:31">
      <c r="A347" s="197">
        <f t="shared" si="18"/>
        <v>45727</v>
      </c>
      <c r="B347" s="167">
        <f>YEAR(Table7[[#This Row],[Date]])+IF(MONTH(Table7[[#This Row],[Date]])&gt;=4,1,0)</f>
        <v>2025</v>
      </c>
      <c r="C347" s="167">
        <f>YEAR(Table7[[#This Row],[Date]])</f>
        <v>2025</v>
      </c>
      <c r="D347" s="168">
        <f t="shared" si="16"/>
        <v>45717</v>
      </c>
      <c r="AE347" s="167">
        <f t="shared" si="17"/>
        <v>0</v>
      </c>
    </row>
    <row r="348" spans="1:31">
      <c r="A348" s="197">
        <f t="shared" si="18"/>
        <v>45728</v>
      </c>
      <c r="B348" s="167">
        <f>YEAR(Table7[[#This Row],[Date]])+IF(MONTH(Table7[[#This Row],[Date]])&gt;=4,1,0)</f>
        <v>2025</v>
      </c>
      <c r="C348" s="167">
        <f>YEAR(Table7[[#This Row],[Date]])</f>
        <v>2025</v>
      </c>
      <c r="D348" s="168">
        <f t="shared" si="16"/>
        <v>45717</v>
      </c>
      <c r="AE348" s="167">
        <f t="shared" si="17"/>
        <v>0</v>
      </c>
    </row>
    <row r="349" spans="1:31">
      <c r="A349" s="197">
        <f t="shared" si="18"/>
        <v>45729</v>
      </c>
      <c r="B349" s="167">
        <f>YEAR(Table7[[#This Row],[Date]])+IF(MONTH(Table7[[#This Row],[Date]])&gt;=4,1,0)</f>
        <v>2025</v>
      </c>
      <c r="C349" s="167">
        <f>YEAR(Table7[[#This Row],[Date]])</f>
        <v>2025</v>
      </c>
      <c r="D349" s="168">
        <f t="shared" si="16"/>
        <v>45717</v>
      </c>
      <c r="AE349" s="167">
        <f t="shared" si="17"/>
        <v>0</v>
      </c>
    </row>
    <row r="350" spans="1:31">
      <c r="A350" s="197">
        <f t="shared" si="18"/>
        <v>45730</v>
      </c>
      <c r="B350" s="167">
        <f>YEAR(Table7[[#This Row],[Date]])+IF(MONTH(Table7[[#This Row],[Date]])&gt;=4,1,0)</f>
        <v>2025</v>
      </c>
      <c r="C350" s="167">
        <f>YEAR(Table7[[#This Row],[Date]])</f>
        <v>2025</v>
      </c>
      <c r="D350" s="168">
        <f t="shared" si="16"/>
        <v>45717</v>
      </c>
      <c r="AE350" s="167">
        <f t="shared" si="17"/>
        <v>0</v>
      </c>
    </row>
    <row r="351" spans="1:31">
      <c r="A351" s="197">
        <f t="shared" si="18"/>
        <v>45731</v>
      </c>
      <c r="B351" s="167">
        <f>YEAR(Table7[[#This Row],[Date]])+IF(MONTH(Table7[[#This Row],[Date]])&gt;=4,1,0)</f>
        <v>2025</v>
      </c>
      <c r="C351" s="167">
        <f>YEAR(Table7[[#This Row],[Date]])</f>
        <v>2025</v>
      </c>
      <c r="D351" s="168">
        <f t="shared" si="16"/>
        <v>45717</v>
      </c>
      <c r="AE351" s="167">
        <f t="shared" si="17"/>
        <v>0</v>
      </c>
    </row>
    <row r="352" spans="1:31">
      <c r="A352" s="197">
        <f t="shared" si="18"/>
        <v>45732</v>
      </c>
      <c r="B352" s="167">
        <f>YEAR(Table7[[#This Row],[Date]])+IF(MONTH(Table7[[#This Row],[Date]])&gt;=4,1,0)</f>
        <v>2025</v>
      </c>
      <c r="C352" s="167">
        <f>YEAR(Table7[[#This Row],[Date]])</f>
        <v>2025</v>
      </c>
      <c r="D352" s="168">
        <f t="shared" si="16"/>
        <v>45717</v>
      </c>
      <c r="AE352" s="167">
        <f t="shared" si="17"/>
        <v>0</v>
      </c>
    </row>
    <row r="353" spans="1:31">
      <c r="A353" s="197">
        <f t="shared" si="18"/>
        <v>45733</v>
      </c>
      <c r="B353" s="167">
        <f>YEAR(Table7[[#This Row],[Date]])+IF(MONTH(Table7[[#This Row],[Date]])&gt;=4,1,0)</f>
        <v>2025</v>
      </c>
      <c r="C353" s="167">
        <f>YEAR(Table7[[#This Row],[Date]])</f>
        <v>2025</v>
      </c>
      <c r="D353" s="168">
        <f t="shared" si="16"/>
        <v>45717</v>
      </c>
      <c r="AE353" s="167">
        <f t="shared" si="17"/>
        <v>0</v>
      </c>
    </row>
    <row r="354" spans="1:31">
      <c r="A354" s="197">
        <f t="shared" si="18"/>
        <v>45734</v>
      </c>
      <c r="B354" s="167">
        <f>YEAR(Table7[[#This Row],[Date]])+IF(MONTH(Table7[[#This Row],[Date]])&gt;=4,1,0)</f>
        <v>2025</v>
      </c>
      <c r="C354" s="167">
        <f>YEAR(Table7[[#This Row],[Date]])</f>
        <v>2025</v>
      </c>
      <c r="D354" s="168">
        <f t="shared" si="16"/>
        <v>45717</v>
      </c>
      <c r="AE354" s="167">
        <f t="shared" si="17"/>
        <v>0</v>
      </c>
    </row>
    <row r="355" spans="1:31">
      <c r="A355" s="197">
        <f t="shared" si="18"/>
        <v>45735</v>
      </c>
      <c r="B355" s="167">
        <f>YEAR(Table7[[#This Row],[Date]])+IF(MONTH(Table7[[#This Row],[Date]])&gt;=4,1,0)</f>
        <v>2025</v>
      </c>
      <c r="C355" s="167">
        <f>YEAR(Table7[[#This Row],[Date]])</f>
        <v>2025</v>
      </c>
      <c r="D355" s="168">
        <f t="shared" si="16"/>
        <v>45717</v>
      </c>
      <c r="AE355" s="167">
        <f t="shared" si="17"/>
        <v>0</v>
      </c>
    </row>
    <row r="356" spans="1:31">
      <c r="A356" s="197">
        <f t="shared" si="18"/>
        <v>45736</v>
      </c>
      <c r="B356" s="167">
        <f>YEAR(Table7[[#This Row],[Date]])+IF(MONTH(Table7[[#This Row],[Date]])&gt;=4,1,0)</f>
        <v>2025</v>
      </c>
      <c r="C356" s="167">
        <f>YEAR(Table7[[#This Row],[Date]])</f>
        <v>2025</v>
      </c>
      <c r="D356" s="168">
        <f t="shared" si="16"/>
        <v>45717</v>
      </c>
      <c r="AE356" s="167">
        <f t="shared" si="17"/>
        <v>0</v>
      </c>
    </row>
    <row r="357" spans="1:31">
      <c r="A357" s="197">
        <f t="shared" si="18"/>
        <v>45737</v>
      </c>
      <c r="B357" s="167">
        <f>YEAR(Table7[[#This Row],[Date]])+IF(MONTH(Table7[[#This Row],[Date]])&gt;=4,1,0)</f>
        <v>2025</v>
      </c>
      <c r="C357" s="167">
        <f>YEAR(Table7[[#This Row],[Date]])</f>
        <v>2025</v>
      </c>
      <c r="D357" s="168">
        <f t="shared" si="16"/>
        <v>45717</v>
      </c>
      <c r="AE357" s="167">
        <f t="shared" si="17"/>
        <v>0</v>
      </c>
    </row>
    <row r="358" spans="1:31">
      <c r="A358" s="197">
        <f t="shared" si="18"/>
        <v>45738</v>
      </c>
      <c r="B358" s="167">
        <f>YEAR(Table7[[#This Row],[Date]])+IF(MONTH(Table7[[#This Row],[Date]])&gt;=4,1,0)</f>
        <v>2025</v>
      </c>
      <c r="C358" s="167">
        <f>YEAR(Table7[[#This Row],[Date]])</f>
        <v>2025</v>
      </c>
      <c r="D358" s="168">
        <f t="shared" si="16"/>
        <v>45717</v>
      </c>
      <c r="AE358" s="167">
        <f t="shared" si="17"/>
        <v>0</v>
      </c>
    </row>
    <row r="359" spans="1:31">
      <c r="A359" s="197">
        <f t="shared" si="18"/>
        <v>45739</v>
      </c>
      <c r="B359" s="167">
        <f>YEAR(Table7[[#This Row],[Date]])+IF(MONTH(Table7[[#This Row],[Date]])&gt;=4,1,0)</f>
        <v>2025</v>
      </c>
      <c r="C359" s="167">
        <f>YEAR(Table7[[#This Row],[Date]])</f>
        <v>2025</v>
      </c>
      <c r="D359" s="168">
        <f t="shared" si="16"/>
        <v>45717</v>
      </c>
      <c r="AE359" s="167">
        <f t="shared" si="17"/>
        <v>0</v>
      </c>
    </row>
    <row r="360" spans="1:31">
      <c r="A360" s="197">
        <f t="shared" si="18"/>
        <v>45740</v>
      </c>
      <c r="B360" s="167">
        <f>YEAR(Table7[[#This Row],[Date]])+IF(MONTH(Table7[[#This Row],[Date]])&gt;=4,1,0)</f>
        <v>2025</v>
      </c>
      <c r="C360" s="167">
        <f>YEAR(Table7[[#This Row],[Date]])</f>
        <v>2025</v>
      </c>
      <c r="D360" s="168">
        <f t="shared" si="16"/>
        <v>45717</v>
      </c>
      <c r="AE360" s="167">
        <f t="shared" si="17"/>
        <v>0</v>
      </c>
    </row>
    <row r="361" spans="1:31">
      <c r="A361" s="197">
        <f t="shared" si="18"/>
        <v>45741</v>
      </c>
      <c r="B361" s="167">
        <f>YEAR(Table7[[#This Row],[Date]])+IF(MONTH(Table7[[#This Row],[Date]])&gt;=4,1,0)</f>
        <v>2025</v>
      </c>
      <c r="C361" s="167">
        <f>YEAR(Table7[[#This Row],[Date]])</f>
        <v>2025</v>
      </c>
      <c r="D361" s="168">
        <f t="shared" si="16"/>
        <v>45717</v>
      </c>
      <c r="AE361" s="167">
        <f t="shared" si="17"/>
        <v>0</v>
      </c>
    </row>
    <row r="362" spans="1:31">
      <c r="A362" s="197">
        <f t="shared" si="18"/>
        <v>45742</v>
      </c>
      <c r="B362" s="167">
        <f>YEAR(Table7[[#This Row],[Date]])+IF(MONTH(Table7[[#This Row],[Date]])&gt;=4,1,0)</f>
        <v>2025</v>
      </c>
      <c r="C362" s="167">
        <f>YEAR(Table7[[#This Row],[Date]])</f>
        <v>2025</v>
      </c>
      <c r="D362" s="168">
        <f t="shared" si="16"/>
        <v>45717</v>
      </c>
      <c r="AE362" s="167">
        <f t="shared" si="17"/>
        <v>0</v>
      </c>
    </row>
    <row r="363" spans="1:31">
      <c r="A363" s="197">
        <f t="shared" si="18"/>
        <v>45743</v>
      </c>
      <c r="B363" s="167">
        <f>YEAR(Table7[[#This Row],[Date]])+IF(MONTH(Table7[[#This Row],[Date]])&gt;=4,1,0)</f>
        <v>2025</v>
      </c>
      <c r="C363" s="167">
        <f>YEAR(Table7[[#This Row],[Date]])</f>
        <v>2025</v>
      </c>
      <c r="D363" s="168">
        <f t="shared" si="16"/>
        <v>45717</v>
      </c>
      <c r="AE363" s="167">
        <f t="shared" si="17"/>
        <v>0</v>
      </c>
    </row>
    <row r="364" spans="1:31">
      <c r="A364" s="197">
        <f t="shared" si="18"/>
        <v>45744</v>
      </c>
      <c r="B364" s="167">
        <f>YEAR(Table7[[#This Row],[Date]])+IF(MONTH(Table7[[#This Row],[Date]])&gt;=4,1,0)</f>
        <v>2025</v>
      </c>
      <c r="C364" s="167">
        <f>YEAR(Table7[[#This Row],[Date]])</f>
        <v>2025</v>
      </c>
      <c r="D364" s="168">
        <f t="shared" si="16"/>
        <v>45717</v>
      </c>
      <c r="AE364" s="167">
        <f t="shared" si="17"/>
        <v>0</v>
      </c>
    </row>
    <row r="365" spans="1:31">
      <c r="A365" s="197">
        <f t="shared" si="18"/>
        <v>45745</v>
      </c>
      <c r="B365" s="167">
        <f>YEAR(Table7[[#This Row],[Date]])+IF(MONTH(Table7[[#This Row],[Date]])&gt;=4,1,0)</f>
        <v>2025</v>
      </c>
      <c r="C365" s="167">
        <f>YEAR(Table7[[#This Row],[Date]])</f>
        <v>2025</v>
      </c>
      <c r="D365" s="168">
        <f t="shared" si="16"/>
        <v>45717</v>
      </c>
      <c r="AE365" s="167">
        <f t="shared" si="17"/>
        <v>0</v>
      </c>
    </row>
    <row r="366" spans="1:31">
      <c r="A366" s="197">
        <f t="shared" si="18"/>
        <v>45746</v>
      </c>
      <c r="B366" s="167">
        <f>YEAR(Table7[[#This Row],[Date]])+IF(MONTH(Table7[[#This Row],[Date]])&gt;=4,1,0)</f>
        <v>2025</v>
      </c>
      <c r="C366" s="167">
        <f>YEAR(Table7[[#This Row],[Date]])</f>
        <v>2025</v>
      </c>
      <c r="D366" s="168">
        <f t="shared" si="16"/>
        <v>45717</v>
      </c>
      <c r="AE366" s="167">
        <f t="shared" si="17"/>
        <v>0</v>
      </c>
    </row>
    <row r="367" spans="1:31">
      <c r="A367" s="197">
        <f t="shared" si="18"/>
        <v>45747</v>
      </c>
      <c r="B367" s="167">
        <f>YEAR(Table7[[#This Row],[Date]])+IF(MONTH(Table7[[#This Row],[Date]])&gt;=4,1,0)</f>
        <v>2025</v>
      </c>
      <c r="C367" s="167">
        <f>YEAR(Table7[[#This Row],[Date]])</f>
        <v>2025</v>
      </c>
      <c r="D367" s="168">
        <f t="shared" si="16"/>
        <v>45717</v>
      </c>
      <c r="AE367" s="167">
        <f t="shared" si="17"/>
        <v>0</v>
      </c>
    </row>
    <row r="368" spans="1:31">
      <c r="A368" s="197">
        <f t="shared" si="18"/>
        <v>45748</v>
      </c>
      <c r="B368" s="167">
        <f>YEAR(Table7[[#This Row],[Date]])+IF(MONTH(Table7[[#This Row],[Date]])&gt;=4,1,0)</f>
        <v>2026</v>
      </c>
      <c r="C368" s="167">
        <f>YEAR(Table7[[#This Row],[Date]])</f>
        <v>2025</v>
      </c>
      <c r="D368" s="168">
        <f t="shared" si="16"/>
        <v>45748</v>
      </c>
      <c r="AE368" s="167">
        <f t="shared" si="17"/>
        <v>0</v>
      </c>
    </row>
    <row r="369" spans="1:31">
      <c r="A369" s="197">
        <f t="shared" si="18"/>
        <v>45749</v>
      </c>
      <c r="B369" s="167">
        <f>YEAR(Table7[[#This Row],[Date]])+IF(MONTH(Table7[[#This Row],[Date]])&gt;=4,1,0)</f>
        <v>2026</v>
      </c>
      <c r="C369" s="167">
        <f>YEAR(Table7[[#This Row],[Date]])</f>
        <v>2025</v>
      </c>
      <c r="D369" s="168">
        <f t="shared" si="16"/>
        <v>45748</v>
      </c>
      <c r="AE369" s="167">
        <f t="shared" si="17"/>
        <v>0</v>
      </c>
    </row>
    <row r="370" spans="1:31">
      <c r="A370" s="197">
        <f t="shared" si="18"/>
        <v>45750</v>
      </c>
      <c r="B370" s="167">
        <f>YEAR(Table7[[#This Row],[Date]])+IF(MONTH(Table7[[#This Row],[Date]])&gt;=4,1,0)</f>
        <v>2026</v>
      </c>
      <c r="C370" s="167">
        <f>YEAR(Table7[[#This Row],[Date]])</f>
        <v>2025</v>
      </c>
      <c r="D370" s="168">
        <f t="shared" si="16"/>
        <v>45748</v>
      </c>
      <c r="AE370" s="167">
        <f t="shared" si="17"/>
        <v>0</v>
      </c>
    </row>
    <row r="371" spans="1:31">
      <c r="A371" s="197">
        <f t="shared" si="18"/>
        <v>45751</v>
      </c>
      <c r="B371" s="167">
        <f>YEAR(Table7[[#This Row],[Date]])+IF(MONTH(Table7[[#This Row],[Date]])&gt;=4,1,0)</f>
        <v>2026</v>
      </c>
      <c r="C371" s="167">
        <f>YEAR(Table7[[#This Row],[Date]])</f>
        <v>2025</v>
      </c>
      <c r="D371" s="168">
        <f t="shared" si="16"/>
        <v>45748</v>
      </c>
      <c r="E371" s="167">
        <v>50.19</v>
      </c>
      <c r="F371" s="167">
        <v>50.19</v>
      </c>
      <c r="G371" s="167">
        <v>50.19</v>
      </c>
      <c r="H371" s="167">
        <v>50.19</v>
      </c>
      <c r="I371" s="167">
        <v>50.19</v>
      </c>
      <c r="J371" s="167">
        <v>50.19</v>
      </c>
      <c r="K371" s="167">
        <v>50.19</v>
      </c>
      <c r="L371" s="167">
        <v>50.19</v>
      </c>
      <c r="M371" s="167">
        <v>50.19</v>
      </c>
      <c r="N371" s="167">
        <v>50.19</v>
      </c>
      <c r="O371" s="167">
        <v>50.19</v>
      </c>
      <c r="P371" s="167">
        <v>50.19</v>
      </c>
      <c r="Q371" s="167">
        <v>50.19</v>
      </c>
      <c r="R371" s="167">
        <v>50.19</v>
      </c>
      <c r="S371" s="167">
        <v>50.19</v>
      </c>
      <c r="T371" s="167">
        <v>50.19</v>
      </c>
      <c r="U371" s="167">
        <v>50.19</v>
      </c>
      <c r="V371" s="167">
        <v>50.19</v>
      </c>
      <c r="W371" s="167">
        <v>50.19</v>
      </c>
      <c r="X371" s="167">
        <v>50.19</v>
      </c>
      <c r="Y371" s="167">
        <v>50.19</v>
      </c>
      <c r="Z371" s="167">
        <v>50.19</v>
      </c>
      <c r="AA371" s="167">
        <v>50.19</v>
      </c>
      <c r="AB371" s="167">
        <v>50.19</v>
      </c>
      <c r="AC371" s="167">
        <v>50.19</v>
      </c>
      <c r="AD371" s="167">
        <v>50.19</v>
      </c>
      <c r="AE371" s="167">
        <f t="shared" si="17"/>
        <v>1304.9400000000007</v>
      </c>
    </row>
    <row r="372" spans="1:31">
      <c r="A372" s="197">
        <f t="shared" si="18"/>
        <v>45752</v>
      </c>
      <c r="B372" s="167">
        <f>YEAR(Table7[[#This Row],[Date]])+IF(MONTH(Table7[[#This Row],[Date]])&gt;=4,1,0)</f>
        <v>2026</v>
      </c>
      <c r="C372" s="167">
        <f>YEAR(Table7[[#This Row],[Date]])</f>
        <v>2025</v>
      </c>
      <c r="D372" s="168">
        <f t="shared" si="16"/>
        <v>45748</v>
      </c>
      <c r="E372" s="167">
        <v>34.61</v>
      </c>
      <c r="F372" s="167">
        <v>34.61</v>
      </c>
      <c r="G372" s="167">
        <v>34.61</v>
      </c>
      <c r="H372" s="167">
        <v>34.61</v>
      </c>
      <c r="I372" s="167">
        <v>34.61</v>
      </c>
      <c r="J372" s="167">
        <v>34.61</v>
      </c>
      <c r="K372" s="167">
        <v>34.61</v>
      </c>
      <c r="L372" s="167">
        <v>34.61</v>
      </c>
      <c r="M372" s="167">
        <v>34.61</v>
      </c>
      <c r="N372" s="167">
        <v>34.61</v>
      </c>
      <c r="O372" s="167">
        <v>34.61</v>
      </c>
      <c r="P372" s="167">
        <v>34.61</v>
      </c>
      <c r="Q372" s="167">
        <v>34.61</v>
      </c>
      <c r="R372" s="167">
        <v>34.61</v>
      </c>
      <c r="S372" s="167">
        <v>34.61</v>
      </c>
      <c r="T372" s="167">
        <v>34.61</v>
      </c>
      <c r="U372" s="167">
        <v>34.61</v>
      </c>
      <c r="V372" s="167">
        <v>34.61</v>
      </c>
      <c r="W372" s="167">
        <v>34.61</v>
      </c>
      <c r="X372" s="167">
        <v>34.61</v>
      </c>
      <c r="Y372" s="167">
        <v>34.61</v>
      </c>
      <c r="Z372" s="167">
        <v>34.61</v>
      </c>
      <c r="AA372" s="167">
        <v>34.61</v>
      </c>
      <c r="AB372" s="167">
        <v>34.61</v>
      </c>
      <c r="AC372" s="167">
        <v>34.61</v>
      </c>
      <c r="AD372" s="167">
        <v>34.61</v>
      </c>
      <c r="AE372" s="167">
        <f t="shared" si="17"/>
        <v>899.86000000000024</v>
      </c>
    </row>
    <row r="373" spans="1:31">
      <c r="A373" s="197">
        <f t="shared" si="18"/>
        <v>45753</v>
      </c>
      <c r="B373" s="167">
        <f>YEAR(Table7[[#This Row],[Date]])+IF(MONTH(Table7[[#This Row],[Date]])&gt;=4,1,0)</f>
        <v>2026</v>
      </c>
      <c r="C373" s="167">
        <f>YEAR(Table7[[#This Row],[Date]])</f>
        <v>2025</v>
      </c>
      <c r="D373" s="168">
        <f t="shared" si="16"/>
        <v>45748</v>
      </c>
      <c r="E373" s="167">
        <v>121.15</v>
      </c>
      <c r="F373" s="167">
        <v>121.15</v>
      </c>
      <c r="G373" s="167">
        <v>121.15</v>
      </c>
      <c r="H373" s="167">
        <v>121.15</v>
      </c>
      <c r="I373" s="167">
        <v>121.15</v>
      </c>
      <c r="J373" s="167">
        <v>121.15</v>
      </c>
      <c r="K373" s="167">
        <v>121.15</v>
      </c>
      <c r="L373" s="167">
        <v>121.15</v>
      </c>
      <c r="M373" s="167">
        <v>121.15</v>
      </c>
      <c r="N373" s="167">
        <v>121.15</v>
      </c>
      <c r="O373" s="167">
        <v>121.15</v>
      </c>
      <c r="P373" s="167">
        <v>121.15</v>
      </c>
      <c r="Q373" s="167">
        <v>121.15</v>
      </c>
      <c r="R373" s="167">
        <v>121.15</v>
      </c>
      <c r="S373" s="167">
        <v>121.15</v>
      </c>
      <c r="T373" s="167">
        <v>121.15</v>
      </c>
      <c r="U373" s="167">
        <v>121.15</v>
      </c>
      <c r="V373" s="167">
        <v>121.15</v>
      </c>
      <c r="W373" s="167">
        <v>121.15</v>
      </c>
      <c r="X373" s="167">
        <v>121.15</v>
      </c>
      <c r="Y373" s="167">
        <v>121.15</v>
      </c>
      <c r="Z373" s="167">
        <v>121.15</v>
      </c>
      <c r="AA373" s="167">
        <v>121.15</v>
      </c>
      <c r="AB373" s="167">
        <v>121.15</v>
      </c>
      <c r="AC373" s="167">
        <v>121.15</v>
      </c>
      <c r="AD373" s="167">
        <v>121.15</v>
      </c>
      <c r="AE373" s="167">
        <f t="shared" si="17"/>
        <v>3149.9000000000015</v>
      </c>
    </row>
    <row r="374" spans="1:31">
      <c r="A374" s="197">
        <f t="shared" si="18"/>
        <v>45754</v>
      </c>
      <c r="B374" s="167">
        <f>YEAR(Table7[[#This Row],[Date]])+IF(MONTH(Table7[[#This Row],[Date]])&gt;=4,1,0)</f>
        <v>2026</v>
      </c>
      <c r="C374" s="167">
        <f>YEAR(Table7[[#This Row],[Date]])</f>
        <v>2025</v>
      </c>
      <c r="D374" s="168">
        <f t="shared" si="16"/>
        <v>45748</v>
      </c>
      <c r="E374" s="167">
        <v>1228.8399999999999</v>
      </c>
      <c r="F374" s="167">
        <v>1228.8399999999999</v>
      </c>
      <c r="G374" s="167">
        <v>1228.8399999999999</v>
      </c>
      <c r="H374" s="167">
        <v>1228.8399999999999</v>
      </c>
      <c r="I374" s="167">
        <v>1228.8399999999999</v>
      </c>
      <c r="J374" s="167">
        <v>1228.8399999999999</v>
      </c>
      <c r="K374" s="167">
        <v>1228.8399999999999</v>
      </c>
      <c r="L374" s="167">
        <v>1228.8399999999999</v>
      </c>
      <c r="M374" s="167">
        <v>1228.8399999999999</v>
      </c>
      <c r="N374" s="167">
        <v>1228.8399999999999</v>
      </c>
      <c r="O374" s="167">
        <v>1228.8399999999999</v>
      </c>
      <c r="P374" s="167">
        <v>1228.8399999999999</v>
      </c>
      <c r="Q374" s="167">
        <v>1228.8399999999999</v>
      </c>
      <c r="R374" s="167">
        <v>1228.8399999999999</v>
      </c>
      <c r="S374" s="167">
        <v>1228.8399999999999</v>
      </c>
      <c r="T374" s="167">
        <v>1228.8399999999999</v>
      </c>
      <c r="U374" s="167">
        <v>1228.8399999999999</v>
      </c>
      <c r="V374" s="167">
        <v>1228.8399999999999</v>
      </c>
      <c r="W374" s="167">
        <v>1228.8399999999999</v>
      </c>
      <c r="X374" s="167">
        <v>1228.8399999999999</v>
      </c>
      <c r="Y374" s="167">
        <v>1228.8399999999999</v>
      </c>
      <c r="Z374" s="167">
        <v>1228.8399999999999</v>
      </c>
      <c r="AA374" s="167">
        <v>1228.8399999999999</v>
      </c>
      <c r="AB374" s="167">
        <v>1228.8399999999999</v>
      </c>
      <c r="AC374" s="167">
        <v>1228.8399999999999</v>
      </c>
      <c r="AD374" s="167">
        <v>1228.8399999999999</v>
      </c>
      <c r="AE374" s="167">
        <f t="shared" si="17"/>
        <v>31949.84</v>
      </c>
    </row>
    <row r="375" spans="1:31">
      <c r="A375" s="197">
        <f t="shared" si="18"/>
        <v>45755</v>
      </c>
      <c r="B375" s="167">
        <f>YEAR(Table7[[#This Row],[Date]])+IF(MONTH(Table7[[#This Row],[Date]])&gt;=4,1,0)</f>
        <v>2026</v>
      </c>
      <c r="C375" s="167">
        <f>YEAR(Table7[[#This Row],[Date]])</f>
        <v>2025</v>
      </c>
      <c r="D375" s="168">
        <f t="shared" si="16"/>
        <v>45748</v>
      </c>
      <c r="E375" s="167">
        <v>103.84</v>
      </c>
      <c r="F375" s="167">
        <v>103.84</v>
      </c>
      <c r="G375" s="167">
        <v>103.84</v>
      </c>
      <c r="H375" s="167">
        <v>103.84</v>
      </c>
      <c r="I375" s="167">
        <v>103.84</v>
      </c>
      <c r="J375" s="167">
        <v>103.84</v>
      </c>
      <c r="K375" s="167">
        <v>103.84</v>
      </c>
      <c r="L375" s="167">
        <v>103.84</v>
      </c>
      <c r="M375" s="167">
        <v>103.84</v>
      </c>
      <c r="N375" s="167">
        <v>103.84</v>
      </c>
      <c r="O375" s="167">
        <v>103.84</v>
      </c>
      <c r="P375" s="167">
        <v>103.84</v>
      </c>
      <c r="Q375" s="167">
        <v>103.84</v>
      </c>
      <c r="R375" s="167">
        <v>103.84</v>
      </c>
      <c r="S375" s="167">
        <v>103.84</v>
      </c>
      <c r="T375" s="167">
        <v>103.84</v>
      </c>
      <c r="U375" s="167">
        <v>103.84</v>
      </c>
      <c r="V375" s="167">
        <v>103.84</v>
      </c>
      <c r="W375" s="167">
        <v>103.84</v>
      </c>
      <c r="X375" s="167">
        <v>103.84</v>
      </c>
      <c r="Y375" s="167">
        <v>103.84</v>
      </c>
      <c r="Z375" s="167">
        <v>103.84</v>
      </c>
      <c r="AA375" s="167">
        <v>103.84</v>
      </c>
      <c r="AB375" s="167">
        <v>103.84</v>
      </c>
      <c r="AC375" s="167">
        <v>103.84</v>
      </c>
      <c r="AD375" s="167">
        <v>103.84</v>
      </c>
      <c r="AE375" s="167">
        <f t="shared" si="17"/>
        <v>2699.84</v>
      </c>
    </row>
    <row r="376" spans="1:31">
      <c r="A376" s="197">
        <f t="shared" si="18"/>
        <v>45756</v>
      </c>
      <c r="B376" s="167">
        <f>YEAR(Table7[[#This Row],[Date]])+IF(MONTH(Table7[[#This Row],[Date]])&gt;=4,1,0)</f>
        <v>2026</v>
      </c>
      <c r="C376" s="167">
        <f>YEAR(Table7[[#This Row],[Date]])</f>
        <v>2025</v>
      </c>
      <c r="D376" s="168">
        <f t="shared" si="16"/>
        <v>45748</v>
      </c>
      <c r="E376" s="167">
        <v>103.84</v>
      </c>
      <c r="F376" s="167">
        <v>103.84</v>
      </c>
      <c r="G376" s="167">
        <v>103.84</v>
      </c>
      <c r="H376" s="167">
        <v>103.84</v>
      </c>
      <c r="I376" s="167">
        <v>103.84</v>
      </c>
      <c r="J376" s="167">
        <v>103.84</v>
      </c>
      <c r="K376" s="167">
        <v>103.84</v>
      </c>
      <c r="L376" s="167">
        <v>103.84</v>
      </c>
      <c r="M376" s="167">
        <v>103.84</v>
      </c>
      <c r="N376" s="167">
        <v>103.84</v>
      </c>
      <c r="O376" s="167">
        <v>103.84</v>
      </c>
      <c r="P376" s="167">
        <v>103.84</v>
      </c>
      <c r="Q376" s="167">
        <v>103.84</v>
      </c>
      <c r="R376" s="167">
        <v>103.84</v>
      </c>
      <c r="S376" s="167">
        <v>103.84</v>
      </c>
      <c r="T376" s="167">
        <v>103.84</v>
      </c>
      <c r="U376" s="167">
        <v>103.84</v>
      </c>
      <c r="V376" s="167">
        <v>103.84</v>
      </c>
      <c r="W376" s="167">
        <v>103.84</v>
      </c>
      <c r="X376" s="167">
        <v>103.84</v>
      </c>
      <c r="Y376" s="167">
        <v>103.84</v>
      </c>
      <c r="Z376" s="167">
        <v>103.84</v>
      </c>
      <c r="AA376" s="167">
        <v>103.84</v>
      </c>
      <c r="AB376" s="167">
        <v>103.84</v>
      </c>
      <c r="AC376" s="167">
        <v>103.84</v>
      </c>
      <c r="AD376" s="167">
        <v>103.84</v>
      </c>
      <c r="AE376" s="167">
        <f t="shared" si="17"/>
        <v>2699.84</v>
      </c>
    </row>
    <row r="377" spans="1:31">
      <c r="A377" s="197">
        <f t="shared" si="18"/>
        <v>45757</v>
      </c>
      <c r="B377" s="167">
        <f>YEAR(Table7[[#This Row],[Date]])+IF(MONTH(Table7[[#This Row],[Date]])&gt;=4,1,0)</f>
        <v>2026</v>
      </c>
      <c r="C377" s="167">
        <f>YEAR(Table7[[#This Row],[Date]])</f>
        <v>2025</v>
      </c>
      <c r="D377" s="168">
        <f t="shared" si="16"/>
        <v>45748</v>
      </c>
      <c r="E377" s="167">
        <v>640.38</v>
      </c>
      <c r="F377" s="167">
        <v>640.38</v>
      </c>
      <c r="G377" s="167">
        <v>640.38</v>
      </c>
      <c r="H377" s="167">
        <v>640.38</v>
      </c>
      <c r="I377" s="167">
        <v>640.38</v>
      </c>
      <c r="J377" s="167">
        <v>640.38</v>
      </c>
      <c r="K377" s="167">
        <v>640.38</v>
      </c>
      <c r="L377" s="167">
        <v>640.38</v>
      </c>
      <c r="M377" s="167">
        <v>640.38</v>
      </c>
      <c r="N377" s="167">
        <v>640.38</v>
      </c>
      <c r="O377" s="167">
        <v>640.38</v>
      </c>
      <c r="P377" s="167">
        <v>640.38</v>
      </c>
      <c r="Q377" s="167">
        <v>640.38</v>
      </c>
      <c r="R377" s="167">
        <v>640.38</v>
      </c>
      <c r="S377" s="167">
        <v>640.38</v>
      </c>
      <c r="T377" s="167">
        <v>640.38</v>
      </c>
      <c r="U377" s="167">
        <v>640.38</v>
      </c>
      <c r="V377" s="167">
        <v>640.38</v>
      </c>
      <c r="W377" s="167">
        <v>640.38</v>
      </c>
      <c r="X377" s="167">
        <v>640.38</v>
      </c>
      <c r="Y377" s="167">
        <v>640.38</v>
      </c>
      <c r="Z377" s="167">
        <v>640.38</v>
      </c>
      <c r="AA377" s="167">
        <v>640.38</v>
      </c>
      <c r="AB377" s="167">
        <v>640.38</v>
      </c>
      <c r="AC377" s="167">
        <v>640.38</v>
      </c>
      <c r="AD377" s="167">
        <v>640.38</v>
      </c>
      <c r="AE377" s="167">
        <f t="shared" si="17"/>
        <v>16649.87999999999</v>
      </c>
    </row>
    <row r="378" spans="1:31">
      <c r="A378" s="197">
        <f t="shared" si="18"/>
        <v>45758</v>
      </c>
      <c r="B378" s="167">
        <f>YEAR(Table7[[#This Row],[Date]])+IF(MONTH(Table7[[#This Row],[Date]])&gt;=4,1,0)</f>
        <v>2026</v>
      </c>
      <c r="C378" s="167">
        <f>YEAR(Table7[[#This Row],[Date]])</f>
        <v>2025</v>
      </c>
      <c r="D378" s="168">
        <f t="shared" si="16"/>
        <v>45748</v>
      </c>
      <c r="E378" s="167">
        <v>207.69</v>
      </c>
      <c r="F378" s="167">
        <v>207.69</v>
      </c>
      <c r="G378" s="167">
        <v>207.69</v>
      </c>
      <c r="H378" s="167">
        <v>207.69</v>
      </c>
      <c r="I378" s="167">
        <v>207.69</v>
      </c>
      <c r="J378" s="167">
        <v>207.69</v>
      </c>
      <c r="K378" s="167">
        <v>207.69</v>
      </c>
      <c r="L378" s="167">
        <v>207.69</v>
      </c>
      <c r="M378" s="167">
        <v>207.69</v>
      </c>
      <c r="N378" s="167">
        <v>207.69</v>
      </c>
      <c r="O378" s="167">
        <v>207.69</v>
      </c>
      <c r="P378" s="167">
        <v>207.69</v>
      </c>
      <c r="Q378" s="167">
        <v>207.69</v>
      </c>
      <c r="R378" s="167">
        <v>207.69</v>
      </c>
      <c r="S378" s="167">
        <v>207.69</v>
      </c>
      <c r="T378" s="167">
        <v>207.69</v>
      </c>
      <c r="U378" s="167">
        <v>207.69</v>
      </c>
      <c r="V378" s="167">
        <v>207.69</v>
      </c>
      <c r="W378" s="167">
        <v>207.69</v>
      </c>
      <c r="X378" s="167">
        <v>207.69</v>
      </c>
      <c r="Y378" s="167">
        <v>207.69</v>
      </c>
      <c r="Z378" s="167">
        <v>207.69</v>
      </c>
      <c r="AA378" s="167">
        <v>207.69</v>
      </c>
      <c r="AB378" s="167">
        <v>207.69</v>
      </c>
      <c r="AC378" s="167">
        <v>207.69</v>
      </c>
      <c r="AD378" s="167">
        <v>207.69</v>
      </c>
      <c r="AE378" s="167">
        <f t="shared" si="17"/>
        <v>5399.9399999999978</v>
      </c>
    </row>
    <row r="379" spans="1:31">
      <c r="A379" s="197">
        <f t="shared" si="18"/>
        <v>45759</v>
      </c>
      <c r="B379" s="167">
        <f>YEAR(Table7[[#This Row],[Date]])+IF(MONTH(Table7[[#This Row],[Date]])&gt;=4,1,0)</f>
        <v>2026</v>
      </c>
      <c r="C379" s="167">
        <f>YEAR(Table7[[#This Row],[Date]])</f>
        <v>2025</v>
      </c>
      <c r="D379" s="168">
        <f t="shared" si="16"/>
        <v>45748</v>
      </c>
      <c r="E379" s="167">
        <v>17.3</v>
      </c>
      <c r="F379" s="167">
        <v>17.3</v>
      </c>
      <c r="G379" s="167">
        <v>17.3</v>
      </c>
      <c r="H379" s="167">
        <v>17.3</v>
      </c>
      <c r="I379" s="167">
        <v>17.3</v>
      </c>
      <c r="J379" s="167">
        <v>17.3</v>
      </c>
      <c r="K379" s="167">
        <v>17.3</v>
      </c>
      <c r="L379" s="167">
        <v>17.3</v>
      </c>
      <c r="M379" s="167">
        <v>17.3</v>
      </c>
      <c r="N379" s="167">
        <v>17.3</v>
      </c>
      <c r="O379" s="167">
        <v>17.3</v>
      </c>
      <c r="P379" s="167">
        <v>17.3</v>
      </c>
      <c r="Q379" s="167">
        <v>17.3</v>
      </c>
      <c r="R379" s="167">
        <v>17.3</v>
      </c>
      <c r="S379" s="167">
        <v>17.3</v>
      </c>
      <c r="T379" s="167">
        <v>17.3</v>
      </c>
      <c r="U379" s="167">
        <v>17.3</v>
      </c>
      <c r="V379" s="167">
        <v>17.3</v>
      </c>
      <c r="W379" s="167">
        <v>17.3</v>
      </c>
      <c r="X379" s="167">
        <v>17.3</v>
      </c>
      <c r="Y379" s="167">
        <v>17.3</v>
      </c>
      <c r="Z379" s="167">
        <v>17.3</v>
      </c>
      <c r="AA379" s="167">
        <v>17.3</v>
      </c>
      <c r="AB379" s="167">
        <v>17.3</v>
      </c>
      <c r="AC379" s="167">
        <v>17.3</v>
      </c>
      <c r="AD379" s="167">
        <v>17.3</v>
      </c>
      <c r="AE379" s="167">
        <f t="shared" si="17"/>
        <v>449.80000000000018</v>
      </c>
    </row>
    <row r="380" spans="1:31">
      <c r="A380" s="197">
        <f t="shared" si="18"/>
        <v>45760</v>
      </c>
      <c r="B380" s="167">
        <f>YEAR(Table7[[#This Row],[Date]])+IF(MONTH(Table7[[#This Row],[Date]])&gt;=4,1,0)</f>
        <v>2026</v>
      </c>
      <c r="C380" s="167">
        <f>YEAR(Table7[[#This Row],[Date]])</f>
        <v>2025</v>
      </c>
      <c r="D380" s="168">
        <f t="shared" si="16"/>
        <v>45748</v>
      </c>
      <c r="E380" s="167">
        <v>86.53</v>
      </c>
      <c r="F380" s="167">
        <v>86.53</v>
      </c>
      <c r="G380" s="167">
        <v>86.53</v>
      </c>
      <c r="H380" s="167">
        <v>86.53</v>
      </c>
      <c r="I380" s="167">
        <v>86.53</v>
      </c>
      <c r="J380" s="167">
        <v>86.53</v>
      </c>
      <c r="K380" s="167">
        <v>86.53</v>
      </c>
      <c r="L380" s="167">
        <v>86.53</v>
      </c>
      <c r="M380" s="167">
        <v>86.53</v>
      </c>
      <c r="N380" s="167">
        <v>86.53</v>
      </c>
      <c r="O380" s="167">
        <v>86.53</v>
      </c>
      <c r="P380" s="167">
        <v>86.53</v>
      </c>
      <c r="Q380" s="167">
        <v>86.53</v>
      </c>
      <c r="R380" s="167">
        <v>86.53</v>
      </c>
      <c r="S380" s="167">
        <v>86.53</v>
      </c>
      <c r="T380" s="167">
        <v>86.53</v>
      </c>
      <c r="U380" s="167">
        <v>86.53</v>
      </c>
      <c r="V380" s="167">
        <v>86.53</v>
      </c>
      <c r="W380" s="167">
        <v>86.53</v>
      </c>
      <c r="X380" s="167">
        <v>86.53</v>
      </c>
      <c r="Y380" s="167">
        <v>86.53</v>
      </c>
      <c r="Z380" s="167">
        <v>86.53</v>
      </c>
      <c r="AA380" s="167">
        <v>86.53</v>
      </c>
      <c r="AB380" s="167">
        <v>86.53</v>
      </c>
      <c r="AC380" s="167">
        <v>86.53</v>
      </c>
      <c r="AD380" s="167">
        <v>86.53</v>
      </c>
      <c r="AE380" s="167">
        <f t="shared" si="17"/>
        <v>2249.7800000000002</v>
      </c>
    </row>
    <row r="381" spans="1:31">
      <c r="A381" s="197">
        <f t="shared" si="18"/>
        <v>45761</v>
      </c>
      <c r="B381" s="167">
        <f>YEAR(Table7[[#This Row],[Date]])+IF(MONTH(Table7[[#This Row],[Date]])&gt;=4,1,0)</f>
        <v>2026</v>
      </c>
      <c r="C381" s="167">
        <f>YEAR(Table7[[#This Row],[Date]])</f>
        <v>2025</v>
      </c>
      <c r="D381" s="168">
        <f t="shared" si="16"/>
        <v>45748</v>
      </c>
      <c r="E381" s="167">
        <v>588.46</v>
      </c>
      <c r="F381" s="167">
        <v>588.46</v>
      </c>
      <c r="G381" s="167">
        <v>588.46</v>
      </c>
      <c r="H381" s="167">
        <v>588.46</v>
      </c>
      <c r="I381" s="167">
        <v>588.46</v>
      </c>
      <c r="J381" s="167">
        <v>588.46</v>
      </c>
      <c r="K381" s="167">
        <v>588.46</v>
      </c>
      <c r="L381" s="167">
        <v>588.46</v>
      </c>
      <c r="M381" s="167">
        <v>588.46</v>
      </c>
      <c r="N381" s="167">
        <v>588.46</v>
      </c>
      <c r="O381" s="167">
        <v>588.46</v>
      </c>
      <c r="P381" s="167">
        <v>588.46</v>
      </c>
      <c r="Q381" s="167">
        <v>588.46</v>
      </c>
      <c r="R381" s="167">
        <v>588.46</v>
      </c>
      <c r="S381" s="167">
        <v>588.46</v>
      </c>
      <c r="T381" s="167">
        <v>588.46</v>
      </c>
      <c r="U381" s="167">
        <v>588.46</v>
      </c>
      <c r="V381" s="167">
        <v>588.46</v>
      </c>
      <c r="W381" s="167">
        <v>588.46</v>
      </c>
      <c r="X381" s="167">
        <v>588.46</v>
      </c>
      <c r="Y381" s="167">
        <v>588.46</v>
      </c>
      <c r="Z381" s="167">
        <v>588.46</v>
      </c>
      <c r="AA381" s="167">
        <v>588.46</v>
      </c>
      <c r="AB381" s="167">
        <v>588.46</v>
      </c>
      <c r="AC381" s="167">
        <v>588.46</v>
      </c>
      <c r="AD381" s="167">
        <v>588.46</v>
      </c>
      <c r="AE381" s="167">
        <f t="shared" si="17"/>
        <v>15299.959999999992</v>
      </c>
    </row>
    <row r="382" spans="1:31">
      <c r="A382" s="197">
        <f t="shared" si="18"/>
        <v>45762</v>
      </c>
      <c r="B382" s="167">
        <f>YEAR(Table7[[#This Row],[Date]])+IF(MONTH(Table7[[#This Row],[Date]])&gt;=4,1,0)</f>
        <v>2026</v>
      </c>
      <c r="C382" s="167">
        <f>YEAR(Table7[[#This Row],[Date]])</f>
        <v>2025</v>
      </c>
      <c r="D382" s="168">
        <f t="shared" si="16"/>
        <v>45748</v>
      </c>
      <c r="E382" s="167">
        <v>709.61</v>
      </c>
      <c r="F382" s="167">
        <v>709.61</v>
      </c>
      <c r="G382" s="167">
        <v>709.61</v>
      </c>
      <c r="H382" s="167">
        <v>709.61</v>
      </c>
      <c r="I382" s="167">
        <v>709.61</v>
      </c>
      <c r="J382" s="167">
        <v>709.61</v>
      </c>
      <c r="K382" s="167">
        <v>709.61</v>
      </c>
      <c r="L382" s="167">
        <v>709.61</v>
      </c>
      <c r="M382" s="167">
        <v>709.61</v>
      </c>
      <c r="N382" s="167">
        <v>709.61</v>
      </c>
      <c r="O382" s="167">
        <v>709.61</v>
      </c>
      <c r="P382" s="167">
        <v>709.61</v>
      </c>
      <c r="Q382" s="167">
        <v>709.61</v>
      </c>
      <c r="R382" s="167">
        <v>709.61</v>
      </c>
      <c r="S382" s="167">
        <v>709.61</v>
      </c>
      <c r="T382" s="167">
        <v>709.61</v>
      </c>
      <c r="U382" s="167">
        <v>709.61</v>
      </c>
      <c r="V382" s="167">
        <v>709.61</v>
      </c>
      <c r="W382" s="167">
        <v>709.61</v>
      </c>
      <c r="X382" s="167">
        <v>709.61</v>
      </c>
      <c r="Y382" s="167">
        <v>709.61</v>
      </c>
      <c r="Z382" s="167">
        <v>709.61</v>
      </c>
      <c r="AA382" s="167">
        <v>709.61</v>
      </c>
      <c r="AB382" s="167">
        <v>709.61</v>
      </c>
      <c r="AC382" s="167">
        <v>709.61</v>
      </c>
      <c r="AD382" s="167">
        <v>709.61</v>
      </c>
      <c r="AE382" s="167">
        <f t="shared" si="17"/>
        <v>18449.860000000004</v>
      </c>
    </row>
    <row r="383" spans="1:31">
      <c r="A383" s="197">
        <f t="shared" si="18"/>
        <v>45763</v>
      </c>
      <c r="B383" s="167">
        <f>YEAR(Table7[[#This Row],[Date]])+IF(MONTH(Table7[[#This Row],[Date]])&gt;=4,1,0)</f>
        <v>2026</v>
      </c>
      <c r="C383" s="167">
        <f>YEAR(Table7[[#This Row],[Date]])</f>
        <v>2025</v>
      </c>
      <c r="D383" s="168">
        <f t="shared" si="16"/>
        <v>45748</v>
      </c>
      <c r="E383" s="167">
        <v>1073.07</v>
      </c>
      <c r="F383" s="167">
        <v>1073.07</v>
      </c>
      <c r="G383" s="167">
        <v>1073.07</v>
      </c>
      <c r="H383" s="167">
        <v>1073.07</v>
      </c>
      <c r="I383" s="167">
        <v>1073.07</v>
      </c>
      <c r="J383" s="167">
        <v>1073.07</v>
      </c>
      <c r="K383" s="167">
        <v>1073.07</v>
      </c>
      <c r="L383" s="167">
        <v>1073.07</v>
      </c>
      <c r="M383" s="167">
        <v>1073.07</v>
      </c>
      <c r="N383" s="167">
        <v>1073.07</v>
      </c>
      <c r="O383" s="167">
        <v>1073.07</v>
      </c>
      <c r="P383" s="167">
        <v>1073.07</v>
      </c>
      <c r="Q383" s="167">
        <v>1073.07</v>
      </c>
      <c r="R383" s="167">
        <v>1073.07</v>
      </c>
      <c r="S383" s="167">
        <v>1073.07</v>
      </c>
      <c r="T383" s="167">
        <v>1073.07</v>
      </c>
      <c r="U383" s="167">
        <v>1073.07</v>
      </c>
      <c r="V383" s="167">
        <v>1073.07</v>
      </c>
      <c r="W383" s="167">
        <v>1073.07</v>
      </c>
      <c r="X383" s="167">
        <v>1073.07</v>
      </c>
      <c r="Y383" s="167">
        <v>1073.07</v>
      </c>
      <c r="Z383" s="167">
        <v>1073.07</v>
      </c>
      <c r="AA383" s="167">
        <v>1073.07</v>
      </c>
      <c r="AB383" s="167">
        <v>1073.07</v>
      </c>
      <c r="AC383" s="167">
        <v>1073.07</v>
      </c>
      <c r="AD383" s="167">
        <v>1073.07</v>
      </c>
      <c r="AE383" s="167">
        <f t="shared" si="17"/>
        <v>27899.819999999996</v>
      </c>
    </row>
    <row r="384" spans="1:31">
      <c r="A384" s="197">
        <f t="shared" si="18"/>
        <v>45764</v>
      </c>
      <c r="B384" s="167">
        <f>YEAR(Table7[[#This Row],[Date]])+IF(MONTH(Table7[[#This Row],[Date]])&gt;=4,1,0)</f>
        <v>2026</v>
      </c>
      <c r="C384" s="167">
        <f>YEAR(Table7[[#This Row],[Date]])</f>
        <v>2025</v>
      </c>
      <c r="D384" s="168">
        <f t="shared" si="16"/>
        <v>45748</v>
      </c>
      <c r="E384" s="167">
        <v>1419.23</v>
      </c>
      <c r="F384" s="167">
        <v>1419.23</v>
      </c>
      <c r="G384" s="167">
        <v>1419.23</v>
      </c>
      <c r="H384" s="167">
        <v>1419.23</v>
      </c>
      <c r="I384" s="167">
        <v>1419.23</v>
      </c>
      <c r="J384" s="167">
        <v>1419.23</v>
      </c>
      <c r="K384" s="167">
        <v>1419.23</v>
      </c>
      <c r="L384" s="167">
        <v>1419.23</v>
      </c>
      <c r="M384" s="167">
        <v>1419.23</v>
      </c>
      <c r="N384" s="167">
        <v>1419.23</v>
      </c>
      <c r="O384" s="167">
        <v>1419.23</v>
      </c>
      <c r="P384" s="167">
        <v>1419.23</v>
      </c>
      <c r="Q384" s="167">
        <v>1419.23</v>
      </c>
      <c r="R384" s="167">
        <v>1419.23</v>
      </c>
      <c r="S384" s="167">
        <v>1419.23</v>
      </c>
      <c r="T384" s="167">
        <v>1419.23</v>
      </c>
      <c r="U384" s="167">
        <v>1419.23</v>
      </c>
      <c r="V384" s="167">
        <v>1419.23</v>
      </c>
      <c r="W384" s="167">
        <v>1419.23</v>
      </c>
      <c r="X384" s="167">
        <v>1419.23</v>
      </c>
      <c r="Y384" s="167">
        <v>1419.23</v>
      </c>
      <c r="Z384" s="167">
        <v>1419.23</v>
      </c>
      <c r="AA384" s="167">
        <v>1419.23</v>
      </c>
      <c r="AB384" s="167">
        <v>1419.23</v>
      </c>
      <c r="AC384" s="167">
        <v>1419.23</v>
      </c>
      <c r="AD384" s="167">
        <v>1419.23</v>
      </c>
      <c r="AE384" s="167">
        <f t="shared" si="17"/>
        <v>36899.980000000003</v>
      </c>
    </row>
    <row r="385" spans="1:31">
      <c r="A385" s="197">
        <f t="shared" si="18"/>
        <v>45765</v>
      </c>
      <c r="B385" s="167">
        <f>YEAR(Table7[[#This Row],[Date]])+IF(MONTH(Table7[[#This Row],[Date]])&gt;=4,1,0)</f>
        <v>2026</v>
      </c>
      <c r="C385" s="167">
        <f>YEAR(Table7[[#This Row],[Date]])</f>
        <v>2025</v>
      </c>
      <c r="D385" s="168">
        <f t="shared" si="16"/>
        <v>45748</v>
      </c>
      <c r="E385" s="167">
        <v>86.53</v>
      </c>
      <c r="F385" s="167">
        <v>86.53</v>
      </c>
      <c r="G385" s="167">
        <v>86.53</v>
      </c>
      <c r="H385" s="167">
        <v>86.53</v>
      </c>
      <c r="I385" s="167">
        <v>86.53</v>
      </c>
      <c r="J385" s="167">
        <v>86.53</v>
      </c>
      <c r="K385" s="167">
        <v>86.53</v>
      </c>
      <c r="L385" s="167">
        <v>86.53</v>
      </c>
      <c r="M385" s="167">
        <v>86.53</v>
      </c>
      <c r="N385" s="167">
        <v>86.53</v>
      </c>
      <c r="O385" s="167">
        <v>86.53</v>
      </c>
      <c r="P385" s="167">
        <v>86.53</v>
      </c>
      <c r="Q385" s="167">
        <v>86.53</v>
      </c>
      <c r="R385" s="167">
        <v>86.53</v>
      </c>
      <c r="S385" s="167">
        <v>86.53</v>
      </c>
      <c r="T385" s="167">
        <v>86.53</v>
      </c>
      <c r="U385" s="167">
        <v>86.53</v>
      </c>
      <c r="V385" s="167">
        <v>86.53</v>
      </c>
      <c r="W385" s="167">
        <v>86.53</v>
      </c>
      <c r="X385" s="167">
        <v>86.53</v>
      </c>
      <c r="Y385" s="167">
        <v>86.53</v>
      </c>
      <c r="Z385" s="167">
        <v>86.53</v>
      </c>
      <c r="AA385" s="167">
        <v>86.53</v>
      </c>
      <c r="AB385" s="167">
        <v>86.53</v>
      </c>
      <c r="AC385" s="167">
        <v>86.53</v>
      </c>
      <c r="AD385" s="167">
        <v>86.53</v>
      </c>
      <c r="AE385" s="167">
        <f t="shared" si="17"/>
        <v>2249.7800000000002</v>
      </c>
    </row>
    <row r="386" spans="1:31">
      <c r="A386" s="197">
        <f t="shared" si="18"/>
        <v>45766</v>
      </c>
      <c r="B386" s="167">
        <f>YEAR(Table7[[#This Row],[Date]])+IF(MONTH(Table7[[#This Row],[Date]])&gt;=4,1,0)</f>
        <v>2026</v>
      </c>
      <c r="C386" s="167">
        <f>YEAR(Table7[[#This Row],[Date]])</f>
        <v>2025</v>
      </c>
      <c r="D386" s="168">
        <f t="shared" si="16"/>
        <v>45748</v>
      </c>
      <c r="E386" s="167">
        <v>380.76</v>
      </c>
      <c r="F386" s="167">
        <v>380.76</v>
      </c>
      <c r="G386" s="167">
        <v>380.76</v>
      </c>
      <c r="H386" s="167">
        <v>380.76</v>
      </c>
      <c r="I386" s="167">
        <v>380.76</v>
      </c>
      <c r="J386" s="167">
        <v>380.76</v>
      </c>
      <c r="K386" s="167">
        <v>380.76</v>
      </c>
      <c r="L386" s="167">
        <v>380.76</v>
      </c>
      <c r="M386" s="167">
        <v>380.76</v>
      </c>
      <c r="N386" s="167">
        <v>380.76</v>
      </c>
      <c r="O386" s="167">
        <v>380.76</v>
      </c>
      <c r="P386" s="167">
        <v>380.76</v>
      </c>
      <c r="Q386" s="167">
        <v>380.76</v>
      </c>
      <c r="R386" s="167">
        <v>380.76</v>
      </c>
      <c r="S386" s="167">
        <v>380.76</v>
      </c>
      <c r="T386" s="167">
        <v>380.76</v>
      </c>
      <c r="U386" s="167">
        <v>380.76</v>
      </c>
      <c r="V386" s="167">
        <v>380.76</v>
      </c>
      <c r="W386" s="167">
        <v>380.76</v>
      </c>
      <c r="X386" s="167">
        <v>380.76</v>
      </c>
      <c r="Y386" s="167">
        <v>380.76</v>
      </c>
      <c r="Z386" s="167">
        <v>380.76</v>
      </c>
      <c r="AA386" s="167">
        <v>380.76</v>
      </c>
      <c r="AB386" s="167">
        <v>380.76</v>
      </c>
      <c r="AC386" s="167">
        <v>380.76</v>
      </c>
      <c r="AD386" s="167">
        <v>380.76</v>
      </c>
      <c r="AE386" s="167">
        <f t="shared" si="17"/>
        <v>9899.7600000000039</v>
      </c>
    </row>
    <row r="387" spans="1:31">
      <c r="A387" s="197">
        <f t="shared" si="18"/>
        <v>45767</v>
      </c>
      <c r="B387" s="167">
        <f>YEAR(Table7[[#This Row],[Date]])+IF(MONTH(Table7[[#This Row],[Date]])&gt;=4,1,0)</f>
        <v>2026</v>
      </c>
      <c r="C387" s="167">
        <f>YEAR(Table7[[#This Row],[Date]])</f>
        <v>2025</v>
      </c>
      <c r="D387" s="168">
        <f t="shared" ref="D387:D450" si="19">A387-DAY(A387)+1</f>
        <v>45748</v>
      </c>
      <c r="E387" s="167">
        <v>51.92</v>
      </c>
      <c r="F387" s="167">
        <v>51.92</v>
      </c>
      <c r="G387" s="167">
        <v>51.92</v>
      </c>
      <c r="H387" s="167">
        <v>51.92</v>
      </c>
      <c r="I387" s="167">
        <v>51.92</v>
      </c>
      <c r="J387" s="167">
        <v>51.92</v>
      </c>
      <c r="K387" s="167">
        <v>51.92</v>
      </c>
      <c r="L387" s="167">
        <v>51.92</v>
      </c>
      <c r="M387" s="167">
        <v>51.92</v>
      </c>
      <c r="N387" s="167">
        <v>51.92</v>
      </c>
      <c r="O387" s="167">
        <v>51.92</v>
      </c>
      <c r="P387" s="167">
        <v>51.92</v>
      </c>
      <c r="Q387" s="167">
        <v>51.92</v>
      </c>
      <c r="R387" s="167">
        <v>51.92</v>
      </c>
      <c r="S387" s="167">
        <v>51.92</v>
      </c>
      <c r="T387" s="167">
        <v>51.92</v>
      </c>
      <c r="U387" s="167">
        <v>51.92</v>
      </c>
      <c r="V387" s="167">
        <v>51.92</v>
      </c>
      <c r="W387" s="167">
        <v>51.92</v>
      </c>
      <c r="X387" s="167">
        <v>51.92</v>
      </c>
      <c r="Y387" s="167">
        <v>51.92</v>
      </c>
      <c r="Z387" s="167">
        <v>51.92</v>
      </c>
      <c r="AA387" s="167">
        <v>51.92</v>
      </c>
      <c r="AB387" s="167">
        <v>51.92</v>
      </c>
      <c r="AC387" s="167">
        <v>51.92</v>
      </c>
      <c r="AD387" s="167">
        <v>51.92</v>
      </c>
      <c r="AE387" s="167">
        <f t="shared" ref="AE387:AE450" si="20">SUM(E387:AD387)</f>
        <v>1349.92</v>
      </c>
    </row>
    <row r="388" spans="1:31">
      <c r="A388" s="197">
        <f t="shared" si="18"/>
        <v>45768</v>
      </c>
      <c r="B388" s="167">
        <f>YEAR(Table7[[#This Row],[Date]])+IF(MONTH(Table7[[#This Row],[Date]])&gt;=4,1,0)</f>
        <v>2026</v>
      </c>
      <c r="C388" s="167">
        <f>YEAR(Table7[[#This Row],[Date]])</f>
        <v>2025</v>
      </c>
      <c r="D388" s="168">
        <f t="shared" si="19"/>
        <v>45748</v>
      </c>
      <c r="E388" s="167">
        <v>17.3</v>
      </c>
      <c r="F388" s="167">
        <v>17.3</v>
      </c>
      <c r="G388" s="167">
        <v>17.3</v>
      </c>
      <c r="H388" s="167">
        <v>17.3</v>
      </c>
      <c r="I388" s="167">
        <v>17.3</v>
      </c>
      <c r="J388" s="167">
        <v>17.3</v>
      </c>
      <c r="K388" s="167">
        <v>17.3</v>
      </c>
      <c r="L388" s="167">
        <v>17.3</v>
      </c>
      <c r="M388" s="167">
        <v>17.3</v>
      </c>
      <c r="N388" s="167">
        <v>17.3</v>
      </c>
      <c r="O388" s="167">
        <v>17.3</v>
      </c>
      <c r="P388" s="167">
        <v>17.3</v>
      </c>
      <c r="Q388" s="167">
        <v>17.3</v>
      </c>
      <c r="R388" s="167">
        <v>17.3</v>
      </c>
      <c r="S388" s="167">
        <v>17.3</v>
      </c>
      <c r="T388" s="167">
        <v>17.3</v>
      </c>
      <c r="U388" s="167">
        <v>17.3</v>
      </c>
      <c r="V388" s="167">
        <v>17.3</v>
      </c>
      <c r="W388" s="167">
        <v>17.3</v>
      </c>
      <c r="X388" s="167">
        <v>17.3</v>
      </c>
      <c r="Y388" s="167">
        <v>17.3</v>
      </c>
      <c r="Z388" s="167">
        <v>17.3</v>
      </c>
      <c r="AA388" s="167">
        <v>17.3</v>
      </c>
      <c r="AB388" s="167">
        <v>17.3</v>
      </c>
      <c r="AC388" s="167">
        <v>17.3</v>
      </c>
      <c r="AD388" s="167">
        <v>17.3</v>
      </c>
      <c r="AE388" s="167">
        <f t="shared" si="20"/>
        <v>449.80000000000018</v>
      </c>
    </row>
    <row r="389" spans="1:31">
      <c r="A389" s="197">
        <f t="shared" ref="A389:A452" si="21">A388+1</f>
        <v>45769</v>
      </c>
      <c r="B389" s="167">
        <f>YEAR(Table7[[#This Row],[Date]])+IF(MONTH(Table7[[#This Row],[Date]])&gt;=4,1,0)</f>
        <v>2026</v>
      </c>
      <c r="C389" s="167">
        <f>YEAR(Table7[[#This Row],[Date]])</f>
        <v>2025</v>
      </c>
      <c r="D389" s="168">
        <f t="shared" si="19"/>
        <v>45748</v>
      </c>
      <c r="E389" s="167">
        <v>17.3</v>
      </c>
      <c r="F389" s="167">
        <v>17.3</v>
      </c>
      <c r="G389" s="167">
        <v>17.3</v>
      </c>
      <c r="H389" s="167">
        <v>17.3</v>
      </c>
      <c r="I389" s="167">
        <v>17.3</v>
      </c>
      <c r="J389" s="167">
        <v>17.3</v>
      </c>
      <c r="K389" s="167">
        <v>17.3</v>
      </c>
      <c r="L389" s="167">
        <v>17.3</v>
      </c>
      <c r="M389" s="167">
        <v>17.3</v>
      </c>
      <c r="N389" s="167">
        <v>17.3</v>
      </c>
      <c r="O389" s="167">
        <v>17.3</v>
      </c>
      <c r="P389" s="167">
        <v>17.3</v>
      </c>
      <c r="Q389" s="167">
        <v>17.3</v>
      </c>
      <c r="R389" s="167">
        <v>17.3</v>
      </c>
      <c r="S389" s="167">
        <v>17.3</v>
      </c>
      <c r="T389" s="167">
        <v>17.3</v>
      </c>
      <c r="U389" s="167">
        <v>17.3</v>
      </c>
      <c r="V389" s="167">
        <v>17.3</v>
      </c>
      <c r="W389" s="167">
        <v>17.3</v>
      </c>
      <c r="X389" s="167">
        <v>17.3</v>
      </c>
      <c r="Y389" s="167">
        <v>17.3</v>
      </c>
      <c r="Z389" s="167">
        <v>17.3</v>
      </c>
      <c r="AA389" s="167">
        <v>17.3</v>
      </c>
      <c r="AB389" s="167">
        <v>17.3</v>
      </c>
      <c r="AC389" s="167">
        <v>17.3</v>
      </c>
      <c r="AD389" s="167">
        <v>17.3</v>
      </c>
      <c r="AE389" s="167">
        <f t="shared" si="20"/>
        <v>449.80000000000018</v>
      </c>
    </row>
    <row r="390" spans="1:31">
      <c r="A390" s="197">
        <f t="shared" si="21"/>
        <v>45770</v>
      </c>
      <c r="B390" s="167">
        <f>YEAR(Table7[[#This Row],[Date]])+IF(MONTH(Table7[[#This Row],[Date]])&gt;=4,1,0)</f>
        <v>2026</v>
      </c>
      <c r="C390" s="167">
        <f>YEAR(Table7[[#This Row],[Date]])</f>
        <v>2025</v>
      </c>
      <c r="D390" s="168">
        <f t="shared" si="19"/>
        <v>45748</v>
      </c>
      <c r="E390" s="167">
        <v>34.61</v>
      </c>
      <c r="F390" s="167">
        <v>34.61</v>
      </c>
      <c r="G390" s="167">
        <v>34.61</v>
      </c>
      <c r="H390" s="167">
        <v>34.61</v>
      </c>
      <c r="I390" s="167">
        <v>34.61</v>
      </c>
      <c r="J390" s="167">
        <v>34.61</v>
      </c>
      <c r="K390" s="167">
        <v>34.61</v>
      </c>
      <c r="L390" s="167">
        <v>34.61</v>
      </c>
      <c r="M390" s="167">
        <v>34.61</v>
      </c>
      <c r="N390" s="167">
        <v>34.61</v>
      </c>
      <c r="O390" s="167">
        <v>34.61</v>
      </c>
      <c r="P390" s="167">
        <v>34.61</v>
      </c>
      <c r="Q390" s="167">
        <v>34.61</v>
      </c>
      <c r="R390" s="167">
        <v>34.61</v>
      </c>
      <c r="S390" s="167">
        <v>34.61</v>
      </c>
      <c r="T390" s="167">
        <v>34.61</v>
      </c>
      <c r="U390" s="167">
        <v>34.61</v>
      </c>
      <c r="V390" s="167">
        <v>34.61</v>
      </c>
      <c r="W390" s="167">
        <v>34.61</v>
      </c>
      <c r="X390" s="167">
        <v>34.61</v>
      </c>
      <c r="Y390" s="167">
        <v>34.61</v>
      </c>
      <c r="Z390" s="167">
        <v>34.61</v>
      </c>
      <c r="AA390" s="167">
        <v>34.61</v>
      </c>
      <c r="AB390" s="167">
        <v>34.61</v>
      </c>
      <c r="AC390" s="167">
        <v>34.61</v>
      </c>
      <c r="AD390" s="167">
        <v>34.61</v>
      </c>
      <c r="AE390" s="167">
        <f t="shared" si="20"/>
        <v>899.86000000000024</v>
      </c>
    </row>
    <row r="391" spans="1:31">
      <c r="A391" s="197">
        <f t="shared" si="21"/>
        <v>45771</v>
      </c>
      <c r="B391" s="167">
        <f>YEAR(Table7[[#This Row],[Date]])+IF(MONTH(Table7[[#This Row],[Date]])&gt;=4,1,0)</f>
        <v>2026</v>
      </c>
      <c r="C391" s="167">
        <f>YEAR(Table7[[#This Row],[Date]])</f>
        <v>2025</v>
      </c>
      <c r="D391" s="168">
        <f t="shared" si="19"/>
        <v>45748</v>
      </c>
      <c r="E391" s="167">
        <v>34.61</v>
      </c>
      <c r="F391" s="167">
        <v>34.61</v>
      </c>
      <c r="G391" s="167">
        <v>34.61</v>
      </c>
      <c r="H391" s="167">
        <v>34.61</v>
      </c>
      <c r="I391" s="167">
        <v>34.61</v>
      </c>
      <c r="J391" s="167">
        <v>34.61</v>
      </c>
      <c r="K391" s="167">
        <v>34.61</v>
      </c>
      <c r="L391" s="167">
        <v>34.61</v>
      </c>
      <c r="M391" s="167">
        <v>34.61</v>
      </c>
      <c r="N391" s="167">
        <v>34.61</v>
      </c>
      <c r="O391" s="167">
        <v>34.61</v>
      </c>
      <c r="P391" s="167">
        <v>34.61</v>
      </c>
      <c r="Q391" s="167">
        <v>34.61</v>
      </c>
      <c r="R391" s="167">
        <v>34.61</v>
      </c>
      <c r="S391" s="167">
        <v>34.61</v>
      </c>
      <c r="T391" s="167">
        <v>34.61</v>
      </c>
      <c r="U391" s="167">
        <v>34.61</v>
      </c>
      <c r="V391" s="167">
        <v>34.61</v>
      </c>
      <c r="W391" s="167">
        <v>34.61</v>
      </c>
      <c r="X391" s="167">
        <v>34.61</v>
      </c>
      <c r="Y391" s="167">
        <v>34.61</v>
      </c>
      <c r="Z391" s="167">
        <v>34.61</v>
      </c>
      <c r="AA391" s="167">
        <v>34.61</v>
      </c>
      <c r="AB391" s="167">
        <v>34.61</v>
      </c>
      <c r="AC391" s="167">
        <v>34.61</v>
      </c>
      <c r="AD391" s="167">
        <v>34.61</v>
      </c>
      <c r="AE391" s="167">
        <f t="shared" si="20"/>
        <v>899.86000000000024</v>
      </c>
    </row>
    <row r="392" spans="1:31">
      <c r="A392" s="197">
        <f t="shared" si="21"/>
        <v>45772</v>
      </c>
      <c r="B392" s="167">
        <f>YEAR(Table7[[#This Row],[Date]])+IF(MONTH(Table7[[#This Row],[Date]])&gt;=4,1,0)</f>
        <v>2026</v>
      </c>
      <c r="C392" s="167">
        <f>YEAR(Table7[[#This Row],[Date]])</f>
        <v>2025</v>
      </c>
      <c r="D392" s="168">
        <f t="shared" si="19"/>
        <v>45748</v>
      </c>
      <c r="E392" s="167">
        <v>51.92</v>
      </c>
      <c r="F392" s="167">
        <v>51.92</v>
      </c>
      <c r="G392" s="167">
        <v>51.92</v>
      </c>
      <c r="H392" s="167">
        <v>51.92</v>
      </c>
      <c r="I392" s="167">
        <v>51.92</v>
      </c>
      <c r="J392" s="167">
        <v>51.92</v>
      </c>
      <c r="K392" s="167">
        <v>51.92</v>
      </c>
      <c r="L392" s="167">
        <v>51.92</v>
      </c>
      <c r="M392" s="167">
        <v>51.92</v>
      </c>
      <c r="N392" s="167">
        <v>51.92</v>
      </c>
      <c r="O392" s="167">
        <v>51.92</v>
      </c>
      <c r="P392" s="167">
        <v>51.92</v>
      </c>
      <c r="Q392" s="167">
        <v>51.92</v>
      </c>
      <c r="R392" s="167">
        <v>51.92</v>
      </c>
      <c r="S392" s="167">
        <v>51.92</v>
      </c>
      <c r="T392" s="167">
        <v>51.92</v>
      </c>
      <c r="U392" s="167">
        <v>51.92</v>
      </c>
      <c r="V392" s="167">
        <v>51.92</v>
      </c>
      <c r="W392" s="167">
        <v>51.92</v>
      </c>
      <c r="X392" s="167">
        <v>51.92</v>
      </c>
      <c r="Y392" s="167">
        <v>51.92</v>
      </c>
      <c r="Z392" s="167">
        <v>51.92</v>
      </c>
      <c r="AA392" s="167">
        <v>51.92</v>
      </c>
      <c r="AB392" s="167">
        <v>51.92</v>
      </c>
      <c r="AC392" s="167">
        <v>51.92</v>
      </c>
      <c r="AD392" s="167">
        <v>51.92</v>
      </c>
      <c r="AE392" s="167">
        <f t="shared" si="20"/>
        <v>1349.92</v>
      </c>
    </row>
    <row r="393" spans="1:31">
      <c r="A393" s="197">
        <f t="shared" si="21"/>
        <v>45773</v>
      </c>
      <c r="B393" s="167">
        <f>YEAR(Table7[[#This Row],[Date]])+IF(MONTH(Table7[[#This Row],[Date]])&gt;=4,1,0)</f>
        <v>2026</v>
      </c>
      <c r="C393" s="167">
        <f>YEAR(Table7[[#This Row],[Date]])</f>
        <v>2025</v>
      </c>
      <c r="D393" s="168">
        <f t="shared" si="19"/>
        <v>45748</v>
      </c>
      <c r="E393" s="167">
        <v>415.38</v>
      </c>
      <c r="F393" s="167">
        <v>415.38</v>
      </c>
      <c r="G393" s="167">
        <v>415.38</v>
      </c>
      <c r="H393" s="167">
        <v>415.38</v>
      </c>
      <c r="I393" s="167">
        <v>415.38</v>
      </c>
      <c r="J393" s="167">
        <v>415.38</v>
      </c>
      <c r="K393" s="167">
        <v>415.38</v>
      </c>
      <c r="L393" s="167">
        <v>415.38</v>
      </c>
      <c r="M393" s="167">
        <v>415.38</v>
      </c>
      <c r="N393" s="167">
        <v>415.38</v>
      </c>
      <c r="O393" s="167">
        <v>415.38</v>
      </c>
      <c r="P393" s="167">
        <v>415.38</v>
      </c>
      <c r="Q393" s="167">
        <v>415.38</v>
      </c>
      <c r="R393" s="167">
        <v>415.38</v>
      </c>
      <c r="S393" s="167">
        <v>415.38</v>
      </c>
      <c r="T393" s="167">
        <v>415.38</v>
      </c>
      <c r="U393" s="167">
        <v>415.38</v>
      </c>
      <c r="V393" s="167">
        <v>415.38</v>
      </c>
      <c r="W393" s="167">
        <v>415.38</v>
      </c>
      <c r="X393" s="167">
        <v>415.38</v>
      </c>
      <c r="Y393" s="167">
        <v>415.38</v>
      </c>
      <c r="Z393" s="167">
        <v>415.38</v>
      </c>
      <c r="AA393" s="167">
        <v>415.38</v>
      </c>
      <c r="AB393" s="167">
        <v>415.38</v>
      </c>
      <c r="AC393" s="167">
        <v>415.38</v>
      </c>
      <c r="AD393" s="167">
        <v>415.38</v>
      </c>
      <c r="AE393" s="167">
        <f t="shared" si="20"/>
        <v>10799.879999999996</v>
      </c>
    </row>
    <row r="394" spans="1:31">
      <c r="A394" s="197">
        <f t="shared" si="21"/>
        <v>45774</v>
      </c>
      <c r="B394" s="167">
        <f>YEAR(Table7[[#This Row],[Date]])+IF(MONTH(Table7[[#This Row],[Date]])&gt;=4,1,0)</f>
        <v>2026</v>
      </c>
      <c r="C394" s="167">
        <f>YEAR(Table7[[#This Row],[Date]])</f>
        <v>2025</v>
      </c>
      <c r="D394" s="168">
        <f t="shared" si="19"/>
        <v>45748</v>
      </c>
      <c r="E394" s="167">
        <v>51.92</v>
      </c>
      <c r="F394" s="167">
        <v>51.92</v>
      </c>
      <c r="G394" s="167">
        <v>51.92</v>
      </c>
      <c r="H394" s="167">
        <v>51.92</v>
      </c>
      <c r="I394" s="167">
        <v>51.92</v>
      </c>
      <c r="J394" s="167">
        <v>51.92</v>
      </c>
      <c r="K394" s="167">
        <v>51.92</v>
      </c>
      <c r="L394" s="167">
        <v>51.92</v>
      </c>
      <c r="M394" s="167">
        <v>51.92</v>
      </c>
      <c r="N394" s="167">
        <v>51.92</v>
      </c>
      <c r="O394" s="167">
        <v>51.92</v>
      </c>
      <c r="P394" s="167">
        <v>51.92</v>
      </c>
      <c r="Q394" s="167">
        <v>51.92</v>
      </c>
      <c r="R394" s="167">
        <v>51.92</v>
      </c>
      <c r="S394" s="167">
        <v>51.92</v>
      </c>
      <c r="T394" s="167">
        <v>51.92</v>
      </c>
      <c r="U394" s="167">
        <v>51.92</v>
      </c>
      <c r="V394" s="167">
        <v>51.92</v>
      </c>
      <c r="W394" s="167">
        <v>51.92</v>
      </c>
      <c r="X394" s="167">
        <v>51.92</v>
      </c>
      <c r="Y394" s="167">
        <v>51.92</v>
      </c>
      <c r="Z394" s="167">
        <v>51.92</v>
      </c>
      <c r="AA394" s="167">
        <v>51.92</v>
      </c>
      <c r="AB394" s="167">
        <v>51.92</v>
      </c>
      <c r="AC394" s="167">
        <v>51.92</v>
      </c>
      <c r="AD394" s="167">
        <v>51.92</v>
      </c>
      <c r="AE394" s="167">
        <f t="shared" si="20"/>
        <v>1349.92</v>
      </c>
    </row>
    <row r="395" spans="1:31">
      <c r="A395" s="197">
        <f t="shared" si="21"/>
        <v>45775</v>
      </c>
      <c r="B395" s="167">
        <f>YEAR(Table7[[#This Row],[Date]])+IF(MONTH(Table7[[#This Row],[Date]])&gt;=4,1,0)</f>
        <v>2026</v>
      </c>
      <c r="C395" s="167">
        <f>YEAR(Table7[[#This Row],[Date]])</f>
        <v>2025</v>
      </c>
      <c r="D395" s="168">
        <f t="shared" si="19"/>
        <v>45748</v>
      </c>
      <c r="E395" s="167">
        <v>69.23</v>
      </c>
      <c r="F395" s="167">
        <v>69.23</v>
      </c>
      <c r="G395" s="167">
        <v>69.23</v>
      </c>
      <c r="H395" s="167">
        <v>69.23</v>
      </c>
      <c r="I395" s="167">
        <v>69.23</v>
      </c>
      <c r="J395" s="167">
        <v>69.23</v>
      </c>
      <c r="K395" s="167">
        <v>69.23</v>
      </c>
      <c r="L395" s="167">
        <v>69.23</v>
      </c>
      <c r="M395" s="167">
        <v>69.23</v>
      </c>
      <c r="N395" s="167">
        <v>69.23</v>
      </c>
      <c r="O395" s="167">
        <v>69.23</v>
      </c>
      <c r="P395" s="167">
        <v>69.23</v>
      </c>
      <c r="Q395" s="167">
        <v>69.23</v>
      </c>
      <c r="R395" s="167">
        <v>69.23</v>
      </c>
      <c r="S395" s="167">
        <v>69.23</v>
      </c>
      <c r="T395" s="167">
        <v>69.23</v>
      </c>
      <c r="U395" s="167">
        <v>69.23</v>
      </c>
      <c r="V395" s="167">
        <v>69.23</v>
      </c>
      <c r="W395" s="167">
        <v>69.23</v>
      </c>
      <c r="X395" s="167">
        <v>69.23</v>
      </c>
      <c r="Y395" s="167">
        <v>69.23</v>
      </c>
      <c r="Z395" s="167">
        <v>69.23</v>
      </c>
      <c r="AA395" s="167">
        <v>69.23</v>
      </c>
      <c r="AB395" s="167">
        <v>69.23</v>
      </c>
      <c r="AC395" s="167">
        <v>69.23</v>
      </c>
      <c r="AD395" s="167">
        <v>69.23</v>
      </c>
      <c r="AE395" s="167">
        <f t="shared" si="20"/>
        <v>1799.9800000000002</v>
      </c>
    </row>
    <row r="396" spans="1:31">
      <c r="A396" s="197">
        <f t="shared" si="21"/>
        <v>45776</v>
      </c>
      <c r="B396" s="167">
        <f>YEAR(Table7[[#This Row],[Date]])+IF(MONTH(Table7[[#This Row],[Date]])&gt;=4,1,0)</f>
        <v>2026</v>
      </c>
      <c r="C396" s="167">
        <f>YEAR(Table7[[#This Row],[Date]])</f>
        <v>2025</v>
      </c>
      <c r="D396" s="168">
        <f t="shared" si="19"/>
        <v>45748</v>
      </c>
      <c r="E396" s="167">
        <v>103.84</v>
      </c>
      <c r="F396" s="167">
        <v>103.84</v>
      </c>
      <c r="G396" s="167">
        <v>103.84</v>
      </c>
      <c r="H396" s="167">
        <v>103.84</v>
      </c>
      <c r="I396" s="167">
        <v>103.84</v>
      </c>
      <c r="J396" s="167">
        <v>103.84</v>
      </c>
      <c r="K396" s="167">
        <v>103.84</v>
      </c>
      <c r="L396" s="167">
        <v>103.84</v>
      </c>
      <c r="M396" s="167">
        <v>103.84</v>
      </c>
      <c r="N396" s="167">
        <v>103.84</v>
      </c>
      <c r="O396" s="167">
        <v>103.84</v>
      </c>
      <c r="P396" s="167">
        <v>103.84</v>
      </c>
      <c r="Q396" s="167">
        <v>103.84</v>
      </c>
      <c r="R396" s="167">
        <v>103.84</v>
      </c>
      <c r="S396" s="167">
        <v>103.84</v>
      </c>
      <c r="T396" s="167">
        <v>103.84</v>
      </c>
      <c r="U396" s="167">
        <v>103.84</v>
      </c>
      <c r="V396" s="167">
        <v>103.84</v>
      </c>
      <c r="W396" s="167">
        <v>103.84</v>
      </c>
      <c r="X396" s="167">
        <v>103.84</v>
      </c>
      <c r="Y396" s="167">
        <v>103.84</v>
      </c>
      <c r="Z396" s="167">
        <v>103.84</v>
      </c>
      <c r="AA396" s="167">
        <v>103.84</v>
      </c>
      <c r="AB396" s="167">
        <v>103.84</v>
      </c>
      <c r="AC396" s="167">
        <v>103.84</v>
      </c>
      <c r="AD396" s="167">
        <v>103.84</v>
      </c>
      <c r="AE396" s="167">
        <f t="shared" si="20"/>
        <v>2699.84</v>
      </c>
    </row>
    <row r="397" spans="1:31">
      <c r="A397" s="197">
        <f t="shared" si="21"/>
        <v>45777</v>
      </c>
      <c r="B397" s="167">
        <f>YEAR(Table7[[#This Row],[Date]])+IF(MONTH(Table7[[#This Row],[Date]])&gt;=4,1,0)</f>
        <v>2026</v>
      </c>
      <c r="C397" s="167">
        <f>YEAR(Table7[[#This Row],[Date]])</f>
        <v>2025</v>
      </c>
      <c r="D397" s="168">
        <f t="shared" si="19"/>
        <v>45748</v>
      </c>
      <c r="E397" s="167">
        <v>103.84</v>
      </c>
      <c r="F397" s="167">
        <v>103.84</v>
      </c>
      <c r="G397" s="167">
        <v>103.84</v>
      </c>
      <c r="H397" s="167">
        <v>103.84</v>
      </c>
      <c r="I397" s="167">
        <v>103.84</v>
      </c>
      <c r="J397" s="167">
        <v>103.84</v>
      </c>
      <c r="K397" s="167">
        <v>103.84</v>
      </c>
      <c r="L397" s="167">
        <v>103.84</v>
      </c>
      <c r="M397" s="167">
        <v>103.84</v>
      </c>
      <c r="N397" s="167">
        <v>103.84</v>
      </c>
      <c r="O397" s="167">
        <v>103.84</v>
      </c>
      <c r="P397" s="167">
        <v>103.84</v>
      </c>
      <c r="Q397" s="167">
        <v>103.84</v>
      </c>
      <c r="R397" s="167">
        <v>103.84</v>
      </c>
      <c r="S397" s="167">
        <v>103.84</v>
      </c>
      <c r="T397" s="167">
        <v>103.84</v>
      </c>
      <c r="U397" s="167">
        <v>103.84</v>
      </c>
      <c r="V397" s="167">
        <v>103.84</v>
      </c>
      <c r="W397" s="167">
        <v>103.84</v>
      </c>
      <c r="X397" s="167">
        <v>103.84</v>
      </c>
      <c r="Y397" s="167">
        <v>103.84</v>
      </c>
      <c r="Z397" s="167">
        <v>103.84</v>
      </c>
      <c r="AA397" s="167">
        <v>103.84</v>
      </c>
      <c r="AB397" s="167">
        <v>103.84</v>
      </c>
      <c r="AC397" s="167">
        <v>103.84</v>
      </c>
      <c r="AD397" s="167">
        <v>103.84</v>
      </c>
      <c r="AE397" s="167">
        <f t="shared" si="20"/>
        <v>2699.84</v>
      </c>
    </row>
    <row r="398" spans="1:31">
      <c r="A398" s="197">
        <f t="shared" si="21"/>
        <v>45778</v>
      </c>
      <c r="B398" s="167">
        <f>YEAR(Table7[[#This Row],[Date]])+IF(MONTH(Table7[[#This Row],[Date]])&gt;=4,1,0)</f>
        <v>2026</v>
      </c>
      <c r="C398" s="167">
        <f>YEAR(Table7[[#This Row],[Date]])</f>
        <v>2025</v>
      </c>
      <c r="D398" s="168">
        <f t="shared" si="19"/>
        <v>45778</v>
      </c>
      <c r="E398" s="299">
        <v>103.84</v>
      </c>
      <c r="F398" s="299">
        <v>103.84</v>
      </c>
      <c r="G398" s="299">
        <v>103.84</v>
      </c>
      <c r="H398" s="299">
        <v>103.84</v>
      </c>
      <c r="I398" s="299">
        <v>103.84</v>
      </c>
      <c r="J398" s="299">
        <v>103.84</v>
      </c>
      <c r="K398" s="299">
        <v>103.84</v>
      </c>
      <c r="L398" s="299">
        <v>103.84</v>
      </c>
      <c r="M398" s="299">
        <v>103.84</v>
      </c>
      <c r="N398" s="299">
        <v>103.84</v>
      </c>
      <c r="O398" s="299">
        <v>103.84</v>
      </c>
      <c r="P398" s="299">
        <v>103.84</v>
      </c>
      <c r="Q398" s="299">
        <v>103.84</v>
      </c>
      <c r="R398" s="299">
        <v>103.84</v>
      </c>
      <c r="S398" s="299">
        <v>103.84</v>
      </c>
      <c r="T398" s="299">
        <v>103.84</v>
      </c>
      <c r="U398" s="299">
        <v>103.84</v>
      </c>
      <c r="V398" s="299">
        <v>103.84</v>
      </c>
      <c r="W398" s="299">
        <v>103.84</v>
      </c>
      <c r="X398" s="299">
        <v>103.84</v>
      </c>
      <c r="Y398" s="299">
        <v>103.84</v>
      </c>
      <c r="Z398" s="299">
        <v>103.84</v>
      </c>
      <c r="AA398" s="299">
        <v>103.84</v>
      </c>
      <c r="AB398" s="299">
        <v>103.84</v>
      </c>
      <c r="AC398" s="299">
        <v>103.84</v>
      </c>
      <c r="AD398" s="299">
        <v>103.84</v>
      </c>
      <c r="AE398" s="167">
        <f t="shared" si="20"/>
        <v>2699.84</v>
      </c>
    </row>
    <row r="399" spans="1:31">
      <c r="A399" s="197">
        <f t="shared" si="21"/>
        <v>45779</v>
      </c>
      <c r="B399" s="167">
        <f>YEAR(Table7[[#This Row],[Date]])+IF(MONTH(Table7[[#This Row],[Date]])&gt;=4,1,0)</f>
        <v>2026</v>
      </c>
      <c r="C399" s="167">
        <f>YEAR(Table7[[#This Row],[Date]])</f>
        <v>2025</v>
      </c>
      <c r="D399" s="168">
        <f t="shared" si="19"/>
        <v>45778</v>
      </c>
      <c r="E399" s="300">
        <v>86.53</v>
      </c>
      <c r="F399" s="300">
        <v>86.53</v>
      </c>
      <c r="G399" s="300">
        <v>86.53</v>
      </c>
      <c r="H399" s="300">
        <v>86.53</v>
      </c>
      <c r="I399" s="300">
        <v>86.53</v>
      </c>
      <c r="J399" s="300">
        <v>86.53</v>
      </c>
      <c r="K399" s="300">
        <v>86.53</v>
      </c>
      <c r="L399" s="300">
        <v>86.53</v>
      </c>
      <c r="M399" s="300">
        <v>86.53</v>
      </c>
      <c r="N399" s="300">
        <v>86.53</v>
      </c>
      <c r="O399" s="300">
        <v>86.53</v>
      </c>
      <c r="P399" s="300">
        <v>86.53</v>
      </c>
      <c r="Q399" s="300">
        <v>86.53</v>
      </c>
      <c r="R399" s="300">
        <v>86.53</v>
      </c>
      <c r="S399" s="300">
        <v>86.53</v>
      </c>
      <c r="T399" s="300">
        <v>86.53</v>
      </c>
      <c r="U399" s="300">
        <v>86.53</v>
      </c>
      <c r="V399" s="300">
        <v>86.53</v>
      </c>
      <c r="W399" s="300">
        <v>86.53</v>
      </c>
      <c r="X399" s="300">
        <v>86.53</v>
      </c>
      <c r="Y399" s="300">
        <v>86.53</v>
      </c>
      <c r="Z399" s="300">
        <v>86.53</v>
      </c>
      <c r="AA399" s="300">
        <v>86.53</v>
      </c>
      <c r="AB399" s="300">
        <v>86.53</v>
      </c>
      <c r="AC399" s="300">
        <v>86.53</v>
      </c>
      <c r="AD399" s="300">
        <v>86.53</v>
      </c>
      <c r="AE399" s="167">
        <f t="shared" si="20"/>
        <v>2249.7800000000002</v>
      </c>
    </row>
    <row r="400" spans="1:31">
      <c r="A400" s="197">
        <f t="shared" si="21"/>
        <v>45780</v>
      </c>
      <c r="B400" s="167">
        <f>YEAR(Table7[[#This Row],[Date]])+IF(MONTH(Table7[[#This Row],[Date]])&gt;=4,1,0)</f>
        <v>2026</v>
      </c>
      <c r="C400" s="167">
        <f>YEAR(Table7[[#This Row],[Date]])</f>
        <v>2025</v>
      </c>
      <c r="D400" s="168">
        <f t="shared" si="19"/>
        <v>45778</v>
      </c>
      <c r="E400" s="299">
        <v>1107.69</v>
      </c>
      <c r="F400" s="299">
        <v>1107.69</v>
      </c>
      <c r="G400" s="299">
        <v>1107.69</v>
      </c>
      <c r="H400" s="299">
        <v>1107.69</v>
      </c>
      <c r="I400" s="299">
        <v>1107.69</v>
      </c>
      <c r="J400" s="299">
        <v>1107.69</v>
      </c>
      <c r="K400" s="299">
        <v>1107.69</v>
      </c>
      <c r="L400" s="299">
        <v>1107.69</v>
      </c>
      <c r="M400" s="299">
        <v>1107.69</v>
      </c>
      <c r="N400" s="299">
        <v>1107.69</v>
      </c>
      <c r="O400" s="299">
        <v>1107.69</v>
      </c>
      <c r="P400" s="299">
        <v>1107.69</v>
      </c>
      <c r="Q400" s="299">
        <v>1107.69</v>
      </c>
      <c r="R400" s="299">
        <v>1107.69</v>
      </c>
      <c r="S400" s="299">
        <v>1107.69</v>
      </c>
      <c r="T400" s="299">
        <v>1107.69</v>
      </c>
      <c r="U400" s="299">
        <v>1107.69</v>
      </c>
      <c r="V400" s="299">
        <v>1107.69</v>
      </c>
      <c r="W400" s="299">
        <v>1107.69</v>
      </c>
      <c r="X400" s="299">
        <v>1107.69</v>
      </c>
      <c r="Y400" s="299">
        <v>1107.69</v>
      </c>
      <c r="Z400" s="299">
        <v>1107.69</v>
      </c>
      <c r="AA400" s="299">
        <v>1107.69</v>
      </c>
      <c r="AB400" s="299">
        <v>1107.69</v>
      </c>
      <c r="AC400" s="299">
        <v>1107.69</v>
      </c>
      <c r="AD400" s="299">
        <v>1107.69</v>
      </c>
      <c r="AE400" s="167">
        <f t="shared" si="20"/>
        <v>28799.939999999991</v>
      </c>
    </row>
    <row r="401" spans="1:31">
      <c r="A401" s="197">
        <f t="shared" si="21"/>
        <v>45781</v>
      </c>
      <c r="B401" s="167">
        <f>YEAR(Table7[[#This Row],[Date]])+IF(MONTH(Table7[[#This Row],[Date]])&gt;=4,1,0)</f>
        <v>2026</v>
      </c>
      <c r="C401" s="167">
        <f>YEAR(Table7[[#This Row],[Date]])</f>
        <v>2025</v>
      </c>
      <c r="D401" s="168">
        <f t="shared" si="19"/>
        <v>45778</v>
      </c>
      <c r="E401" s="300">
        <v>796.15</v>
      </c>
      <c r="F401" s="300">
        <v>796.15</v>
      </c>
      <c r="G401" s="300">
        <v>796.15</v>
      </c>
      <c r="H401" s="300">
        <v>796.15</v>
      </c>
      <c r="I401" s="300">
        <v>796.15</v>
      </c>
      <c r="J401" s="300">
        <v>796.15</v>
      </c>
      <c r="K401" s="300">
        <v>796.15</v>
      </c>
      <c r="L401" s="300">
        <v>796.15</v>
      </c>
      <c r="M401" s="300">
        <v>796.15</v>
      </c>
      <c r="N401" s="300">
        <v>796.15</v>
      </c>
      <c r="O401" s="300">
        <v>796.15</v>
      </c>
      <c r="P401" s="300">
        <v>796.15</v>
      </c>
      <c r="Q401" s="300">
        <v>796.15</v>
      </c>
      <c r="R401" s="300">
        <v>796.15</v>
      </c>
      <c r="S401" s="300">
        <v>796.15</v>
      </c>
      <c r="T401" s="300">
        <v>796.15</v>
      </c>
      <c r="U401" s="300">
        <v>796.15</v>
      </c>
      <c r="V401" s="300">
        <v>796.15</v>
      </c>
      <c r="W401" s="300">
        <v>796.15</v>
      </c>
      <c r="X401" s="300">
        <v>796.15</v>
      </c>
      <c r="Y401" s="300">
        <v>796.15</v>
      </c>
      <c r="Z401" s="300">
        <v>796.15</v>
      </c>
      <c r="AA401" s="300">
        <v>796.15</v>
      </c>
      <c r="AB401" s="300">
        <v>796.15</v>
      </c>
      <c r="AC401" s="300">
        <v>796.15</v>
      </c>
      <c r="AD401" s="300">
        <v>796.15</v>
      </c>
      <c r="AE401" s="167">
        <f t="shared" si="20"/>
        <v>20699.900000000001</v>
      </c>
    </row>
    <row r="402" spans="1:31">
      <c r="A402" s="197">
        <f t="shared" si="21"/>
        <v>45782</v>
      </c>
      <c r="B402" s="167">
        <f>YEAR(Table7[[#This Row],[Date]])+IF(MONTH(Table7[[#This Row],[Date]])&gt;=4,1,0)</f>
        <v>2026</v>
      </c>
      <c r="C402" s="167">
        <f>YEAR(Table7[[#This Row],[Date]])</f>
        <v>2025</v>
      </c>
      <c r="D402" s="168">
        <f t="shared" si="19"/>
        <v>45778</v>
      </c>
      <c r="E402" s="167">
        <v>865.38</v>
      </c>
      <c r="F402" s="167">
        <v>865.38</v>
      </c>
      <c r="G402" s="167">
        <v>865.38</v>
      </c>
      <c r="H402" s="167">
        <v>865.38</v>
      </c>
      <c r="I402" s="167">
        <v>865.38</v>
      </c>
      <c r="J402" s="167">
        <v>865.38</v>
      </c>
      <c r="K402" s="167">
        <v>865.38</v>
      </c>
      <c r="L402" s="167">
        <v>865.38</v>
      </c>
      <c r="M402" s="167">
        <v>865.38</v>
      </c>
      <c r="N402" s="167">
        <v>865.38</v>
      </c>
      <c r="O402" s="167">
        <v>865.38</v>
      </c>
      <c r="P402" s="167">
        <v>865.38</v>
      </c>
      <c r="Q402" s="167">
        <v>865.38</v>
      </c>
      <c r="R402" s="167">
        <v>865.38</v>
      </c>
      <c r="S402" s="167">
        <v>865.38</v>
      </c>
      <c r="T402" s="167">
        <v>865.38</v>
      </c>
      <c r="U402" s="167">
        <v>865.38</v>
      </c>
      <c r="V402" s="167">
        <v>865.38</v>
      </c>
      <c r="W402" s="167">
        <v>865.38</v>
      </c>
      <c r="X402" s="167">
        <v>865.38</v>
      </c>
      <c r="Y402" s="167">
        <v>865.38</v>
      </c>
      <c r="Z402" s="167">
        <v>865.38</v>
      </c>
      <c r="AA402" s="167">
        <v>865.38</v>
      </c>
      <c r="AB402" s="167">
        <v>865.38</v>
      </c>
      <c r="AC402" s="167">
        <v>865.38</v>
      </c>
      <c r="AD402" s="167">
        <v>865.38</v>
      </c>
      <c r="AE402" s="167">
        <f t="shared" si="20"/>
        <v>22499.88</v>
      </c>
    </row>
    <row r="403" spans="1:31">
      <c r="A403" s="197">
        <f t="shared" si="21"/>
        <v>45783</v>
      </c>
      <c r="B403" s="167">
        <f>YEAR(Table7[[#This Row],[Date]])+IF(MONTH(Table7[[#This Row],[Date]])&gt;=4,1,0)</f>
        <v>2026</v>
      </c>
      <c r="C403" s="167">
        <f>YEAR(Table7[[#This Row],[Date]])</f>
        <v>2025</v>
      </c>
      <c r="D403" s="168">
        <f t="shared" si="19"/>
        <v>45778</v>
      </c>
      <c r="E403" s="167">
        <v>86.53</v>
      </c>
      <c r="F403" s="167">
        <v>86.53</v>
      </c>
      <c r="G403" s="167">
        <v>86.53</v>
      </c>
      <c r="H403" s="167">
        <v>86.53</v>
      </c>
      <c r="I403" s="167">
        <v>86.53</v>
      </c>
      <c r="J403" s="167">
        <v>86.53</v>
      </c>
      <c r="K403" s="167">
        <v>86.53</v>
      </c>
      <c r="L403" s="167">
        <v>86.53</v>
      </c>
      <c r="M403" s="167">
        <v>86.53</v>
      </c>
      <c r="N403" s="167">
        <v>86.53</v>
      </c>
      <c r="O403" s="167">
        <v>86.53</v>
      </c>
      <c r="P403" s="167">
        <v>86.53</v>
      </c>
      <c r="Q403" s="167">
        <v>86.53</v>
      </c>
      <c r="R403" s="167">
        <v>86.53</v>
      </c>
      <c r="S403" s="167">
        <v>86.53</v>
      </c>
      <c r="T403" s="167">
        <v>86.53</v>
      </c>
      <c r="U403" s="167">
        <v>86.53</v>
      </c>
      <c r="V403" s="167">
        <v>86.53</v>
      </c>
      <c r="W403" s="167">
        <v>86.53</v>
      </c>
      <c r="X403" s="167">
        <v>86.53</v>
      </c>
      <c r="Y403" s="167">
        <v>86.53</v>
      </c>
      <c r="Z403" s="167">
        <v>86.53</v>
      </c>
      <c r="AA403" s="167">
        <v>86.53</v>
      </c>
      <c r="AB403" s="167">
        <v>86.53</v>
      </c>
      <c r="AC403" s="167">
        <v>86.53</v>
      </c>
      <c r="AD403" s="167">
        <v>86.53</v>
      </c>
      <c r="AE403" s="167">
        <f t="shared" si="20"/>
        <v>2249.7800000000002</v>
      </c>
    </row>
    <row r="404" spans="1:31">
      <c r="A404" s="197">
        <f t="shared" si="21"/>
        <v>45784</v>
      </c>
      <c r="B404" s="167">
        <f>YEAR(Table7[[#This Row],[Date]])+IF(MONTH(Table7[[#This Row],[Date]])&gt;=4,1,0)</f>
        <v>2026</v>
      </c>
      <c r="C404" s="167">
        <f>YEAR(Table7[[#This Row],[Date]])</f>
        <v>2025</v>
      </c>
      <c r="D404" s="168">
        <f t="shared" si="19"/>
        <v>45778</v>
      </c>
      <c r="E404" s="167">
        <v>813.46</v>
      </c>
      <c r="F404" s="167">
        <v>813.46</v>
      </c>
      <c r="G404" s="167">
        <v>813.46</v>
      </c>
      <c r="H404" s="167">
        <v>813.46</v>
      </c>
      <c r="I404" s="167">
        <v>813.46</v>
      </c>
      <c r="J404" s="167">
        <v>813.46</v>
      </c>
      <c r="K404" s="167">
        <v>813.46</v>
      </c>
      <c r="L404" s="167">
        <v>813.46</v>
      </c>
      <c r="M404" s="167">
        <v>813.46</v>
      </c>
      <c r="N404" s="167">
        <v>813.46</v>
      </c>
      <c r="O404" s="167">
        <v>813.46</v>
      </c>
      <c r="P404" s="167">
        <v>813.46</v>
      </c>
      <c r="Q404" s="167">
        <v>813.46</v>
      </c>
      <c r="R404" s="167">
        <v>813.46</v>
      </c>
      <c r="S404" s="167">
        <v>813.46</v>
      </c>
      <c r="T404" s="167">
        <v>813.46</v>
      </c>
      <c r="U404" s="167">
        <v>813.46</v>
      </c>
      <c r="V404" s="167">
        <v>813.46</v>
      </c>
      <c r="W404" s="167">
        <v>813.46</v>
      </c>
      <c r="X404" s="167">
        <v>813.46</v>
      </c>
      <c r="Y404" s="167">
        <v>813.46</v>
      </c>
      <c r="Z404" s="167">
        <v>813.46</v>
      </c>
      <c r="AA404" s="167">
        <v>813.46</v>
      </c>
      <c r="AB404" s="167">
        <v>813.46</v>
      </c>
      <c r="AC404" s="167">
        <v>813.46</v>
      </c>
      <c r="AD404" s="167">
        <v>813.46</v>
      </c>
      <c r="AE404" s="167">
        <f t="shared" si="20"/>
        <v>21149.959999999988</v>
      </c>
    </row>
    <row r="405" spans="1:31">
      <c r="A405" s="197">
        <f t="shared" si="21"/>
        <v>45785</v>
      </c>
      <c r="B405" s="167">
        <f>YEAR(Table7[[#This Row],[Date]])+IF(MONTH(Table7[[#This Row],[Date]])&gt;=4,1,0)</f>
        <v>2026</v>
      </c>
      <c r="C405" s="167">
        <f>YEAR(Table7[[#This Row],[Date]])</f>
        <v>2025</v>
      </c>
      <c r="D405" s="168">
        <f t="shared" si="19"/>
        <v>45778</v>
      </c>
      <c r="E405" s="167">
        <v>17.3</v>
      </c>
      <c r="F405" s="167">
        <v>17.3</v>
      </c>
      <c r="G405" s="167">
        <v>17.3</v>
      </c>
      <c r="H405" s="167">
        <v>17.3</v>
      </c>
      <c r="I405" s="167">
        <v>17.3</v>
      </c>
      <c r="J405" s="167">
        <v>17.3</v>
      </c>
      <c r="K405" s="167">
        <v>17.3</v>
      </c>
      <c r="L405" s="167">
        <v>17.3</v>
      </c>
      <c r="M405" s="167">
        <v>17.3</v>
      </c>
      <c r="N405" s="167">
        <v>17.3</v>
      </c>
      <c r="O405" s="167">
        <v>17.3</v>
      </c>
      <c r="P405" s="167">
        <v>17.3</v>
      </c>
      <c r="Q405" s="167">
        <v>17.3</v>
      </c>
      <c r="R405" s="167">
        <v>17.3</v>
      </c>
      <c r="S405" s="167">
        <v>17.3</v>
      </c>
      <c r="T405" s="167">
        <v>17.3</v>
      </c>
      <c r="U405" s="167">
        <v>17.3</v>
      </c>
      <c r="V405" s="167">
        <v>17.3</v>
      </c>
      <c r="W405" s="167">
        <v>17.3</v>
      </c>
      <c r="X405" s="167">
        <v>17.3</v>
      </c>
      <c r="Y405" s="167">
        <v>17.3</v>
      </c>
      <c r="Z405" s="167">
        <v>17.3</v>
      </c>
      <c r="AA405" s="167">
        <v>17.3</v>
      </c>
      <c r="AB405" s="167">
        <v>17.3</v>
      </c>
      <c r="AC405" s="167">
        <v>17.3</v>
      </c>
      <c r="AD405" s="167">
        <v>17.3</v>
      </c>
      <c r="AE405" s="167">
        <f t="shared" si="20"/>
        <v>449.80000000000018</v>
      </c>
    </row>
    <row r="406" spans="1:31">
      <c r="A406" s="197">
        <f t="shared" si="21"/>
        <v>45786</v>
      </c>
      <c r="B406" s="167">
        <f>YEAR(Table7[[#This Row],[Date]])+IF(MONTH(Table7[[#This Row],[Date]])&gt;=4,1,0)</f>
        <v>2026</v>
      </c>
      <c r="C406" s="167">
        <f>YEAR(Table7[[#This Row],[Date]])</f>
        <v>2025</v>
      </c>
      <c r="D406" s="168">
        <f t="shared" si="19"/>
        <v>45778</v>
      </c>
      <c r="E406" s="167">
        <v>17.3</v>
      </c>
      <c r="F406" s="167">
        <v>17.3</v>
      </c>
      <c r="G406" s="167">
        <v>17.3</v>
      </c>
      <c r="H406" s="167">
        <v>17.3</v>
      </c>
      <c r="I406" s="167">
        <v>17.3</v>
      </c>
      <c r="J406" s="167">
        <v>17.3</v>
      </c>
      <c r="K406" s="167">
        <v>17.3</v>
      </c>
      <c r="L406" s="167">
        <v>17.3</v>
      </c>
      <c r="M406" s="167">
        <v>17.3</v>
      </c>
      <c r="N406" s="167">
        <v>17.3</v>
      </c>
      <c r="O406" s="167">
        <v>17.3</v>
      </c>
      <c r="P406" s="167">
        <v>17.3</v>
      </c>
      <c r="Q406" s="167">
        <v>17.3</v>
      </c>
      <c r="R406" s="167">
        <v>17.3</v>
      </c>
      <c r="S406" s="167">
        <v>17.3</v>
      </c>
      <c r="T406" s="167">
        <v>17.3</v>
      </c>
      <c r="U406" s="167">
        <v>17.3</v>
      </c>
      <c r="V406" s="167">
        <v>17.3</v>
      </c>
      <c r="W406" s="167">
        <v>17.3</v>
      </c>
      <c r="X406" s="167">
        <v>17.3</v>
      </c>
      <c r="Y406" s="167">
        <v>17.3</v>
      </c>
      <c r="Z406" s="167">
        <v>17.3</v>
      </c>
      <c r="AA406" s="167">
        <v>17.3</v>
      </c>
      <c r="AB406" s="167">
        <v>17.3</v>
      </c>
      <c r="AC406" s="167">
        <v>17.3</v>
      </c>
      <c r="AD406" s="167">
        <v>17.3</v>
      </c>
      <c r="AE406" s="167">
        <f t="shared" si="20"/>
        <v>449.80000000000018</v>
      </c>
    </row>
    <row r="407" spans="1:31">
      <c r="A407" s="197">
        <f t="shared" si="21"/>
        <v>45787</v>
      </c>
      <c r="B407" s="167">
        <f>YEAR(Table7[[#This Row],[Date]])+IF(MONTH(Table7[[#This Row],[Date]])&gt;=4,1,0)</f>
        <v>2026</v>
      </c>
      <c r="C407" s="167">
        <f>YEAR(Table7[[#This Row],[Date]])</f>
        <v>2025</v>
      </c>
      <c r="D407" s="168">
        <f t="shared" si="19"/>
        <v>45778</v>
      </c>
      <c r="E407" s="167">
        <v>34.61</v>
      </c>
      <c r="F407" s="167">
        <v>34.61</v>
      </c>
      <c r="G407" s="167">
        <v>34.61</v>
      </c>
      <c r="H407" s="167">
        <v>34.61</v>
      </c>
      <c r="I407" s="167">
        <v>34.61</v>
      </c>
      <c r="J407" s="167">
        <v>34.61</v>
      </c>
      <c r="K407" s="167">
        <v>34.61</v>
      </c>
      <c r="L407" s="167">
        <v>34.61</v>
      </c>
      <c r="M407" s="167">
        <v>34.61</v>
      </c>
      <c r="N407" s="167">
        <v>34.61</v>
      </c>
      <c r="O407" s="167">
        <v>34.61</v>
      </c>
      <c r="P407" s="167">
        <v>34.61</v>
      </c>
      <c r="Q407" s="167">
        <v>34.61</v>
      </c>
      <c r="R407" s="167">
        <v>34.61</v>
      </c>
      <c r="S407" s="167">
        <v>34.61</v>
      </c>
      <c r="T407" s="167">
        <v>34.61</v>
      </c>
      <c r="U407" s="167">
        <v>34.61</v>
      </c>
      <c r="V407" s="167">
        <v>34.61</v>
      </c>
      <c r="W407" s="167">
        <v>34.61</v>
      </c>
      <c r="X407" s="167">
        <v>34.61</v>
      </c>
      <c r="Y407" s="167">
        <v>34.61</v>
      </c>
      <c r="Z407" s="167">
        <v>34.61</v>
      </c>
      <c r="AA407" s="167">
        <v>34.61</v>
      </c>
      <c r="AB407" s="167">
        <v>34.61</v>
      </c>
      <c r="AC407" s="167">
        <v>34.61</v>
      </c>
      <c r="AD407" s="167">
        <v>34.61</v>
      </c>
      <c r="AE407" s="167">
        <f t="shared" si="20"/>
        <v>899.86000000000024</v>
      </c>
    </row>
    <row r="408" spans="1:31">
      <c r="A408" s="197">
        <f t="shared" si="21"/>
        <v>45788</v>
      </c>
      <c r="B408" s="167">
        <f>YEAR(Table7[[#This Row],[Date]])+IF(MONTH(Table7[[#This Row],[Date]])&gt;=4,1,0)</f>
        <v>2026</v>
      </c>
      <c r="C408" s="167">
        <f>YEAR(Table7[[#This Row],[Date]])</f>
        <v>2025</v>
      </c>
      <c r="D408" s="168">
        <f t="shared" si="19"/>
        <v>45778</v>
      </c>
      <c r="E408" s="167">
        <v>17.3</v>
      </c>
      <c r="F408" s="167">
        <v>17.3</v>
      </c>
      <c r="G408" s="167">
        <v>17.3</v>
      </c>
      <c r="H408" s="167">
        <v>17.3</v>
      </c>
      <c r="I408" s="167">
        <v>17.3</v>
      </c>
      <c r="J408" s="167">
        <v>17.3</v>
      </c>
      <c r="K408" s="167">
        <v>17.3</v>
      </c>
      <c r="L408" s="167">
        <v>17.3</v>
      </c>
      <c r="M408" s="167">
        <v>17.3</v>
      </c>
      <c r="N408" s="167">
        <v>17.3</v>
      </c>
      <c r="O408" s="167">
        <v>17.3</v>
      </c>
      <c r="P408" s="167">
        <v>17.3</v>
      </c>
      <c r="Q408" s="167">
        <v>17.3</v>
      </c>
      <c r="R408" s="167">
        <v>17.3</v>
      </c>
      <c r="S408" s="167">
        <v>17.3</v>
      </c>
      <c r="T408" s="167">
        <v>17.3</v>
      </c>
      <c r="U408" s="167">
        <v>17.3</v>
      </c>
      <c r="V408" s="167">
        <v>17.3</v>
      </c>
      <c r="W408" s="167">
        <v>17.3</v>
      </c>
      <c r="X408" s="167">
        <v>17.3</v>
      </c>
      <c r="Y408" s="167">
        <v>17.3</v>
      </c>
      <c r="Z408" s="167">
        <v>17.3</v>
      </c>
      <c r="AA408" s="167">
        <v>17.3</v>
      </c>
      <c r="AB408" s="167">
        <v>17.3</v>
      </c>
      <c r="AC408" s="167">
        <v>17.3</v>
      </c>
      <c r="AD408" s="167">
        <v>17.3</v>
      </c>
      <c r="AE408" s="167">
        <f t="shared" si="20"/>
        <v>449.80000000000018</v>
      </c>
    </row>
    <row r="409" spans="1:31">
      <c r="A409" s="197">
        <f t="shared" si="21"/>
        <v>45789</v>
      </c>
      <c r="B409" s="167">
        <f>YEAR(Table7[[#This Row],[Date]])+IF(MONTH(Table7[[#This Row],[Date]])&gt;=4,1,0)</f>
        <v>2026</v>
      </c>
      <c r="C409" s="167">
        <f>YEAR(Table7[[#This Row],[Date]])</f>
        <v>2025</v>
      </c>
      <c r="D409" s="168">
        <f t="shared" si="19"/>
        <v>45778</v>
      </c>
      <c r="E409" s="167">
        <v>34.61</v>
      </c>
      <c r="F409" s="167">
        <v>34.61</v>
      </c>
      <c r="G409" s="167">
        <v>34.61</v>
      </c>
      <c r="H409" s="167">
        <v>34.61</v>
      </c>
      <c r="I409" s="167">
        <v>34.61</v>
      </c>
      <c r="J409" s="167">
        <v>34.61</v>
      </c>
      <c r="K409" s="167">
        <v>34.61</v>
      </c>
      <c r="L409" s="167">
        <v>34.61</v>
      </c>
      <c r="M409" s="167">
        <v>34.61</v>
      </c>
      <c r="N409" s="167">
        <v>34.61</v>
      </c>
      <c r="O409" s="167">
        <v>34.61</v>
      </c>
      <c r="P409" s="167">
        <v>34.61</v>
      </c>
      <c r="Q409" s="167">
        <v>34.61</v>
      </c>
      <c r="R409" s="167">
        <v>34.61</v>
      </c>
      <c r="S409" s="167">
        <v>34.61</v>
      </c>
      <c r="T409" s="167">
        <v>34.61</v>
      </c>
      <c r="U409" s="167">
        <v>34.61</v>
      </c>
      <c r="V409" s="167">
        <v>34.61</v>
      </c>
      <c r="W409" s="167">
        <v>34.61</v>
      </c>
      <c r="X409" s="167">
        <v>34.61</v>
      </c>
      <c r="Y409" s="167">
        <v>34.61</v>
      </c>
      <c r="Z409" s="167">
        <v>34.61</v>
      </c>
      <c r="AA409" s="167">
        <v>34.61</v>
      </c>
      <c r="AB409" s="167">
        <v>34.61</v>
      </c>
      <c r="AC409" s="167">
        <v>34.61</v>
      </c>
      <c r="AD409" s="167">
        <v>34.61</v>
      </c>
      <c r="AE409" s="167">
        <f t="shared" si="20"/>
        <v>899.86000000000024</v>
      </c>
    </row>
    <row r="410" spans="1:31">
      <c r="A410" s="197">
        <f t="shared" si="21"/>
        <v>45790</v>
      </c>
      <c r="B410" s="167">
        <f>YEAR(Table7[[#This Row],[Date]])+IF(MONTH(Table7[[#This Row],[Date]])&gt;=4,1,0)</f>
        <v>2026</v>
      </c>
      <c r="C410" s="167">
        <f>YEAR(Table7[[#This Row],[Date]])</f>
        <v>2025</v>
      </c>
      <c r="D410" s="168">
        <f t="shared" si="19"/>
        <v>45778</v>
      </c>
      <c r="E410" s="167">
        <v>51.92</v>
      </c>
      <c r="F410" s="167">
        <v>51.92</v>
      </c>
      <c r="G410" s="167">
        <v>51.92</v>
      </c>
      <c r="H410" s="167">
        <v>51.92</v>
      </c>
      <c r="I410" s="167">
        <v>51.92</v>
      </c>
      <c r="J410" s="167">
        <v>51.92</v>
      </c>
      <c r="K410" s="167">
        <v>51.92</v>
      </c>
      <c r="L410" s="167">
        <v>51.92</v>
      </c>
      <c r="M410" s="167">
        <v>51.92</v>
      </c>
      <c r="N410" s="167">
        <v>51.92</v>
      </c>
      <c r="O410" s="167">
        <v>51.92</v>
      </c>
      <c r="P410" s="167">
        <v>51.92</v>
      </c>
      <c r="Q410" s="167">
        <v>51.92</v>
      </c>
      <c r="R410" s="167">
        <v>51.92</v>
      </c>
      <c r="S410" s="167">
        <v>51.92</v>
      </c>
      <c r="T410" s="167">
        <v>51.92</v>
      </c>
      <c r="U410" s="167">
        <v>51.92</v>
      </c>
      <c r="V410" s="167">
        <v>51.92</v>
      </c>
      <c r="W410" s="167">
        <v>51.92</v>
      </c>
      <c r="X410" s="167">
        <v>51.92</v>
      </c>
      <c r="Y410" s="167">
        <v>51.92</v>
      </c>
      <c r="Z410" s="167">
        <v>51.92</v>
      </c>
      <c r="AA410" s="167">
        <v>51.92</v>
      </c>
      <c r="AB410" s="167">
        <v>51.92</v>
      </c>
      <c r="AC410" s="167">
        <v>51.92</v>
      </c>
      <c r="AD410" s="167">
        <v>51.92</v>
      </c>
      <c r="AE410" s="167">
        <f t="shared" si="20"/>
        <v>1349.92</v>
      </c>
    </row>
    <row r="411" spans="1:31">
      <c r="A411" s="197">
        <f t="shared" si="21"/>
        <v>45791</v>
      </c>
      <c r="B411" s="167">
        <f>YEAR(Table7[[#This Row],[Date]])+IF(MONTH(Table7[[#This Row],[Date]])&gt;=4,1,0)</f>
        <v>2026</v>
      </c>
      <c r="C411" s="167">
        <f>YEAR(Table7[[#This Row],[Date]])</f>
        <v>2025</v>
      </c>
      <c r="D411" s="168">
        <f t="shared" si="19"/>
        <v>45778</v>
      </c>
      <c r="E411" s="167">
        <v>51.92</v>
      </c>
      <c r="F411" s="167">
        <v>51.92</v>
      </c>
      <c r="G411" s="167">
        <v>51.92</v>
      </c>
      <c r="H411" s="167">
        <v>51.92</v>
      </c>
      <c r="I411" s="167">
        <v>51.92</v>
      </c>
      <c r="J411" s="167">
        <v>51.92</v>
      </c>
      <c r="K411" s="167">
        <v>51.92</v>
      </c>
      <c r="L411" s="167">
        <v>51.92</v>
      </c>
      <c r="M411" s="167">
        <v>51.92</v>
      </c>
      <c r="N411" s="167">
        <v>51.92</v>
      </c>
      <c r="O411" s="167">
        <v>51.92</v>
      </c>
      <c r="P411" s="167">
        <v>51.92</v>
      </c>
      <c r="Q411" s="167">
        <v>51.92</v>
      </c>
      <c r="R411" s="167">
        <v>51.92</v>
      </c>
      <c r="S411" s="167">
        <v>51.92</v>
      </c>
      <c r="T411" s="167">
        <v>51.92</v>
      </c>
      <c r="U411" s="167">
        <v>51.92</v>
      </c>
      <c r="V411" s="167">
        <v>51.92</v>
      </c>
      <c r="W411" s="167">
        <v>51.92</v>
      </c>
      <c r="X411" s="167">
        <v>51.92</v>
      </c>
      <c r="Y411" s="167">
        <v>51.92</v>
      </c>
      <c r="Z411" s="167">
        <v>51.92</v>
      </c>
      <c r="AA411" s="167">
        <v>51.92</v>
      </c>
      <c r="AB411" s="167">
        <v>51.92</v>
      </c>
      <c r="AC411" s="167">
        <v>51.92</v>
      </c>
      <c r="AD411" s="167">
        <v>51.92</v>
      </c>
      <c r="AE411" s="167">
        <f t="shared" si="20"/>
        <v>1349.92</v>
      </c>
    </row>
    <row r="412" spans="1:31">
      <c r="A412" s="197">
        <f t="shared" si="21"/>
        <v>45792</v>
      </c>
      <c r="B412" s="167">
        <f>YEAR(Table7[[#This Row],[Date]])+IF(MONTH(Table7[[#This Row],[Date]])&gt;=4,1,0)</f>
        <v>2026</v>
      </c>
      <c r="C412" s="167">
        <f>YEAR(Table7[[#This Row],[Date]])</f>
        <v>2025</v>
      </c>
      <c r="D412" s="168">
        <f t="shared" si="19"/>
        <v>45778</v>
      </c>
      <c r="E412" s="167">
        <v>121.15</v>
      </c>
      <c r="F412" s="167">
        <v>121.15</v>
      </c>
      <c r="G412" s="167">
        <v>121.15</v>
      </c>
      <c r="H412" s="167">
        <v>121.15</v>
      </c>
      <c r="I412" s="167">
        <v>121.15</v>
      </c>
      <c r="J412" s="167">
        <v>121.15</v>
      </c>
      <c r="K412" s="167">
        <v>121.15</v>
      </c>
      <c r="L412" s="167">
        <v>121.15</v>
      </c>
      <c r="M412" s="167">
        <v>121.15</v>
      </c>
      <c r="N412" s="167">
        <v>121.15</v>
      </c>
      <c r="O412" s="167">
        <v>121.15</v>
      </c>
      <c r="P412" s="167">
        <v>121.15</v>
      </c>
      <c r="Q412" s="167">
        <v>121.15</v>
      </c>
      <c r="R412" s="167">
        <v>121.15</v>
      </c>
      <c r="S412" s="167">
        <v>121.15</v>
      </c>
      <c r="T412" s="167">
        <v>121.15</v>
      </c>
      <c r="U412" s="167">
        <v>121.15</v>
      </c>
      <c r="V412" s="167">
        <v>121.15</v>
      </c>
      <c r="W412" s="167">
        <v>121.15</v>
      </c>
      <c r="X412" s="167">
        <v>121.15</v>
      </c>
      <c r="Y412" s="167">
        <v>121.15</v>
      </c>
      <c r="Z412" s="167">
        <v>121.15</v>
      </c>
      <c r="AA412" s="167">
        <v>121.15</v>
      </c>
      <c r="AB412" s="167">
        <v>121.15</v>
      </c>
      <c r="AC412" s="167">
        <v>121.15</v>
      </c>
      <c r="AD412" s="167">
        <v>121.15</v>
      </c>
      <c r="AE412" s="167">
        <f t="shared" si="20"/>
        <v>3149.9000000000015</v>
      </c>
    </row>
    <row r="413" spans="1:31">
      <c r="A413" s="197">
        <f t="shared" si="21"/>
        <v>45793</v>
      </c>
      <c r="B413" s="167">
        <f>YEAR(Table7[[#This Row],[Date]])+IF(MONTH(Table7[[#This Row],[Date]])&gt;=4,1,0)</f>
        <v>2026</v>
      </c>
      <c r="C413" s="167">
        <f>YEAR(Table7[[#This Row],[Date]])</f>
        <v>2025</v>
      </c>
      <c r="D413" s="168">
        <f t="shared" si="19"/>
        <v>45778</v>
      </c>
      <c r="E413" s="167">
        <v>1194.23</v>
      </c>
      <c r="F413" s="167">
        <v>1194.23</v>
      </c>
      <c r="G413" s="167">
        <v>1194.23</v>
      </c>
      <c r="H413" s="167">
        <v>1194.23</v>
      </c>
      <c r="I413" s="167">
        <v>1194.23</v>
      </c>
      <c r="J413" s="167">
        <v>1194.23</v>
      </c>
      <c r="K413" s="167">
        <v>1194.23</v>
      </c>
      <c r="L413" s="167">
        <v>1194.23</v>
      </c>
      <c r="M413" s="167">
        <v>1194.23</v>
      </c>
      <c r="N413" s="167">
        <v>1194.23</v>
      </c>
      <c r="O413" s="167">
        <v>1194.23</v>
      </c>
      <c r="P413" s="167">
        <v>1194.23</v>
      </c>
      <c r="Q413" s="167">
        <v>1194.23</v>
      </c>
      <c r="R413" s="167">
        <v>1194.23</v>
      </c>
      <c r="S413" s="167">
        <v>1194.23</v>
      </c>
      <c r="T413" s="167">
        <v>1194.23</v>
      </c>
      <c r="U413" s="167">
        <v>1194.23</v>
      </c>
      <c r="V413" s="167">
        <v>1194.23</v>
      </c>
      <c r="W413" s="167">
        <v>1194.23</v>
      </c>
      <c r="X413" s="167">
        <v>1194.23</v>
      </c>
      <c r="Y413" s="167">
        <v>1194.23</v>
      </c>
      <c r="Z413" s="167">
        <v>1194.23</v>
      </c>
      <c r="AA413" s="167">
        <v>1194.23</v>
      </c>
      <c r="AB413" s="167">
        <v>1194.23</v>
      </c>
      <c r="AC413" s="167">
        <v>1194.23</v>
      </c>
      <c r="AD413" s="167">
        <v>1194.23</v>
      </c>
      <c r="AE413" s="167">
        <f t="shared" si="20"/>
        <v>31049.979999999992</v>
      </c>
    </row>
    <row r="414" spans="1:31">
      <c r="A414" s="197">
        <f t="shared" si="21"/>
        <v>45794</v>
      </c>
      <c r="B414" s="167">
        <f>YEAR(Table7[[#This Row],[Date]])+IF(MONTH(Table7[[#This Row],[Date]])&gt;=4,1,0)</f>
        <v>2026</v>
      </c>
      <c r="C414" s="167">
        <f>YEAR(Table7[[#This Row],[Date]])</f>
        <v>2025</v>
      </c>
      <c r="D414" s="168">
        <f t="shared" si="19"/>
        <v>45778</v>
      </c>
      <c r="E414" s="167">
        <v>796.15</v>
      </c>
      <c r="F414" s="167">
        <v>796.15</v>
      </c>
      <c r="G414" s="167">
        <v>796.15</v>
      </c>
      <c r="H414" s="167">
        <v>796.15</v>
      </c>
      <c r="I414" s="167">
        <v>796.15</v>
      </c>
      <c r="J414" s="167">
        <v>796.15</v>
      </c>
      <c r="K414" s="167">
        <v>796.15</v>
      </c>
      <c r="L414" s="167">
        <v>796.15</v>
      </c>
      <c r="M414" s="167">
        <v>796.15</v>
      </c>
      <c r="N414" s="167">
        <v>796.15</v>
      </c>
      <c r="O414" s="167">
        <v>796.15</v>
      </c>
      <c r="P414" s="167">
        <v>796.15</v>
      </c>
      <c r="Q414" s="167">
        <v>796.15</v>
      </c>
      <c r="R414" s="167">
        <v>796.15</v>
      </c>
      <c r="S414" s="167">
        <v>796.15</v>
      </c>
      <c r="T414" s="167">
        <v>796.15</v>
      </c>
      <c r="U414" s="167">
        <v>796.15</v>
      </c>
      <c r="V414" s="167">
        <v>796.15</v>
      </c>
      <c r="W414" s="167">
        <v>796.15</v>
      </c>
      <c r="X414" s="167">
        <v>796.15</v>
      </c>
      <c r="Y414" s="167">
        <v>796.15</v>
      </c>
      <c r="Z414" s="167">
        <v>796.15</v>
      </c>
      <c r="AA414" s="167">
        <v>796.15</v>
      </c>
      <c r="AB414" s="167">
        <v>796.15</v>
      </c>
      <c r="AC414" s="167">
        <v>796.15</v>
      </c>
      <c r="AD414" s="167">
        <v>796.15</v>
      </c>
      <c r="AE414" s="167">
        <f t="shared" si="20"/>
        <v>20699.900000000001</v>
      </c>
    </row>
    <row r="415" spans="1:31">
      <c r="A415" s="197">
        <f t="shared" si="21"/>
        <v>45795</v>
      </c>
      <c r="B415" s="167">
        <f>YEAR(Table7[[#This Row],[Date]])+IF(MONTH(Table7[[#This Row],[Date]])&gt;=4,1,0)</f>
        <v>2026</v>
      </c>
      <c r="C415" s="167">
        <f>YEAR(Table7[[#This Row],[Date]])</f>
        <v>2025</v>
      </c>
      <c r="D415" s="168">
        <f t="shared" si="19"/>
        <v>45778</v>
      </c>
      <c r="E415" s="167">
        <v>51.92</v>
      </c>
      <c r="F415" s="167">
        <v>51.92</v>
      </c>
      <c r="G415" s="167">
        <v>51.92</v>
      </c>
      <c r="H415" s="167">
        <v>51.92</v>
      </c>
      <c r="I415" s="167">
        <v>51.92</v>
      </c>
      <c r="J415" s="167">
        <v>51.92</v>
      </c>
      <c r="K415" s="167">
        <v>51.92</v>
      </c>
      <c r="L415" s="167">
        <v>51.92</v>
      </c>
      <c r="M415" s="167">
        <v>51.92</v>
      </c>
      <c r="N415" s="167">
        <v>51.92</v>
      </c>
      <c r="O415" s="167">
        <v>51.92</v>
      </c>
      <c r="P415" s="167">
        <v>51.92</v>
      </c>
      <c r="Q415" s="167">
        <v>51.92</v>
      </c>
      <c r="R415" s="167">
        <v>51.92</v>
      </c>
      <c r="S415" s="167">
        <v>51.92</v>
      </c>
      <c r="T415" s="167">
        <v>51.92</v>
      </c>
      <c r="U415" s="167">
        <v>51.92</v>
      </c>
      <c r="V415" s="167">
        <v>51.92</v>
      </c>
      <c r="W415" s="167">
        <v>51.92</v>
      </c>
      <c r="X415" s="167">
        <v>51.92</v>
      </c>
      <c r="Y415" s="167">
        <v>51.92</v>
      </c>
      <c r="Z415" s="167">
        <v>51.92</v>
      </c>
      <c r="AA415" s="167">
        <v>51.92</v>
      </c>
      <c r="AB415" s="167">
        <v>51.92</v>
      </c>
      <c r="AC415" s="167">
        <v>51.92</v>
      </c>
      <c r="AD415" s="167">
        <v>51.92</v>
      </c>
      <c r="AE415" s="167">
        <f t="shared" si="20"/>
        <v>1349.92</v>
      </c>
    </row>
    <row r="416" spans="1:31">
      <c r="A416" s="197">
        <f t="shared" si="21"/>
        <v>45796</v>
      </c>
      <c r="B416" s="167">
        <f>YEAR(Table7[[#This Row],[Date]])+IF(MONTH(Table7[[#This Row],[Date]])&gt;=4,1,0)</f>
        <v>2026</v>
      </c>
      <c r="C416" s="167">
        <f>YEAR(Table7[[#This Row],[Date]])</f>
        <v>2025</v>
      </c>
      <c r="D416" s="168">
        <f t="shared" si="19"/>
        <v>45778</v>
      </c>
      <c r="E416" s="167">
        <v>34.61</v>
      </c>
      <c r="F416" s="167">
        <v>34.61</v>
      </c>
      <c r="G416" s="167">
        <v>34.61</v>
      </c>
      <c r="H416" s="167">
        <v>34.61</v>
      </c>
      <c r="I416" s="167">
        <v>34.61</v>
      </c>
      <c r="J416" s="167">
        <v>34.61</v>
      </c>
      <c r="K416" s="167">
        <v>34.61</v>
      </c>
      <c r="L416" s="167">
        <v>34.61</v>
      </c>
      <c r="M416" s="167">
        <v>34.61</v>
      </c>
      <c r="N416" s="167">
        <v>34.61</v>
      </c>
      <c r="O416" s="167">
        <v>34.61</v>
      </c>
      <c r="P416" s="167">
        <v>34.61</v>
      </c>
      <c r="Q416" s="167">
        <v>34.61</v>
      </c>
      <c r="R416" s="167">
        <v>34.61</v>
      </c>
      <c r="S416" s="167">
        <v>34.61</v>
      </c>
      <c r="T416" s="167">
        <v>34.61</v>
      </c>
      <c r="U416" s="167">
        <v>34.61</v>
      </c>
      <c r="V416" s="167">
        <v>34.61</v>
      </c>
      <c r="W416" s="167">
        <v>34.61</v>
      </c>
      <c r="X416" s="167">
        <v>34.61</v>
      </c>
      <c r="Y416" s="167">
        <v>34.61</v>
      </c>
      <c r="Z416" s="167">
        <v>34.61</v>
      </c>
      <c r="AA416" s="167">
        <v>34.61</v>
      </c>
      <c r="AB416" s="167">
        <v>34.61</v>
      </c>
      <c r="AC416" s="167">
        <v>34.61</v>
      </c>
      <c r="AD416" s="167">
        <v>34.61</v>
      </c>
      <c r="AE416" s="167">
        <f t="shared" si="20"/>
        <v>899.86000000000024</v>
      </c>
    </row>
    <row r="417" spans="1:31">
      <c r="A417" s="197">
        <f t="shared" si="21"/>
        <v>45797</v>
      </c>
      <c r="B417" s="167">
        <f>YEAR(Table7[[#This Row],[Date]])+IF(MONTH(Table7[[#This Row],[Date]])&gt;=4,1,0)</f>
        <v>2026</v>
      </c>
      <c r="C417" s="167">
        <f>YEAR(Table7[[#This Row],[Date]])</f>
        <v>2025</v>
      </c>
      <c r="D417" s="168">
        <f t="shared" si="19"/>
        <v>45778</v>
      </c>
      <c r="E417" s="167">
        <v>34.61</v>
      </c>
      <c r="F417" s="167">
        <v>34.61</v>
      </c>
      <c r="G417" s="167">
        <v>34.61</v>
      </c>
      <c r="H417" s="167">
        <v>34.61</v>
      </c>
      <c r="I417" s="167">
        <v>34.61</v>
      </c>
      <c r="J417" s="167">
        <v>34.61</v>
      </c>
      <c r="K417" s="167">
        <v>34.61</v>
      </c>
      <c r="L417" s="167">
        <v>34.61</v>
      </c>
      <c r="M417" s="167">
        <v>34.61</v>
      </c>
      <c r="N417" s="167">
        <v>34.61</v>
      </c>
      <c r="O417" s="167">
        <v>34.61</v>
      </c>
      <c r="P417" s="167">
        <v>34.61</v>
      </c>
      <c r="Q417" s="167">
        <v>34.61</v>
      </c>
      <c r="R417" s="167">
        <v>34.61</v>
      </c>
      <c r="S417" s="167">
        <v>34.61</v>
      </c>
      <c r="T417" s="167">
        <v>34.61</v>
      </c>
      <c r="U417" s="167">
        <v>34.61</v>
      </c>
      <c r="V417" s="167">
        <v>34.61</v>
      </c>
      <c r="W417" s="167">
        <v>34.61</v>
      </c>
      <c r="X417" s="167">
        <v>34.61</v>
      </c>
      <c r="Y417" s="167">
        <v>34.61</v>
      </c>
      <c r="Z417" s="167">
        <v>34.61</v>
      </c>
      <c r="AA417" s="167">
        <v>34.61</v>
      </c>
      <c r="AB417" s="167">
        <v>34.61</v>
      </c>
      <c r="AC417" s="167">
        <v>34.61</v>
      </c>
      <c r="AD417" s="167">
        <v>34.61</v>
      </c>
      <c r="AE417" s="167">
        <f t="shared" si="20"/>
        <v>899.86000000000024</v>
      </c>
    </row>
    <row r="418" spans="1:31">
      <c r="A418" s="197">
        <f t="shared" si="21"/>
        <v>45798</v>
      </c>
      <c r="B418" s="167">
        <f>YEAR(Table7[[#This Row],[Date]])+IF(MONTH(Table7[[#This Row],[Date]])&gt;=4,1,0)</f>
        <v>2026</v>
      </c>
      <c r="C418" s="167">
        <f>YEAR(Table7[[#This Row],[Date]])</f>
        <v>2025</v>
      </c>
      <c r="D418" s="168">
        <f t="shared" si="19"/>
        <v>45778</v>
      </c>
      <c r="E418" s="167">
        <v>17.3</v>
      </c>
      <c r="F418" s="167">
        <v>17.3</v>
      </c>
      <c r="G418" s="167">
        <v>17.3</v>
      </c>
      <c r="H418" s="167">
        <v>17.3</v>
      </c>
      <c r="I418" s="167">
        <v>17.3</v>
      </c>
      <c r="J418" s="167">
        <v>17.3</v>
      </c>
      <c r="K418" s="167">
        <v>17.3</v>
      </c>
      <c r="L418" s="167">
        <v>17.3</v>
      </c>
      <c r="M418" s="167">
        <v>17.3</v>
      </c>
      <c r="N418" s="167">
        <v>17.3</v>
      </c>
      <c r="O418" s="167">
        <v>17.3</v>
      </c>
      <c r="P418" s="167">
        <v>17.3</v>
      </c>
      <c r="Q418" s="167">
        <v>17.3</v>
      </c>
      <c r="R418" s="167">
        <v>17.3</v>
      </c>
      <c r="S418" s="167">
        <v>17.3</v>
      </c>
      <c r="T418" s="167">
        <v>17.3</v>
      </c>
      <c r="U418" s="167">
        <v>17.3</v>
      </c>
      <c r="V418" s="167">
        <v>17.3</v>
      </c>
      <c r="W418" s="167">
        <v>17.3</v>
      </c>
      <c r="X418" s="167">
        <v>17.3</v>
      </c>
      <c r="Y418" s="167">
        <v>17.3</v>
      </c>
      <c r="Z418" s="167">
        <v>17.3</v>
      </c>
      <c r="AA418" s="167">
        <v>17.3</v>
      </c>
      <c r="AB418" s="167">
        <v>17.3</v>
      </c>
      <c r="AC418" s="167">
        <v>17.3</v>
      </c>
      <c r="AD418" s="167">
        <v>17.3</v>
      </c>
      <c r="AE418" s="167">
        <f t="shared" si="20"/>
        <v>449.80000000000018</v>
      </c>
    </row>
    <row r="419" spans="1:31">
      <c r="A419" s="197">
        <f t="shared" si="21"/>
        <v>45799</v>
      </c>
      <c r="B419" s="167">
        <f>YEAR(Table7[[#This Row],[Date]])+IF(MONTH(Table7[[#This Row],[Date]])&gt;=4,1,0)</f>
        <v>2026</v>
      </c>
      <c r="C419" s="167">
        <f>YEAR(Table7[[#This Row],[Date]])</f>
        <v>2025</v>
      </c>
      <c r="D419" s="168">
        <f t="shared" si="19"/>
        <v>45778</v>
      </c>
      <c r="E419" s="167">
        <v>34.61</v>
      </c>
      <c r="F419" s="167">
        <v>34.61</v>
      </c>
      <c r="G419" s="167">
        <v>34.61</v>
      </c>
      <c r="H419" s="167">
        <v>34.61</v>
      </c>
      <c r="I419" s="167">
        <v>34.61</v>
      </c>
      <c r="J419" s="167">
        <v>34.61</v>
      </c>
      <c r="K419" s="167">
        <v>34.61</v>
      </c>
      <c r="L419" s="167">
        <v>34.61</v>
      </c>
      <c r="M419" s="167">
        <v>34.61</v>
      </c>
      <c r="N419" s="167">
        <v>34.61</v>
      </c>
      <c r="O419" s="167">
        <v>34.61</v>
      </c>
      <c r="P419" s="167">
        <v>34.61</v>
      </c>
      <c r="Q419" s="167">
        <v>34.61</v>
      </c>
      <c r="R419" s="167">
        <v>34.61</v>
      </c>
      <c r="S419" s="167">
        <v>34.61</v>
      </c>
      <c r="T419" s="167">
        <v>34.61</v>
      </c>
      <c r="U419" s="167">
        <v>34.61</v>
      </c>
      <c r="V419" s="167">
        <v>34.61</v>
      </c>
      <c r="W419" s="167">
        <v>34.61</v>
      </c>
      <c r="X419" s="167">
        <v>34.61</v>
      </c>
      <c r="Y419" s="167">
        <v>34.61</v>
      </c>
      <c r="Z419" s="167">
        <v>34.61</v>
      </c>
      <c r="AA419" s="167">
        <v>34.61</v>
      </c>
      <c r="AB419" s="167">
        <v>34.61</v>
      </c>
      <c r="AC419" s="167">
        <v>34.61</v>
      </c>
      <c r="AD419" s="167">
        <v>34.61</v>
      </c>
      <c r="AE419" s="167">
        <f t="shared" si="20"/>
        <v>899.86000000000024</v>
      </c>
    </row>
    <row r="420" spans="1:31">
      <c r="A420" s="197">
        <f t="shared" si="21"/>
        <v>45800</v>
      </c>
      <c r="B420" s="167">
        <f>YEAR(Table7[[#This Row],[Date]])+IF(MONTH(Table7[[#This Row],[Date]])&gt;=4,1,0)</f>
        <v>2026</v>
      </c>
      <c r="C420" s="167">
        <f>YEAR(Table7[[#This Row],[Date]])</f>
        <v>2025</v>
      </c>
      <c r="D420" s="168">
        <f t="shared" si="19"/>
        <v>45778</v>
      </c>
      <c r="E420" s="167">
        <v>34.61</v>
      </c>
      <c r="F420" s="167">
        <v>34.61</v>
      </c>
      <c r="G420" s="167">
        <v>34.61</v>
      </c>
      <c r="H420" s="167">
        <v>34.61</v>
      </c>
      <c r="I420" s="167">
        <v>34.61</v>
      </c>
      <c r="J420" s="167">
        <v>34.61</v>
      </c>
      <c r="K420" s="167">
        <v>34.61</v>
      </c>
      <c r="L420" s="167">
        <v>34.61</v>
      </c>
      <c r="M420" s="167">
        <v>34.61</v>
      </c>
      <c r="N420" s="167">
        <v>34.61</v>
      </c>
      <c r="O420" s="167">
        <v>34.61</v>
      </c>
      <c r="P420" s="167">
        <v>34.61</v>
      </c>
      <c r="Q420" s="167">
        <v>34.61</v>
      </c>
      <c r="R420" s="167">
        <v>34.61</v>
      </c>
      <c r="S420" s="167">
        <v>34.61</v>
      </c>
      <c r="T420" s="167">
        <v>34.61</v>
      </c>
      <c r="U420" s="167">
        <v>34.61</v>
      </c>
      <c r="V420" s="167">
        <v>34.61</v>
      </c>
      <c r="W420" s="167">
        <v>34.61</v>
      </c>
      <c r="X420" s="167">
        <v>34.61</v>
      </c>
      <c r="Y420" s="167">
        <v>34.61</v>
      </c>
      <c r="Z420" s="167">
        <v>34.61</v>
      </c>
      <c r="AA420" s="167">
        <v>34.61</v>
      </c>
      <c r="AB420" s="167">
        <v>34.61</v>
      </c>
      <c r="AC420" s="167">
        <v>34.61</v>
      </c>
      <c r="AD420" s="167">
        <v>34.61</v>
      </c>
      <c r="AE420" s="167">
        <f t="shared" si="20"/>
        <v>899.86000000000024</v>
      </c>
    </row>
    <row r="421" spans="1:31">
      <c r="A421" s="197">
        <f t="shared" si="21"/>
        <v>45801</v>
      </c>
      <c r="B421" s="167">
        <f>YEAR(Table7[[#This Row],[Date]])+IF(MONTH(Table7[[#This Row],[Date]])&gt;=4,1,0)</f>
        <v>2026</v>
      </c>
      <c r="C421" s="167">
        <f>YEAR(Table7[[#This Row],[Date]])</f>
        <v>2025</v>
      </c>
      <c r="D421" s="168">
        <f t="shared" si="19"/>
        <v>45778</v>
      </c>
      <c r="E421" s="167">
        <v>69.23</v>
      </c>
      <c r="F421" s="167">
        <v>69.23</v>
      </c>
      <c r="G421" s="167">
        <v>69.23</v>
      </c>
      <c r="H421" s="167">
        <v>69.23</v>
      </c>
      <c r="I421" s="167">
        <v>69.23</v>
      </c>
      <c r="J421" s="167">
        <v>69.23</v>
      </c>
      <c r="K421" s="167">
        <v>69.23</v>
      </c>
      <c r="L421" s="167">
        <v>69.23</v>
      </c>
      <c r="M421" s="167">
        <v>69.23</v>
      </c>
      <c r="N421" s="167">
        <v>69.23</v>
      </c>
      <c r="O421" s="167">
        <v>69.23</v>
      </c>
      <c r="P421" s="167">
        <v>69.23</v>
      </c>
      <c r="Q421" s="167">
        <v>69.23</v>
      </c>
      <c r="R421" s="167">
        <v>69.23</v>
      </c>
      <c r="S421" s="167">
        <v>69.23</v>
      </c>
      <c r="T421" s="167">
        <v>69.23</v>
      </c>
      <c r="U421" s="167">
        <v>69.23</v>
      </c>
      <c r="V421" s="167">
        <v>69.23</v>
      </c>
      <c r="W421" s="167">
        <v>69.23</v>
      </c>
      <c r="X421" s="167">
        <v>69.23</v>
      </c>
      <c r="Y421" s="167">
        <v>69.23</v>
      </c>
      <c r="Z421" s="167">
        <v>69.23</v>
      </c>
      <c r="AA421" s="167">
        <v>69.23</v>
      </c>
      <c r="AB421" s="167">
        <v>69.23</v>
      </c>
      <c r="AC421" s="167">
        <v>69.23</v>
      </c>
      <c r="AD421" s="167">
        <v>69.23</v>
      </c>
      <c r="AE421" s="167">
        <f t="shared" si="20"/>
        <v>1799.9800000000002</v>
      </c>
    </row>
    <row r="422" spans="1:31">
      <c r="A422" s="197">
        <f t="shared" si="21"/>
        <v>45802</v>
      </c>
      <c r="B422" s="167">
        <f>YEAR(Table7[[#This Row],[Date]])+IF(MONTH(Table7[[#This Row],[Date]])&gt;=4,1,0)</f>
        <v>2026</v>
      </c>
      <c r="C422" s="167">
        <f>YEAR(Table7[[#This Row],[Date]])</f>
        <v>2025</v>
      </c>
      <c r="D422" s="168">
        <f t="shared" si="19"/>
        <v>45778</v>
      </c>
      <c r="E422" s="167">
        <v>588.46</v>
      </c>
      <c r="F422" s="167">
        <v>588.46</v>
      </c>
      <c r="G422" s="167">
        <v>588.46</v>
      </c>
      <c r="H422" s="167">
        <v>588.46</v>
      </c>
      <c r="I422" s="167">
        <v>588.46</v>
      </c>
      <c r="J422" s="167">
        <v>588.46</v>
      </c>
      <c r="K422" s="167">
        <v>588.46</v>
      </c>
      <c r="L422" s="167">
        <v>588.46</v>
      </c>
      <c r="M422" s="167">
        <v>588.46</v>
      </c>
      <c r="N422" s="167">
        <v>588.46</v>
      </c>
      <c r="O422" s="167">
        <v>588.46</v>
      </c>
      <c r="P422" s="167">
        <v>588.46</v>
      </c>
      <c r="Q422" s="167">
        <v>588.46</v>
      </c>
      <c r="R422" s="167">
        <v>588.46</v>
      </c>
      <c r="S422" s="167">
        <v>588.46</v>
      </c>
      <c r="T422" s="167">
        <v>588.46</v>
      </c>
      <c r="U422" s="167">
        <v>588.46</v>
      </c>
      <c r="V422" s="167">
        <v>588.46</v>
      </c>
      <c r="W422" s="167">
        <v>588.46</v>
      </c>
      <c r="X422" s="167">
        <v>588.46</v>
      </c>
      <c r="Y422" s="167">
        <v>588.46</v>
      </c>
      <c r="Z422" s="167">
        <v>588.46</v>
      </c>
      <c r="AA422" s="167">
        <v>588.46</v>
      </c>
      <c r="AB422" s="167">
        <v>588.46</v>
      </c>
      <c r="AC422" s="167">
        <v>588.46</v>
      </c>
      <c r="AD422" s="167">
        <v>588.46</v>
      </c>
      <c r="AE422" s="167">
        <f t="shared" si="20"/>
        <v>15299.959999999992</v>
      </c>
    </row>
    <row r="423" spans="1:31">
      <c r="A423" s="197">
        <f t="shared" si="21"/>
        <v>45803</v>
      </c>
      <c r="B423" s="167">
        <f>YEAR(Table7[[#This Row],[Date]])+IF(MONTH(Table7[[#This Row],[Date]])&gt;=4,1,0)</f>
        <v>2026</v>
      </c>
      <c r="C423" s="167">
        <f>YEAR(Table7[[#This Row],[Date]])</f>
        <v>2025</v>
      </c>
      <c r="D423" s="168">
        <f t="shared" si="19"/>
        <v>45778</v>
      </c>
      <c r="E423" s="167">
        <v>138.46</v>
      </c>
      <c r="F423" s="167">
        <v>138.46</v>
      </c>
      <c r="G423" s="167">
        <v>138.46</v>
      </c>
      <c r="H423" s="167">
        <v>138.46</v>
      </c>
      <c r="I423" s="167">
        <v>138.46</v>
      </c>
      <c r="J423" s="167">
        <v>138.46</v>
      </c>
      <c r="K423" s="167">
        <v>138.46</v>
      </c>
      <c r="L423" s="167">
        <v>138.46</v>
      </c>
      <c r="M423" s="167">
        <v>138.46</v>
      </c>
      <c r="N423" s="167">
        <v>138.46</v>
      </c>
      <c r="O423" s="167">
        <v>138.46</v>
      </c>
      <c r="P423" s="167">
        <v>138.46</v>
      </c>
      <c r="Q423" s="167">
        <v>138.46</v>
      </c>
      <c r="R423" s="167">
        <v>138.46</v>
      </c>
      <c r="S423" s="167">
        <v>138.46</v>
      </c>
      <c r="T423" s="167">
        <v>138.46</v>
      </c>
      <c r="U423" s="167">
        <v>138.46</v>
      </c>
      <c r="V423" s="167">
        <v>138.46</v>
      </c>
      <c r="W423" s="167">
        <v>138.46</v>
      </c>
      <c r="X423" s="167">
        <v>138.46</v>
      </c>
      <c r="Y423" s="167">
        <v>138.46</v>
      </c>
      <c r="Z423" s="167">
        <v>138.46</v>
      </c>
      <c r="AA423" s="167">
        <v>138.46</v>
      </c>
      <c r="AB423" s="167">
        <v>138.46</v>
      </c>
      <c r="AC423" s="167">
        <v>138.46</v>
      </c>
      <c r="AD423" s="167">
        <v>138.46</v>
      </c>
      <c r="AE423" s="167">
        <f t="shared" si="20"/>
        <v>3599.9600000000005</v>
      </c>
    </row>
    <row r="424" spans="1:31">
      <c r="A424" s="197">
        <f t="shared" si="21"/>
        <v>45804</v>
      </c>
      <c r="B424" s="167">
        <f>YEAR(Table7[[#This Row],[Date]])+IF(MONTH(Table7[[#This Row],[Date]])&gt;=4,1,0)</f>
        <v>2026</v>
      </c>
      <c r="C424" s="167">
        <f>YEAR(Table7[[#This Row],[Date]])</f>
        <v>2025</v>
      </c>
      <c r="D424" s="168">
        <f t="shared" si="19"/>
        <v>45778</v>
      </c>
      <c r="E424" s="167">
        <v>415.38</v>
      </c>
      <c r="F424" s="167">
        <v>415.38</v>
      </c>
      <c r="G424" s="167">
        <v>415.38</v>
      </c>
      <c r="H424" s="167">
        <v>415.38</v>
      </c>
      <c r="I424" s="167">
        <v>415.38</v>
      </c>
      <c r="J424" s="167">
        <v>415.38</v>
      </c>
      <c r="K424" s="167">
        <v>415.38</v>
      </c>
      <c r="L424" s="167">
        <v>415.38</v>
      </c>
      <c r="M424" s="167">
        <v>415.38</v>
      </c>
      <c r="N424" s="167">
        <v>415.38</v>
      </c>
      <c r="O424" s="167">
        <v>415.38</v>
      </c>
      <c r="P424" s="167">
        <v>415.38</v>
      </c>
      <c r="Q424" s="167">
        <v>415.38</v>
      </c>
      <c r="R424" s="167">
        <v>415.38</v>
      </c>
      <c r="S424" s="167">
        <v>415.38</v>
      </c>
      <c r="T424" s="167">
        <v>415.38</v>
      </c>
      <c r="U424" s="167">
        <v>415.38</v>
      </c>
      <c r="V424" s="167">
        <v>415.38</v>
      </c>
      <c r="W424" s="167">
        <v>415.38</v>
      </c>
      <c r="X424" s="167">
        <v>415.38</v>
      </c>
      <c r="Y424" s="167">
        <v>415.38</v>
      </c>
      <c r="Z424" s="167">
        <v>415.38</v>
      </c>
      <c r="AA424" s="167">
        <v>415.38</v>
      </c>
      <c r="AB424" s="167">
        <v>415.38</v>
      </c>
      <c r="AC424" s="167">
        <v>415.38</v>
      </c>
      <c r="AD424" s="167">
        <v>415.38</v>
      </c>
      <c r="AE424" s="167">
        <f t="shared" si="20"/>
        <v>10799.879999999996</v>
      </c>
    </row>
    <row r="425" spans="1:31">
      <c r="A425" s="197">
        <f t="shared" si="21"/>
        <v>45805</v>
      </c>
      <c r="B425" s="167">
        <f>YEAR(Table7[[#This Row],[Date]])+IF(MONTH(Table7[[#This Row],[Date]])&gt;=4,1,0)</f>
        <v>2026</v>
      </c>
      <c r="C425" s="167">
        <f>YEAR(Table7[[#This Row],[Date]])</f>
        <v>2025</v>
      </c>
      <c r="D425" s="168">
        <f t="shared" si="19"/>
        <v>45778</v>
      </c>
      <c r="E425" s="167">
        <v>138.46</v>
      </c>
      <c r="F425" s="167">
        <v>138.46</v>
      </c>
      <c r="G425" s="167">
        <v>138.46</v>
      </c>
      <c r="H425" s="167">
        <v>138.46</v>
      </c>
      <c r="I425" s="167">
        <v>138.46</v>
      </c>
      <c r="J425" s="167">
        <v>138.46</v>
      </c>
      <c r="K425" s="167">
        <v>138.46</v>
      </c>
      <c r="L425" s="167">
        <v>138.46</v>
      </c>
      <c r="M425" s="167">
        <v>138.46</v>
      </c>
      <c r="N425" s="167">
        <v>138.46</v>
      </c>
      <c r="O425" s="167">
        <v>138.46</v>
      </c>
      <c r="P425" s="167">
        <v>138.46</v>
      </c>
      <c r="Q425" s="167">
        <v>138.46</v>
      </c>
      <c r="R425" s="167">
        <v>138.46</v>
      </c>
      <c r="S425" s="167">
        <v>138.46</v>
      </c>
      <c r="T425" s="167">
        <v>138.46</v>
      </c>
      <c r="U425" s="167">
        <v>138.46</v>
      </c>
      <c r="V425" s="167">
        <v>138.46</v>
      </c>
      <c r="W425" s="167">
        <v>138.46</v>
      </c>
      <c r="X425" s="167">
        <v>138.46</v>
      </c>
      <c r="Y425" s="167">
        <v>138.46</v>
      </c>
      <c r="Z425" s="167">
        <v>138.46</v>
      </c>
      <c r="AA425" s="167">
        <v>138.46</v>
      </c>
      <c r="AB425" s="167">
        <v>138.46</v>
      </c>
      <c r="AC425" s="167">
        <v>138.46</v>
      </c>
      <c r="AD425" s="167">
        <v>138.46</v>
      </c>
      <c r="AE425" s="167">
        <f t="shared" si="20"/>
        <v>3599.9600000000005</v>
      </c>
    </row>
    <row r="426" spans="1:31">
      <c r="A426" s="197">
        <f t="shared" si="21"/>
        <v>45806</v>
      </c>
      <c r="B426" s="167">
        <f>YEAR(Table7[[#This Row],[Date]])+IF(MONTH(Table7[[#This Row],[Date]])&gt;=4,1,0)</f>
        <v>2026</v>
      </c>
      <c r="C426" s="167">
        <f>YEAR(Table7[[#This Row],[Date]])</f>
        <v>2025</v>
      </c>
      <c r="D426" s="168">
        <f t="shared" si="19"/>
        <v>45778</v>
      </c>
      <c r="E426" s="167">
        <v>276.92</v>
      </c>
      <c r="F426" s="167">
        <v>276.92</v>
      </c>
      <c r="G426" s="167">
        <v>276.92</v>
      </c>
      <c r="H426" s="167">
        <v>276.92</v>
      </c>
      <c r="I426" s="167">
        <v>276.92</v>
      </c>
      <c r="J426" s="167">
        <v>276.92</v>
      </c>
      <c r="K426" s="167">
        <v>276.92</v>
      </c>
      <c r="L426" s="167">
        <v>276.92</v>
      </c>
      <c r="M426" s="167">
        <v>276.92</v>
      </c>
      <c r="N426" s="167">
        <v>276.92</v>
      </c>
      <c r="O426" s="167">
        <v>276.92</v>
      </c>
      <c r="P426" s="167">
        <v>276.92</v>
      </c>
      <c r="Q426" s="167">
        <v>276.92</v>
      </c>
      <c r="R426" s="167">
        <v>276.92</v>
      </c>
      <c r="S426" s="167">
        <v>276.92</v>
      </c>
      <c r="T426" s="167">
        <v>276.92</v>
      </c>
      <c r="U426" s="167">
        <v>276.92</v>
      </c>
      <c r="V426" s="167">
        <v>276.92</v>
      </c>
      <c r="W426" s="167">
        <v>276.92</v>
      </c>
      <c r="X426" s="167">
        <v>276.92</v>
      </c>
      <c r="Y426" s="167">
        <v>276.92</v>
      </c>
      <c r="Z426" s="167">
        <v>276.92</v>
      </c>
      <c r="AA426" s="167">
        <v>276.92</v>
      </c>
      <c r="AB426" s="167">
        <v>276.92</v>
      </c>
      <c r="AC426" s="167">
        <v>276.92</v>
      </c>
      <c r="AD426" s="167">
        <v>276.92</v>
      </c>
      <c r="AE426" s="167">
        <f t="shared" si="20"/>
        <v>7199.920000000001</v>
      </c>
    </row>
    <row r="427" spans="1:31">
      <c r="A427" s="197">
        <f t="shared" si="21"/>
        <v>45807</v>
      </c>
      <c r="B427" s="167">
        <f>YEAR(Table7[[#This Row],[Date]])+IF(MONTH(Table7[[#This Row],[Date]])&gt;=4,1,0)</f>
        <v>2026</v>
      </c>
      <c r="C427" s="167">
        <f>YEAR(Table7[[#This Row],[Date]])</f>
        <v>2025</v>
      </c>
      <c r="D427" s="168">
        <f t="shared" si="19"/>
        <v>45778</v>
      </c>
      <c r="E427" s="167">
        <v>1298.07</v>
      </c>
      <c r="F427" s="167">
        <v>1298.07</v>
      </c>
      <c r="G427" s="167">
        <v>1298.07</v>
      </c>
      <c r="H427" s="167">
        <v>1298.07</v>
      </c>
      <c r="I427" s="167">
        <v>1298.07</v>
      </c>
      <c r="J427" s="167">
        <v>1298.07</v>
      </c>
      <c r="K427" s="167">
        <v>1298.07</v>
      </c>
      <c r="L427" s="167">
        <v>1298.07</v>
      </c>
      <c r="M427" s="167">
        <v>1298.07</v>
      </c>
      <c r="N427" s="167">
        <v>1298.07</v>
      </c>
      <c r="O427" s="167">
        <v>1298.07</v>
      </c>
      <c r="P427" s="167">
        <v>1298.07</v>
      </c>
      <c r="Q427" s="167">
        <v>1298.07</v>
      </c>
      <c r="R427" s="167">
        <v>1298.07</v>
      </c>
      <c r="S427" s="167">
        <v>1298.07</v>
      </c>
      <c r="T427" s="167">
        <v>1298.07</v>
      </c>
      <c r="U427" s="167">
        <v>1298.07</v>
      </c>
      <c r="V427" s="167">
        <v>1298.07</v>
      </c>
      <c r="W427" s="167">
        <v>1298.07</v>
      </c>
      <c r="X427" s="167">
        <v>1298.07</v>
      </c>
      <c r="Y427" s="167">
        <v>1298.07</v>
      </c>
      <c r="Z427" s="167">
        <v>1298.07</v>
      </c>
      <c r="AA427" s="167">
        <v>1298.07</v>
      </c>
      <c r="AB427" s="167">
        <v>1298.07</v>
      </c>
      <c r="AC427" s="167">
        <v>1298.07</v>
      </c>
      <c r="AD427" s="167">
        <v>1298.07</v>
      </c>
      <c r="AE427" s="167">
        <f t="shared" si="20"/>
        <v>33749.82</v>
      </c>
    </row>
    <row r="428" spans="1:31">
      <c r="A428" s="197">
        <f t="shared" si="21"/>
        <v>45808</v>
      </c>
      <c r="B428" s="167">
        <f>YEAR(Table7[[#This Row],[Date]])+IF(MONTH(Table7[[#This Row],[Date]])&gt;=4,1,0)</f>
        <v>2026</v>
      </c>
      <c r="C428" s="167">
        <f>YEAR(Table7[[#This Row],[Date]])</f>
        <v>2025</v>
      </c>
      <c r="D428" s="168">
        <f t="shared" si="19"/>
        <v>45778</v>
      </c>
      <c r="E428" s="167">
        <v>1298.07</v>
      </c>
      <c r="F428" s="167">
        <v>1298.07</v>
      </c>
      <c r="G428" s="167">
        <v>1298.07</v>
      </c>
      <c r="H428" s="167">
        <v>1298.07</v>
      </c>
      <c r="I428" s="167">
        <v>1298.07</v>
      </c>
      <c r="J428" s="167">
        <v>1298.07</v>
      </c>
      <c r="K428" s="167">
        <v>1298.07</v>
      </c>
      <c r="L428" s="167">
        <v>1298.07</v>
      </c>
      <c r="M428" s="167">
        <v>1298.07</v>
      </c>
      <c r="N428" s="167">
        <v>1298.07</v>
      </c>
      <c r="O428" s="167">
        <v>1298.07</v>
      </c>
      <c r="P428" s="167">
        <v>1298.07</v>
      </c>
      <c r="Q428" s="167">
        <v>1298.07</v>
      </c>
      <c r="R428" s="167">
        <v>1298.07</v>
      </c>
      <c r="S428" s="167">
        <v>1298.07</v>
      </c>
      <c r="T428" s="167">
        <v>1298.07</v>
      </c>
      <c r="U428" s="167">
        <v>1298.07</v>
      </c>
      <c r="V428" s="167">
        <v>1298.07</v>
      </c>
      <c r="W428" s="167">
        <v>1298.07</v>
      </c>
      <c r="X428" s="167">
        <v>1298.07</v>
      </c>
      <c r="Y428" s="167">
        <v>1298.07</v>
      </c>
      <c r="Z428" s="167">
        <v>1298.07</v>
      </c>
      <c r="AA428" s="167">
        <v>1298.07</v>
      </c>
      <c r="AB428" s="167">
        <v>1298.07</v>
      </c>
      <c r="AC428" s="167">
        <v>1298.07</v>
      </c>
      <c r="AD428" s="167">
        <v>1298.07</v>
      </c>
      <c r="AE428" s="167">
        <f t="shared" si="20"/>
        <v>33749.82</v>
      </c>
    </row>
    <row r="429" spans="1:31">
      <c r="A429" s="197">
        <f t="shared" si="21"/>
        <v>45809</v>
      </c>
      <c r="B429" s="167">
        <f>YEAR(Table7[[#This Row],[Date]])+IF(MONTH(Table7[[#This Row],[Date]])&gt;=4,1,0)</f>
        <v>2026</v>
      </c>
      <c r="C429" s="167">
        <f>YEAR(Table7[[#This Row],[Date]])</f>
        <v>2025</v>
      </c>
      <c r="D429" s="168">
        <f t="shared" si="19"/>
        <v>45809</v>
      </c>
      <c r="E429" s="167">
        <v>1038.46</v>
      </c>
      <c r="F429" s="167">
        <v>1038.46</v>
      </c>
      <c r="G429" s="167">
        <v>1038.46</v>
      </c>
      <c r="H429" s="167">
        <v>1038.46</v>
      </c>
      <c r="I429" s="167">
        <v>1038.46</v>
      </c>
      <c r="J429" s="167">
        <v>1038.46</v>
      </c>
      <c r="K429" s="167">
        <v>1038.46</v>
      </c>
      <c r="L429" s="167">
        <v>1038.46</v>
      </c>
      <c r="M429" s="167">
        <v>1038.46</v>
      </c>
      <c r="N429" s="167">
        <v>1038.46</v>
      </c>
      <c r="O429" s="167">
        <v>1038.46</v>
      </c>
      <c r="P429" s="167">
        <v>1038.46</v>
      </c>
      <c r="Q429" s="167">
        <v>1038.46</v>
      </c>
      <c r="R429" s="167">
        <v>1038.46</v>
      </c>
      <c r="S429" s="167">
        <v>1038.46</v>
      </c>
      <c r="T429" s="167">
        <v>1038.46</v>
      </c>
      <c r="U429" s="167">
        <v>1038.46</v>
      </c>
      <c r="V429" s="167">
        <v>1038.46</v>
      </c>
      <c r="W429" s="167">
        <v>1038.46</v>
      </c>
      <c r="X429" s="167">
        <v>1038.46</v>
      </c>
      <c r="Y429" s="167">
        <v>1038.46</v>
      </c>
      <c r="Z429" s="167">
        <v>1038.46</v>
      </c>
      <c r="AA429" s="167">
        <v>1038.46</v>
      </c>
      <c r="AB429" s="167">
        <v>1038.46</v>
      </c>
      <c r="AC429" s="167">
        <v>1038.46</v>
      </c>
      <c r="AD429" s="167">
        <v>1038.46</v>
      </c>
      <c r="AE429" s="167">
        <f t="shared" si="20"/>
        <v>26999.959999999985</v>
      </c>
    </row>
    <row r="430" spans="1:31">
      <c r="A430" s="197">
        <f t="shared" si="21"/>
        <v>45810</v>
      </c>
      <c r="B430" s="167">
        <f>YEAR(Table7[[#This Row],[Date]])+IF(MONTH(Table7[[#This Row],[Date]])&gt;=4,1,0)</f>
        <v>2026</v>
      </c>
      <c r="C430" s="167">
        <f>YEAR(Table7[[#This Row],[Date]])</f>
        <v>2025</v>
      </c>
      <c r="D430" s="168">
        <f t="shared" si="19"/>
        <v>45809</v>
      </c>
      <c r="E430" s="167">
        <v>1038.46</v>
      </c>
      <c r="F430" s="167">
        <v>1038.46</v>
      </c>
      <c r="G430" s="167">
        <v>1038.46</v>
      </c>
      <c r="H430" s="167">
        <v>1038.46</v>
      </c>
      <c r="I430" s="167">
        <v>1038.46</v>
      </c>
      <c r="J430" s="167">
        <v>1038.46</v>
      </c>
      <c r="K430" s="167">
        <v>1038.46</v>
      </c>
      <c r="L430" s="167">
        <v>1038.46</v>
      </c>
      <c r="M430" s="167">
        <v>1038.46</v>
      </c>
      <c r="N430" s="167">
        <v>1038.46</v>
      </c>
      <c r="O430" s="167">
        <v>1038.46</v>
      </c>
      <c r="P430" s="167">
        <v>1038.46</v>
      </c>
      <c r="Q430" s="167">
        <v>1038.46</v>
      </c>
      <c r="R430" s="167">
        <v>1038.46</v>
      </c>
      <c r="S430" s="167">
        <v>1038.46</v>
      </c>
      <c r="T430" s="167">
        <v>1038.46</v>
      </c>
      <c r="U430" s="167">
        <v>1038.46</v>
      </c>
      <c r="V430" s="167">
        <v>1038.46</v>
      </c>
      <c r="W430" s="167">
        <v>1038.46</v>
      </c>
      <c r="X430" s="167">
        <v>1038.46</v>
      </c>
      <c r="Y430" s="167">
        <v>1038.46</v>
      </c>
      <c r="Z430" s="167">
        <v>1038.46</v>
      </c>
      <c r="AA430" s="167">
        <v>1038.46</v>
      </c>
      <c r="AB430" s="167">
        <v>1038.46</v>
      </c>
      <c r="AC430" s="167">
        <v>1038.46</v>
      </c>
      <c r="AD430" s="167">
        <v>1038.46</v>
      </c>
      <c r="AE430" s="167">
        <f t="shared" si="20"/>
        <v>26999.959999999985</v>
      </c>
    </row>
    <row r="431" spans="1:31">
      <c r="A431" s="197">
        <f t="shared" si="21"/>
        <v>45811</v>
      </c>
      <c r="B431" s="167">
        <f>YEAR(Table7[[#This Row],[Date]])+IF(MONTH(Table7[[#This Row],[Date]])&gt;=4,1,0)</f>
        <v>2026</v>
      </c>
      <c r="C431" s="167">
        <f>YEAR(Table7[[#This Row],[Date]])</f>
        <v>2025</v>
      </c>
      <c r="D431" s="168">
        <f t="shared" si="19"/>
        <v>45809</v>
      </c>
      <c r="E431" s="167">
        <v>155.76</v>
      </c>
      <c r="F431" s="167">
        <v>155.76</v>
      </c>
      <c r="G431" s="167">
        <v>155.76</v>
      </c>
      <c r="H431" s="167">
        <v>155.76</v>
      </c>
      <c r="I431" s="167">
        <v>155.76</v>
      </c>
      <c r="J431" s="167">
        <v>155.76</v>
      </c>
      <c r="K431" s="167">
        <v>155.76</v>
      </c>
      <c r="L431" s="167">
        <v>155.76</v>
      </c>
      <c r="M431" s="167">
        <v>155.76</v>
      </c>
      <c r="N431" s="167">
        <v>155.76</v>
      </c>
      <c r="O431" s="167">
        <v>155.76</v>
      </c>
      <c r="P431" s="167">
        <v>155.76</v>
      </c>
      <c r="Q431" s="167">
        <v>155.76</v>
      </c>
      <c r="R431" s="167">
        <v>155.76</v>
      </c>
      <c r="S431" s="167">
        <v>155.76</v>
      </c>
      <c r="T431" s="167">
        <v>155.76</v>
      </c>
      <c r="U431" s="167">
        <v>155.76</v>
      </c>
      <c r="V431" s="167">
        <v>155.76</v>
      </c>
      <c r="W431" s="167">
        <v>155.76</v>
      </c>
      <c r="X431" s="167">
        <v>155.76</v>
      </c>
      <c r="Y431" s="167">
        <v>155.76</v>
      </c>
      <c r="Z431" s="167">
        <v>155.76</v>
      </c>
      <c r="AA431" s="167">
        <v>155.76</v>
      </c>
      <c r="AB431" s="167">
        <v>155.76</v>
      </c>
      <c r="AC431" s="167">
        <v>155.76</v>
      </c>
      <c r="AD431" s="167">
        <v>155.76</v>
      </c>
      <c r="AE431" s="167">
        <f t="shared" si="20"/>
        <v>4049.760000000002</v>
      </c>
    </row>
    <row r="432" spans="1:31">
      <c r="A432" s="197">
        <f t="shared" si="21"/>
        <v>45812</v>
      </c>
      <c r="B432" s="167">
        <f>YEAR(Table7[[#This Row],[Date]])+IF(MONTH(Table7[[#This Row],[Date]])&gt;=4,1,0)</f>
        <v>2026</v>
      </c>
      <c r="C432" s="167">
        <f>YEAR(Table7[[#This Row],[Date]])</f>
        <v>2025</v>
      </c>
      <c r="D432" s="168">
        <f t="shared" si="19"/>
        <v>45809</v>
      </c>
      <c r="E432" s="167">
        <v>86.53</v>
      </c>
      <c r="F432" s="167">
        <v>86.53</v>
      </c>
      <c r="G432" s="167">
        <v>86.53</v>
      </c>
      <c r="H432" s="167">
        <v>86.53</v>
      </c>
      <c r="I432" s="167">
        <v>86.53</v>
      </c>
      <c r="J432" s="167">
        <v>86.53</v>
      </c>
      <c r="K432" s="167">
        <v>86.53</v>
      </c>
      <c r="L432" s="167">
        <v>86.53</v>
      </c>
      <c r="M432" s="167">
        <v>86.53</v>
      </c>
      <c r="N432" s="167">
        <v>86.53</v>
      </c>
      <c r="O432" s="167">
        <v>86.53</v>
      </c>
      <c r="P432" s="167">
        <v>86.53</v>
      </c>
      <c r="Q432" s="167">
        <v>86.53</v>
      </c>
      <c r="R432" s="167">
        <v>86.53</v>
      </c>
      <c r="S432" s="167">
        <v>86.53</v>
      </c>
      <c r="T432" s="167">
        <v>86.53</v>
      </c>
      <c r="U432" s="167">
        <v>86.53</v>
      </c>
      <c r="V432" s="167">
        <v>86.53</v>
      </c>
      <c r="W432" s="167">
        <v>86.53</v>
      </c>
      <c r="X432" s="167">
        <v>86.53</v>
      </c>
      <c r="Y432" s="167">
        <v>86.53</v>
      </c>
      <c r="Z432" s="167">
        <v>86.53</v>
      </c>
      <c r="AA432" s="167">
        <v>86.53</v>
      </c>
      <c r="AB432" s="167">
        <v>86.53</v>
      </c>
      <c r="AC432" s="167">
        <v>86.53</v>
      </c>
      <c r="AD432" s="167">
        <v>86.53</v>
      </c>
      <c r="AE432" s="167">
        <f t="shared" si="20"/>
        <v>2249.7800000000002</v>
      </c>
    </row>
    <row r="433" spans="1:31">
      <c r="A433" s="197">
        <f t="shared" si="21"/>
        <v>45813</v>
      </c>
      <c r="B433" s="167">
        <f>YEAR(Table7[[#This Row],[Date]])+IF(MONTH(Table7[[#This Row],[Date]])&gt;=4,1,0)</f>
        <v>2026</v>
      </c>
      <c r="C433" s="167">
        <f>YEAR(Table7[[#This Row],[Date]])</f>
        <v>2025</v>
      </c>
      <c r="D433" s="168">
        <f t="shared" si="19"/>
        <v>45809</v>
      </c>
      <c r="E433" s="167">
        <v>380.76</v>
      </c>
      <c r="F433" s="167">
        <v>380.76</v>
      </c>
      <c r="G433" s="167">
        <v>380.76</v>
      </c>
      <c r="H433" s="167">
        <v>380.76</v>
      </c>
      <c r="I433" s="167">
        <v>380.76</v>
      </c>
      <c r="J433" s="167">
        <v>380.76</v>
      </c>
      <c r="K433" s="167">
        <v>380.76</v>
      </c>
      <c r="L433" s="167">
        <v>380.76</v>
      </c>
      <c r="M433" s="167">
        <v>380.76</v>
      </c>
      <c r="N433" s="167">
        <v>380.76</v>
      </c>
      <c r="O433" s="167">
        <v>380.76</v>
      </c>
      <c r="P433" s="167">
        <v>380.76</v>
      </c>
      <c r="Q433" s="167">
        <v>380.76</v>
      </c>
      <c r="R433" s="167">
        <v>380.76</v>
      </c>
      <c r="S433" s="167">
        <v>380.76</v>
      </c>
      <c r="T433" s="167">
        <v>380.76</v>
      </c>
      <c r="U433" s="167">
        <v>380.76</v>
      </c>
      <c r="V433" s="167">
        <v>380.76</v>
      </c>
      <c r="W433" s="167">
        <v>380.76</v>
      </c>
      <c r="X433" s="167">
        <v>380.76</v>
      </c>
      <c r="Y433" s="167">
        <v>380.76</v>
      </c>
      <c r="Z433" s="167">
        <v>380.76</v>
      </c>
      <c r="AA433" s="167">
        <v>380.76</v>
      </c>
      <c r="AB433" s="167">
        <v>380.76</v>
      </c>
      <c r="AC433" s="167">
        <v>380.76</v>
      </c>
      <c r="AD433" s="167">
        <v>380.76</v>
      </c>
      <c r="AE433" s="167">
        <f t="shared" si="20"/>
        <v>9899.7600000000039</v>
      </c>
    </row>
    <row r="434" spans="1:31">
      <c r="A434" s="197">
        <f t="shared" si="21"/>
        <v>45814</v>
      </c>
      <c r="B434" s="167">
        <f>YEAR(Table7[[#This Row],[Date]])+IF(MONTH(Table7[[#This Row],[Date]])&gt;=4,1,0)</f>
        <v>2026</v>
      </c>
      <c r="C434" s="167">
        <f>YEAR(Table7[[#This Row],[Date]])</f>
        <v>2025</v>
      </c>
      <c r="D434" s="168">
        <f t="shared" si="19"/>
        <v>45809</v>
      </c>
      <c r="E434" s="167">
        <v>103.84</v>
      </c>
      <c r="F434" s="167">
        <v>103.84</v>
      </c>
      <c r="G434" s="167">
        <v>103.84</v>
      </c>
      <c r="H434" s="167">
        <v>103.84</v>
      </c>
      <c r="I434" s="167">
        <v>103.84</v>
      </c>
      <c r="J434" s="167">
        <v>103.84</v>
      </c>
      <c r="K434" s="167">
        <v>103.84</v>
      </c>
      <c r="L434" s="167">
        <v>103.84</v>
      </c>
      <c r="M434" s="167">
        <v>103.84</v>
      </c>
      <c r="N434" s="167">
        <v>103.84</v>
      </c>
      <c r="O434" s="167">
        <v>103.84</v>
      </c>
      <c r="P434" s="167">
        <v>103.84</v>
      </c>
      <c r="Q434" s="167">
        <v>103.84</v>
      </c>
      <c r="R434" s="167">
        <v>103.84</v>
      </c>
      <c r="S434" s="167">
        <v>103.84</v>
      </c>
      <c r="T434" s="167">
        <v>103.84</v>
      </c>
      <c r="U434" s="167">
        <v>103.84</v>
      </c>
      <c r="V434" s="167">
        <v>103.84</v>
      </c>
      <c r="W434" s="167">
        <v>103.84</v>
      </c>
      <c r="X434" s="167">
        <v>103.84</v>
      </c>
      <c r="Y434" s="167">
        <v>103.84</v>
      </c>
      <c r="Z434" s="167">
        <v>103.84</v>
      </c>
      <c r="AA434" s="167">
        <v>103.84</v>
      </c>
      <c r="AB434" s="167">
        <v>103.84</v>
      </c>
      <c r="AC434" s="167">
        <v>103.84</v>
      </c>
      <c r="AD434" s="167">
        <v>103.84</v>
      </c>
      <c r="AE434" s="167">
        <f t="shared" si="20"/>
        <v>2699.84</v>
      </c>
    </row>
    <row r="435" spans="1:31">
      <c r="A435" s="197">
        <f t="shared" si="21"/>
        <v>45815</v>
      </c>
      <c r="B435" s="167">
        <f>YEAR(Table7[[#This Row],[Date]])+IF(MONTH(Table7[[#This Row],[Date]])&gt;=4,1,0)</f>
        <v>2026</v>
      </c>
      <c r="C435" s="167">
        <f>YEAR(Table7[[#This Row],[Date]])</f>
        <v>2025</v>
      </c>
      <c r="D435" s="168">
        <f t="shared" si="19"/>
        <v>45809</v>
      </c>
      <c r="E435" s="167">
        <v>103.84</v>
      </c>
      <c r="F435" s="167">
        <v>103.84</v>
      </c>
      <c r="G435" s="167">
        <v>103.84</v>
      </c>
      <c r="H435" s="167">
        <v>103.84</v>
      </c>
      <c r="I435" s="167">
        <v>103.84</v>
      </c>
      <c r="J435" s="167">
        <v>103.84</v>
      </c>
      <c r="K435" s="167">
        <v>103.84</v>
      </c>
      <c r="L435" s="167">
        <v>103.84</v>
      </c>
      <c r="M435" s="167">
        <v>103.84</v>
      </c>
      <c r="N435" s="167">
        <v>103.84</v>
      </c>
      <c r="O435" s="167">
        <v>103.84</v>
      </c>
      <c r="P435" s="167">
        <v>103.84</v>
      </c>
      <c r="Q435" s="167">
        <v>103.84</v>
      </c>
      <c r="R435" s="167">
        <v>103.84</v>
      </c>
      <c r="S435" s="167">
        <v>103.84</v>
      </c>
      <c r="T435" s="167">
        <v>103.84</v>
      </c>
      <c r="U435" s="167">
        <v>103.84</v>
      </c>
      <c r="V435" s="167">
        <v>103.84</v>
      </c>
      <c r="W435" s="167">
        <v>103.84</v>
      </c>
      <c r="X435" s="167">
        <v>103.84</v>
      </c>
      <c r="Y435" s="167">
        <v>103.84</v>
      </c>
      <c r="Z435" s="167">
        <v>103.84</v>
      </c>
      <c r="AA435" s="167">
        <v>103.84</v>
      </c>
      <c r="AB435" s="167">
        <v>103.84</v>
      </c>
      <c r="AC435" s="167">
        <v>103.84</v>
      </c>
      <c r="AD435" s="167">
        <v>103.84</v>
      </c>
      <c r="AE435" s="167">
        <f t="shared" si="20"/>
        <v>2699.84</v>
      </c>
    </row>
    <row r="436" spans="1:31">
      <c r="A436" s="197">
        <f t="shared" si="21"/>
        <v>45816</v>
      </c>
      <c r="B436" s="167">
        <f>YEAR(Table7[[#This Row],[Date]])+IF(MONTH(Table7[[#This Row],[Date]])&gt;=4,1,0)</f>
        <v>2026</v>
      </c>
      <c r="C436" s="167">
        <f>YEAR(Table7[[#This Row],[Date]])</f>
        <v>2025</v>
      </c>
      <c r="D436" s="168">
        <f t="shared" si="19"/>
        <v>45809</v>
      </c>
      <c r="E436" s="167">
        <v>536.53</v>
      </c>
      <c r="F436" s="167">
        <v>536.53</v>
      </c>
      <c r="G436" s="167">
        <v>536.53</v>
      </c>
      <c r="H436" s="167">
        <v>536.53</v>
      </c>
      <c r="I436" s="167">
        <v>536.53</v>
      </c>
      <c r="J436" s="167">
        <v>536.53</v>
      </c>
      <c r="K436" s="167">
        <v>536.53</v>
      </c>
      <c r="L436" s="167">
        <v>536.53</v>
      </c>
      <c r="M436" s="167">
        <v>536.53</v>
      </c>
      <c r="N436" s="167">
        <v>536.53</v>
      </c>
      <c r="O436" s="167">
        <v>536.53</v>
      </c>
      <c r="P436" s="167">
        <v>536.53</v>
      </c>
      <c r="Q436" s="167">
        <v>536.53</v>
      </c>
      <c r="R436" s="167">
        <v>536.53</v>
      </c>
      <c r="S436" s="167">
        <v>536.53</v>
      </c>
      <c r="T436" s="167">
        <v>536.53</v>
      </c>
      <c r="U436" s="167">
        <v>536.53</v>
      </c>
      <c r="V436" s="167">
        <v>536.53</v>
      </c>
      <c r="W436" s="167">
        <v>536.53</v>
      </c>
      <c r="X436" s="167">
        <v>536.53</v>
      </c>
      <c r="Y436" s="167">
        <v>536.53</v>
      </c>
      <c r="Z436" s="167">
        <v>536.53</v>
      </c>
      <c r="AA436" s="167">
        <v>536.53</v>
      </c>
      <c r="AB436" s="167">
        <v>536.53</v>
      </c>
      <c r="AC436" s="167">
        <v>536.53</v>
      </c>
      <c r="AD436" s="167">
        <v>536.53</v>
      </c>
      <c r="AE436" s="167">
        <f t="shared" si="20"/>
        <v>13949.780000000004</v>
      </c>
    </row>
    <row r="437" spans="1:31">
      <c r="A437" s="197">
        <f t="shared" si="21"/>
        <v>45817</v>
      </c>
      <c r="B437" s="167">
        <f>YEAR(Table7[[#This Row],[Date]])+IF(MONTH(Table7[[#This Row],[Date]])&gt;=4,1,0)</f>
        <v>2026</v>
      </c>
      <c r="C437" s="167">
        <f>YEAR(Table7[[#This Row],[Date]])</f>
        <v>2025</v>
      </c>
      <c r="D437" s="168">
        <f t="shared" si="19"/>
        <v>45809</v>
      </c>
      <c r="E437" s="167">
        <v>380.76</v>
      </c>
      <c r="F437" s="167">
        <v>380.76</v>
      </c>
      <c r="G437" s="167">
        <v>380.76</v>
      </c>
      <c r="H437" s="167">
        <v>380.76</v>
      </c>
      <c r="I437" s="167">
        <v>380.76</v>
      </c>
      <c r="J437" s="167">
        <v>380.76</v>
      </c>
      <c r="K437" s="167">
        <v>380.76</v>
      </c>
      <c r="L437" s="167">
        <v>380.76</v>
      </c>
      <c r="M437" s="167">
        <v>380.76</v>
      </c>
      <c r="N437" s="167">
        <v>380.76</v>
      </c>
      <c r="O437" s="167">
        <v>380.76</v>
      </c>
      <c r="P437" s="167">
        <v>380.76</v>
      </c>
      <c r="Q437" s="167">
        <v>380.76</v>
      </c>
      <c r="R437" s="167">
        <v>380.76</v>
      </c>
      <c r="S437" s="167">
        <v>380.76</v>
      </c>
      <c r="T437" s="167">
        <v>380.76</v>
      </c>
      <c r="U437" s="167">
        <v>380.76</v>
      </c>
      <c r="V437" s="167">
        <v>380.76</v>
      </c>
      <c r="W437" s="167">
        <v>380.76</v>
      </c>
      <c r="X437" s="167">
        <v>380.76</v>
      </c>
      <c r="Y437" s="167">
        <v>380.76</v>
      </c>
      <c r="Z437" s="167">
        <v>380.76</v>
      </c>
      <c r="AA437" s="167">
        <v>380.76</v>
      </c>
      <c r="AB437" s="167">
        <v>380.76</v>
      </c>
      <c r="AC437" s="167">
        <v>380.76</v>
      </c>
      <c r="AD437" s="167">
        <v>380.76</v>
      </c>
      <c r="AE437" s="167">
        <f t="shared" si="20"/>
        <v>9899.7600000000039</v>
      </c>
    </row>
    <row r="438" spans="1:31">
      <c r="A438" s="197">
        <f t="shared" si="21"/>
        <v>45818</v>
      </c>
      <c r="B438" s="167">
        <f>YEAR(Table7[[#This Row],[Date]])+IF(MONTH(Table7[[#This Row],[Date]])&gt;=4,1,0)</f>
        <v>2026</v>
      </c>
      <c r="C438" s="167">
        <f>YEAR(Table7[[#This Row],[Date]])</f>
        <v>2025</v>
      </c>
      <c r="D438" s="168">
        <f t="shared" si="19"/>
        <v>45809</v>
      </c>
      <c r="E438" s="167">
        <v>155.76</v>
      </c>
      <c r="F438" s="167">
        <v>155.76</v>
      </c>
      <c r="G438" s="167">
        <v>155.76</v>
      </c>
      <c r="H438" s="167">
        <v>155.76</v>
      </c>
      <c r="I438" s="167">
        <v>155.76</v>
      </c>
      <c r="J438" s="167">
        <v>155.76</v>
      </c>
      <c r="K438" s="167">
        <v>155.76</v>
      </c>
      <c r="L438" s="167">
        <v>155.76</v>
      </c>
      <c r="M438" s="167">
        <v>155.76</v>
      </c>
      <c r="N438" s="167">
        <v>155.76</v>
      </c>
      <c r="O438" s="167">
        <v>155.76</v>
      </c>
      <c r="P438" s="167">
        <v>155.76</v>
      </c>
      <c r="Q438" s="167">
        <v>155.76</v>
      </c>
      <c r="R438" s="167">
        <v>155.76</v>
      </c>
      <c r="S438" s="167">
        <v>155.76</v>
      </c>
      <c r="T438" s="167">
        <v>155.76</v>
      </c>
      <c r="U438" s="167">
        <v>155.76</v>
      </c>
      <c r="V438" s="167">
        <v>155.76</v>
      </c>
      <c r="W438" s="167">
        <v>155.76</v>
      </c>
      <c r="X438" s="167">
        <v>155.76</v>
      </c>
      <c r="Y438" s="167">
        <v>155.76</v>
      </c>
      <c r="Z438" s="167">
        <v>155.76</v>
      </c>
      <c r="AA438" s="167">
        <v>155.76</v>
      </c>
      <c r="AB438" s="167">
        <v>155.76</v>
      </c>
      <c r="AC438" s="167">
        <v>155.76</v>
      </c>
      <c r="AD438" s="167">
        <v>155.76</v>
      </c>
      <c r="AE438" s="167">
        <f t="shared" si="20"/>
        <v>4049.760000000002</v>
      </c>
    </row>
    <row r="439" spans="1:31">
      <c r="A439" s="197">
        <f t="shared" si="21"/>
        <v>45819</v>
      </c>
      <c r="B439" s="167">
        <f>YEAR(Table7[[#This Row],[Date]])+IF(MONTH(Table7[[#This Row],[Date]])&gt;=4,1,0)</f>
        <v>2026</v>
      </c>
      <c r="C439" s="167">
        <f>YEAR(Table7[[#This Row],[Date]])</f>
        <v>2025</v>
      </c>
      <c r="D439" s="168">
        <f t="shared" si="19"/>
        <v>45809</v>
      </c>
      <c r="E439" s="167">
        <v>415.38</v>
      </c>
      <c r="F439" s="167">
        <v>415.38</v>
      </c>
      <c r="G439" s="167">
        <v>415.38</v>
      </c>
      <c r="H439" s="167">
        <v>415.38</v>
      </c>
      <c r="I439" s="167">
        <v>415.38</v>
      </c>
      <c r="J439" s="167">
        <v>415.38</v>
      </c>
      <c r="K439" s="167">
        <v>415.38</v>
      </c>
      <c r="L439" s="167">
        <v>415.38</v>
      </c>
      <c r="M439" s="167">
        <v>415.38</v>
      </c>
      <c r="N439" s="167">
        <v>415.38</v>
      </c>
      <c r="O439" s="167">
        <v>415.38</v>
      </c>
      <c r="P439" s="167">
        <v>415.38</v>
      </c>
      <c r="Q439" s="167">
        <v>415.38</v>
      </c>
      <c r="R439" s="167">
        <v>415.38</v>
      </c>
      <c r="S439" s="167">
        <v>415.38</v>
      </c>
      <c r="T439" s="167">
        <v>415.38</v>
      </c>
      <c r="U439" s="167">
        <v>415.38</v>
      </c>
      <c r="V439" s="167">
        <v>415.38</v>
      </c>
      <c r="W439" s="167">
        <v>415.38</v>
      </c>
      <c r="X439" s="167">
        <v>415.38</v>
      </c>
      <c r="Y439" s="167">
        <v>415.38</v>
      </c>
      <c r="Z439" s="167">
        <v>415.38</v>
      </c>
      <c r="AA439" s="167">
        <v>415.38</v>
      </c>
      <c r="AB439" s="167">
        <v>415.38</v>
      </c>
      <c r="AC439" s="167">
        <v>415.38</v>
      </c>
      <c r="AD439" s="167">
        <v>415.38</v>
      </c>
      <c r="AE439" s="167">
        <f t="shared" si="20"/>
        <v>10799.879999999996</v>
      </c>
    </row>
    <row r="440" spans="1:31">
      <c r="A440" s="197">
        <f t="shared" si="21"/>
        <v>45820</v>
      </c>
      <c r="B440" s="167">
        <f>YEAR(Table7[[#This Row],[Date]])+IF(MONTH(Table7[[#This Row],[Date]])&gt;=4,1,0)</f>
        <v>2026</v>
      </c>
      <c r="C440" s="167">
        <f>YEAR(Table7[[#This Row],[Date]])</f>
        <v>2025</v>
      </c>
      <c r="D440" s="168">
        <f t="shared" si="19"/>
        <v>45809</v>
      </c>
      <c r="E440" s="167">
        <v>103.84</v>
      </c>
      <c r="F440" s="167">
        <v>103.84</v>
      </c>
      <c r="G440" s="167">
        <v>103.84</v>
      </c>
      <c r="H440" s="167">
        <v>103.84</v>
      </c>
      <c r="I440" s="167">
        <v>103.84</v>
      </c>
      <c r="J440" s="167">
        <v>103.84</v>
      </c>
      <c r="K440" s="167">
        <v>103.84</v>
      </c>
      <c r="L440" s="167">
        <v>103.84</v>
      </c>
      <c r="M440" s="167">
        <v>103.84</v>
      </c>
      <c r="N440" s="167">
        <v>103.84</v>
      </c>
      <c r="O440" s="167">
        <v>103.84</v>
      </c>
      <c r="P440" s="167">
        <v>103.84</v>
      </c>
      <c r="Q440" s="167">
        <v>103.84</v>
      </c>
      <c r="R440" s="167">
        <v>103.84</v>
      </c>
      <c r="S440" s="167">
        <v>103.84</v>
      </c>
      <c r="T440" s="167">
        <v>103.84</v>
      </c>
      <c r="U440" s="167">
        <v>103.84</v>
      </c>
      <c r="V440" s="167">
        <v>103.84</v>
      </c>
      <c r="W440" s="167">
        <v>103.84</v>
      </c>
      <c r="X440" s="167">
        <v>103.84</v>
      </c>
      <c r="Y440" s="167">
        <v>103.84</v>
      </c>
      <c r="Z440" s="167">
        <v>103.84</v>
      </c>
      <c r="AA440" s="167">
        <v>103.84</v>
      </c>
      <c r="AB440" s="167">
        <v>103.84</v>
      </c>
      <c r="AC440" s="167">
        <v>103.84</v>
      </c>
      <c r="AD440" s="167">
        <v>103.84</v>
      </c>
      <c r="AE440" s="167">
        <f t="shared" si="20"/>
        <v>2699.84</v>
      </c>
    </row>
    <row r="441" spans="1:31">
      <c r="A441" s="197">
        <f t="shared" si="21"/>
        <v>45821</v>
      </c>
      <c r="B441" s="167">
        <f>YEAR(Table7[[#This Row],[Date]])+IF(MONTH(Table7[[#This Row],[Date]])&gt;=4,1,0)</f>
        <v>2026</v>
      </c>
      <c r="C441" s="167">
        <f>YEAR(Table7[[#This Row],[Date]])</f>
        <v>2025</v>
      </c>
      <c r="D441" s="168">
        <f t="shared" si="19"/>
        <v>45809</v>
      </c>
      <c r="E441" s="167">
        <v>86.53</v>
      </c>
      <c r="F441" s="167">
        <v>86.53</v>
      </c>
      <c r="G441" s="167">
        <v>86.53</v>
      </c>
      <c r="H441" s="167">
        <v>86.53</v>
      </c>
      <c r="I441" s="167">
        <v>86.53</v>
      </c>
      <c r="J441" s="167">
        <v>86.53</v>
      </c>
      <c r="K441" s="167">
        <v>86.53</v>
      </c>
      <c r="L441" s="167">
        <v>86.53</v>
      </c>
      <c r="M441" s="167">
        <v>86.53</v>
      </c>
      <c r="N441" s="167">
        <v>86.53</v>
      </c>
      <c r="O441" s="167">
        <v>86.53</v>
      </c>
      <c r="P441" s="167">
        <v>86.53</v>
      </c>
      <c r="Q441" s="167">
        <v>86.53</v>
      </c>
      <c r="R441" s="167">
        <v>86.53</v>
      </c>
      <c r="S441" s="167">
        <v>86.53</v>
      </c>
      <c r="T441" s="167">
        <v>86.53</v>
      </c>
      <c r="U441" s="167">
        <v>86.53</v>
      </c>
      <c r="V441" s="167">
        <v>86.53</v>
      </c>
      <c r="W441" s="167">
        <v>86.53</v>
      </c>
      <c r="X441" s="167">
        <v>86.53</v>
      </c>
      <c r="Y441" s="167">
        <v>86.53</v>
      </c>
      <c r="Z441" s="167">
        <v>86.53</v>
      </c>
      <c r="AA441" s="167">
        <v>86.53</v>
      </c>
      <c r="AB441" s="167">
        <v>86.53</v>
      </c>
      <c r="AC441" s="167">
        <v>86.53</v>
      </c>
      <c r="AD441" s="167">
        <v>86.53</v>
      </c>
      <c r="AE441" s="167">
        <f t="shared" si="20"/>
        <v>2249.7800000000002</v>
      </c>
    </row>
    <row r="442" spans="1:31">
      <c r="A442" s="197">
        <f t="shared" si="21"/>
        <v>45822</v>
      </c>
      <c r="B442" s="167">
        <f>YEAR(Table7[[#This Row],[Date]])+IF(MONTH(Table7[[#This Row],[Date]])&gt;=4,1,0)</f>
        <v>2026</v>
      </c>
      <c r="C442" s="167">
        <f>YEAR(Table7[[#This Row],[Date]])</f>
        <v>2025</v>
      </c>
      <c r="D442" s="168">
        <f t="shared" si="19"/>
        <v>45809</v>
      </c>
      <c r="E442" s="167">
        <v>69.23</v>
      </c>
      <c r="F442" s="167">
        <v>69.23</v>
      </c>
      <c r="G442" s="167">
        <v>69.23</v>
      </c>
      <c r="H442" s="167">
        <v>69.23</v>
      </c>
      <c r="I442" s="167">
        <v>69.23</v>
      </c>
      <c r="J442" s="167">
        <v>69.23</v>
      </c>
      <c r="K442" s="167">
        <v>69.23</v>
      </c>
      <c r="L442" s="167">
        <v>69.23</v>
      </c>
      <c r="M442" s="167">
        <v>69.23</v>
      </c>
      <c r="N442" s="167">
        <v>69.23</v>
      </c>
      <c r="O442" s="167">
        <v>69.23</v>
      </c>
      <c r="P442" s="167">
        <v>69.23</v>
      </c>
      <c r="Q442" s="167">
        <v>69.23</v>
      </c>
      <c r="R442" s="167">
        <v>69.23</v>
      </c>
      <c r="S442" s="167">
        <v>69.23</v>
      </c>
      <c r="T442" s="167">
        <v>69.23</v>
      </c>
      <c r="U442" s="167">
        <v>69.23</v>
      </c>
      <c r="V442" s="167">
        <v>69.23</v>
      </c>
      <c r="W442" s="167">
        <v>69.23</v>
      </c>
      <c r="X442" s="167">
        <v>69.23</v>
      </c>
      <c r="Y442" s="167">
        <v>69.23</v>
      </c>
      <c r="Z442" s="167">
        <v>69.23</v>
      </c>
      <c r="AA442" s="167">
        <v>69.23</v>
      </c>
      <c r="AB442" s="167">
        <v>69.23</v>
      </c>
      <c r="AC442" s="167">
        <v>69.23</v>
      </c>
      <c r="AD442" s="167">
        <v>69.23</v>
      </c>
      <c r="AE442" s="167">
        <f t="shared" si="20"/>
        <v>1799.9800000000002</v>
      </c>
    </row>
    <row r="443" spans="1:31">
      <c r="A443" s="197">
        <f t="shared" si="21"/>
        <v>45823</v>
      </c>
      <c r="B443" s="167">
        <f>YEAR(Table7[[#This Row],[Date]])+IF(MONTH(Table7[[#This Row],[Date]])&gt;=4,1,0)</f>
        <v>2026</v>
      </c>
      <c r="C443" s="167">
        <f>YEAR(Table7[[#This Row],[Date]])</f>
        <v>2025</v>
      </c>
      <c r="D443" s="168">
        <f t="shared" si="19"/>
        <v>45809</v>
      </c>
      <c r="E443" s="167">
        <v>34.61</v>
      </c>
      <c r="F443" s="167">
        <v>34.61</v>
      </c>
      <c r="G443" s="167">
        <v>34.61</v>
      </c>
      <c r="H443" s="167">
        <v>34.61</v>
      </c>
      <c r="I443" s="167">
        <v>34.61</v>
      </c>
      <c r="J443" s="167">
        <v>34.61</v>
      </c>
      <c r="K443" s="167">
        <v>34.61</v>
      </c>
      <c r="L443" s="167">
        <v>34.61</v>
      </c>
      <c r="M443" s="167">
        <v>34.61</v>
      </c>
      <c r="N443" s="167">
        <v>34.61</v>
      </c>
      <c r="O443" s="167">
        <v>34.61</v>
      </c>
      <c r="P443" s="167">
        <v>34.61</v>
      </c>
      <c r="Q443" s="167">
        <v>34.61</v>
      </c>
      <c r="R443" s="167">
        <v>34.61</v>
      </c>
      <c r="S443" s="167">
        <v>34.61</v>
      </c>
      <c r="T443" s="167">
        <v>34.61</v>
      </c>
      <c r="U443" s="167">
        <v>34.61</v>
      </c>
      <c r="V443" s="167">
        <v>34.61</v>
      </c>
      <c r="W443" s="167">
        <v>34.61</v>
      </c>
      <c r="X443" s="167">
        <v>34.61</v>
      </c>
      <c r="Y443" s="167">
        <v>34.61</v>
      </c>
      <c r="Z443" s="167">
        <v>34.61</v>
      </c>
      <c r="AA443" s="167">
        <v>34.61</v>
      </c>
      <c r="AB443" s="167">
        <v>34.61</v>
      </c>
      <c r="AC443" s="167">
        <v>34.61</v>
      </c>
      <c r="AD443" s="167">
        <v>34.61</v>
      </c>
      <c r="AE443" s="167">
        <f t="shared" si="20"/>
        <v>899.86000000000024</v>
      </c>
    </row>
    <row r="444" spans="1:31">
      <c r="A444" s="197">
        <f t="shared" si="21"/>
        <v>45824</v>
      </c>
      <c r="B444" s="167">
        <f>YEAR(Table7[[#This Row],[Date]])+IF(MONTH(Table7[[#This Row],[Date]])&gt;=4,1,0)</f>
        <v>2026</v>
      </c>
      <c r="C444" s="167">
        <f>YEAR(Table7[[#This Row],[Date]])</f>
        <v>2025</v>
      </c>
      <c r="D444" s="168">
        <f t="shared" si="19"/>
        <v>45809</v>
      </c>
      <c r="E444" s="167">
        <v>848.07</v>
      </c>
      <c r="F444" s="167">
        <v>848.07</v>
      </c>
      <c r="G444" s="167">
        <v>848.07</v>
      </c>
      <c r="H444" s="167">
        <v>848.07</v>
      </c>
      <c r="I444" s="167">
        <v>848.07</v>
      </c>
      <c r="J444" s="167">
        <v>848.07</v>
      </c>
      <c r="K444" s="167">
        <v>848.07</v>
      </c>
      <c r="L444" s="167">
        <v>848.07</v>
      </c>
      <c r="M444" s="167">
        <v>848.07</v>
      </c>
      <c r="N444" s="167">
        <v>848.07</v>
      </c>
      <c r="O444" s="167">
        <v>848.07</v>
      </c>
      <c r="P444" s="167">
        <v>848.07</v>
      </c>
      <c r="Q444" s="167">
        <v>848.07</v>
      </c>
      <c r="R444" s="167">
        <v>848.07</v>
      </c>
      <c r="S444" s="167">
        <v>848.07</v>
      </c>
      <c r="T444" s="167">
        <v>848.07</v>
      </c>
      <c r="U444" s="167">
        <v>848.07</v>
      </c>
      <c r="V444" s="167">
        <v>848.07</v>
      </c>
      <c r="W444" s="167">
        <v>848.07</v>
      </c>
      <c r="X444" s="167">
        <v>848.07</v>
      </c>
      <c r="Y444" s="167">
        <v>848.07</v>
      </c>
      <c r="Z444" s="167">
        <v>848.07</v>
      </c>
      <c r="AA444" s="167">
        <v>848.07</v>
      </c>
      <c r="AB444" s="167">
        <v>848.07</v>
      </c>
      <c r="AC444" s="167">
        <v>848.07</v>
      </c>
      <c r="AD444" s="167">
        <v>848.07</v>
      </c>
      <c r="AE444" s="167">
        <f t="shared" si="20"/>
        <v>22049.819999999996</v>
      </c>
    </row>
    <row r="445" spans="1:31">
      <c r="A445" s="197">
        <f t="shared" si="21"/>
        <v>45825</v>
      </c>
      <c r="B445" s="167">
        <f>YEAR(Table7[[#This Row],[Date]])+IF(MONTH(Table7[[#This Row],[Date]])&gt;=4,1,0)</f>
        <v>2026</v>
      </c>
      <c r="C445" s="167">
        <f>YEAR(Table7[[#This Row],[Date]])</f>
        <v>2025</v>
      </c>
      <c r="D445" s="168">
        <f t="shared" si="19"/>
        <v>45809</v>
      </c>
      <c r="E445" s="167">
        <v>328.84</v>
      </c>
      <c r="F445" s="167">
        <v>328.84</v>
      </c>
      <c r="G445" s="167">
        <v>328.84</v>
      </c>
      <c r="H445" s="167">
        <v>328.84</v>
      </c>
      <c r="I445" s="167">
        <v>328.84</v>
      </c>
      <c r="J445" s="167">
        <v>328.84</v>
      </c>
      <c r="K445" s="167">
        <v>328.84</v>
      </c>
      <c r="L445" s="167">
        <v>328.84</v>
      </c>
      <c r="M445" s="167">
        <v>328.84</v>
      </c>
      <c r="N445" s="167">
        <v>328.84</v>
      </c>
      <c r="O445" s="167">
        <v>328.84</v>
      </c>
      <c r="P445" s="167">
        <v>328.84</v>
      </c>
      <c r="Q445" s="167">
        <v>328.84</v>
      </c>
      <c r="R445" s="167">
        <v>328.84</v>
      </c>
      <c r="S445" s="167">
        <v>328.84</v>
      </c>
      <c r="T445" s="167">
        <v>328.84</v>
      </c>
      <c r="U445" s="167">
        <v>328.84</v>
      </c>
      <c r="V445" s="167">
        <v>328.84</v>
      </c>
      <c r="W445" s="167">
        <v>328.84</v>
      </c>
      <c r="X445" s="167">
        <v>328.84</v>
      </c>
      <c r="Y445" s="167">
        <v>328.84</v>
      </c>
      <c r="Z445" s="167">
        <v>328.84</v>
      </c>
      <c r="AA445" s="167">
        <v>328.84</v>
      </c>
      <c r="AB445" s="167">
        <v>328.84</v>
      </c>
      <c r="AC445" s="167">
        <v>328.84</v>
      </c>
      <c r="AD445" s="167">
        <v>328.84</v>
      </c>
      <c r="AE445" s="167">
        <f t="shared" si="20"/>
        <v>8549.840000000002</v>
      </c>
    </row>
    <row r="446" spans="1:31">
      <c r="A446" s="197">
        <f t="shared" si="21"/>
        <v>45826</v>
      </c>
      <c r="B446" s="167">
        <f>YEAR(Table7[[#This Row],[Date]])+IF(MONTH(Table7[[#This Row],[Date]])&gt;=4,1,0)</f>
        <v>2026</v>
      </c>
      <c r="C446" s="167">
        <f>YEAR(Table7[[#This Row],[Date]])</f>
        <v>2025</v>
      </c>
      <c r="D446" s="168">
        <f t="shared" si="19"/>
        <v>45809</v>
      </c>
      <c r="E446" s="167">
        <v>103.84</v>
      </c>
      <c r="F446" s="167">
        <v>103.84</v>
      </c>
      <c r="G446" s="167">
        <v>103.84</v>
      </c>
      <c r="H446" s="167">
        <v>103.84</v>
      </c>
      <c r="I446" s="167">
        <v>103.84</v>
      </c>
      <c r="J446" s="167">
        <v>103.84</v>
      </c>
      <c r="K446" s="167">
        <v>103.84</v>
      </c>
      <c r="L446" s="167">
        <v>103.84</v>
      </c>
      <c r="M446" s="167">
        <v>103.84</v>
      </c>
      <c r="N446" s="167">
        <v>103.84</v>
      </c>
      <c r="O446" s="167">
        <v>103.84</v>
      </c>
      <c r="P446" s="167">
        <v>103.84</v>
      </c>
      <c r="Q446" s="167">
        <v>103.84</v>
      </c>
      <c r="R446" s="167">
        <v>103.84</v>
      </c>
      <c r="S446" s="167">
        <v>103.84</v>
      </c>
      <c r="T446" s="167">
        <v>103.84</v>
      </c>
      <c r="U446" s="167">
        <v>103.84</v>
      </c>
      <c r="V446" s="167">
        <v>103.84</v>
      </c>
      <c r="W446" s="167">
        <v>103.84</v>
      </c>
      <c r="X446" s="167">
        <v>103.84</v>
      </c>
      <c r="Y446" s="167">
        <v>103.84</v>
      </c>
      <c r="Z446" s="167">
        <v>103.84</v>
      </c>
      <c r="AA446" s="167">
        <v>103.84</v>
      </c>
      <c r="AB446" s="167">
        <v>103.84</v>
      </c>
      <c r="AC446" s="167">
        <v>103.84</v>
      </c>
      <c r="AD446" s="167">
        <v>103.84</v>
      </c>
      <c r="AE446" s="167">
        <f t="shared" si="20"/>
        <v>2699.84</v>
      </c>
    </row>
    <row r="447" spans="1:31">
      <c r="A447" s="197">
        <f t="shared" si="21"/>
        <v>45827</v>
      </c>
      <c r="B447" s="167">
        <f>YEAR(Table7[[#This Row],[Date]])+IF(MONTH(Table7[[#This Row],[Date]])&gt;=4,1,0)</f>
        <v>2026</v>
      </c>
      <c r="C447" s="167">
        <f>YEAR(Table7[[#This Row],[Date]])</f>
        <v>2025</v>
      </c>
      <c r="D447" s="168">
        <f t="shared" si="19"/>
        <v>45809</v>
      </c>
      <c r="E447" s="167">
        <v>259.61</v>
      </c>
      <c r="F447" s="167">
        <v>259.61</v>
      </c>
      <c r="G447" s="167">
        <v>259.61</v>
      </c>
      <c r="H447" s="167">
        <v>259.61</v>
      </c>
      <c r="I447" s="167">
        <v>259.61</v>
      </c>
      <c r="J447" s="167">
        <v>259.61</v>
      </c>
      <c r="K447" s="167">
        <v>259.61</v>
      </c>
      <c r="L447" s="167">
        <v>259.61</v>
      </c>
      <c r="M447" s="167">
        <v>259.61</v>
      </c>
      <c r="N447" s="167">
        <v>259.61</v>
      </c>
      <c r="O447" s="167">
        <v>259.61</v>
      </c>
      <c r="P447" s="167">
        <v>259.61</v>
      </c>
      <c r="Q447" s="167">
        <v>259.61</v>
      </c>
      <c r="R447" s="167">
        <v>259.61</v>
      </c>
      <c r="S447" s="167">
        <v>259.61</v>
      </c>
      <c r="T447" s="167">
        <v>259.61</v>
      </c>
      <c r="U447" s="167">
        <v>259.61</v>
      </c>
      <c r="V447" s="167">
        <v>259.61</v>
      </c>
      <c r="W447" s="167">
        <v>259.61</v>
      </c>
      <c r="X447" s="167">
        <v>259.61</v>
      </c>
      <c r="Y447" s="167">
        <v>259.61</v>
      </c>
      <c r="Z447" s="167">
        <v>259.61</v>
      </c>
      <c r="AA447" s="167">
        <v>259.61</v>
      </c>
      <c r="AB447" s="167">
        <v>259.61</v>
      </c>
      <c r="AC447" s="167">
        <v>259.61</v>
      </c>
      <c r="AD447" s="167">
        <v>259.61</v>
      </c>
      <c r="AE447" s="167">
        <f t="shared" si="20"/>
        <v>6749.8599999999979</v>
      </c>
    </row>
    <row r="448" spans="1:31">
      <c r="A448" s="197">
        <f t="shared" si="21"/>
        <v>45828</v>
      </c>
      <c r="B448" s="167">
        <f>YEAR(Table7[[#This Row],[Date]])+IF(MONTH(Table7[[#This Row],[Date]])&gt;=4,1,0)</f>
        <v>2026</v>
      </c>
      <c r="C448" s="167">
        <f>YEAR(Table7[[#This Row],[Date]])</f>
        <v>2025</v>
      </c>
      <c r="D448" s="168">
        <f t="shared" si="19"/>
        <v>45809</v>
      </c>
      <c r="E448" s="167">
        <v>259.61</v>
      </c>
      <c r="F448" s="167">
        <v>259.61</v>
      </c>
      <c r="G448" s="167">
        <v>259.61</v>
      </c>
      <c r="H448" s="167">
        <v>259.61</v>
      </c>
      <c r="I448" s="167">
        <v>259.61</v>
      </c>
      <c r="J448" s="167">
        <v>259.61</v>
      </c>
      <c r="K448" s="167">
        <v>259.61</v>
      </c>
      <c r="L448" s="167">
        <v>259.61</v>
      </c>
      <c r="M448" s="167">
        <v>259.61</v>
      </c>
      <c r="N448" s="167">
        <v>259.61</v>
      </c>
      <c r="O448" s="167">
        <v>259.61</v>
      </c>
      <c r="P448" s="167">
        <v>259.61</v>
      </c>
      <c r="Q448" s="167">
        <v>259.61</v>
      </c>
      <c r="R448" s="167">
        <v>259.61</v>
      </c>
      <c r="S448" s="167">
        <v>259.61</v>
      </c>
      <c r="T448" s="167">
        <v>259.61</v>
      </c>
      <c r="U448" s="167">
        <v>259.61</v>
      </c>
      <c r="V448" s="167">
        <v>259.61</v>
      </c>
      <c r="W448" s="167">
        <v>259.61</v>
      </c>
      <c r="X448" s="167">
        <v>259.61</v>
      </c>
      <c r="Y448" s="167">
        <v>259.61</v>
      </c>
      <c r="Z448" s="167">
        <v>259.61</v>
      </c>
      <c r="AA448" s="167">
        <v>259.61</v>
      </c>
      <c r="AB448" s="167">
        <v>259.61</v>
      </c>
      <c r="AC448" s="167">
        <v>259.61</v>
      </c>
      <c r="AD448" s="167">
        <v>259.61</v>
      </c>
      <c r="AE448" s="167">
        <f t="shared" si="20"/>
        <v>6749.8599999999979</v>
      </c>
    </row>
    <row r="449" spans="1:31">
      <c r="A449" s="197">
        <f t="shared" si="21"/>
        <v>45829</v>
      </c>
      <c r="B449" s="167">
        <f>YEAR(Table7[[#This Row],[Date]])+IF(MONTH(Table7[[#This Row],[Date]])&gt;=4,1,0)</f>
        <v>2026</v>
      </c>
      <c r="C449" s="167">
        <f>YEAR(Table7[[#This Row],[Date]])</f>
        <v>2025</v>
      </c>
      <c r="D449" s="168">
        <f t="shared" si="19"/>
        <v>45809</v>
      </c>
      <c r="E449" s="167">
        <v>138.46</v>
      </c>
      <c r="F449" s="167">
        <v>138.46</v>
      </c>
      <c r="G449" s="167">
        <v>138.46</v>
      </c>
      <c r="H449" s="167">
        <v>138.46</v>
      </c>
      <c r="I449" s="167">
        <v>138.46</v>
      </c>
      <c r="J449" s="167">
        <v>138.46</v>
      </c>
      <c r="K449" s="167">
        <v>138.46</v>
      </c>
      <c r="L449" s="167">
        <v>138.46</v>
      </c>
      <c r="M449" s="167">
        <v>138.46</v>
      </c>
      <c r="N449" s="167">
        <v>138.46</v>
      </c>
      <c r="O449" s="167">
        <v>138.46</v>
      </c>
      <c r="P449" s="167">
        <v>138.46</v>
      </c>
      <c r="Q449" s="167">
        <v>138.46</v>
      </c>
      <c r="R449" s="167">
        <v>138.46</v>
      </c>
      <c r="S449" s="167">
        <v>138.46</v>
      </c>
      <c r="T449" s="167">
        <v>138.46</v>
      </c>
      <c r="U449" s="167">
        <v>138.46</v>
      </c>
      <c r="V449" s="167">
        <v>138.46</v>
      </c>
      <c r="W449" s="167">
        <v>138.46</v>
      </c>
      <c r="X449" s="167">
        <v>138.46</v>
      </c>
      <c r="Y449" s="167">
        <v>138.46</v>
      </c>
      <c r="Z449" s="167">
        <v>138.46</v>
      </c>
      <c r="AA449" s="167">
        <v>138.46</v>
      </c>
      <c r="AB449" s="167">
        <v>138.46</v>
      </c>
      <c r="AC449" s="167">
        <v>138.46</v>
      </c>
      <c r="AD449" s="167">
        <v>138.46</v>
      </c>
      <c r="AE449" s="167">
        <f t="shared" si="20"/>
        <v>3599.9600000000005</v>
      </c>
    </row>
    <row r="450" spans="1:31">
      <c r="A450" s="197">
        <f t="shared" si="21"/>
        <v>45830</v>
      </c>
      <c r="B450" s="167">
        <f>YEAR(Table7[[#This Row],[Date]])+IF(MONTH(Table7[[#This Row],[Date]])&gt;=4,1,0)</f>
        <v>2026</v>
      </c>
      <c r="C450" s="167">
        <f>YEAR(Table7[[#This Row],[Date]])</f>
        <v>2025</v>
      </c>
      <c r="D450" s="168">
        <f t="shared" si="19"/>
        <v>45809</v>
      </c>
      <c r="E450" s="167">
        <v>69.23</v>
      </c>
      <c r="F450" s="167">
        <v>69.23</v>
      </c>
      <c r="G450" s="167">
        <v>69.23</v>
      </c>
      <c r="H450" s="167">
        <v>69.23</v>
      </c>
      <c r="I450" s="167">
        <v>69.23</v>
      </c>
      <c r="J450" s="167">
        <v>69.23</v>
      </c>
      <c r="K450" s="167">
        <v>69.23</v>
      </c>
      <c r="L450" s="167">
        <v>69.23</v>
      </c>
      <c r="M450" s="167">
        <v>69.23</v>
      </c>
      <c r="N450" s="167">
        <v>69.23</v>
      </c>
      <c r="O450" s="167">
        <v>69.23</v>
      </c>
      <c r="P450" s="167">
        <v>69.23</v>
      </c>
      <c r="Q450" s="167">
        <v>69.23</v>
      </c>
      <c r="R450" s="167">
        <v>69.23</v>
      </c>
      <c r="S450" s="167">
        <v>69.23</v>
      </c>
      <c r="T450" s="167">
        <v>69.23</v>
      </c>
      <c r="U450" s="167">
        <v>69.23</v>
      </c>
      <c r="V450" s="167">
        <v>69.23</v>
      </c>
      <c r="W450" s="167">
        <v>69.23</v>
      </c>
      <c r="X450" s="167">
        <v>69.23</v>
      </c>
      <c r="Y450" s="167">
        <v>69.23</v>
      </c>
      <c r="Z450" s="167">
        <v>69.23</v>
      </c>
      <c r="AA450" s="167">
        <v>69.23</v>
      </c>
      <c r="AB450" s="167">
        <v>69.23</v>
      </c>
      <c r="AC450" s="167">
        <v>69.23</v>
      </c>
      <c r="AD450" s="167">
        <v>69.23</v>
      </c>
      <c r="AE450" s="167">
        <f t="shared" si="20"/>
        <v>1799.9800000000002</v>
      </c>
    </row>
    <row r="451" spans="1:31">
      <c r="A451" s="197">
        <f t="shared" si="21"/>
        <v>45831</v>
      </c>
      <c r="B451" s="167">
        <f>YEAR(Table7[[#This Row],[Date]])+IF(MONTH(Table7[[#This Row],[Date]])&gt;=4,1,0)</f>
        <v>2026</v>
      </c>
      <c r="C451" s="167">
        <f>YEAR(Table7[[#This Row],[Date]])</f>
        <v>2025</v>
      </c>
      <c r="D451" s="168">
        <f t="shared" ref="D451:D514" si="22">A451-DAY(A451)+1</f>
        <v>45809</v>
      </c>
      <c r="E451" s="167">
        <v>69.23</v>
      </c>
      <c r="F451" s="167">
        <v>69.23</v>
      </c>
      <c r="G451" s="167">
        <v>69.23</v>
      </c>
      <c r="H451" s="167">
        <v>69.23</v>
      </c>
      <c r="I451" s="167">
        <v>69.23</v>
      </c>
      <c r="J451" s="167">
        <v>69.23</v>
      </c>
      <c r="K451" s="167">
        <v>69.23</v>
      </c>
      <c r="L451" s="167">
        <v>69.23</v>
      </c>
      <c r="M451" s="167">
        <v>69.23</v>
      </c>
      <c r="N451" s="167">
        <v>69.23</v>
      </c>
      <c r="O451" s="167">
        <v>69.23</v>
      </c>
      <c r="P451" s="167">
        <v>69.23</v>
      </c>
      <c r="Q451" s="167">
        <v>69.23</v>
      </c>
      <c r="R451" s="167">
        <v>69.23</v>
      </c>
      <c r="S451" s="167">
        <v>69.23</v>
      </c>
      <c r="T451" s="167">
        <v>69.23</v>
      </c>
      <c r="U451" s="167">
        <v>69.23</v>
      </c>
      <c r="V451" s="167">
        <v>69.23</v>
      </c>
      <c r="W451" s="167">
        <v>69.23</v>
      </c>
      <c r="X451" s="167">
        <v>69.23</v>
      </c>
      <c r="Y451" s="167">
        <v>69.23</v>
      </c>
      <c r="Z451" s="167">
        <v>69.23</v>
      </c>
      <c r="AA451" s="167">
        <v>69.23</v>
      </c>
      <c r="AB451" s="167">
        <v>69.23</v>
      </c>
      <c r="AC451" s="167">
        <v>69.23</v>
      </c>
      <c r="AD451" s="167">
        <v>69.23</v>
      </c>
      <c r="AE451" s="167">
        <f t="shared" ref="AE451:AE514" si="23">SUM(E451:AD451)</f>
        <v>1799.9800000000002</v>
      </c>
    </row>
    <row r="452" spans="1:31">
      <c r="A452" s="197">
        <f t="shared" si="21"/>
        <v>45832</v>
      </c>
      <c r="B452" s="167">
        <f>YEAR(Table7[[#This Row],[Date]])+IF(MONTH(Table7[[#This Row],[Date]])&gt;=4,1,0)</f>
        <v>2026</v>
      </c>
      <c r="C452" s="167">
        <f>YEAR(Table7[[#This Row],[Date]])</f>
        <v>2025</v>
      </c>
      <c r="D452" s="168">
        <f t="shared" si="22"/>
        <v>45809</v>
      </c>
      <c r="E452" s="167">
        <v>155.76</v>
      </c>
      <c r="F452" s="167">
        <v>155.76</v>
      </c>
      <c r="G452" s="167">
        <v>155.76</v>
      </c>
      <c r="H452" s="167">
        <v>155.76</v>
      </c>
      <c r="I452" s="167">
        <v>155.76</v>
      </c>
      <c r="J452" s="167">
        <v>155.76</v>
      </c>
      <c r="K452" s="167">
        <v>155.76</v>
      </c>
      <c r="L452" s="167">
        <v>155.76</v>
      </c>
      <c r="M452" s="167">
        <v>155.76</v>
      </c>
      <c r="N452" s="167">
        <v>155.76</v>
      </c>
      <c r="O452" s="167">
        <v>155.76</v>
      </c>
      <c r="P452" s="167">
        <v>155.76</v>
      </c>
      <c r="Q452" s="167">
        <v>155.76</v>
      </c>
      <c r="R452" s="167">
        <v>155.76</v>
      </c>
      <c r="S452" s="167">
        <v>155.76</v>
      </c>
      <c r="T452" s="167">
        <v>155.76</v>
      </c>
      <c r="U452" s="167">
        <v>155.76</v>
      </c>
      <c r="V452" s="167">
        <v>155.76</v>
      </c>
      <c r="W452" s="167">
        <v>155.76</v>
      </c>
      <c r="X452" s="167">
        <v>155.76</v>
      </c>
      <c r="Y452" s="167">
        <v>155.76</v>
      </c>
      <c r="Z452" s="167">
        <v>155.76</v>
      </c>
      <c r="AA452" s="167">
        <v>155.76</v>
      </c>
      <c r="AB452" s="167">
        <v>155.76</v>
      </c>
      <c r="AC452" s="167">
        <v>155.76</v>
      </c>
      <c r="AD452" s="167">
        <v>155.76</v>
      </c>
      <c r="AE452" s="167">
        <f t="shared" si="23"/>
        <v>4049.760000000002</v>
      </c>
    </row>
    <row r="453" spans="1:31">
      <c r="A453" s="197">
        <f t="shared" ref="A453:A516" si="24">A452+1</f>
        <v>45833</v>
      </c>
      <c r="B453" s="167">
        <f>YEAR(Table7[[#This Row],[Date]])+IF(MONTH(Table7[[#This Row],[Date]])&gt;=4,1,0)</f>
        <v>2026</v>
      </c>
      <c r="C453" s="167">
        <f>YEAR(Table7[[#This Row],[Date]])</f>
        <v>2025</v>
      </c>
      <c r="D453" s="168">
        <f t="shared" si="22"/>
        <v>45809</v>
      </c>
      <c r="E453" s="167">
        <v>17.3</v>
      </c>
      <c r="F453" s="167">
        <v>17.3</v>
      </c>
      <c r="G453" s="167">
        <v>17.3</v>
      </c>
      <c r="H453" s="167">
        <v>17.3</v>
      </c>
      <c r="I453" s="167">
        <v>17.3</v>
      </c>
      <c r="J453" s="167">
        <v>17.3</v>
      </c>
      <c r="K453" s="167">
        <v>17.3</v>
      </c>
      <c r="L453" s="167">
        <v>17.3</v>
      </c>
      <c r="M453" s="167">
        <v>17.3</v>
      </c>
      <c r="N453" s="167">
        <v>17.3</v>
      </c>
      <c r="O453" s="167">
        <v>17.3</v>
      </c>
      <c r="P453" s="167">
        <v>17.3</v>
      </c>
      <c r="Q453" s="167">
        <v>17.3</v>
      </c>
      <c r="R453" s="167">
        <v>17.3</v>
      </c>
      <c r="S453" s="167">
        <v>17.3</v>
      </c>
      <c r="T453" s="167">
        <v>17.3</v>
      </c>
      <c r="U453" s="167">
        <v>17.3</v>
      </c>
      <c r="V453" s="167">
        <v>17.3</v>
      </c>
      <c r="W453" s="167">
        <v>17.3</v>
      </c>
      <c r="X453" s="167">
        <v>17.3</v>
      </c>
      <c r="Y453" s="167">
        <v>17.3</v>
      </c>
      <c r="Z453" s="167">
        <v>17.3</v>
      </c>
      <c r="AA453" s="167">
        <v>17.3</v>
      </c>
      <c r="AB453" s="167">
        <v>17.3</v>
      </c>
      <c r="AC453" s="167">
        <v>17.3</v>
      </c>
      <c r="AD453" s="167">
        <v>17.3</v>
      </c>
      <c r="AE453" s="167">
        <f t="shared" si="23"/>
        <v>449.80000000000018</v>
      </c>
    </row>
    <row r="454" spans="1:31">
      <c r="A454" s="197">
        <f t="shared" si="24"/>
        <v>45834</v>
      </c>
      <c r="B454" s="167">
        <f>YEAR(Table7[[#This Row],[Date]])+IF(MONTH(Table7[[#This Row],[Date]])&gt;=4,1,0)</f>
        <v>2026</v>
      </c>
      <c r="C454" s="167">
        <f>YEAR(Table7[[#This Row],[Date]])</f>
        <v>2025</v>
      </c>
      <c r="D454" s="168">
        <f t="shared" si="22"/>
        <v>45809</v>
      </c>
      <c r="E454" s="167">
        <v>17.3</v>
      </c>
      <c r="F454" s="167">
        <v>17.3</v>
      </c>
      <c r="G454" s="167">
        <v>17.3</v>
      </c>
      <c r="H454" s="167">
        <v>17.3</v>
      </c>
      <c r="I454" s="167">
        <v>17.3</v>
      </c>
      <c r="J454" s="167">
        <v>17.3</v>
      </c>
      <c r="K454" s="167">
        <v>17.3</v>
      </c>
      <c r="L454" s="167">
        <v>17.3</v>
      </c>
      <c r="M454" s="167">
        <v>17.3</v>
      </c>
      <c r="N454" s="167">
        <v>17.3</v>
      </c>
      <c r="O454" s="167">
        <v>17.3</v>
      </c>
      <c r="P454" s="167">
        <v>17.3</v>
      </c>
      <c r="Q454" s="167">
        <v>17.3</v>
      </c>
      <c r="R454" s="167">
        <v>17.3</v>
      </c>
      <c r="S454" s="167">
        <v>17.3</v>
      </c>
      <c r="T454" s="167">
        <v>17.3</v>
      </c>
      <c r="U454" s="167">
        <v>17.3</v>
      </c>
      <c r="V454" s="167">
        <v>17.3</v>
      </c>
      <c r="W454" s="167">
        <v>17.3</v>
      </c>
      <c r="X454" s="167">
        <v>17.3</v>
      </c>
      <c r="Y454" s="167">
        <v>17.3</v>
      </c>
      <c r="Z454" s="167">
        <v>17.3</v>
      </c>
      <c r="AA454" s="167">
        <v>17.3</v>
      </c>
      <c r="AB454" s="167">
        <v>17.3</v>
      </c>
      <c r="AC454" s="167">
        <v>17.3</v>
      </c>
      <c r="AD454" s="167">
        <v>17.3</v>
      </c>
      <c r="AE454" s="167">
        <f t="shared" si="23"/>
        <v>449.80000000000018</v>
      </c>
    </row>
    <row r="455" spans="1:31">
      <c r="A455" s="197">
        <f t="shared" si="24"/>
        <v>45835</v>
      </c>
      <c r="B455" s="167">
        <f>YEAR(Table7[[#This Row],[Date]])+IF(MONTH(Table7[[#This Row],[Date]])&gt;=4,1,0)</f>
        <v>2026</v>
      </c>
      <c r="C455" s="167">
        <f>YEAR(Table7[[#This Row],[Date]])</f>
        <v>2025</v>
      </c>
      <c r="D455" s="168">
        <f t="shared" si="22"/>
        <v>45809</v>
      </c>
      <c r="E455" s="167">
        <v>86.53</v>
      </c>
      <c r="F455" s="167">
        <v>86.53</v>
      </c>
      <c r="G455" s="167">
        <v>86.53</v>
      </c>
      <c r="H455" s="167">
        <v>86.53</v>
      </c>
      <c r="I455" s="167">
        <v>86.53</v>
      </c>
      <c r="J455" s="167">
        <v>86.53</v>
      </c>
      <c r="K455" s="167">
        <v>86.53</v>
      </c>
      <c r="L455" s="167">
        <v>86.53</v>
      </c>
      <c r="M455" s="167">
        <v>86.53</v>
      </c>
      <c r="N455" s="167">
        <v>86.53</v>
      </c>
      <c r="O455" s="167">
        <v>86.53</v>
      </c>
      <c r="P455" s="167">
        <v>86.53</v>
      </c>
      <c r="Q455" s="167">
        <v>86.53</v>
      </c>
      <c r="R455" s="167">
        <v>86.53</v>
      </c>
      <c r="S455" s="167">
        <v>86.53</v>
      </c>
      <c r="T455" s="167">
        <v>86.53</v>
      </c>
      <c r="U455" s="167">
        <v>86.53</v>
      </c>
      <c r="V455" s="167">
        <v>86.53</v>
      </c>
      <c r="W455" s="167">
        <v>86.53</v>
      </c>
      <c r="X455" s="167">
        <v>86.53</v>
      </c>
      <c r="Y455" s="167">
        <v>86.53</v>
      </c>
      <c r="Z455" s="167">
        <v>86.53</v>
      </c>
      <c r="AA455" s="167">
        <v>86.53</v>
      </c>
      <c r="AB455" s="167">
        <v>86.53</v>
      </c>
      <c r="AC455" s="167">
        <v>86.53</v>
      </c>
      <c r="AD455" s="167">
        <v>86.53</v>
      </c>
      <c r="AE455" s="167">
        <f t="shared" si="23"/>
        <v>2249.7800000000002</v>
      </c>
    </row>
    <row r="456" spans="1:31">
      <c r="A456" s="197">
        <f t="shared" si="24"/>
        <v>45836</v>
      </c>
      <c r="B456" s="167">
        <f>YEAR(Table7[[#This Row],[Date]])+IF(MONTH(Table7[[#This Row],[Date]])&gt;=4,1,0)</f>
        <v>2026</v>
      </c>
      <c r="C456" s="167">
        <f>YEAR(Table7[[#This Row],[Date]])</f>
        <v>2025</v>
      </c>
      <c r="D456" s="168">
        <f t="shared" si="22"/>
        <v>45809</v>
      </c>
      <c r="E456" s="167">
        <v>986.53</v>
      </c>
      <c r="F456" s="167">
        <v>986.53</v>
      </c>
      <c r="G456" s="167">
        <v>986.53</v>
      </c>
      <c r="H456" s="167">
        <v>986.53</v>
      </c>
      <c r="I456" s="167">
        <v>986.53</v>
      </c>
      <c r="J456" s="167">
        <v>986.53</v>
      </c>
      <c r="K456" s="167">
        <v>986.53</v>
      </c>
      <c r="L456" s="167">
        <v>986.53</v>
      </c>
      <c r="M456" s="167">
        <v>986.53</v>
      </c>
      <c r="N456" s="167">
        <v>986.53</v>
      </c>
      <c r="O456" s="167">
        <v>986.53</v>
      </c>
      <c r="P456" s="167">
        <v>986.53</v>
      </c>
      <c r="Q456" s="167">
        <v>986.53</v>
      </c>
      <c r="R456" s="167">
        <v>986.53</v>
      </c>
      <c r="S456" s="167">
        <v>986.53</v>
      </c>
      <c r="T456" s="167">
        <v>986.53</v>
      </c>
      <c r="U456" s="167">
        <v>986.53</v>
      </c>
      <c r="V456" s="167">
        <v>986.53</v>
      </c>
      <c r="W456" s="167">
        <v>986.53</v>
      </c>
      <c r="X456" s="167">
        <v>986.53</v>
      </c>
      <c r="Y456" s="167">
        <v>986.53</v>
      </c>
      <c r="Z456" s="167">
        <v>986.53</v>
      </c>
      <c r="AA456" s="167">
        <v>986.53</v>
      </c>
      <c r="AB456" s="167">
        <v>986.53</v>
      </c>
      <c r="AC456" s="167">
        <v>986.53</v>
      </c>
      <c r="AD456" s="167">
        <v>986.53</v>
      </c>
      <c r="AE456" s="167">
        <f t="shared" ref="AE456" si="25">SUM(E456:AD456)</f>
        <v>25649.779999999992</v>
      </c>
    </row>
    <row r="457" spans="1:31">
      <c r="A457" s="197">
        <f t="shared" si="24"/>
        <v>45837</v>
      </c>
      <c r="B457" s="167">
        <f>YEAR(Table7[[#This Row],[Date]])+IF(MONTH(Table7[[#This Row],[Date]])&gt;=4,1,0)</f>
        <v>2026</v>
      </c>
      <c r="C457" s="167">
        <f>YEAR(Table7[[#This Row],[Date]])</f>
        <v>2025</v>
      </c>
      <c r="D457" s="168">
        <f t="shared" si="22"/>
        <v>45809</v>
      </c>
      <c r="E457" s="167">
        <v>1609.61</v>
      </c>
      <c r="F457" s="167">
        <v>1609.61</v>
      </c>
      <c r="G457" s="167">
        <v>1609.61</v>
      </c>
      <c r="H457" s="167">
        <v>1609.61</v>
      </c>
      <c r="I457" s="167">
        <v>1609.61</v>
      </c>
      <c r="J457" s="167">
        <v>1609.61</v>
      </c>
      <c r="K457" s="167">
        <v>1609.61</v>
      </c>
      <c r="L457" s="167">
        <v>1609.61</v>
      </c>
      <c r="M457" s="167">
        <v>1609.61</v>
      </c>
      <c r="N457" s="167">
        <v>1609.61</v>
      </c>
      <c r="O457" s="167">
        <v>1609.61</v>
      </c>
      <c r="P457" s="167">
        <v>1609.61</v>
      </c>
      <c r="Q457" s="167">
        <v>1609.61</v>
      </c>
      <c r="R457" s="167">
        <v>1609.61</v>
      </c>
      <c r="S457" s="167">
        <v>1609.61</v>
      </c>
      <c r="T457" s="167">
        <v>1609.61</v>
      </c>
      <c r="U457" s="167">
        <v>1609.61</v>
      </c>
      <c r="V457" s="167">
        <v>1609.61</v>
      </c>
      <c r="W457" s="167">
        <v>1609.61</v>
      </c>
      <c r="X457" s="167">
        <v>1609.61</v>
      </c>
      <c r="Y457" s="167">
        <v>1609.61</v>
      </c>
      <c r="Z457" s="167">
        <v>1609.61</v>
      </c>
      <c r="AA457" s="167">
        <v>1609.61</v>
      </c>
      <c r="AB457" s="167">
        <v>1609.61</v>
      </c>
      <c r="AC457" s="167">
        <v>1609.61</v>
      </c>
      <c r="AD457" s="167">
        <v>1609.61</v>
      </c>
      <c r="AE457" s="167">
        <f t="shared" si="23"/>
        <v>41849.860000000008</v>
      </c>
    </row>
    <row r="458" spans="1:31">
      <c r="A458" s="197">
        <f t="shared" si="24"/>
        <v>45838</v>
      </c>
      <c r="B458" s="167">
        <f>YEAR(Table7[[#This Row],[Date]])+IF(MONTH(Table7[[#This Row],[Date]])&gt;=4,1,0)</f>
        <v>2026</v>
      </c>
      <c r="C458" s="167">
        <f>YEAR(Table7[[#This Row],[Date]])</f>
        <v>2025</v>
      </c>
      <c r="D458" s="168">
        <f t="shared" si="22"/>
        <v>45809</v>
      </c>
      <c r="E458" s="167">
        <v>1107.69</v>
      </c>
      <c r="F458" s="167">
        <v>1107.69</v>
      </c>
      <c r="G458" s="167">
        <v>1107.69</v>
      </c>
      <c r="H458" s="167">
        <v>1107.69</v>
      </c>
      <c r="I458" s="167">
        <v>1107.69</v>
      </c>
      <c r="J458" s="167">
        <v>1107.69</v>
      </c>
      <c r="K458" s="167">
        <v>1107.69</v>
      </c>
      <c r="L458" s="167">
        <v>1107.69</v>
      </c>
      <c r="M458" s="167">
        <v>1107.69</v>
      </c>
      <c r="N458" s="167">
        <v>1107.69</v>
      </c>
      <c r="O458" s="167">
        <v>1107.69</v>
      </c>
      <c r="P458" s="167">
        <v>1107.69</v>
      </c>
      <c r="Q458" s="167">
        <v>1107.69</v>
      </c>
      <c r="R458" s="167">
        <v>1107.69</v>
      </c>
      <c r="S458" s="167">
        <v>1107.69</v>
      </c>
      <c r="T458" s="167">
        <v>1107.69</v>
      </c>
      <c r="U458" s="167">
        <v>1107.69</v>
      </c>
      <c r="V458" s="167">
        <v>1107.69</v>
      </c>
      <c r="W458" s="167">
        <v>1107.69</v>
      </c>
      <c r="X458" s="167">
        <v>1107.69</v>
      </c>
      <c r="Y458" s="167">
        <v>1107.69</v>
      </c>
      <c r="Z458" s="167">
        <v>1107.69</v>
      </c>
      <c r="AA458" s="167">
        <v>1107.69</v>
      </c>
      <c r="AB458" s="167">
        <v>1107.69</v>
      </c>
      <c r="AC458" s="167">
        <v>1107.69</v>
      </c>
      <c r="AD458" s="167">
        <v>1107.69</v>
      </c>
      <c r="AE458" s="167">
        <f t="shared" si="23"/>
        <v>28799.939999999991</v>
      </c>
    </row>
    <row r="459" spans="1:31">
      <c r="A459" s="197">
        <f t="shared" si="24"/>
        <v>45839</v>
      </c>
      <c r="B459" s="167">
        <f>YEAR(Table7[[#This Row],[Date]])+IF(MONTH(Table7[[#This Row],[Date]])&gt;=4,1,0)</f>
        <v>2026</v>
      </c>
      <c r="C459" s="167">
        <f>YEAR(Table7[[#This Row],[Date]])</f>
        <v>2025</v>
      </c>
      <c r="D459" s="168">
        <f t="shared" si="22"/>
        <v>45839</v>
      </c>
      <c r="E459" s="167">
        <v>276.92</v>
      </c>
      <c r="F459" s="167">
        <v>276.92</v>
      </c>
      <c r="G459" s="167">
        <v>276.92</v>
      </c>
      <c r="H459" s="167">
        <v>276.92</v>
      </c>
      <c r="I459" s="167">
        <v>276.92</v>
      </c>
      <c r="J459" s="167">
        <v>276.92</v>
      </c>
      <c r="K459" s="167">
        <v>276.92</v>
      </c>
      <c r="L459" s="167">
        <v>276.92</v>
      </c>
      <c r="M459" s="167">
        <v>276.92</v>
      </c>
      <c r="N459" s="167">
        <v>276.92</v>
      </c>
      <c r="O459" s="167">
        <v>276.92</v>
      </c>
      <c r="P459" s="167">
        <v>276.92</v>
      </c>
      <c r="Q459" s="167">
        <v>276.92</v>
      </c>
      <c r="R459" s="167">
        <v>276.92</v>
      </c>
      <c r="S459" s="167">
        <v>276.92</v>
      </c>
      <c r="T459" s="167">
        <v>276.92</v>
      </c>
      <c r="U459" s="167">
        <v>276.92</v>
      </c>
      <c r="V459" s="167">
        <v>276.92</v>
      </c>
      <c r="W459" s="167">
        <v>276.92</v>
      </c>
      <c r="X459" s="167">
        <v>276.92</v>
      </c>
      <c r="Y459" s="167">
        <v>276.92</v>
      </c>
      <c r="Z459" s="167">
        <v>276.92</v>
      </c>
      <c r="AA459" s="167">
        <v>276.92</v>
      </c>
      <c r="AB459" s="167">
        <v>276.92</v>
      </c>
      <c r="AC459" s="167">
        <v>276.92</v>
      </c>
      <c r="AD459" s="167">
        <v>276.92</v>
      </c>
      <c r="AE459" s="167">
        <f t="shared" si="23"/>
        <v>7199.920000000001</v>
      </c>
    </row>
    <row r="460" spans="1:31">
      <c r="A460" s="197">
        <f t="shared" si="24"/>
        <v>45840</v>
      </c>
      <c r="B460" s="167">
        <f>YEAR(Table7[[#This Row],[Date]])+IF(MONTH(Table7[[#This Row],[Date]])&gt;=4,1,0)</f>
        <v>2026</v>
      </c>
      <c r="C460" s="167">
        <f>YEAR(Table7[[#This Row],[Date]])</f>
        <v>2025</v>
      </c>
      <c r="D460" s="168">
        <f t="shared" si="22"/>
        <v>45839</v>
      </c>
      <c r="E460" s="167">
        <v>450</v>
      </c>
      <c r="F460" s="167">
        <v>450</v>
      </c>
      <c r="G460" s="167">
        <v>450</v>
      </c>
      <c r="H460" s="167">
        <v>450</v>
      </c>
      <c r="I460" s="167">
        <v>450</v>
      </c>
      <c r="J460" s="167">
        <v>450</v>
      </c>
      <c r="K460" s="167">
        <v>450</v>
      </c>
      <c r="L460" s="167">
        <v>450</v>
      </c>
      <c r="M460" s="167">
        <v>450</v>
      </c>
      <c r="N460" s="167">
        <v>450</v>
      </c>
      <c r="O460" s="167">
        <v>450</v>
      </c>
      <c r="P460" s="167">
        <v>450</v>
      </c>
      <c r="Q460" s="167">
        <v>450</v>
      </c>
      <c r="R460" s="167">
        <v>450</v>
      </c>
      <c r="S460" s="167">
        <v>450</v>
      </c>
      <c r="T460" s="167">
        <v>450</v>
      </c>
      <c r="U460" s="167">
        <v>450</v>
      </c>
      <c r="V460" s="167">
        <v>450</v>
      </c>
      <c r="W460" s="167">
        <v>450</v>
      </c>
      <c r="X460" s="167">
        <v>450</v>
      </c>
      <c r="Y460" s="167">
        <v>450</v>
      </c>
      <c r="Z460" s="167">
        <v>450</v>
      </c>
      <c r="AA460" s="167">
        <v>450</v>
      </c>
      <c r="AB460" s="167">
        <v>450</v>
      </c>
      <c r="AC460" s="167">
        <v>450</v>
      </c>
      <c r="AD460" s="167">
        <v>450</v>
      </c>
      <c r="AE460" s="167">
        <f t="shared" si="23"/>
        <v>11700</v>
      </c>
    </row>
    <row r="461" spans="1:31">
      <c r="A461" s="197">
        <f t="shared" si="24"/>
        <v>45841</v>
      </c>
      <c r="B461" s="167">
        <f>YEAR(Table7[[#This Row],[Date]])+IF(MONTH(Table7[[#This Row],[Date]])&gt;=4,1,0)</f>
        <v>2026</v>
      </c>
      <c r="C461" s="167">
        <f>YEAR(Table7[[#This Row],[Date]])</f>
        <v>2025</v>
      </c>
      <c r="D461" s="168">
        <f t="shared" si="22"/>
        <v>45839</v>
      </c>
      <c r="E461" s="167">
        <v>69.23</v>
      </c>
      <c r="F461" s="167">
        <v>69.23</v>
      </c>
      <c r="G461" s="167">
        <v>69.23</v>
      </c>
      <c r="H461" s="167">
        <v>69.23</v>
      </c>
      <c r="I461" s="167">
        <v>69.23</v>
      </c>
      <c r="J461" s="167">
        <v>69.23</v>
      </c>
      <c r="K461" s="167">
        <v>69.23</v>
      </c>
      <c r="L461" s="167">
        <v>69.23</v>
      </c>
      <c r="M461" s="167">
        <v>69.23</v>
      </c>
      <c r="N461" s="167">
        <v>69.23</v>
      </c>
      <c r="O461" s="167">
        <v>69.23</v>
      </c>
      <c r="P461" s="167">
        <v>69.23</v>
      </c>
      <c r="Q461" s="167">
        <v>69.23</v>
      </c>
      <c r="R461" s="167">
        <v>69.23</v>
      </c>
      <c r="S461" s="167">
        <v>69.23</v>
      </c>
      <c r="T461" s="167">
        <v>69.23</v>
      </c>
      <c r="U461" s="167">
        <v>69.23</v>
      </c>
      <c r="V461" s="167">
        <v>69.23</v>
      </c>
      <c r="W461" s="167">
        <v>69.23</v>
      </c>
      <c r="X461" s="167">
        <v>69.23</v>
      </c>
      <c r="Y461" s="167">
        <v>69.23</v>
      </c>
      <c r="Z461" s="167">
        <v>69.23</v>
      </c>
      <c r="AA461" s="167">
        <v>69.23</v>
      </c>
      <c r="AB461" s="167">
        <v>69.23</v>
      </c>
      <c r="AC461" s="167">
        <v>69.23</v>
      </c>
      <c r="AD461" s="167">
        <v>69.23</v>
      </c>
      <c r="AE461" s="167">
        <f t="shared" si="23"/>
        <v>1799.9800000000002</v>
      </c>
    </row>
    <row r="462" spans="1:31">
      <c r="A462" s="197">
        <f t="shared" si="24"/>
        <v>45842</v>
      </c>
      <c r="B462" s="167">
        <f>YEAR(Table7[[#This Row],[Date]])+IF(MONTH(Table7[[#This Row],[Date]])&gt;=4,1,0)</f>
        <v>2026</v>
      </c>
      <c r="C462" s="167">
        <f>YEAR(Table7[[#This Row],[Date]])</f>
        <v>2025</v>
      </c>
      <c r="D462" s="168">
        <f t="shared" si="22"/>
        <v>45839</v>
      </c>
      <c r="E462" s="167">
        <v>34.61</v>
      </c>
      <c r="F462" s="167">
        <v>34.61</v>
      </c>
      <c r="G462" s="167">
        <v>34.61</v>
      </c>
      <c r="H462" s="167">
        <v>34.61</v>
      </c>
      <c r="I462" s="167">
        <v>34.61</v>
      </c>
      <c r="J462" s="167">
        <v>34.61</v>
      </c>
      <c r="K462" s="167">
        <v>34.61</v>
      </c>
      <c r="L462" s="167">
        <v>34.61</v>
      </c>
      <c r="M462" s="167">
        <v>34.61</v>
      </c>
      <c r="N462" s="167">
        <v>34.61</v>
      </c>
      <c r="O462" s="167">
        <v>34.61</v>
      </c>
      <c r="P462" s="167">
        <v>34.61</v>
      </c>
      <c r="Q462" s="167">
        <v>34.61</v>
      </c>
      <c r="R462" s="167">
        <v>34.61</v>
      </c>
      <c r="S462" s="167">
        <v>34.61</v>
      </c>
      <c r="T462" s="167">
        <v>34.61</v>
      </c>
      <c r="U462" s="167">
        <v>34.61</v>
      </c>
      <c r="V462" s="167">
        <v>34.61</v>
      </c>
      <c r="W462" s="167">
        <v>34.61</v>
      </c>
      <c r="X462" s="167">
        <v>34.61</v>
      </c>
      <c r="Y462" s="167">
        <v>34.61</v>
      </c>
      <c r="Z462" s="167">
        <v>34.61</v>
      </c>
      <c r="AA462" s="167">
        <v>34.61</v>
      </c>
      <c r="AB462" s="167">
        <v>34.61</v>
      </c>
      <c r="AC462" s="167">
        <v>34.61</v>
      </c>
      <c r="AD462" s="167">
        <v>34.61</v>
      </c>
      <c r="AE462" s="167">
        <f t="shared" si="23"/>
        <v>899.86000000000024</v>
      </c>
    </row>
    <row r="463" spans="1:31">
      <c r="A463" s="197">
        <f t="shared" si="24"/>
        <v>45843</v>
      </c>
      <c r="B463" s="167">
        <f>YEAR(Table7[[#This Row],[Date]])+IF(MONTH(Table7[[#This Row],[Date]])&gt;=4,1,0)</f>
        <v>2026</v>
      </c>
      <c r="C463" s="167">
        <f>YEAR(Table7[[#This Row],[Date]])</f>
        <v>2025</v>
      </c>
      <c r="D463" s="168">
        <f t="shared" si="22"/>
        <v>45839</v>
      </c>
      <c r="E463" s="167">
        <v>51.92</v>
      </c>
      <c r="F463" s="167">
        <v>51.92</v>
      </c>
      <c r="G463" s="167">
        <v>51.92</v>
      </c>
      <c r="H463" s="167">
        <v>51.92</v>
      </c>
      <c r="I463" s="167">
        <v>51.92</v>
      </c>
      <c r="J463" s="167">
        <v>51.92</v>
      </c>
      <c r="K463" s="167">
        <v>51.92</v>
      </c>
      <c r="L463" s="167">
        <v>51.92</v>
      </c>
      <c r="M463" s="167">
        <v>51.92</v>
      </c>
      <c r="N463" s="167">
        <v>51.92</v>
      </c>
      <c r="O463" s="167">
        <v>51.92</v>
      </c>
      <c r="P463" s="167">
        <v>51.92</v>
      </c>
      <c r="Q463" s="167">
        <v>51.92</v>
      </c>
      <c r="R463" s="167">
        <v>51.92</v>
      </c>
      <c r="S463" s="167">
        <v>51.92</v>
      </c>
      <c r="T463" s="167">
        <v>51.92</v>
      </c>
      <c r="U463" s="167">
        <v>51.92</v>
      </c>
      <c r="V463" s="167">
        <v>51.92</v>
      </c>
      <c r="W463" s="167">
        <v>51.92</v>
      </c>
      <c r="X463" s="167">
        <v>51.92</v>
      </c>
      <c r="Y463" s="167">
        <v>51.92</v>
      </c>
      <c r="Z463" s="167">
        <v>51.92</v>
      </c>
      <c r="AA463" s="167">
        <v>51.92</v>
      </c>
      <c r="AB463" s="167">
        <v>51.92</v>
      </c>
      <c r="AC463" s="167">
        <v>51.92</v>
      </c>
      <c r="AD463" s="167">
        <v>51.92</v>
      </c>
      <c r="AE463" s="167">
        <f t="shared" si="23"/>
        <v>1349.92</v>
      </c>
    </row>
    <row r="464" spans="1:31">
      <c r="A464" s="197">
        <f t="shared" si="24"/>
        <v>45844</v>
      </c>
      <c r="B464" s="167">
        <f>YEAR(Table7[[#This Row],[Date]])+IF(MONTH(Table7[[#This Row],[Date]])&gt;=4,1,0)</f>
        <v>2026</v>
      </c>
      <c r="C464" s="167">
        <f>YEAR(Table7[[#This Row],[Date]])</f>
        <v>2025</v>
      </c>
      <c r="D464" s="168">
        <f t="shared" si="22"/>
        <v>45839</v>
      </c>
      <c r="E464" s="167">
        <v>103.84</v>
      </c>
      <c r="F464" s="167">
        <v>103.84</v>
      </c>
      <c r="G464" s="167">
        <v>103.84</v>
      </c>
      <c r="H464" s="167">
        <v>103.84</v>
      </c>
      <c r="I464" s="167">
        <v>103.84</v>
      </c>
      <c r="J464" s="167">
        <v>103.84</v>
      </c>
      <c r="K464" s="167">
        <v>103.84</v>
      </c>
      <c r="L464" s="167">
        <v>103.84</v>
      </c>
      <c r="M464" s="167">
        <v>103.84</v>
      </c>
      <c r="N464" s="167">
        <v>103.84</v>
      </c>
      <c r="O464" s="167">
        <v>103.84</v>
      </c>
      <c r="P464" s="167">
        <v>103.84</v>
      </c>
      <c r="Q464" s="167">
        <v>103.84</v>
      </c>
      <c r="R464" s="167">
        <v>103.84</v>
      </c>
      <c r="S464" s="167">
        <v>103.84</v>
      </c>
      <c r="T464" s="167">
        <v>103.84</v>
      </c>
      <c r="U464" s="167">
        <v>103.84</v>
      </c>
      <c r="V464" s="167">
        <v>103.84</v>
      </c>
      <c r="W464" s="167">
        <v>103.84</v>
      </c>
      <c r="X464" s="167">
        <v>103.84</v>
      </c>
      <c r="Y464" s="167">
        <v>103.84</v>
      </c>
      <c r="Z464" s="167">
        <v>103.84</v>
      </c>
      <c r="AA464" s="167">
        <v>103.84</v>
      </c>
      <c r="AB464" s="167">
        <v>103.84</v>
      </c>
      <c r="AC464" s="167">
        <v>103.84</v>
      </c>
      <c r="AD464" s="167">
        <v>103.84</v>
      </c>
      <c r="AE464" s="167">
        <f t="shared" si="23"/>
        <v>2699.84</v>
      </c>
    </row>
    <row r="465" spans="1:31">
      <c r="A465" s="197">
        <f t="shared" si="24"/>
        <v>45845</v>
      </c>
      <c r="B465" s="167">
        <f>YEAR(Table7[[#This Row],[Date]])+IF(MONTH(Table7[[#This Row],[Date]])&gt;=4,1,0)</f>
        <v>2026</v>
      </c>
      <c r="C465" s="167">
        <f>YEAR(Table7[[#This Row],[Date]])</f>
        <v>2025</v>
      </c>
      <c r="D465" s="168">
        <f t="shared" si="22"/>
        <v>45839</v>
      </c>
      <c r="E465" s="167">
        <v>103.84</v>
      </c>
      <c r="F465" s="167">
        <v>103.84</v>
      </c>
      <c r="G465" s="167">
        <v>103.84</v>
      </c>
      <c r="H465" s="167">
        <v>103.84</v>
      </c>
      <c r="I465" s="167">
        <v>103.84</v>
      </c>
      <c r="J465" s="167">
        <v>103.84</v>
      </c>
      <c r="K465" s="167">
        <v>103.84</v>
      </c>
      <c r="L465" s="167">
        <v>103.84</v>
      </c>
      <c r="M465" s="167">
        <v>103.84</v>
      </c>
      <c r="N465" s="167">
        <v>103.84</v>
      </c>
      <c r="O465" s="167">
        <v>103.84</v>
      </c>
      <c r="P465" s="167">
        <v>103.84</v>
      </c>
      <c r="Q465" s="167">
        <v>103.84</v>
      </c>
      <c r="R465" s="167">
        <v>103.84</v>
      </c>
      <c r="S465" s="167">
        <v>103.84</v>
      </c>
      <c r="T465" s="167">
        <v>103.84</v>
      </c>
      <c r="U465" s="167">
        <v>103.84</v>
      </c>
      <c r="V465" s="167">
        <v>103.84</v>
      </c>
      <c r="W465" s="167">
        <v>103.84</v>
      </c>
      <c r="X465" s="167">
        <v>103.84</v>
      </c>
      <c r="Y465" s="167">
        <v>103.84</v>
      </c>
      <c r="Z465" s="167">
        <v>103.84</v>
      </c>
      <c r="AA465" s="167">
        <v>103.84</v>
      </c>
      <c r="AB465" s="167">
        <v>103.84</v>
      </c>
      <c r="AC465" s="167">
        <v>103.84</v>
      </c>
      <c r="AD465" s="167">
        <v>103.84</v>
      </c>
      <c r="AE465" s="167">
        <f t="shared" si="23"/>
        <v>2699.84</v>
      </c>
    </row>
    <row r="466" spans="1:31">
      <c r="A466" s="197">
        <f t="shared" si="24"/>
        <v>45846</v>
      </c>
      <c r="B466" s="167">
        <f>YEAR(Table7[[#This Row],[Date]])+IF(MONTH(Table7[[#This Row],[Date]])&gt;=4,1,0)</f>
        <v>2026</v>
      </c>
      <c r="C466" s="167">
        <f>YEAR(Table7[[#This Row],[Date]])</f>
        <v>2025</v>
      </c>
      <c r="D466" s="168">
        <f t="shared" si="22"/>
        <v>45839</v>
      </c>
      <c r="E466" s="167">
        <v>69.23</v>
      </c>
      <c r="F466" s="167">
        <v>69.23</v>
      </c>
      <c r="G466" s="167">
        <v>69.23</v>
      </c>
      <c r="H466" s="167">
        <v>69.23</v>
      </c>
      <c r="I466" s="167">
        <v>69.23</v>
      </c>
      <c r="J466" s="167">
        <v>69.23</v>
      </c>
      <c r="K466" s="167">
        <v>69.23</v>
      </c>
      <c r="L466" s="167">
        <v>69.23</v>
      </c>
      <c r="M466" s="167">
        <v>69.23</v>
      </c>
      <c r="N466" s="167">
        <v>69.23</v>
      </c>
      <c r="O466" s="167">
        <v>69.23</v>
      </c>
      <c r="P466" s="167">
        <v>69.23</v>
      </c>
      <c r="Q466" s="167">
        <v>69.23</v>
      </c>
      <c r="R466" s="167">
        <v>69.23</v>
      </c>
      <c r="S466" s="167">
        <v>69.23</v>
      </c>
      <c r="T466" s="167">
        <v>69.23</v>
      </c>
      <c r="U466" s="167">
        <v>69.23</v>
      </c>
      <c r="V466" s="167">
        <v>69.23</v>
      </c>
      <c r="W466" s="167">
        <v>69.23</v>
      </c>
      <c r="X466" s="167">
        <v>69.23</v>
      </c>
      <c r="Y466" s="167">
        <v>69.23</v>
      </c>
      <c r="Z466" s="167">
        <v>69.23</v>
      </c>
      <c r="AA466" s="167">
        <v>69.23</v>
      </c>
      <c r="AB466" s="167">
        <v>69.23</v>
      </c>
      <c r="AC466" s="167">
        <v>69.23</v>
      </c>
      <c r="AD466" s="167">
        <v>69.23</v>
      </c>
      <c r="AE466" s="167">
        <f t="shared" si="23"/>
        <v>1799.9800000000002</v>
      </c>
    </row>
    <row r="467" spans="1:31">
      <c r="A467" s="197">
        <f t="shared" si="24"/>
        <v>45847</v>
      </c>
      <c r="B467" s="167">
        <f>YEAR(Table7[[#This Row],[Date]])+IF(MONTH(Table7[[#This Row],[Date]])&gt;=4,1,0)</f>
        <v>2026</v>
      </c>
      <c r="C467" s="167">
        <f>YEAR(Table7[[#This Row],[Date]])</f>
        <v>2025</v>
      </c>
      <c r="D467" s="168">
        <f t="shared" si="22"/>
        <v>45839</v>
      </c>
      <c r="E467" s="167">
        <v>2855.76</v>
      </c>
      <c r="F467" s="167">
        <v>2855.76</v>
      </c>
      <c r="G467" s="167">
        <v>2855.76</v>
      </c>
      <c r="H467" s="167">
        <v>2855.76</v>
      </c>
      <c r="I467" s="167">
        <v>2855.76</v>
      </c>
      <c r="J467" s="167">
        <v>2855.76</v>
      </c>
      <c r="K467" s="167">
        <v>2855.76</v>
      </c>
      <c r="L467" s="167">
        <v>2855.76</v>
      </c>
      <c r="M467" s="167">
        <v>2855.76</v>
      </c>
      <c r="N467" s="167">
        <v>2855.76</v>
      </c>
      <c r="O467" s="167">
        <v>2855.76</v>
      </c>
      <c r="P467" s="167">
        <v>2855.76</v>
      </c>
      <c r="Q467" s="167">
        <v>2855.76</v>
      </c>
      <c r="R467" s="167">
        <v>2855.76</v>
      </c>
      <c r="S467" s="167">
        <v>2855.76</v>
      </c>
      <c r="T467" s="167">
        <v>2855.76</v>
      </c>
      <c r="U467" s="167">
        <v>2855.76</v>
      </c>
      <c r="V467" s="167">
        <v>2855.76</v>
      </c>
      <c r="W467" s="167">
        <v>2855.76</v>
      </c>
      <c r="X467" s="167">
        <v>2855.76</v>
      </c>
      <c r="Y467" s="167">
        <v>2855.76</v>
      </c>
      <c r="Z467" s="167">
        <v>2855.76</v>
      </c>
      <c r="AA467" s="167">
        <v>2855.76</v>
      </c>
      <c r="AB467" s="167">
        <v>2855.76</v>
      </c>
      <c r="AC467" s="167">
        <v>2855.76</v>
      </c>
      <c r="AD467" s="167">
        <v>2855.76</v>
      </c>
      <c r="AE467" s="167">
        <f t="shared" si="23"/>
        <v>74249.760000000009</v>
      </c>
    </row>
    <row r="468" spans="1:31">
      <c r="A468" s="197">
        <f t="shared" si="24"/>
        <v>45848</v>
      </c>
      <c r="B468" s="167">
        <f>YEAR(Table7[[#This Row],[Date]])+IF(MONTH(Table7[[#This Row],[Date]])&gt;=4,1,0)</f>
        <v>2026</v>
      </c>
      <c r="C468" s="167">
        <f>YEAR(Table7[[#This Row],[Date]])</f>
        <v>2025</v>
      </c>
      <c r="D468" s="168">
        <f t="shared" si="22"/>
        <v>45839</v>
      </c>
      <c r="E468" s="167">
        <v>173.07</v>
      </c>
      <c r="F468" s="167">
        <v>173.07</v>
      </c>
      <c r="G468" s="167">
        <v>173.07</v>
      </c>
      <c r="H468" s="167">
        <v>173.07</v>
      </c>
      <c r="I468" s="167">
        <v>173.07</v>
      </c>
      <c r="J468" s="167">
        <v>173.07</v>
      </c>
      <c r="K468" s="167">
        <v>173.07</v>
      </c>
      <c r="L468" s="167">
        <v>173.07</v>
      </c>
      <c r="M468" s="167">
        <v>173.07</v>
      </c>
      <c r="N468" s="167">
        <v>173.07</v>
      </c>
      <c r="O468" s="167">
        <v>173.07</v>
      </c>
      <c r="P468" s="167">
        <v>173.07</v>
      </c>
      <c r="Q468" s="167">
        <v>173.07</v>
      </c>
      <c r="R468" s="167">
        <v>173.07</v>
      </c>
      <c r="S468" s="167">
        <v>173.07</v>
      </c>
      <c r="T468" s="167">
        <v>173.07</v>
      </c>
      <c r="U468" s="167">
        <v>173.07</v>
      </c>
      <c r="V468" s="167">
        <v>173.07</v>
      </c>
      <c r="W468" s="167">
        <v>173.07</v>
      </c>
      <c r="X468" s="167">
        <v>173.07</v>
      </c>
      <c r="Y468" s="167">
        <v>173.07</v>
      </c>
      <c r="Z468" s="167">
        <v>173.07</v>
      </c>
      <c r="AA468" s="167">
        <v>173.07</v>
      </c>
      <c r="AB468" s="167">
        <v>173.07</v>
      </c>
      <c r="AC468" s="167">
        <v>173.07</v>
      </c>
      <c r="AD468" s="167">
        <v>173.07</v>
      </c>
      <c r="AE468" s="167">
        <f t="shared" si="23"/>
        <v>4499.8200000000006</v>
      </c>
    </row>
    <row r="469" spans="1:31">
      <c r="A469" s="197">
        <f t="shared" si="24"/>
        <v>45849</v>
      </c>
      <c r="B469" s="167">
        <f>YEAR(Table7[[#This Row],[Date]])+IF(MONTH(Table7[[#This Row],[Date]])&gt;=4,1,0)</f>
        <v>2026</v>
      </c>
      <c r="C469" s="167">
        <f>YEAR(Table7[[#This Row],[Date]])</f>
        <v>2025</v>
      </c>
      <c r="D469" s="168">
        <f t="shared" si="22"/>
        <v>45839</v>
      </c>
      <c r="E469" s="167">
        <v>51.92</v>
      </c>
      <c r="F469" s="167">
        <v>51.92</v>
      </c>
      <c r="G469" s="167">
        <v>51.92</v>
      </c>
      <c r="H469" s="167">
        <v>51.92</v>
      </c>
      <c r="I469" s="167">
        <v>51.92</v>
      </c>
      <c r="J469" s="167">
        <v>51.92</v>
      </c>
      <c r="K469" s="167">
        <v>51.92</v>
      </c>
      <c r="L469" s="167">
        <v>51.92</v>
      </c>
      <c r="M469" s="167">
        <v>51.92</v>
      </c>
      <c r="N469" s="167">
        <v>51.92</v>
      </c>
      <c r="O469" s="167">
        <v>51.92</v>
      </c>
      <c r="P469" s="167">
        <v>51.92</v>
      </c>
      <c r="Q469" s="167">
        <v>51.92</v>
      </c>
      <c r="R469" s="167">
        <v>51.92</v>
      </c>
      <c r="S469" s="167">
        <v>51.92</v>
      </c>
      <c r="T469" s="167">
        <v>51.92</v>
      </c>
      <c r="U469" s="167">
        <v>51.92</v>
      </c>
      <c r="V469" s="167">
        <v>51.92</v>
      </c>
      <c r="W469" s="167">
        <v>51.92</v>
      </c>
      <c r="X469" s="167">
        <v>51.92</v>
      </c>
      <c r="Y469" s="167">
        <v>51.92</v>
      </c>
      <c r="Z469" s="167">
        <v>51.92</v>
      </c>
      <c r="AA469" s="167">
        <v>51.92</v>
      </c>
      <c r="AB469" s="167">
        <v>51.92</v>
      </c>
      <c r="AC469" s="167">
        <v>51.92</v>
      </c>
      <c r="AD469" s="167">
        <v>51.92</v>
      </c>
      <c r="AE469" s="167">
        <f t="shared" si="23"/>
        <v>1349.92</v>
      </c>
    </row>
    <row r="470" spans="1:31">
      <c r="A470" s="197">
        <f t="shared" si="24"/>
        <v>45850</v>
      </c>
      <c r="B470" s="167">
        <f>YEAR(Table7[[#This Row],[Date]])+IF(MONTH(Table7[[#This Row],[Date]])&gt;=4,1,0)</f>
        <v>2026</v>
      </c>
      <c r="C470" s="167">
        <f>YEAR(Table7[[#This Row],[Date]])</f>
        <v>2025</v>
      </c>
      <c r="D470" s="168">
        <f t="shared" si="22"/>
        <v>45839</v>
      </c>
      <c r="E470" s="167">
        <v>34.61</v>
      </c>
      <c r="F470" s="167">
        <v>34.61</v>
      </c>
      <c r="G470" s="167">
        <v>34.61</v>
      </c>
      <c r="H470" s="167">
        <v>34.61</v>
      </c>
      <c r="I470" s="167">
        <v>34.61</v>
      </c>
      <c r="J470" s="167">
        <v>34.61</v>
      </c>
      <c r="K470" s="167">
        <v>34.61</v>
      </c>
      <c r="L470" s="167">
        <v>34.61</v>
      </c>
      <c r="M470" s="167">
        <v>34.61</v>
      </c>
      <c r="N470" s="167">
        <v>34.61</v>
      </c>
      <c r="O470" s="167">
        <v>34.61</v>
      </c>
      <c r="P470" s="167">
        <v>34.61</v>
      </c>
      <c r="Q470" s="167">
        <v>34.61</v>
      </c>
      <c r="R470" s="167">
        <v>34.61</v>
      </c>
      <c r="S470" s="167">
        <v>34.61</v>
      </c>
      <c r="T470" s="167">
        <v>34.61</v>
      </c>
      <c r="U470" s="167">
        <v>34.61</v>
      </c>
      <c r="V470" s="167">
        <v>34.61</v>
      </c>
      <c r="W470" s="167">
        <v>34.61</v>
      </c>
      <c r="X470" s="167">
        <v>34.61</v>
      </c>
      <c r="Y470" s="167">
        <v>34.61</v>
      </c>
      <c r="Z470" s="167">
        <v>34.61</v>
      </c>
      <c r="AA470" s="167">
        <v>34.61</v>
      </c>
      <c r="AB470" s="167">
        <v>34.61</v>
      </c>
      <c r="AC470" s="167">
        <v>34.61</v>
      </c>
      <c r="AD470" s="167">
        <v>34.61</v>
      </c>
      <c r="AE470" s="167">
        <f t="shared" si="23"/>
        <v>899.86000000000024</v>
      </c>
    </row>
    <row r="471" spans="1:31">
      <c r="A471" s="197">
        <f t="shared" si="24"/>
        <v>45851</v>
      </c>
      <c r="B471" s="167">
        <f>YEAR(Table7[[#This Row],[Date]])+IF(MONTH(Table7[[#This Row],[Date]])&gt;=4,1,0)</f>
        <v>2026</v>
      </c>
      <c r="C471" s="167">
        <f>YEAR(Table7[[#This Row],[Date]])</f>
        <v>2025</v>
      </c>
      <c r="D471" s="168">
        <f t="shared" si="22"/>
        <v>45839</v>
      </c>
      <c r="E471" s="167">
        <v>86.53</v>
      </c>
      <c r="F471" s="167">
        <v>86.53</v>
      </c>
      <c r="G471" s="167">
        <v>86.53</v>
      </c>
      <c r="H471" s="167">
        <v>86.53</v>
      </c>
      <c r="I471" s="167">
        <v>86.53</v>
      </c>
      <c r="J471" s="167">
        <v>86.53</v>
      </c>
      <c r="K471" s="167">
        <v>86.53</v>
      </c>
      <c r="L471" s="167">
        <v>86.53</v>
      </c>
      <c r="M471" s="167">
        <v>86.53</v>
      </c>
      <c r="N471" s="167">
        <v>86.53</v>
      </c>
      <c r="O471" s="167">
        <v>86.53</v>
      </c>
      <c r="P471" s="167">
        <v>86.53</v>
      </c>
      <c r="Q471" s="167">
        <v>86.53</v>
      </c>
      <c r="R471" s="167">
        <v>86.53</v>
      </c>
      <c r="S471" s="167">
        <v>86.53</v>
      </c>
      <c r="T471" s="167">
        <v>86.53</v>
      </c>
      <c r="U471" s="167">
        <v>86.53</v>
      </c>
      <c r="V471" s="167">
        <v>86.53</v>
      </c>
      <c r="W471" s="167">
        <v>86.53</v>
      </c>
      <c r="X471" s="167">
        <v>86.53</v>
      </c>
      <c r="Y471" s="167">
        <v>86.53</v>
      </c>
      <c r="Z471" s="167">
        <v>86.53</v>
      </c>
      <c r="AA471" s="167">
        <v>86.53</v>
      </c>
      <c r="AB471" s="167">
        <v>86.53</v>
      </c>
      <c r="AC471" s="167">
        <v>86.53</v>
      </c>
      <c r="AD471" s="167">
        <v>86.53</v>
      </c>
      <c r="AE471" s="167">
        <f t="shared" si="23"/>
        <v>2249.7800000000002</v>
      </c>
    </row>
    <row r="472" spans="1:31">
      <c r="A472" s="197">
        <f t="shared" si="24"/>
        <v>45852</v>
      </c>
      <c r="B472" s="167">
        <f>YEAR(Table7[[#This Row],[Date]])+IF(MONTH(Table7[[#This Row],[Date]])&gt;=4,1,0)</f>
        <v>2026</v>
      </c>
      <c r="C472" s="167">
        <f>YEAR(Table7[[#This Row],[Date]])</f>
        <v>2025</v>
      </c>
      <c r="D472" s="168">
        <f t="shared" si="22"/>
        <v>45839</v>
      </c>
      <c r="E472" s="167">
        <v>86.53</v>
      </c>
      <c r="F472" s="167">
        <v>86.53</v>
      </c>
      <c r="G472" s="167">
        <v>86.53</v>
      </c>
      <c r="H472" s="167">
        <v>86.53</v>
      </c>
      <c r="I472" s="167">
        <v>86.53</v>
      </c>
      <c r="J472" s="167">
        <v>86.53</v>
      </c>
      <c r="K472" s="167">
        <v>86.53</v>
      </c>
      <c r="L472" s="167">
        <v>86.53</v>
      </c>
      <c r="M472" s="167">
        <v>86.53</v>
      </c>
      <c r="N472" s="167">
        <v>86.53</v>
      </c>
      <c r="O472" s="167">
        <v>86.53</v>
      </c>
      <c r="P472" s="167">
        <v>86.53</v>
      </c>
      <c r="Q472" s="167">
        <v>86.53</v>
      </c>
      <c r="R472" s="167">
        <v>86.53</v>
      </c>
      <c r="S472" s="167">
        <v>86.53</v>
      </c>
      <c r="T472" s="167">
        <v>86.53</v>
      </c>
      <c r="U472" s="167">
        <v>86.53</v>
      </c>
      <c r="V472" s="167">
        <v>86.53</v>
      </c>
      <c r="W472" s="167">
        <v>86.53</v>
      </c>
      <c r="X472" s="167">
        <v>86.53</v>
      </c>
      <c r="Y472" s="167">
        <v>86.53</v>
      </c>
      <c r="Z472" s="167">
        <v>86.53</v>
      </c>
      <c r="AA472" s="167">
        <v>86.53</v>
      </c>
      <c r="AB472" s="167">
        <v>86.53</v>
      </c>
      <c r="AC472" s="167">
        <v>86.53</v>
      </c>
      <c r="AD472" s="167">
        <v>86.53</v>
      </c>
      <c r="AE472" s="167">
        <f t="shared" si="23"/>
        <v>2249.7800000000002</v>
      </c>
    </row>
    <row r="473" spans="1:31">
      <c r="A473" s="197">
        <f t="shared" si="24"/>
        <v>45853</v>
      </c>
      <c r="B473" s="167">
        <f>YEAR(Table7[[#This Row],[Date]])+IF(MONTH(Table7[[#This Row],[Date]])&gt;=4,1,0)</f>
        <v>2026</v>
      </c>
      <c r="C473" s="167">
        <f>YEAR(Table7[[#This Row],[Date]])</f>
        <v>2025</v>
      </c>
      <c r="D473" s="168">
        <f t="shared" si="22"/>
        <v>45839</v>
      </c>
      <c r="AE473" s="167">
        <f t="shared" si="23"/>
        <v>0</v>
      </c>
    </row>
    <row r="474" spans="1:31">
      <c r="A474" s="197">
        <f t="shared" si="24"/>
        <v>45854</v>
      </c>
      <c r="B474" s="167">
        <f>YEAR(Table7[[#This Row],[Date]])+IF(MONTH(Table7[[#This Row],[Date]])&gt;=4,1,0)</f>
        <v>2026</v>
      </c>
      <c r="C474" s="167">
        <f>YEAR(Table7[[#This Row],[Date]])</f>
        <v>2025</v>
      </c>
      <c r="D474" s="168">
        <f t="shared" si="22"/>
        <v>45839</v>
      </c>
      <c r="AE474" s="167">
        <f t="shared" si="23"/>
        <v>0</v>
      </c>
    </row>
    <row r="475" spans="1:31">
      <c r="A475" s="197">
        <f t="shared" si="24"/>
        <v>45855</v>
      </c>
      <c r="B475" s="167">
        <f>YEAR(Table7[[#This Row],[Date]])+IF(MONTH(Table7[[#This Row],[Date]])&gt;=4,1,0)</f>
        <v>2026</v>
      </c>
      <c r="C475" s="167">
        <f>YEAR(Table7[[#This Row],[Date]])</f>
        <v>2025</v>
      </c>
      <c r="D475" s="168">
        <f t="shared" si="22"/>
        <v>45839</v>
      </c>
      <c r="AE475" s="167">
        <f t="shared" si="23"/>
        <v>0</v>
      </c>
    </row>
    <row r="476" spans="1:31">
      <c r="A476" s="197">
        <f t="shared" si="24"/>
        <v>45856</v>
      </c>
      <c r="B476" s="167">
        <f>YEAR(Table7[[#This Row],[Date]])+IF(MONTH(Table7[[#This Row],[Date]])&gt;=4,1,0)</f>
        <v>2026</v>
      </c>
      <c r="C476" s="167">
        <f>YEAR(Table7[[#This Row],[Date]])</f>
        <v>2025</v>
      </c>
      <c r="D476" s="168">
        <f t="shared" si="22"/>
        <v>45839</v>
      </c>
      <c r="AE476" s="167">
        <f t="shared" si="23"/>
        <v>0</v>
      </c>
    </row>
    <row r="477" spans="1:31">
      <c r="A477" s="197">
        <f t="shared" si="24"/>
        <v>45857</v>
      </c>
      <c r="B477" s="167">
        <f>YEAR(Table7[[#This Row],[Date]])+IF(MONTH(Table7[[#This Row],[Date]])&gt;=4,1,0)</f>
        <v>2026</v>
      </c>
      <c r="C477" s="167">
        <f>YEAR(Table7[[#This Row],[Date]])</f>
        <v>2025</v>
      </c>
      <c r="D477" s="168">
        <f t="shared" si="22"/>
        <v>45839</v>
      </c>
      <c r="AE477" s="167">
        <f t="shared" si="23"/>
        <v>0</v>
      </c>
    </row>
    <row r="478" spans="1:31">
      <c r="A478" s="197">
        <f t="shared" si="24"/>
        <v>45858</v>
      </c>
      <c r="B478" s="167">
        <f>YEAR(Table7[[#This Row],[Date]])+IF(MONTH(Table7[[#This Row],[Date]])&gt;=4,1,0)</f>
        <v>2026</v>
      </c>
      <c r="C478" s="167">
        <f>YEAR(Table7[[#This Row],[Date]])</f>
        <v>2025</v>
      </c>
      <c r="D478" s="168">
        <f t="shared" si="22"/>
        <v>45839</v>
      </c>
      <c r="AE478" s="167">
        <f t="shared" si="23"/>
        <v>0</v>
      </c>
    </row>
    <row r="479" spans="1:31">
      <c r="A479" s="197">
        <f t="shared" si="24"/>
        <v>45859</v>
      </c>
      <c r="B479" s="167">
        <f>YEAR(Table7[[#This Row],[Date]])+IF(MONTH(Table7[[#This Row],[Date]])&gt;=4,1,0)</f>
        <v>2026</v>
      </c>
      <c r="C479" s="167">
        <f>YEAR(Table7[[#This Row],[Date]])</f>
        <v>2025</v>
      </c>
      <c r="D479" s="168">
        <f t="shared" si="22"/>
        <v>45839</v>
      </c>
      <c r="AE479" s="167">
        <f t="shared" si="23"/>
        <v>0</v>
      </c>
    </row>
    <row r="480" spans="1:31">
      <c r="A480" s="197">
        <f t="shared" si="24"/>
        <v>45860</v>
      </c>
      <c r="B480" s="167">
        <f>YEAR(Table7[[#This Row],[Date]])+IF(MONTH(Table7[[#This Row],[Date]])&gt;=4,1,0)</f>
        <v>2026</v>
      </c>
      <c r="C480" s="167">
        <f>YEAR(Table7[[#This Row],[Date]])</f>
        <v>2025</v>
      </c>
      <c r="D480" s="168">
        <f t="shared" si="22"/>
        <v>45839</v>
      </c>
      <c r="AE480" s="167">
        <f t="shared" si="23"/>
        <v>0</v>
      </c>
    </row>
    <row r="481" spans="1:31">
      <c r="A481" s="197">
        <f t="shared" si="24"/>
        <v>45861</v>
      </c>
      <c r="B481" s="167">
        <f>YEAR(Table7[[#This Row],[Date]])+IF(MONTH(Table7[[#This Row],[Date]])&gt;=4,1,0)</f>
        <v>2026</v>
      </c>
      <c r="C481" s="167">
        <f>YEAR(Table7[[#This Row],[Date]])</f>
        <v>2025</v>
      </c>
      <c r="D481" s="168">
        <f t="shared" si="22"/>
        <v>45839</v>
      </c>
      <c r="AE481" s="167">
        <f t="shared" si="23"/>
        <v>0</v>
      </c>
    </row>
    <row r="482" spans="1:31">
      <c r="A482" s="197">
        <f t="shared" si="24"/>
        <v>45862</v>
      </c>
      <c r="B482" s="167">
        <f>YEAR(Table7[[#This Row],[Date]])+IF(MONTH(Table7[[#This Row],[Date]])&gt;=4,1,0)</f>
        <v>2026</v>
      </c>
      <c r="C482" s="167">
        <f>YEAR(Table7[[#This Row],[Date]])</f>
        <v>2025</v>
      </c>
      <c r="D482" s="168">
        <f t="shared" si="22"/>
        <v>45839</v>
      </c>
      <c r="AE482" s="167">
        <f t="shared" si="23"/>
        <v>0</v>
      </c>
    </row>
    <row r="483" spans="1:31">
      <c r="A483" s="197">
        <f t="shared" si="24"/>
        <v>45863</v>
      </c>
      <c r="B483" s="167">
        <f>YEAR(Table7[[#This Row],[Date]])+IF(MONTH(Table7[[#This Row],[Date]])&gt;=4,1,0)</f>
        <v>2026</v>
      </c>
      <c r="C483" s="167">
        <f>YEAR(Table7[[#This Row],[Date]])</f>
        <v>2025</v>
      </c>
      <c r="D483" s="168">
        <f t="shared" si="22"/>
        <v>45839</v>
      </c>
      <c r="AE483" s="167">
        <f t="shared" si="23"/>
        <v>0</v>
      </c>
    </row>
    <row r="484" spans="1:31">
      <c r="A484" s="197">
        <f t="shared" si="24"/>
        <v>45864</v>
      </c>
      <c r="B484" s="167">
        <f>YEAR(Table7[[#This Row],[Date]])+IF(MONTH(Table7[[#This Row],[Date]])&gt;=4,1,0)</f>
        <v>2026</v>
      </c>
      <c r="C484" s="167">
        <f>YEAR(Table7[[#This Row],[Date]])</f>
        <v>2025</v>
      </c>
      <c r="D484" s="168">
        <f t="shared" si="22"/>
        <v>45839</v>
      </c>
      <c r="AE484" s="167">
        <f t="shared" si="23"/>
        <v>0</v>
      </c>
    </row>
    <row r="485" spans="1:31">
      <c r="A485" s="197">
        <f t="shared" si="24"/>
        <v>45865</v>
      </c>
      <c r="B485" s="167">
        <f>YEAR(Table7[[#This Row],[Date]])+IF(MONTH(Table7[[#This Row],[Date]])&gt;=4,1,0)</f>
        <v>2026</v>
      </c>
      <c r="C485" s="167">
        <f>YEAR(Table7[[#This Row],[Date]])</f>
        <v>2025</v>
      </c>
      <c r="D485" s="168">
        <f t="shared" si="22"/>
        <v>45839</v>
      </c>
      <c r="AE485" s="167">
        <f t="shared" si="23"/>
        <v>0</v>
      </c>
    </row>
    <row r="486" spans="1:31">
      <c r="A486" s="197">
        <f t="shared" si="24"/>
        <v>45866</v>
      </c>
      <c r="B486" s="167">
        <f>YEAR(Table7[[#This Row],[Date]])+IF(MONTH(Table7[[#This Row],[Date]])&gt;=4,1,0)</f>
        <v>2026</v>
      </c>
      <c r="C486" s="167">
        <f>YEAR(Table7[[#This Row],[Date]])</f>
        <v>2025</v>
      </c>
      <c r="D486" s="168">
        <f t="shared" si="22"/>
        <v>45839</v>
      </c>
      <c r="AE486" s="167">
        <f t="shared" si="23"/>
        <v>0</v>
      </c>
    </row>
    <row r="487" spans="1:31">
      <c r="A487" s="197">
        <f t="shared" si="24"/>
        <v>45867</v>
      </c>
      <c r="B487" s="167">
        <f>YEAR(Table7[[#This Row],[Date]])+IF(MONTH(Table7[[#This Row],[Date]])&gt;=4,1,0)</f>
        <v>2026</v>
      </c>
      <c r="C487" s="167">
        <f>YEAR(Table7[[#This Row],[Date]])</f>
        <v>2025</v>
      </c>
      <c r="D487" s="168">
        <f t="shared" si="22"/>
        <v>45839</v>
      </c>
      <c r="AE487" s="167">
        <f t="shared" si="23"/>
        <v>0</v>
      </c>
    </row>
    <row r="488" spans="1:31">
      <c r="A488" s="197">
        <f t="shared" si="24"/>
        <v>45868</v>
      </c>
      <c r="B488" s="167">
        <f>YEAR(Table7[[#This Row],[Date]])+IF(MONTH(Table7[[#This Row],[Date]])&gt;=4,1,0)</f>
        <v>2026</v>
      </c>
      <c r="C488" s="167">
        <f>YEAR(Table7[[#This Row],[Date]])</f>
        <v>2025</v>
      </c>
      <c r="D488" s="168">
        <f t="shared" si="22"/>
        <v>45839</v>
      </c>
      <c r="AE488" s="167">
        <f t="shared" si="23"/>
        <v>0</v>
      </c>
    </row>
    <row r="489" spans="1:31">
      <c r="A489" s="197">
        <f t="shared" si="24"/>
        <v>45869</v>
      </c>
      <c r="B489" s="167">
        <f>YEAR(Table7[[#This Row],[Date]])+IF(MONTH(Table7[[#This Row],[Date]])&gt;=4,1,0)</f>
        <v>2026</v>
      </c>
      <c r="C489" s="167">
        <f>YEAR(Table7[[#This Row],[Date]])</f>
        <v>2025</v>
      </c>
      <c r="D489" s="168">
        <f t="shared" si="22"/>
        <v>45839</v>
      </c>
      <c r="AE489" s="167">
        <f t="shared" si="23"/>
        <v>0</v>
      </c>
    </row>
    <row r="490" spans="1:31">
      <c r="A490" s="197">
        <f t="shared" si="24"/>
        <v>45870</v>
      </c>
      <c r="B490" s="167">
        <f>YEAR(Table7[[#This Row],[Date]])+IF(MONTH(Table7[[#This Row],[Date]])&gt;=4,1,0)</f>
        <v>2026</v>
      </c>
      <c r="C490" s="167">
        <f>YEAR(Table7[[#This Row],[Date]])</f>
        <v>2025</v>
      </c>
      <c r="D490" s="168">
        <f t="shared" si="22"/>
        <v>45870</v>
      </c>
      <c r="AE490" s="167">
        <f t="shared" si="23"/>
        <v>0</v>
      </c>
    </row>
    <row r="491" spans="1:31">
      <c r="A491" s="197">
        <f t="shared" si="24"/>
        <v>45871</v>
      </c>
      <c r="B491" s="167">
        <f>YEAR(Table7[[#This Row],[Date]])+IF(MONTH(Table7[[#This Row],[Date]])&gt;=4,1,0)</f>
        <v>2026</v>
      </c>
      <c r="C491" s="167">
        <f>YEAR(Table7[[#This Row],[Date]])</f>
        <v>2025</v>
      </c>
      <c r="D491" s="168">
        <f t="shared" si="22"/>
        <v>45870</v>
      </c>
      <c r="AE491" s="167">
        <f t="shared" si="23"/>
        <v>0</v>
      </c>
    </row>
    <row r="492" spans="1:31">
      <c r="A492" s="197">
        <f t="shared" si="24"/>
        <v>45872</v>
      </c>
      <c r="B492" s="167">
        <f>YEAR(Table7[[#This Row],[Date]])+IF(MONTH(Table7[[#This Row],[Date]])&gt;=4,1,0)</f>
        <v>2026</v>
      </c>
      <c r="C492" s="167">
        <f>YEAR(Table7[[#This Row],[Date]])</f>
        <v>2025</v>
      </c>
      <c r="D492" s="168">
        <f t="shared" si="22"/>
        <v>45870</v>
      </c>
      <c r="AE492" s="167">
        <f t="shared" si="23"/>
        <v>0</v>
      </c>
    </row>
    <row r="493" spans="1:31">
      <c r="A493" s="197">
        <f t="shared" si="24"/>
        <v>45873</v>
      </c>
      <c r="B493" s="167">
        <f>YEAR(Table7[[#This Row],[Date]])+IF(MONTH(Table7[[#This Row],[Date]])&gt;=4,1,0)</f>
        <v>2026</v>
      </c>
      <c r="C493" s="167">
        <f>YEAR(Table7[[#This Row],[Date]])</f>
        <v>2025</v>
      </c>
      <c r="D493" s="168">
        <f t="shared" si="22"/>
        <v>45870</v>
      </c>
      <c r="AE493" s="167">
        <f t="shared" si="23"/>
        <v>0</v>
      </c>
    </row>
    <row r="494" spans="1:31">
      <c r="A494" s="197">
        <f t="shared" si="24"/>
        <v>45874</v>
      </c>
      <c r="B494" s="167">
        <f>YEAR(Table7[[#This Row],[Date]])+IF(MONTH(Table7[[#This Row],[Date]])&gt;=4,1,0)</f>
        <v>2026</v>
      </c>
      <c r="C494" s="167">
        <f>YEAR(Table7[[#This Row],[Date]])</f>
        <v>2025</v>
      </c>
      <c r="D494" s="168">
        <f t="shared" si="22"/>
        <v>45870</v>
      </c>
      <c r="AE494" s="167">
        <f t="shared" si="23"/>
        <v>0</v>
      </c>
    </row>
    <row r="495" spans="1:31">
      <c r="A495" s="197">
        <f t="shared" si="24"/>
        <v>45875</v>
      </c>
      <c r="B495" s="167">
        <f>YEAR(Table7[[#This Row],[Date]])+IF(MONTH(Table7[[#This Row],[Date]])&gt;=4,1,0)</f>
        <v>2026</v>
      </c>
      <c r="C495" s="167">
        <f>YEAR(Table7[[#This Row],[Date]])</f>
        <v>2025</v>
      </c>
      <c r="D495" s="168">
        <f t="shared" si="22"/>
        <v>45870</v>
      </c>
      <c r="AE495" s="167">
        <f t="shared" si="23"/>
        <v>0</v>
      </c>
    </row>
    <row r="496" spans="1:31">
      <c r="A496" s="197">
        <f t="shared" si="24"/>
        <v>45876</v>
      </c>
      <c r="B496" s="167">
        <f>YEAR(Table7[[#This Row],[Date]])+IF(MONTH(Table7[[#This Row],[Date]])&gt;=4,1,0)</f>
        <v>2026</v>
      </c>
      <c r="C496" s="167">
        <f>YEAR(Table7[[#This Row],[Date]])</f>
        <v>2025</v>
      </c>
      <c r="D496" s="168">
        <f t="shared" si="22"/>
        <v>45870</v>
      </c>
      <c r="AE496" s="167">
        <f t="shared" si="23"/>
        <v>0</v>
      </c>
    </row>
    <row r="497" spans="1:31">
      <c r="A497" s="197">
        <f t="shared" si="24"/>
        <v>45877</v>
      </c>
      <c r="B497" s="167">
        <f>YEAR(Table7[[#This Row],[Date]])+IF(MONTH(Table7[[#This Row],[Date]])&gt;=4,1,0)</f>
        <v>2026</v>
      </c>
      <c r="C497" s="167">
        <f>YEAR(Table7[[#This Row],[Date]])</f>
        <v>2025</v>
      </c>
      <c r="D497" s="168">
        <f t="shared" si="22"/>
        <v>45870</v>
      </c>
      <c r="AE497" s="167">
        <f t="shared" si="23"/>
        <v>0</v>
      </c>
    </row>
    <row r="498" spans="1:31">
      <c r="A498" s="197">
        <f t="shared" si="24"/>
        <v>45878</v>
      </c>
      <c r="B498" s="167">
        <f>YEAR(Table7[[#This Row],[Date]])+IF(MONTH(Table7[[#This Row],[Date]])&gt;=4,1,0)</f>
        <v>2026</v>
      </c>
      <c r="C498" s="167">
        <f>YEAR(Table7[[#This Row],[Date]])</f>
        <v>2025</v>
      </c>
      <c r="D498" s="168">
        <f t="shared" si="22"/>
        <v>45870</v>
      </c>
      <c r="AE498" s="167">
        <f t="shared" si="23"/>
        <v>0</v>
      </c>
    </row>
    <row r="499" spans="1:31">
      <c r="A499" s="197">
        <f t="shared" si="24"/>
        <v>45879</v>
      </c>
      <c r="B499" s="167">
        <f>YEAR(Table7[[#This Row],[Date]])+IF(MONTH(Table7[[#This Row],[Date]])&gt;=4,1,0)</f>
        <v>2026</v>
      </c>
      <c r="C499" s="167">
        <f>YEAR(Table7[[#This Row],[Date]])</f>
        <v>2025</v>
      </c>
      <c r="D499" s="168">
        <f t="shared" si="22"/>
        <v>45870</v>
      </c>
      <c r="AE499" s="167">
        <f t="shared" si="23"/>
        <v>0</v>
      </c>
    </row>
    <row r="500" spans="1:31">
      <c r="A500" s="197">
        <f t="shared" si="24"/>
        <v>45880</v>
      </c>
      <c r="B500" s="167">
        <f>YEAR(Table7[[#This Row],[Date]])+IF(MONTH(Table7[[#This Row],[Date]])&gt;=4,1,0)</f>
        <v>2026</v>
      </c>
      <c r="C500" s="167">
        <f>YEAR(Table7[[#This Row],[Date]])</f>
        <v>2025</v>
      </c>
      <c r="D500" s="168">
        <f t="shared" si="22"/>
        <v>45870</v>
      </c>
      <c r="AE500" s="167">
        <f t="shared" si="23"/>
        <v>0</v>
      </c>
    </row>
    <row r="501" spans="1:31">
      <c r="A501" s="197">
        <f t="shared" si="24"/>
        <v>45881</v>
      </c>
      <c r="B501" s="167">
        <f>YEAR(Table7[[#This Row],[Date]])+IF(MONTH(Table7[[#This Row],[Date]])&gt;=4,1,0)</f>
        <v>2026</v>
      </c>
      <c r="C501" s="167">
        <f>YEAR(Table7[[#This Row],[Date]])</f>
        <v>2025</v>
      </c>
      <c r="D501" s="168">
        <f t="shared" si="22"/>
        <v>45870</v>
      </c>
      <c r="AE501" s="167">
        <f t="shared" si="23"/>
        <v>0</v>
      </c>
    </row>
    <row r="502" spans="1:31">
      <c r="A502" s="197">
        <f t="shared" si="24"/>
        <v>45882</v>
      </c>
      <c r="B502" s="167">
        <f>YEAR(Table7[[#This Row],[Date]])+IF(MONTH(Table7[[#This Row],[Date]])&gt;=4,1,0)</f>
        <v>2026</v>
      </c>
      <c r="C502" s="167">
        <f>YEAR(Table7[[#This Row],[Date]])</f>
        <v>2025</v>
      </c>
      <c r="D502" s="168">
        <f t="shared" si="22"/>
        <v>45870</v>
      </c>
      <c r="AE502" s="167">
        <f t="shared" si="23"/>
        <v>0</v>
      </c>
    </row>
    <row r="503" spans="1:31">
      <c r="A503" s="197">
        <f t="shared" si="24"/>
        <v>45883</v>
      </c>
      <c r="B503" s="167">
        <f>YEAR(Table7[[#This Row],[Date]])+IF(MONTH(Table7[[#This Row],[Date]])&gt;=4,1,0)</f>
        <v>2026</v>
      </c>
      <c r="C503" s="167">
        <f>YEAR(Table7[[#This Row],[Date]])</f>
        <v>2025</v>
      </c>
      <c r="D503" s="168">
        <f t="shared" si="22"/>
        <v>45870</v>
      </c>
      <c r="AE503" s="167">
        <f t="shared" si="23"/>
        <v>0</v>
      </c>
    </row>
    <row r="504" spans="1:31">
      <c r="A504" s="197">
        <f t="shared" si="24"/>
        <v>45884</v>
      </c>
      <c r="B504" s="167">
        <f>YEAR(Table7[[#This Row],[Date]])+IF(MONTH(Table7[[#This Row],[Date]])&gt;=4,1,0)</f>
        <v>2026</v>
      </c>
      <c r="C504" s="167">
        <f>YEAR(Table7[[#This Row],[Date]])</f>
        <v>2025</v>
      </c>
      <c r="D504" s="168">
        <f t="shared" si="22"/>
        <v>45870</v>
      </c>
      <c r="AE504" s="167">
        <f t="shared" si="23"/>
        <v>0</v>
      </c>
    </row>
    <row r="505" spans="1:31">
      <c r="A505" s="197">
        <f t="shared" si="24"/>
        <v>45885</v>
      </c>
      <c r="B505" s="167">
        <f>YEAR(Table7[[#This Row],[Date]])+IF(MONTH(Table7[[#This Row],[Date]])&gt;=4,1,0)</f>
        <v>2026</v>
      </c>
      <c r="C505" s="167">
        <f>YEAR(Table7[[#This Row],[Date]])</f>
        <v>2025</v>
      </c>
      <c r="D505" s="168">
        <f t="shared" si="22"/>
        <v>45870</v>
      </c>
      <c r="AE505" s="167">
        <f t="shared" si="23"/>
        <v>0</v>
      </c>
    </row>
    <row r="506" spans="1:31">
      <c r="A506" s="197">
        <f t="shared" si="24"/>
        <v>45886</v>
      </c>
      <c r="B506" s="167">
        <f>YEAR(Table7[[#This Row],[Date]])+IF(MONTH(Table7[[#This Row],[Date]])&gt;=4,1,0)</f>
        <v>2026</v>
      </c>
      <c r="C506" s="167">
        <f>YEAR(Table7[[#This Row],[Date]])</f>
        <v>2025</v>
      </c>
      <c r="D506" s="168">
        <f t="shared" si="22"/>
        <v>45870</v>
      </c>
      <c r="AE506" s="167">
        <f t="shared" si="23"/>
        <v>0</v>
      </c>
    </row>
    <row r="507" spans="1:31">
      <c r="A507" s="197">
        <f t="shared" si="24"/>
        <v>45887</v>
      </c>
      <c r="B507" s="167">
        <f>YEAR(Table7[[#This Row],[Date]])+IF(MONTH(Table7[[#This Row],[Date]])&gt;=4,1,0)</f>
        <v>2026</v>
      </c>
      <c r="C507" s="167">
        <f>YEAR(Table7[[#This Row],[Date]])</f>
        <v>2025</v>
      </c>
      <c r="D507" s="168">
        <f t="shared" si="22"/>
        <v>45870</v>
      </c>
      <c r="AE507" s="167">
        <f t="shared" si="23"/>
        <v>0</v>
      </c>
    </row>
    <row r="508" spans="1:31">
      <c r="A508" s="197">
        <f t="shared" si="24"/>
        <v>45888</v>
      </c>
      <c r="B508" s="167">
        <f>YEAR(Table7[[#This Row],[Date]])+IF(MONTH(Table7[[#This Row],[Date]])&gt;=4,1,0)</f>
        <v>2026</v>
      </c>
      <c r="C508" s="167">
        <f>YEAR(Table7[[#This Row],[Date]])</f>
        <v>2025</v>
      </c>
      <c r="D508" s="168">
        <f t="shared" si="22"/>
        <v>45870</v>
      </c>
      <c r="AE508" s="167">
        <f t="shared" si="23"/>
        <v>0</v>
      </c>
    </row>
    <row r="509" spans="1:31">
      <c r="A509" s="197">
        <f t="shared" si="24"/>
        <v>45889</v>
      </c>
      <c r="B509" s="167">
        <f>YEAR(Table7[[#This Row],[Date]])+IF(MONTH(Table7[[#This Row],[Date]])&gt;=4,1,0)</f>
        <v>2026</v>
      </c>
      <c r="C509" s="167">
        <f>YEAR(Table7[[#This Row],[Date]])</f>
        <v>2025</v>
      </c>
      <c r="D509" s="168">
        <f t="shared" si="22"/>
        <v>45870</v>
      </c>
      <c r="AE509" s="167">
        <f t="shared" si="23"/>
        <v>0</v>
      </c>
    </row>
    <row r="510" spans="1:31">
      <c r="A510" s="197">
        <f t="shared" si="24"/>
        <v>45890</v>
      </c>
      <c r="B510" s="167">
        <f>YEAR(Table7[[#This Row],[Date]])+IF(MONTH(Table7[[#This Row],[Date]])&gt;=4,1,0)</f>
        <v>2026</v>
      </c>
      <c r="C510" s="167">
        <f>YEAR(Table7[[#This Row],[Date]])</f>
        <v>2025</v>
      </c>
      <c r="D510" s="168">
        <f t="shared" si="22"/>
        <v>45870</v>
      </c>
      <c r="AE510" s="167">
        <f t="shared" si="23"/>
        <v>0</v>
      </c>
    </row>
    <row r="511" spans="1:31">
      <c r="A511" s="197">
        <f t="shared" si="24"/>
        <v>45891</v>
      </c>
      <c r="B511" s="167">
        <f>YEAR(Table7[[#This Row],[Date]])+IF(MONTH(Table7[[#This Row],[Date]])&gt;=4,1,0)</f>
        <v>2026</v>
      </c>
      <c r="C511" s="167">
        <f>YEAR(Table7[[#This Row],[Date]])</f>
        <v>2025</v>
      </c>
      <c r="D511" s="168">
        <f t="shared" si="22"/>
        <v>45870</v>
      </c>
      <c r="AE511" s="167">
        <f t="shared" si="23"/>
        <v>0</v>
      </c>
    </row>
    <row r="512" spans="1:31">
      <c r="A512" s="197">
        <f t="shared" si="24"/>
        <v>45892</v>
      </c>
      <c r="B512" s="167">
        <f>YEAR(Table7[[#This Row],[Date]])+IF(MONTH(Table7[[#This Row],[Date]])&gt;=4,1,0)</f>
        <v>2026</v>
      </c>
      <c r="C512" s="167">
        <f>YEAR(Table7[[#This Row],[Date]])</f>
        <v>2025</v>
      </c>
      <c r="D512" s="168">
        <f t="shared" si="22"/>
        <v>45870</v>
      </c>
      <c r="AE512" s="167">
        <f t="shared" si="23"/>
        <v>0</v>
      </c>
    </row>
    <row r="513" spans="1:31">
      <c r="A513" s="197">
        <f t="shared" si="24"/>
        <v>45893</v>
      </c>
      <c r="B513" s="167">
        <f>YEAR(Table7[[#This Row],[Date]])+IF(MONTH(Table7[[#This Row],[Date]])&gt;=4,1,0)</f>
        <v>2026</v>
      </c>
      <c r="C513" s="167">
        <f>YEAR(Table7[[#This Row],[Date]])</f>
        <v>2025</v>
      </c>
      <c r="D513" s="168">
        <f t="shared" si="22"/>
        <v>45870</v>
      </c>
      <c r="AE513" s="167">
        <f t="shared" si="23"/>
        <v>0</v>
      </c>
    </row>
    <row r="514" spans="1:31">
      <c r="A514" s="197">
        <f t="shared" si="24"/>
        <v>45894</v>
      </c>
      <c r="B514" s="167">
        <f>YEAR(Table7[[#This Row],[Date]])+IF(MONTH(Table7[[#This Row],[Date]])&gt;=4,1,0)</f>
        <v>2026</v>
      </c>
      <c r="C514" s="167">
        <f>YEAR(Table7[[#This Row],[Date]])</f>
        <v>2025</v>
      </c>
      <c r="D514" s="168">
        <f t="shared" si="22"/>
        <v>45870</v>
      </c>
      <c r="AE514" s="167">
        <f t="shared" si="23"/>
        <v>0</v>
      </c>
    </row>
    <row r="515" spans="1:31">
      <c r="A515" s="197">
        <f t="shared" si="24"/>
        <v>45895</v>
      </c>
      <c r="B515" s="167">
        <f>YEAR(Table7[[#This Row],[Date]])+IF(MONTH(Table7[[#This Row],[Date]])&gt;=4,1,0)</f>
        <v>2026</v>
      </c>
      <c r="C515" s="167">
        <f>YEAR(Table7[[#This Row],[Date]])</f>
        <v>2025</v>
      </c>
      <c r="D515" s="168">
        <f t="shared" ref="D515:D578" si="26">A515-DAY(A515)+1</f>
        <v>45870</v>
      </c>
      <c r="AE515" s="167">
        <f t="shared" ref="AE515:AE578" si="27">SUM(E515:AD515)</f>
        <v>0</v>
      </c>
    </row>
    <row r="516" spans="1:31">
      <c r="A516" s="197">
        <f t="shared" si="24"/>
        <v>45896</v>
      </c>
      <c r="B516" s="167">
        <f>YEAR(Table7[[#This Row],[Date]])+IF(MONTH(Table7[[#This Row],[Date]])&gt;=4,1,0)</f>
        <v>2026</v>
      </c>
      <c r="C516" s="167">
        <f>YEAR(Table7[[#This Row],[Date]])</f>
        <v>2025</v>
      </c>
      <c r="D516" s="168">
        <f t="shared" si="26"/>
        <v>45870</v>
      </c>
      <c r="AE516" s="167">
        <f t="shared" si="27"/>
        <v>0</v>
      </c>
    </row>
    <row r="517" spans="1:31">
      <c r="A517" s="197">
        <f t="shared" ref="A517:A580" si="28">A516+1</f>
        <v>45897</v>
      </c>
      <c r="B517" s="167">
        <f>YEAR(Table7[[#This Row],[Date]])+IF(MONTH(Table7[[#This Row],[Date]])&gt;=4,1,0)</f>
        <v>2026</v>
      </c>
      <c r="C517" s="167">
        <f>YEAR(Table7[[#This Row],[Date]])</f>
        <v>2025</v>
      </c>
      <c r="D517" s="168">
        <f t="shared" si="26"/>
        <v>45870</v>
      </c>
      <c r="AE517" s="167">
        <f t="shared" si="27"/>
        <v>0</v>
      </c>
    </row>
    <row r="518" spans="1:31">
      <c r="A518" s="197">
        <f t="shared" si="28"/>
        <v>45898</v>
      </c>
      <c r="B518" s="167">
        <f>YEAR(Table7[[#This Row],[Date]])+IF(MONTH(Table7[[#This Row],[Date]])&gt;=4,1,0)</f>
        <v>2026</v>
      </c>
      <c r="C518" s="167">
        <f>YEAR(Table7[[#This Row],[Date]])</f>
        <v>2025</v>
      </c>
      <c r="D518" s="168">
        <f t="shared" si="26"/>
        <v>45870</v>
      </c>
      <c r="AE518" s="167">
        <f t="shared" si="27"/>
        <v>0</v>
      </c>
    </row>
    <row r="519" spans="1:31">
      <c r="A519" s="197">
        <f t="shared" si="28"/>
        <v>45899</v>
      </c>
      <c r="B519" s="167">
        <f>YEAR(Table7[[#This Row],[Date]])+IF(MONTH(Table7[[#This Row],[Date]])&gt;=4,1,0)</f>
        <v>2026</v>
      </c>
      <c r="C519" s="167">
        <f>YEAR(Table7[[#This Row],[Date]])</f>
        <v>2025</v>
      </c>
      <c r="D519" s="168">
        <f t="shared" si="26"/>
        <v>45870</v>
      </c>
      <c r="AE519" s="167">
        <f t="shared" si="27"/>
        <v>0</v>
      </c>
    </row>
    <row r="520" spans="1:31">
      <c r="A520" s="197">
        <f t="shared" si="28"/>
        <v>45900</v>
      </c>
      <c r="B520" s="167">
        <f>YEAR(Table7[[#This Row],[Date]])+IF(MONTH(Table7[[#This Row],[Date]])&gt;=4,1,0)</f>
        <v>2026</v>
      </c>
      <c r="C520" s="167">
        <f>YEAR(Table7[[#This Row],[Date]])</f>
        <v>2025</v>
      </c>
      <c r="D520" s="168">
        <f t="shared" si="26"/>
        <v>45870</v>
      </c>
      <c r="AE520" s="167">
        <f t="shared" si="27"/>
        <v>0</v>
      </c>
    </row>
    <row r="521" spans="1:31">
      <c r="A521" s="197">
        <f t="shared" si="28"/>
        <v>45901</v>
      </c>
      <c r="B521" s="167">
        <f>YEAR(Table7[[#This Row],[Date]])+IF(MONTH(Table7[[#This Row],[Date]])&gt;=4,1,0)</f>
        <v>2026</v>
      </c>
      <c r="C521" s="167">
        <f>YEAR(Table7[[#This Row],[Date]])</f>
        <v>2025</v>
      </c>
      <c r="D521" s="168">
        <f t="shared" si="26"/>
        <v>45901</v>
      </c>
      <c r="AE521" s="167">
        <f t="shared" si="27"/>
        <v>0</v>
      </c>
    </row>
    <row r="522" spans="1:31">
      <c r="A522" s="197">
        <f t="shared" si="28"/>
        <v>45902</v>
      </c>
      <c r="B522" s="167">
        <f>YEAR(Table7[[#This Row],[Date]])+IF(MONTH(Table7[[#This Row],[Date]])&gt;=4,1,0)</f>
        <v>2026</v>
      </c>
      <c r="C522" s="167">
        <f>YEAR(Table7[[#This Row],[Date]])</f>
        <v>2025</v>
      </c>
      <c r="D522" s="168">
        <f t="shared" si="26"/>
        <v>45901</v>
      </c>
      <c r="AE522" s="167">
        <f t="shared" si="27"/>
        <v>0</v>
      </c>
    </row>
    <row r="523" spans="1:31">
      <c r="A523" s="197">
        <f t="shared" si="28"/>
        <v>45903</v>
      </c>
      <c r="B523" s="167">
        <f>YEAR(Table7[[#This Row],[Date]])+IF(MONTH(Table7[[#This Row],[Date]])&gt;=4,1,0)</f>
        <v>2026</v>
      </c>
      <c r="C523" s="167">
        <f>YEAR(Table7[[#This Row],[Date]])</f>
        <v>2025</v>
      </c>
      <c r="D523" s="168">
        <f t="shared" si="26"/>
        <v>45901</v>
      </c>
      <c r="AE523" s="167">
        <f t="shared" si="27"/>
        <v>0</v>
      </c>
    </row>
    <row r="524" spans="1:31">
      <c r="A524" s="197">
        <f t="shared" si="28"/>
        <v>45904</v>
      </c>
      <c r="B524" s="167">
        <f>YEAR(Table7[[#This Row],[Date]])+IF(MONTH(Table7[[#This Row],[Date]])&gt;=4,1,0)</f>
        <v>2026</v>
      </c>
      <c r="C524" s="167">
        <f>YEAR(Table7[[#This Row],[Date]])</f>
        <v>2025</v>
      </c>
      <c r="D524" s="168">
        <f t="shared" si="26"/>
        <v>45901</v>
      </c>
      <c r="AE524" s="167">
        <f t="shared" si="27"/>
        <v>0</v>
      </c>
    </row>
    <row r="525" spans="1:31">
      <c r="A525" s="197">
        <f t="shared" si="28"/>
        <v>45905</v>
      </c>
      <c r="B525" s="167">
        <f>YEAR(Table7[[#This Row],[Date]])+IF(MONTH(Table7[[#This Row],[Date]])&gt;=4,1,0)</f>
        <v>2026</v>
      </c>
      <c r="C525" s="167">
        <f>YEAR(Table7[[#This Row],[Date]])</f>
        <v>2025</v>
      </c>
      <c r="D525" s="168">
        <f t="shared" si="26"/>
        <v>45901</v>
      </c>
      <c r="AE525" s="167">
        <f t="shared" si="27"/>
        <v>0</v>
      </c>
    </row>
    <row r="526" spans="1:31">
      <c r="A526" s="197">
        <f t="shared" si="28"/>
        <v>45906</v>
      </c>
      <c r="B526" s="167">
        <f>YEAR(Table7[[#This Row],[Date]])+IF(MONTH(Table7[[#This Row],[Date]])&gt;=4,1,0)</f>
        <v>2026</v>
      </c>
      <c r="C526" s="167">
        <f>YEAR(Table7[[#This Row],[Date]])</f>
        <v>2025</v>
      </c>
      <c r="D526" s="168">
        <f t="shared" si="26"/>
        <v>45901</v>
      </c>
      <c r="AE526" s="167">
        <f t="shared" si="27"/>
        <v>0</v>
      </c>
    </row>
    <row r="527" spans="1:31">
      <c r="A527" s="197">
        <f t="shared" si="28"/>
        <v>45907</v>
      </c>
      <c r="B527" s="167">
        <f>YEAR(Table7[[#This Row],[Date]])+IF(MONTH(Table7[[#This Row],[Date]])&gt;=4,1,0)</f>
        <v>2026</v>
      </c>
      <c r="C527" s="167">
        <f>YEAR(Table7[[#This Row],[Date]])</f>
        <v>2025</v>
      </c>
      <c r="D527" s="168">
        <f t="shared" si="26"/>
        <v>45901</v>
      </c>
      <c r="AE527" s="167">
        <f t="shared" si="27"/>
        <v>0</v>
      </c>
    </row>
    <row r="528" spans="1:31">
      <c r="A528" s="197">
        <f t="shared" si="28"/>
        <v>45908</v>
      </c>
      <c r="B528" s="167">
        <f>YEAR(Table7[[#This Row],[Date]])+IF(MONTH(Table7[[#This Row],[Date]])&gt;=4,1,0)</f>
        <v>2026</v>
      </c>
      <c r="C528" s="167">
        <f>YEAR(Table7[[#This Row],[Date]])</f>
        <v>2025</v>
      </c>
      <c r="D528" s="168">
        <f t="shared" si="26"/>
        <v>45901</v>
      </c>
      <c r="AE528" s="167">
        <f t="shared" si="27"/>
        <v>0</v>
      </c>
    </row>
    <row r="529" spans="1:31">
      <c r="A529" s="197">
        <f t="shared" si="28"/>
        <v>45909</v>
      </c>
      <c r="B529" s="167">
        <f>YEAR(Table7[[#This Row],[Date]])+IF(MONTH(Table7[[#This Row],[Date]])&gt;=4,1,0)</f>
        <v>2026</v>
      </c>
      <c r="C529" s="167">
        <f>YEAR(Table7[[#This Row],[Date]])</f>
        <v>2025</v>
      </c>
      <c r="D529" s="168">
        <f t="shared" si="26"/>
        <v>45901</v>
      </c>
      <c r="AE529" s="167">
        <f t="shared" si="27"/>
        <v>0</v>
      </c>
    </row>
    <row r="530" spans="1:31">
      <c r="A530" s="197">
        <f t="shared" si="28"/>
        <v>45910</v>
      </c>
      <c r="B530" s="167">
        <f>YEAR(Table7[[#This Row],[Date]])+IF(MONTH(Table7[[#This Row],[Date]])&gt;=4,1,0)</f>
        <v>2026</v>
      </c>
      <c r="C530" s="167">
        <f>YEAR(Table7[[#This Row],[Date]])</f>
        <v>2025</v>
      </c>
      <c r="D530" s="168">
        <f t="shared" si="26"/>
        <v>45901</v>
      </c>
      <c r="AE530" s="167">
        <f t="shared" si="27"/>
        <v>0</v>
      </c>
    </row>
    <row r="531" spans="1:31">
      <c r="A531" s="197">
        <f t="shared" si="28"/>
        <v>45911</v>
      </c>
      <c r="B531" s="167">
        <f>YEAR(Table7[[#This Row],[Date]])+IF(MONTH(Table7[[#This Row],[Date]])&gt;=4,1,0)</f>
        <v>2026</v>
      </c>
      <c r="C531" s="167">
        <f>YEAR(Table7[[#This Row],[Date]])</f>
        <v>2025</v>
      </c>
      <c r="D531" s="168">
        <f t="shared" si="26"/>
        <v>45901</v>
      </c>
      <c r="AE531" s="167">
        <f t="shared" si="27"/>
        <v>0</v>
      </c>
    </row>
    <row r="532" spans="1:31">
      <c r="A532" s="197">
        <f t="shared" si="28"/>
        <v>45912</v>
      </c>
      <c r="B532" s="167">
        <f>YEAR(Table7[[#This Row],[Date]])+IF(MONTH(Table7[[#This Row],[Date]])&gt;=4,1,0)</f>
        <v>2026</v>
      </c>
      <c r="C532" s="167">
        <f>YEAR(Table7[[#This Row],[Date]])</f>
        <v>2025</v>
      </c>
      <c r="D532" s="168">
        <f t="shared" si="26"/>
        <v>45901</v>
      </c>
      <c r="AE532" s="167">
        <f t="shared" si="27"/>
        <v>0</v>
      </c>
    </row>
    <row r="533" spans="1:31">
      <c r="A533" s="197">
        <f t="shared" si="28"/>
        <v>45913</v>
      </c>
      <c r="B533" s="167">
        <f>YEAR(Table7[[#This Row],[Date]])+IF(MONTH(Table7[[#This Row],[Date]])&gt;=4,1,0)</f>
        <v>2026</v>
      </c>
      <c r="C533" s="167">
        <f>YEAR(Table7[[#This Row],[Date]])</f>
        <v>2025</v>
      </c>
      <c r="D533" s="168">
        <f t="shared" si="26"/>
        <v>45901</v>
      </c>
      <c r="AE533" s="167">
        <f t="shared" si="27"/>
        <v>0</v>
      </c>
    </row>
    <row r="534" spans="1:31">
      <c r="A534" s="197">
        <f t="shared" si="28"/>
        <v>45914</v>
      </c>
      <c r="B534" s="167">
        <f>YEAR(Table7[[#This Row],[Date]])+IF(MONTH(Table7[[#This Row],[Date]])&gt;=4,1,0)</f>
        <v>2026</v>
      </c>
      <c r="C534" s="167">
        <f>YEAR(Table7[[#This Row],[Date]])</f>
        <v>2025</v>
      </c>
      <c r="D534" s="168">
        <f t="shared" si="26"/>
        <v>45901</v>
      </c>
      <c r="AE534" s="167">
        <f t="shared" si="27"/>
        <v>0</v>
      </c>
    </row>
    <row r="535" spans="1:31">
      <c r="A535" s="197">
        <f t="shared" si="28"/>
        <v>45915</v>
      </c>
      <c r="B535" s="167">
        <f>YEAR(Table7[[#This Row],[Date]])+IF(MONTH(Table7[[#This Row],[Date]])&gt;=4,1,0)</f>
        <v>2026</v>
      </c>
      <c r="C535" s="167">
        <f>YEAR(Table7[[#This Row],[Date]])</f>
        <v>2025</v>
      </c>
      <c r="D535" s="168">
        <f t="shared" si="26"/>
        <v>45901</v>
      </c>
      <c r="AE535" s="167">
        <f t="shared" si="27"/>
        <v>0</v>
      </c>
    </row>
    <row r="536" spans="1:31">
      <c r="A536" s="197">
        <f t="shared" si="28"/>
        <v>45916</v>
      </c>
      <c r="B536" s="167">
        <f>YEAR(Table7[[#This Row],[Date]])+IF(MONTH(Table7[[#This Row],[Date]])&gt;=4,1,0)</f>
        <v>2026</v>
      </c>
      <c r="C536" s="167">
        <f>YEAR(Table7[[#This Row],[Date]])</f>
        <v>2025</v>
      </c>
      <c r="D536" s="168">
        <f t="shared" si="26"/>
        <v>45901</v>
      </c>
      <c r="AE536" s="167">
        <f t="shared" si="27"/>
        <v>0</v>
      </c>
    </row>
    <row r="537" spans="1:31">
      <c r="A537" s="197">
        <f t="shared" si="28"/>
        <v>45917</v>
      </c>
      <c r="B537" s="167">
        <f>YEAR(Table7[[#This Row],[Date]])+IF(MONTH(Table7[[#This Row],[Date]])&gt;=4,1,0)</f>
        <v>2026</v>
      </c>
      <c r="C537" s="167">
        <f>YEAR(Table7[[#This Row],[Date]])</f>
        <v>2025</v>
      </c>
      <c r="D537" s="168">
        <f t="shared" si="26"/>
        <v>45901</v>
      </c>
      <c r="AE537" s="167">
        <f t="shared" si="27"/>
        <v>0</v>
      </c>
    </row>
    <row r="538" spans="1:31">
      <c r="A538" s="197">
        <f t="shared" si="28"/>
        <v>45918</v>
      </c>
      <c r="B538" s="167">
        <f>YEAR(Table7[[#This Row],[Date]])+IF(MONTH(Table7[[#This Row],[Date]])&gt;=4,1,0)</f>
        <v>2026</v>
      </c>
      <c r="C538" s="167">
        <f>YEAR(Table7[[#This Row],[Date]])</f>
        <v>2025</v>
      </c>
      <c r="D538" s="168">
        <f t="shared" si="26"/>
        <v>45901</v>
      </c>
      <c r="AE538" s="167">
        <f t="shared" si="27"/>
        <v>0</v>
      </c>
    </row>
    <row r="539" spans="1:31">
      <c r="A539" s="197">
        <f t="shared" si="28"/>
        <v>45919</v>
      </c>
      <c r="B539" s="167">
        <f>YEAR(Table7[[#This Row],[Date]])+IF(MONTH(Table7[[#This Row],[Date]])&gt;=4,1,0)</f>
        <v>2026</v>
      </c>
      <c r="C539" s="167">
        <f>YEAR(Table7[[#This Row],[Date]])</f>
        <v>2025</v>
      </c>
      <c r="D539" s="168">
        <f t="shared" si="26"/>
        <v>45901</v>
      </c>
      <c r="AE539" s="167">
        <f t="shared" si="27"/>
        <v>0</v>
      </c>
    </row>
    <row r="540" spans="1:31">
      <c r="A540" s="197">
        <f t="shared" si="28"/>
        <v>45920</v>
      </c>
      <c r="B540" s="167">
        <f>YEAR(Table7[[#This Row],[Date]])+IF(MONTH(Table7[[#This Row],[Date]])&gt;=4,1,0)</f>
        <v>2026</v>
      </c>
      <c r="C540" s="167">
        <f>YEAR(Table7[[#This Row],[Date]])</f>
        <v>2025</v>
      </c>
      <c r="D540" s="168">
        <f t="shared" si="26"/>
        <v>45901</v>
      </c>
      <c r="AE540" s="167">
        <f t="shared" si="27"/>
        <v>0</v>
      </c>
    </row>
    <row r="541" spans="1:31">
      <c r="A541" s="197">
        <f t="shared" si="28"/>
        <v>45921</v>
      </c>
      <c r="B541" s="167">
        <f>YEAR(Table7[[#This Row],[Date]])+IF(MONTH(Table7[[#This Row],[Date]])&gt;=4,1,0)</f>
        <v>2026</v>
      </c>
      <c r="C541" s="167">
        <f>YEAR(Table7[[#This Row],[Date]])</f>
        <v>2025</v>
      </c>
      <c r="D541" s="168">
        <f t="shared" si="26"/>
        <v>45901</v>
      </c>
      <c r="AE541" s="167">
        <f t="shared" si="27"/>
        <v>0</v>
      </c>
    </row>
    <row r="542" spans="1:31">
      <c r="A542" s="197">
        <f t="shared" si="28"/>
        <v>45922</v>
      </c>
      <c r="B542" s="167">
        <f>YEAR(Table7[[#This Row],[Date]])+IF(MONTH(Table7[[#This Row],[Date]])&gt;=4,1,0)</f>
        <v>2026</v>
      </c>
      <c r="C542" s="167">
        <f>YEAR(Table7[[#This Row],[Date]])</f>
        <v>2025</v>
      </c>
      <c r="D542" s="168">
        <f t="shared" si="26"/>
        <v>45901</v>
      </c>
      <c r="AE542" s="167">
        <f t="shared" si="27"/>
        <v>0</v>
      </c>
    </row>
    <row r="543" spans="1:31">
      <c r="A543" s="197">
        <f t="shared" si="28"/>
        <v>45923</v>
      </c>
      <c r="B543" s="167">
        <f>YEAR(Table7[[#This Row],[Date]])+IF(MONTH(Table7[[#This Row],[Date]])&gt;=4,1,0)</f>
        <v>2026</v>
      </c>
      <c r="C543" s="167">
        <f>YEAR(Table7[[#This Row],[Date]])</f>
        <v>2025</v>
      </c>
      <c r="D543" s="168">
        <f t="shared" si="26"/>
        <v>45901</v>
      </c>
      <c r="AE543" s="167">
        <f t="shared" si="27"/>
        <v>0</v>
      </c>
    </row>
    <row r="544" spans="1:31">
      <c r="A544" s="197">
        <f t="shared" si="28"/>
        <v>45924</v>
      </c>
      <c r="B544" s="167">
        <f>YEAR(Table7[[#This Row],[Date]])+IF(MONTH(Table7[[#This Row],[Date]])&gt;=4,1,0)</f>
        <v>2026</v>
      </c>
      <c r="C544" s="167">
        <f>YEAR(Table7[[#This Row],[Date]])</f>
        <v>2025</v>
      </c>
      <c r="D544" s="168">
        <f t="shared" si="26"/>
        <v>45901</v>
      </c>
      <c r="AE544" s="167">
        <f t="shared" si="27"/>
        <v>0</v>
      </c>
    </row>
    <row r="545" spans="1:31">
      <c r="A545" s="197">
        <f t="shared" si="28"/>
        <v>45925</v>
      </c>
      <c r="B545" s="167">
        <f>YEAR(Table7[[#This Row],[Date]])+IF(MONTH(Table7[[#This Row],[Date]])&gt;=4,1,0)</f>
        <v>2026</v>
      </c>
      <c r="C545" s="167">
        <f>YEAR(Table7[[#This Row],[Date]])</f>
        <v>2025</v>
      </c>
      <c r="D545" s="168">
        <f t="shared" si="26"/>
        <v>45901</v>
      </c>
      <c r="AE545" s="167">
        <f t="shared" si="27"/>
        <v>0</v>
      </c>
    </row>
    <row r="546" spans="1:31">
      <c r="A546" s="197">
        <f t="shared" si="28"/>
        <v>45926</v>
      </c>
      <c r="B546" s="167">
        <f>YEAR(Table7[[#This Row],[Date]])+IF(MONTH(Table7[[#This Row],[Date]])&gt;=4,1,0)</f>
        <v>2026</v>
      </c>
      <c r="C546" s="167">
        <f>YEAR(Table7[[#This Row],[Date]])</f>
        <v>2025</v>
      </c>
      <c r="D546" s="168">
        <f t="shared" si="26"/>
        <v>45901</v>
      </c>
      <c r="AE546" s="167">
        <f t="shared" si="27"/>
        <v>0</v>
      </c>
    </row>
    <row r="547" spans="1:31">
      <c r="A547" s="197">
        <f t="shared" si="28"/>
        <v>45927</v>
      </c>
      <c r="B547" s="167">
        <f>YEAR(Table7[[#This Row],[Date]])+IF(MONTH(Table7[[#This Row],[Date]])&gt;=4,1,0)</f>
        <v>2026</v>
      </c>
      <c r="C547" s="167">
        <f>YEAR(Table7[[#This Row],[Date]])</f>
        <v>2025</v>
      </c>
      <c r="D547" s="168">
        <f t="shared" si="26"/>
        <v>45901</v>
      </c>
      <c r="AE547" s="167">
        <f t="shared" si="27"/>
        <v>0</v>
      </c>
    </row>
    <row r="548" spans="1:31">
      <c r="A548" s="197">
        <f t="shared" si="28"/>
        <v>45928</v>
      </c>
      <c r="B548" s="167">
        <f>YEAR(Table7[[#This Row],[Date]])+IF(MONTH(Table7[[#This Row],[Date]])&gt;=4,1,0)</f>
        <v>2026</v>
      </c>
      <c r="C548" s="167">
        <f>YEAR(Table7[[#This Row],[Date]])</f>
        <v>2025</v>
      </c>
      <c r="D548" s="168">
        <f t="shared" si="26"/>
        <v>45901</v>
      </c>
      <c r="AE548" s="167">
        <f t="shared" si="27"/>
        <v>0</v>
      </c>
    </row>
    <row r="549" spans="1:31">
      <c r="A549" s="197">
        <f t="shared" si="28"/>
        <v>45929</v>
      </c>
      <c r="B549" s="167">
        <f>YEAR(Table7[[#This Row],[Date]])+IF(MONTH(Table7[[#This Row],[Date]])&gt;=4,1,0)</f>
        <v>2026</v>
      </c>
      <c r="C549" s="167">
        <f>YEAR(Table7[[#This Row],[Date]])</f>
        <v>2025</v>
      </c>
      <c r="D549" s="168">
        <f t="shared" si="26"/>
        <v>45901</v>
      </c>
      <c r="AE549" s="167">
        <f t="shared" si="27"/>
        <v>0</v>
      </c>
    </row>
    <row r="550" spans="1:31">
      <c r="A550" s="197">
        <f t="shared" si="28"/>
        <v>45930</v>
      </c>
      <c r="B550" s="167">
        <f>YEAR(Table7[[#This Row],[Date]])+IF(MONTH(Table7[[#This Row],[Date]])&gt;=4,1,0)</f>
        <v>2026</v>
      </c>
      <c r="C550" s="167">
        <f>YEAR(Table7[[#This Row],[Date]])</f>
        <v>2025</v>
      </c>
      <c r="D550" s="168">
        <f t="shared" si="26"/>
        <v>45901</v>
      </c>
      <c r="AE550" s="167">
        <f t="shared" si="27"/>
        <v>0</v>
      </c>
    </row>
    <row r="551" spans="1:31">
      <c r="A551" s="197">
        <f t="shared" si="28"/>
        <v>45931</v>
      </c>
      <c r="B551" s="167">
        <f>YEAR(Table7[[#This Row],[Date]])+IF(MONTH(Table7[[#This Row],[Date]])&gt;=4,1,0)</f>
        <v>2026</v>
      </c>
      <c r="C551" s="167">
        <f>YEAR(Table7[[#This Row],[Date]])</f>
        <v>2025</v>
      </c>
      <c r="D551" s="168">
        <f t="shared" si="26"/>
        <v>45931</v>
      </c>
      <c r="AE551" s="167">
        <f t="shared" si="27"/>
        <v>0</v>
      </c>
    </row>
    <row r="552" spans="1:31">
      <c r="A552" s="197">
        <f t="shared" si="28"/>
        <v>45932</v>
      </c>
      <c r="B552" s="167">
        <f>YEAR(Table7[[#This Row],[Date]])+IF(MONTH(Table7[[#This Row],[Date]])&gt;=4,1,0)</f>
        <v>2026</v>
      </c>
      <c r="C552" s="167">
        <f>YEAR(Table7[[#This Row],[Date]])</f>
        <v>2025</v>
      </c>
      <c r="D552" s="168">
        <f t="shared" si="26"/>
        <v>45931</v>
      </c>
      <c r="AE552" s="167">
        <f t="shared" si="27"/>
        <v>0</v>
      </c>
    </row>
    <row r="553" spans="1:31">
      <c r="A553" s="197">
        <f t="shared" si="28"/>
        <v>45933</v>
      </c>
      <c r="B553" s="167">
        <f>YEAR(Table7[[#This Row],[Date]])+IF(MONTH(Table7[[#This Row],[Date]])&gt;=4,1,0)</f>
        <v>2026</v>
      </c>
      <c r="C553" s="167">
        <f>YEAR(Table7[[#This Row],[Date]])</f>
        <v>2025</v>
      </c>
      <c r="D553" s="168">
        <f t="shared" si="26"/>
        <v>45931</v>
      </c>
      <c r="AE553" s="167">
        <f t="shared" si="27"/>
        <v>0</v>
      </c>
    </row>
    <row r="554" spans="1:31">
      <c r="A554" s="197">
        <f t="shared" si="28"/>
        <v>45934</v>
      </c>
      <c r="B554" s="167">
        <f>YEAR(Table7[[#This Row],[Date]])+IF(MONTH(Table7[[#This Row],[Date]])&gt;=4,1,0)</f>
        <v>2026</v>
      </c>
      <c r="C554" s="167">
        <f>YEAR(Table7[[#This Row],[Date]])</f>
        <v>2025</v>
      </c>
      <c r="D554" s="168">
        <f t="shared" si="26"/>
        <v>45931</v>
      </c>
      <c r="AE554" s="167">
        <f t="shared" si="27"/>
        <v>0</v>
      </c>
    </row>
    <row r="555" spans="1:31">
      <c r="A555" s="197">
        <f t="shared" si="28"/>
        <v>45935</v>
      </c>
      <c r="B555" s="167">
        <f>YEAR(Table7[[#This Row],[Date]])+IF(MONTH(Table7[[#This Row],[Date]])&gt;=4,1,0)</f>
        <v>2026</v>
      </c>
      <c r="C555" s="167">
        <f>YEAR(Table7[[#This Row],[Date]])</f>
        <v>2025</v>
      </c>
      <c r="D555" s="168">
        <f t="shared" si="26"/>
        <v>45931</v>
      </c>
      <c r="AE555" s="167">
        <f t="shared" si="27"/>
        <v>0</v>
      </c>
    </row>
    <row r="556" spans="1:31">
      <c r="A556" s="197">
        <f t="shared" si="28"/>
        <v>45936</v>
      </c>
      <c r="B556" s="167">
        <f>YEAR(Table7[[#This Row],[Date]])+IF(MONTH(Table7[[#This Row],[Date]])&gt;=4,1,0)</f>
        <v>2026</v>
      </c>
      <c r="C556" s="167">
        <f>YEAR(Table7[[#This Row],[Date]])</f>
        <v>2025</v>
      </c>
      <c r="D556" s="168">
        <f t="shared" si="26"/>
        <v>45931</v>
      </c>
      <c r="AE556" s="167">
        <f t="shared" si="27"/>
        <v>0</v>
      </c>
    </row>
    <row r="557" spans="1:31">
      <c r="A557" s="197">
        <f t="shared" si="28"/>
        <v>45937</v>
      </c>
      <c r="B557" s="167">
        <f>YEAR(Table7[[#This Row],[Date]])+IF(MONTH(Table7[[#This Row],[Date]])&gt;=4,1,0)</f>
        <v>2026</v>
      </c>
      <c r="C557" s="167">
        <f>YEAR(Table7[[#This Row],[Date]])</f>
        <v>2025</v>
      </c>
      <c r="D557" s="168">
        <f t="shared" si="26"/>
        <v>45931</v>
      </c>
      <c r="AE557" s="167">
        <f t="shared" si="27"/>
        <v>0</v>
      </c>
    </row>
    <row r="558" spans="1:31">
      <c r="A558" s="197">
        <f t="shared" si="28"/>
        <v>45938</v>
      </c>
      <c r="B558" s="167">
        <f>YEAR(Table7[[#This Row],[Date]])+IF(MONTH(Table7[[#This Row],[Date]])&gt;=4,1,0)</f>
        <v>2026</v>
      </c>
      <c r="C558" s="167">
        <f>YEAR(Table7[[#This Row],[Date]])</f>
        <v>2025</v>
      </c>
      <c r="D558" s="168">
        <f t="shared" si="26"/>
        <v>45931</v>
      </c>
      <c r="AE558" s="167">
        <f t="shared" si="27"/>
        <v>0</v>
      </c>
    </row>
    <row r="559" spans="1:31">
      <c r="A559" s="197">
        <f t="shared" si="28"/>
        <v>45939</v>
      </c>
      <c r="B559" s="167">
        <f>YEAR(Table7[[#This Row],[Date]])+IF(MONTH(Table7[[#This Row],[Date]])&gt;=4,1,0)</f>
        <v>2026</v>
      </c>
      <c r="C559" s="167">
        <f>YEAR(Table7[[#This Row],[Date]])</f>
        <v>2025</v>
      </c>
      <c r="D559" s="168">
        <f t="shared" si="26"/>
        <v>45931</v>
      </c>
      <c r="AE559" s="167">
        <f t="shared" si="27"/>
        <v>0</v>
      </c>
    </row>
    <row r="560" spans="1:31">
      <c r="A560" s="197">
        <f t="shared" si="28"/>
        <v>45940</v>
      </c>
      <c r="B560" s="167">
        <f>YEAR(Table7[[#This Row],[Date]])+IF(MONTH(Table7[[#This Row],[Date]])&gt;=4,1,0)</f>
        <v>2026</v>
      </c>
      <c r="C560" s="167">
        <f>YEAR(Table7[[#This Row],[Date]])</f>
        <v>2025</v>
      </c>
      <c r="D560" s="168">
        <f t="shared" si="26"/>
        <v>45931</v>
      </c>
      <c r="AE560" s="167">
        <f t="shared" si="27"/>
        <v>0</v>
      </c>
    </row>
    <row r="561" spans="1:31">
      <c r="A561" s="197">
        <f t="shared" si="28"/>
        <v>45941</v>
      </c>
      <c r="B561" s="167">
        <f>YEAR(Table7[[#This Row],[Date]])+IF(MONTH(Table7[[#This Row],[Date]])&gt;=4,1,0)</f>
        <v>2026</v>
      </c>
      <c r="C561" s="167">
        <f>YEAR(Table7[[#This Row],[Date]])</f>
        <v>2025</v>
      </c>
      <c r="D561" s="168">
        <f t="shared" si="26"/>
        <v>45931</v>
      </c>
      <c r="AE561" s="167">
        <f t="shared" si="27"/>
        <v>0</v>
      </c>
    </row>
    <row r="562" spans="1:31">
      <c r="A562" s="197">
        <f t="shared" si="28"/>
        <v>45942</v>
      </c>
      <c r="B562" s="167">
        <f>YEAR(Table7[[#This Row],[Date]])+IF(MONTH(Table7[[#This Row],[Date]])&gt;=4,1,0)</f>
        <v>2026</v>
      </c>
      <c r="C562" s="167">
        <f>YEAR(Table7[[#This Row],[Date]])</f>
        <v>2025</v>
      </c>
      <c r="D562" s="168">
        <f t="shared" si="26"/>
        <v>45931</v>
      </c>
      <c r="AE562" s="167">
        <f t="shared" si="27"/>
        <v>0</v>
      </c>
    </row>
    <row r="563" spans="1:31">
      <c r="A563" s="197">
        <f t="shared" si="28"/>
        <v>45943</v>
      </c>
      <c r="B563" s="167">
        <f>YEAR(Table7[[#This Row],[Date]])+IF(MONTH(Table7[[#This Row],[Date]])&gt;=4,1,0)</f>
        <v>2026</v>
      </c>
      <c r="C563" s="167">
        <f>YEAR(Table7[[#This Row],[Date]])</f>
        <v>2025</v>
      </c>
      <c r="D563" s="168">
        <f t="shared" si="26"/>
        <v>45931</v>
      </c>
      <c r="AE563" s="167">
        <f t="shared" si="27"/>
        <v>0</v>
      </c>
    </row>
    <row r="564" spans="1:31">
      <c r="A564" s="197">
        <f t="shared" si="28"/>
        <v>45944</v>
      </c>
      <c r="B564" s="167">
        <f>YEAR(Table7[[#This Row],[Date]])+IF(MONTH(Table7[[#This Row],[Date]])&gt;=4,1,0)</f>
        <v>2026</v>
      </c>
      <c r="C564" s="167">
        <f>YEAR(Table7[[#This Row],[Date]])</f>
        <v>2025</v>
      </c>
      <c r="D564" s="168">
        <f t="shared" si="26"/>
        <v>45931</v>
      </c>
      <c r="AE564" s="167">
        <f t="shared" si="27"/>
        <v>0</v>
      </c>
    </row>
    <row r="565" spans="1:31">
      <c r="A565" s="197">
        <f t="shared" si="28"/>
        <v>45945</v>
      </c>
      <c r="B565" s="167">
        <f>YEAR(Table7[[#This Row],[Date]])+IF(MONTH(Table7[[#This Row],[Date]])&gt;=4,1,0)</f>
        <v>2026</v>
      </c>
      <c r="C565" s="167">
        <f>YEAR(Table7[[#This Row],[Date]])</f>
        <v>2025</v>
      </c>
      <c r="D565" s="168">
        <f t="shared" si="26"/>
        <v>45931</v>
      </c>
      <c r="AE565" s="167">
        <f t="shared" si="27"/>
        <v>0</v>
      </c>
    </row>
    <row r="566" spans="1:31">
      <c r="A566" s="197">
        <f t="shared" si="28"/>
        <v>45946</v>
      </c>
      <c r="B566" s="167">
        <f>YEAR(Table7[[#This Row],[Date]])+IF(MONTH(Table7[[#This Row],[Date]])&gt;=4,1,0)</f>
        <v>2026</v>
      </c>
      <c r="C566" s="167">
        <f>YEAR(Table7[[#This Row],[Date]])</f>
        <v>2025</v>
      </c>
      <c r="D566" s="168">
        <f t="shared" si="26"/>
        <v>45931</v>
      </c>
      <c r="AE566" s="167">
        <f t="shared" si="27"/>
        <v>0</v>
      </c>
    </row>
    <row r="567" spans="1:31">
      <c r="A567" s="197">
        <f t="shared" si="28"/>
        <v>45947</v>
      </c>
      <c r="B567" s="167">
        <f>YEAR(Table7[[#This Row],[Date]])+IF(MONTH(Table7[[#This Row],[Date]])&gt;=4,1,0)</f>
        <v>2026</v>
      </c>
      <c r="C567" s="167">
        <f>YEAR(Table7[[#This Row],[Date]])</f>
        <v>2025</v>
      </c>
      <c r="D567" s="168">
        <f t="shared" si="26"/>
        <v>45931</v>
      </c>
      <c r="AE567" s="167">
        <f t="shared" si="27"/>
        <v>0</v>
      </c>
    </row>
    <row r="568" spans="1:31">
      <c r="A568" s="197">
        <f t="shared" si="28"/>
        <v>45948</v>
      </c>
      <c r="B568" s="167">
        <f>YEAR(Table7[[#This Row],[Date]])+IF(MONTH(Table7[[#This Row],[Date]])&gt;=4,1,0)</f>
        <v>2026</v>
      </c>
      <c r="C568" s="167">
        <f>YEAR(Table7[[#This Row],[Date]])</f>
        <v>2025</v>
      </c>
      <c r="D568" s="168">
        <f t="shared" si="26"/>
        <v>45931</v>
      </c>
      <c r="AE568" s="167">
        <f t="shared" si="27"/>
        <v>0</v>
      </c>
    </row>
    <row r="569" spans="1:31">
      <c r="A569" s="197">
        <f t="shared" si="28"/>
        <v>45949</v>
      </c>
      <c r="B569" s="167">
        <f>YEAR(Table7[[#This Row],[Date]])+IF(MONTH(Table7[[#This Row],[Date]])&gt;=4,1,0)</f>
        <v>2026</v>
      </c>
      <c r="C569" s="167">
        <f>YEAR(Table7[[#This Row],[Date]])</f>
        <v>2025</v>
      </c>
      <c r="D569" s="168">
        <f t="shared" si="26"/>
        <v>45931</v>
      </c>
      <c r="AE569" s="167">
        <f t="shared" si="27"/>
        <v>0</v>
      </c>
    </row>
    <row r="570" spans="1:31">
      <c r="A570" s="197">
        <f t="shared" si="28"/>
        <v>45950</v>
      </c>
      <c r="B570" s="167">
        <f>YEAR(Table7[[#This Row],[Date]])+IF(MONTH(Table7[[#This Row],[Date]])&gt;=4,1,0)</f>
        <v>2026</v>
      </c>
      <c r="C570" s="167">
        <f>YEAR(Table7[[#This Row],[Date]])</f>
        <v>2025</v>
      </c>
      <c r="D570" s="168">
        <f t="shared" si="26"/>
        <v>45931</v>
      </c>
      <c r="AE570" s="167">
        <f t="shared" si="27"/>
        <v>0</v>
      </c>
    </row>
    <row r="571" spans="1:31">
      <c r="A571" s="197">
        <f t="shared" si="28"/>
        <v>45951</v>
      </c>
      <c r="B571" s="167">
        <f>YEAR(Table7[[#This Row],[Date]])+IF(MONTH(Table7[[#This Row],[Date]])&gt;=4,1,0)</f>
        <v>2026</v>
      </c>
      <c r="C571" s="167">
        <f>YEAR(Table7[[#This Row],[Date]])</f>
        <v>2025</v>
      </c>
      <c r="D571" s="168">
        <f t="shared" si="26"/>
        <v>45931</v>
      </c>
      <c r="AE571" s="167">
        <f t="shared" si="27"/>
        <v>0</v>
      </c>
    </row>
    <row r="572" spans="1:31">
      <c r="A572" s="197">
        <f t="shared" si="28"/>
        <v>45952</v>
      </c>
      <c r="B572" s="167">
        <f>YEAR(Table7[[#This Row],[Date]])+IF(MONTH(Table7[[#This Row],[Date]])&gt;=4,1,0)</f>
        <v>2026</v>
      </c>
      <c r="C572" s="167">
        <f>YEAR(Table7[[#This Row],[Date]])</f>
        <v>2025</v>
      </c>
      <c r="D572" s="168">
        <f t="shared" si="26"/>
        <v>45931</v>
      </c>
      <c r="AE572" s="167">
        <f t="shared" si="27"/>
        <v>0</v>
      </c>
    </row>
    <row r="573" spans="1:31">
      <c r="A573" s="197">
        <f t="shared" si="28"/>
        <v>45953</v>
      </c>
      <c r="B573" s="167">
        <f>YEAR(Table7[[#This Row],[Date]])+IF(MONTH(Table7[[#This Row],[Date]])&gt;=4,1,0)</f>
        <v>2026</v>
      </c>
      <c r="C573" s="167">
        <f>YEAR(Table7[[#This Row],[Date]])</f>
        <v>2025</v>
      </c>
      <c r="D573" s="168">
        <f t="shared" si="26"/>
        <v>45931</v>
      </c>
      <c r="AE573" s="167">
        <f t="shared" si="27"/>
        <v>0</v>
      </c>
    </row>
    <row r="574" spans="1:31">
      <c r="A574" s="197">
        <f t="shared" si="28"/>
        <v>45954</v>
      </c>
      <c r="B574" s="167">
        <f>YEAR(Table7[[#This Row],[Date]])+IF(MONTH(Table7[[#This Row],[Date]])&gt;=4,1,0)</f>
        <v>2026</v>
      </c>
      <c r="C574" s="167">
        <f>YEAR(Table7[[#This Row],[Date]])</f>
        <v>2025</v>
      </c>
      <c r="D574" s="168">
        <f t="shared" si="26"/>
        <v>45931</v>
      </c>
      <c r="AE574" s="167">
        <f t="shared" si="27"/>
        <v>0</v>
      </c>
    </row>
    <row r="575" spans="1:31">
      <c r="A575" s="197">
        <f t="shared" si="28"/>
        <v>45955</v>
      </c>
      <c r="B575" s="167">
        <f>YEAR(Table7[[#This Row],[Date]])+IF(MONTH(Table7[[#This Row],[Date]])&gt;=4,1,0)</f>
        <v>2026</v>
      </c>
      <c r="C575" s="167">
        <f>YEAR(Table7[[#This Row],[Date]])</f>
        <v>2025</v>
      </c>
      <c r="D575" s="168">
        <f t="shared" si="26"/>
        <v>45931</v>
      </c>
      <c r="AE575" s="167">
        <f t="shared" si="27"/>
        <v>0</v>
      </c>
    </row>
    <row r="576" spans="1:31">
      <c r="A576" s="197">
        <f t="shared" si="28"/>
        <v>45956</v>
      </c>
      <c r="B576" s="167">
        <f>YEAR(Table7[[#This Row],[Date]])+IF(MONTH(Table7[[#This Row],[Date]])&gt;=4,1,0)</f>
        <v>2026</v>
      </c>
      <c r="C576" s="167">
        <f>YEAR(Table7[[#This Row],[Date]])</f>
        <v>2025</v>
      </c>
      <c r="D576" s="168">
        <f t="shared" si="26"/>
        <v>45931</v>
      </c>
      <c r="AE576" s="167">
        <f t="shared" si="27"/>
        <v>0</v>
      </c>
    </row>
    <row r="577" spans="1:31">
      <c r="A577" s="197">
        <f t="shared" si="28"/>
        <v>45957</v>
      </c>
      <c r="B577" s="167">
        <f>YEAR(Table7[[#This Row],[Date]])+IF(MONTH(Table7[[#This Row],[Date]])&gt;=4,1,0)</f>
        <v>2026</v>
      </c>
      <c r="C577" s="167">
        <f>YEAR(Table7[[#This Row],[Date]])</f>
        <v>2025</v>
      </c>
      <c r="D577" s="168">
        <f t="shared" si="26"/>
        <v>45931</v>
      </c>
      <c r="AE577" s="167">
        <f t="shared" si="27"/>
        <v>0</v>
      </c>
    </row>
    <row r="578" spans="1:31">
      <c r="A578" s="197">
        <f t="shared" si="28"/>
        <v>45958</v>
      </c>
      <c r="B578" s="167">
        <f>YEAR(Table7[[#This Row],[Date]])+IF(MONTH(Table7[[#This Row],[Date]])&gt;=4,1,0)</f>
        <v>2026</v>
      </c>
      <c r="C578" s="167">
        <f>YEAR(Table7[[#This Row],[Date]])</f>
        <v>2025</v>
      </c>
      <c r="D578" s="168">
        <f t="shared" si="26"/>
        <v>45931</v>
      </c>
      <c r="AE578" s="167">
        <f t="shared" si="27"/>
        <v>0</v>
      </c>
    </row>
    <row r="579" spans="1:31">
      <c r="A579" s="197">
        <f t="shared" si="28"/>
        <v>45959</v>
      </c>
      <c r="B579" s="167">
        <f>YEAR(Table7[[#This Row],[Date]])+IF(MONTH(Table7[[#This Row],[Date]])&gt;=4,1,0)</f>
        <v>2026</v>
      </c>
      <c r="C579" s="167">
        <f>YEAR(Table7[[#This Row],[Date]])</f>
        <v>2025</v>
      </c>
      <c r="D579" s="168">
        <f t="shared" ref="D579:D642" si="29">A579-DAY(A579)+1</f>
        <v>45931</v>
      </c>
      <c r="AE579" s="167">
        <f t="shared" ref="AE579:AE642" si="30">SUM(E579:AD579)</f>
        <v>0</v>
      </c>
    </row>
    <row r="580" spans="1:31">
      <c r="A580" s="197">
        <f t="shared" si="28"/>
        <v>45960</v>
      </c>
      <c r="B580" s="167">
        <f>YEAR(Table7[[#This Row],[Date]])+IF(MONTH(Table7[[#This Row],[Date]])&gt;=4,1,0)</f>
        <v>2026</v>
      </c>
      <c r="C580" s="167">
        <f>YEAR(Table7[[#This Row],[Date]])</f>
        <v>2025</v>
      </c>
      <c r="D580" s="168">
        <f t="shared" si="29"/>
        <v>45931</v>
      </c>
      <c r="AE580" s="167">
        <f t="shared" si="30"/>
        <v>0</v>
      </c>
    </row>
    <row r="581" spans="1:31">
      <c r="A581" s="197">
        <f t="shared" ref="A581:A644" si="31">A580+1</f>
        <v>45961</v>
      </c>
      <c r="B581" s="167">
        <f>YEAR(Table7[[#This Row],[Date]])+IF(MONTH(Table7[[#This Row],[Date]])&gt;=4,1,0)</f>
        <v>2026</v>
      </c>
      <c r="C581" s="167">
        <f>YEAR(Table7[[#This Row],[Date]])</f>
        <v>2025</v>
      </c>
      <c r="D581" s="168">
        <f t="shared" si="29"/>
        <v>45931</v>
      </c>
      <c r="AE581" s="167">
        <f t="shared" si="30"/>
        <v>0</v>
      </c>
    </row>
    <row r="582" spans="1:31">
      <c r="A582" s="197">
        <f t="shared" si="31"/>
        <v>45962</v>
      </c>
      <c r="B582" s="167">
        <f>YEAR(Table7[[#This Row],[Date]])+IF(MONTH(Table7[[#This Row],[Date]])&gt;=4,1,0)</f>
        <v>2026</v>
      </c>
      <c r="C582" s="167">
        <f>YEAR(Table7[[#This Row],[Date]])</f>
        <v>2025</v>
      </c>
      <c r="D582" s="168">
        <f t="shared" si="29"/>
        <v>45962</v>
      </c>
      <c r="AE582" s="167">
        <f t="shared" si="30"/>
        <v>0</v>
      </c>
    </row>
    <row r="583" spans="1:31">
      <c r="A583" s="197">
        <f t="shared" si="31"/>
        <v>45963</v>
      </c>
      <c r="B583" s="167">
        <f>YEAR(Table7[[#This Row],[Date]])+IF(MONTH(Table7[[#This Row],[Date]])&gt;=4,1,0)</f>
        <v>2026</v>
      </c>
      <c r="C583" s="167">
        <f>YEAR(Table7[[#This Row],[Date]])</f>
        <v>2025</v>
      </c>
      <c r="D583" s="168">
        <f t="shared" si="29"/>
        <v>45962</v>
      </c>
      <c r="AE583" s="167">
        <f t="shared" si="30"/>
        <v>0</v>
      </c>
    </row>
    <row r="584" spans="1:31">
      <c r="A584" s="197">
        <f t="shared" si="31"/>
        <v>45964</v>
      </c>
      <c r="B584" s="167">
        <f>YEAR(Table7[[#This Row],[Date]])+IF(MONTH(Table7[[#This Row],[Date]])&gt;=4,1,0)</f>
        <v>2026</v>
      </c>
      <c r="C584" s="167">
        <f>YEAR(Table7[[#This Row],[Date]])</f>
        <v>2025</v>
      </c>
      <c r="D584" s="168">
        <f t="shared" si="29"/>
        <v>45962</v>
      </c>
      <c r="AE584" s="167">
        <f t="shared" si="30"/>
        <v>0</v>
      </c>
    </row>
    <row r="585" spans="1:31">
      <c r="A585" s="197">
        <f t="shared" si="31"/>
        <v>45965</v>
      </c>
      <c r="B585" s="167">
        <f>YEAR(Table7[[#This Row],[Date]])+IF(MONTH(Table7[[#This Row],[Date]])&gt;=4,1,0)</f>
        <v>2026</v>
      </c>
      <c r="C585" s="167">
        <f>YEAR(Table7[[#This Row],[Date]])</f>
        <v>2025</v>
      </c>
      <c r="D585" s="168">
        <f t="shared" si="29"/>
        <v>45962</v>
      </c>
      <c r="AE585" s="167">
        <f t="shared" si="30"/>
        <v>0</v>
      </c>
    </row>
    <row r="586" spans="1:31">
      <c r="A586" s="197">
        <f t="shared" si="31"/>
        <v>45966</v>
      </c>
      <c r="B586" s="167">
        <f>YEAR(Table7[[#This Row],[Date]])+IF(MONTH(Table7[[#This Row],[Date]])&gt;=4,1,0)</f>
        <v>2026</v>
      </c>
      <c r="C586" s="167">
        <f>YEAR(Table7[[#This Row],[Date]])</f>
        <v>2025</v>
      </c>
      <c r="D586" s="168">
        <f t="shared" si="29"/>
        <v>45962</v>
      </c>
      <c r="AE586" s="167">
        <f t="shared" si="30"/>
        <v>0</v>
      </c>
    </row>
    <row r="587" spans="1:31">
      <c r="A587" s="197">
        <f t="shared" si="31"/>
        <v>45967</v>
      </c>
      <c r="B587" s="167">
        <f>YEAR(Table7[[#This Row],[Date]])+IF(MONTH(Table7[[#This Row],[Date]])&gt;=4,1,0)</f>
        <v>2026</v>
      </c>
      <c r="C587" s="167">
        <f>YEAR(Table7[[#This Row],[Date]])</f>
        <v>2025</v>
      </c>
      <c r="D587" s="168">
        <f t="shared" si="29"/>
        <v>45962</v>
      </c>
      <c r="AE587" s="167">
        <f t="shared" si="30"/>
        <v>0</v>
      </c>
    </row>
    <row r="588" spans="1:31">
      <c r="A588" s="197">
        <f t="shared" si="31"/>
        <v>45968</v>
      </c>
      <c r="B588" s="167">
        <f>YEAR(Table7[[#This Row],[Date]])+IF(MONTH(Table7[[#This Row],[Date]])&gt;=4,1,0)</f>
        <v>2026</v>
      </c>
      <c r="C588" s="167">
        <f>YEAR(Table7[[#This Row],[Date]])</f>
        <v>2025</v>
      </c>
      <c r="D588" s="168">
        <f t="shared" si="29"/>
        <v>45962</v>
      </c>
      <c r="AE588" s="167">
        <f t="shared" si="30"/>
        <v>0</v>
      </c>
    </row>
    <row r="589" spans="1:31">
      <c r="A589" s="197">
        <f t="shared" si="31"/>
        <v>45969</v>
      </c>
      <c r="B589" s="167">
        <f>YEAR(Table7[[#This Row],[Date]])+IF(MONTH(Table7[[#This Row],[Date]])&gt;=4,1,0)</f>
        <v>2026</v>
      </c>
      <c r="C589" s="167">
        <f>YEAR(Table7[[#This Row],[Date]])</f>
        <v>2025</v>
      </c>
      <c r="D589" s="168">
        <f t="shared" si="29"/>
        <v>45962</v>
      </c>
      <c r="AE589" s="167">
        <f t="shared" si="30"/>
        <v>0</v>
      </c>
    </row>
    <row r="590" spans="1:31">
      <c r="A590" s="197">
        <f t="shared" si="31"/>
        <v>45970</v>
      </c>
      <c r="B590" s="167">
        <f>YEAR(Table7[[#This Row],[Date]])+IF(MONTH(Table7[[#This Row],[Date]])&gt;=4,1,0)</f>
        <v>2026</v>
      </c>
      <c r="C590" s="167">
        <f>YEAR(Table7[[#This Row],[Date]])</f>
        <v>2025</v>
      </c>
      <c r="D590" s="168">
        <f t="shared" si="29"/>
        <v>45962</v>
      </c>
      <c r="AE590" s="167">
        <f t="shared" si="30"/>
        <v>0</v>
      </c>
    </row>
    <row r="591" spans="1:31">
      <c r="A591" s="197">
        <f t="shared" si="31"/>
        <v>45971</v>
      </c>
      <c r="B591" s="167">
        <f>YEAR(Table7[[#This Row],[Date]])+IF(MONTH(Table7[[#This Row],[Date]])&gt;=4,1,0)</f>
        <v>2026</v>
      </c>
      <c r="C591" s="167">
        <f>YEAR(Table7[[#This Row],[Date]])</f>
        <v>2025</v>
      </c>
      <c r="D591" s="168">
        <f t="shared" si="29"/>
        <v>45962</v>
      </c>
      <c r="AE591" s="167">
        <f t="shared" si="30"/>
        <v>0</v>
      </c>
    </row>
    <row r="592" spans="1:31">
      <c r="A592" s="197">
        <f t="shared" si="31"/>
        <v>45972</v>
      </c>
      <c r="B592" s="167">
        <f>YEAR(Table7[[#This Row],[Date]])+IF(MONTH(Table7[[#This Row],[Date]])&gt;=4,1,0)</f>
        <v>2026</v>
      </c>
      <c r="C592" s="167">
        <f>YEAR(Table7[[#This Row],[Date]])</f>
        <v>2025</v>
      </c>
      <c r="D592" s="168">
        <f t="shared" si="29"/>
        <v>45962</v>
      </c>
      <c r="AE592" s="167">
        <f t="shared" si="30"/>
        <v>0</v>
      </c>
    </row>
    <row r="593" spans="1:31">
      <c r="A593" s="197">
        <f t="shared" si="31"/>
        <v>45973</v>
      </c>
      <c r="B593" s="167">
        <f>YEAR(Table7[[#This Row],[Date]])+IF(MONTH(Table7[[#This Row],[Date]])&gt;=4,1,0)</f>
        <v>2026</v>
      </c>
      <c r="C593" s="167">
        <f>YEAR(Table7[[#This Row],[Date]])</f>
        <v>2025</v>
      </c>
      <c r="D593" s="168">
        <f t="shared" si="29"/>
        <v>45962</v>
      </c>
      <c r="AE593" s="167">
        <f t="shared" si="30"/>
        <v>0</v>
      </c>
    </row>
    <row r="594" spans="1:31">
      <c r="A594" s="197">
        <f t="shared" si="31"/>
        <v>45974</v>
      </c>
      <c r="B594" s="167">
        <f>YEAR(Table7[[#This Row],[Date]])+IF(MONTH(Table7[[#This Row],[Date]])&gt;=4,1,0)</f>
        <v>2026</v>
      </c>
      <c r="C594" s="167">
        <f>YEAR(Table7[[#This Row],[Date]])</f>
        <v>2025</v>
      </c>
      <c r="D594" s="168">
        <f t="shared" si="29"/>
        <v>45962</v>
      </c>
      <c r="AE594" s="167">
        <f t="shared" si="30"/>
        <v>0</v>
      </c>
    </row>
    <row r="595" spans="1:31">
      <c r="A595" s="197">
        <f t="shared" si="31"/>
        <v>45975</v>
      </c>
      <c r="B595" s="167">
        <f>YEAR(Table7[[#This Row],[Date]])+IF(MONTH(Table7[[#This Row],[Date]])&gt;=4,1,0)</f>
        <v>2026</v>
      </c>
      <c r="C595" s="167">
        <f>YEAR(Table7[[#This Row],[Date]])</f>
        <v>2025</v>
      </c>
      <c r="D595" s="168">
        <f t="shared" si="29"/>
        <v>45962</v>
      </c>
      <c r="AE595" s="167">
        <f t="shared" si="30"/>
        <v>0</v>
      </c>
    </row>
    <row r="596" spans="1:31">
      <c r="A596" s="197">
        <f t="shared" si="31"/>
        <v>45976</v>
      </c>
      <c r="B596" s="167">
        <f>YEAR(Table7[[#This Row],[Date]])+IF(MONTH(Table7[[#This Row],[Date]])&gt;=4,1,0)</f>
        <v>2026</v>
      </c>
      <c r="C596" s="167">
        <f>YEAR(Table7[[#This Row],[Date]])</f>
        <v>2025</v>
      </c>
      <c r="D596" s="168">
        <f t="shared" si="29"/>
        <v>45962</v>
      </c>
      <c r="AE596" s="167">
        <f t="shared" si="30"/>
        <v>0</v>
      </c>
    </row>
    <row r="597" spans="1:31">
      <c r="A597" s="197">
        <f t="shared" si="31"/>
        <v>45977</v>
      </c>
      <c r="B597" s="167">
        <f>YEAR(Table7[[#This Row],[Date]])+IF(MONTH(Table7[[#This Row],[Date]])&gt;=4,1,0)</f>
        <v>2026</v>
      </c>
      <c r="C597" s="167">
        <f>YEAR(Table7[[#This Row],[Date]])</f>
        <v>2025</v>
      </c>
      <c r="D597" s="168">
        <f t="shared" si="29"/>
        <v>45962</v>
      </c>
      <c r="AE597" s="167">
        <f t="shared" si="30"/>
        <v>0</v>
      </c>
    </row>
    <row r="598" spans="1:31">
      <c r="A598" s="197">
        <f t="shared" si="31"/>
        <v>45978</v>
      </c>
      <c r="B598" s="167">
        <f>YEAR(Table7[[#This Row],[Date]])+IF(MONTH(Table7[[#This Row],[Date]])&gt;=4,1,0)</f>
        <v>2026</v>
      </c>
      <c r="C598" s="167">
        <f>YEAR(Table7[[#This Row],[Date]])</f>
        <v>2025</v>
      </c>
      <c r="D598" s="168">
        <f t="shared" si="29"/>
        <v>45962</v>
      </c>
      <c r="AE598" s="167">
        <f t="shared" si="30"/>
        <v>0</v>
      </c>
    </row>
    <row r="599" spans="1:31">
      <c r="A599" s="197">
        <f t="shared" si="31"/>
        <v>45979</v>
      </c>
      <c r="B599" s="167">
        <f>YEAR(Table7[[#This Row],[Date]])+IF(MONTH(Table7[[#This Row],[Date]])&gt;=4,1,0)</f>
        <v>2026</v>
      </c>
      <c r="C599" s="167">
        <f>YEAR(Table7[[#This Row],[Date]])</f>
        <v>2025</v>
      </c>
      <c r="D599" s="168">
        <f t="shared" si="29"/>
        <v>45962</v>
      </c>
      <c r="AE599" s="167">
        <f t="shared" si="30"/>
        <v>0</v>
      </c>
    </row>
    <row r="600" spans="1:31">
      <c r="A600" s="197">
        <f t="shared" si="31"/>
        <v>45980</v>
      </c>
      <c r="B600" s="167">
        <f>YEAR(Table7[[#This Row],[Date]])+IF(MONTH(Table7[[#This Row],[Date]])&gt;=4,1,0)</f>
        <v>2026</v>
      </c>
      <c r="C600" s="167">
        <f>YEAR(Table7[[#This Row],[Date]])</f>
        <v>2025</v>
      </c>
      <c r="D600" s="168">
        <f t="shared" si="29"/>
        <v>45962</v>
      </c>
      <c r="AE600" s="167">
        <f t="shared" si="30"/>
        <v>0</v>
      </c>
    </row>
    <row r="601" spans="1:31">
      <c r="A601" s="197">
        <f t="shared" si="31"/>
        <v>45981</v>
      </c>
      <c r="B601" s="167">
        <f>YEAR(Table7[[#This Row],[Date]])+IF(MONTH(Table7[[#This Row],[Date]])&gt;=4,1,0)</f>
        <v>2026</v>
      </c>
      <c r="C601" s="167">
        <f>YEAR(Table7[[#This Row],[Date]])</f>
        <v>2025</v>
      </c>
      <c r="D601" s="168">
        <f t="shared" si="29"/>
        <v>45962</v>
      </c>
      <c r="AE601" s="167">
        <f t="shared" si="30"/>
        <v>0</v>
      </c>
    </row>
    <row r="602" spans="1:31">
      <c r="A602" s="197">
        <f t="shared" si="31"/>
        <v>45982</v>
      </c>
      <c r="B602" s="167">
        <f>YEAR(Table7[[#This Row],[Date]])+IF(MONTH(Table7[[#This Row],[Date]])&gt;=4,1,0)</f>
        <v>2026</v>
      </c>
      <c r="C602" s="167">
        <f>YEAR(Table7[[#This Row],[Date]])</f>
        <v>2025</v>
      </c>
      <c r="D602" s="168">
        <f t="shared" si="29"/>
        <v>45962</v>
      </c>
      <c r="AE602" s="167">
        <f t="shared" si="30"/>
        <v>0</v>
      </c>
    </row>
    <row r="603" spans="1:31">
      <c r="A603" s="197">
        <f t="shared" si="31"/>
        <v>45983</v>
      </c>
      <c r="B603" s="167">
        <f>YEAR(Table7[[#This Row],[Date]])+IF(MONTH(Table7[[#This Row],[Date]])&gt;=4,1,0)</f>
        <v>2026</v>
      </c>
      <c r="C603" s="167">
        <f>YEAR(Table7[[#This Row],[Date]])</f>
        <v>2025</v>
      </c>
      <c r="D603" s="168">
        <f t="shared" si="29"/>
        <v>45962</v>
      </c>
      <c r="AE603" s="167">
        <f t="shared" si="30"/>
        <v>0</v>
      </c>
    </row>
    <row r="604" spans="1:31">
      <c r="A604" s="197">
        <f t="shared" si="31"/>
        <v>45984</v>
      </c>
      <c r="B604" s="167">
        <f>YEAR(Table7[[#This Row],[Date]])+IF(MONTH(Table7[[#This Row],[Date]])&gt;=4,1,0)</f>
        <v>2026</v>
      </c>
      <c r="C604" s="167">
        <f>YEAR(Table7[[#This Row],[Date]])</f>
        <v>2025</v>
      </c>
      <c r="D604" s="168">
        <f t="shared" si="29"/>
        <v>45962</v>
      </c>
      <c r="AE604" s="167">
        <f t="shared" si="30"/>
        <v>0</v>
      </c>
    </row>
    <row r="605" spans="1:31">
      <c r="A605" s="197">
        <f t="shared" si="31"/>
        <v>45985</v>
      </c>
      <c r="B605" s="167">
        <f>YEAR(Table7[[#This Row],[Date]])+IF(MONTH(Table7[[#This Row],[Date]])&gt;=4,1,0)</f>
        <v>2026</v>
      </c>
      <c r="C605" s="167">
        <f>YEAR(Table7[[#This Row],[Date]])</f>
        <v>2025</v>
      </c>
      <c r="D605" s="168">
        <f t="shared" si="29"/>
        <v>45962</v>
      </c>
      <c r="AE605" s="167">
        <f t="shared" si="30"/>
        <v>0</v>
      </c>
    </row>
    <row r="606" spans="1:31">
      <c r="A606" s="197">
        <f t="shared" si="31"/>
        <v>45986</v>
      </c>
      <c r="B606" s="167">
        <f>YEAR(Table7[[#This Row],[Date]])+IF(MONTH(Table7[[#This Row],[Date]])&gt;=4,1,0)</f>
        <v>2026</v>
      </c>
      <c r="C606" s="167">
        <f>YEAR(Table7[[#This Row],[Date]])</f>
        <v>2025</v>
      </c>
      <c r="D606" s="168">
        <f t="shared" si="29"/>
        <v>45962</v>
      </c>
      <c r="AE606" s="167">
        <f t="shared" si="30"/>
        <v>0</v>
      </c>
    </row>
    <row r="607" spans="1:31">
      <c r="A607" s="197">
        <f t="shared" si="31"/>
        <v>45987</v>
      </c>
      <c r="B607" s="167">
        <f>YEAR(Table7[[#This Row],[Date]])+IF(MONTH(Table7[[#This Row],[Date]])&gt;=4,1,0)</f>
        <v>2026</v>
      </c>
      <c r="C607" s="167">
        <f>YEAR(Table7[[#This Row],[Date]])</f>
        <v>2025</v>
      </c>
      <c r="D607" s="168">
        <f t="shared" si="29"/>
        <v>45962</v>
      </c>
      <c r="AE607" s="167">
        <f t="shared" si="30"/>
        <v>0</v>
      </c>
    </row>
    <row r="608" spans="1:31">
      <c r="A608" s="197">
        <f t="shared" si="31"/>
        <v>45988</v>
      </c>
      <c r="B608" s="167">
        <f>YEAR(Table7[[#This Row],[Date]])+IF(MONTH(Table7[[#This Row],[Date]])&gt;=4,1,0)</f>
        <v>2026</v>
      </c>
      <c r="C608" s="167">
        <f>YEAR(Table7[[#This Row],[Date]])</f>
        <v>2025</v>
      </c>
      <c r="D608" s="168">
        <f t="shared" si="29"/>
        <v>45962</v>
      </c>
      <c r="AE608" s="167">
        <f t="shared" si="30"/>
        <v>0</v>
      </c>
    </row>
    <row r="609" spans="1:31">
      <c r="A609" s="197">
        <f t="shared" si="31"/>
        <v>45989</v>
      </c>
      <c r="B609" s="167">
        <f>YEAR(Table7[[#This Row],[Date]])+IF(MONTH(Table7[[#This Row],[Date]])&gt;=4,1,0)</f>
        <v>2026</v>
      </c>
      <c r="C609" s="167">
        <f>YEAR(Table7[[#This Row],[Date]])</f>
        <v>2025</v>
      </c>
      <c r="D609" s="168">
        <f t="shared" si="29"/>
        <v>45962</v>
      </c>
      <c r="AE609" s="167">
        <f t="shared" si="30"/>
        <v>0</v>
      </c>
    </row>
    <row r="610" spans="1:31">
      <c r="A610" s="197">
        <f t="shared" si="31"/>
        <v>45990</v>
      </c>
      <c r="B610" s="167">
        <f>YEAR(Table7[[#This Row],[Date]])+IF(MONTH(Table7[[#This Row],[Date]])&gt;=4,1,0)</f>
        <v>2026</v>
      </c>
      <c r="C610" s="167">
        <f>YEAR(Table7[[#This Row],[Date]])</f>
        <v>2025</v>
      </c>
      <c r="D610" s="168">
        <f t="shared" si="29"/>
        <v>45962</v>
      </c>
      <c r="AE610" s="167">
        <f t="shared" si="30"/>
        <v>0</v>
      </c>
    </row>
    <row r="611" spans="1:31">
      <c r="A611" s="197">
        <f t="shared" si="31"/>
        <v>45991</v>
      </c>
      <c r="B611" s="167">
        <f>YEAR(Table7[[#This Row],[Date]])+IF(MONTH(Table7[[#This Row],[Date]])&gt;=4,1,0)</f>
        <v>2026</v>
      </c>
      <c r="C611" s="167">
        <f>YEAR(Table7[[#This Row],[Date]])</f>
        <v>2025</v>
      </c>
      <c r="D611" s="168">
        <f t="shared" si="29"/>
        <v>45962</v>
      </c>
      <c r="AE611" s="167">
        <f t="shared" si="30"/>
        <v>0</v>
      </c>
    </row>
    <row r="612" spans="1:31">
      <c r="A612" s="197">
        <f t="shared" si="31"/>
        <v>45992</v>
      </c>
      <c r="B612" s="167">
        <f>YEAR(Table7[[#This Row],[Date]])+IF(MONTH(Table7[[#This Row],[Date]])&gt;=4,1,0)</f>
        <v>2026</v>
      </c>
      <c r="C612" s="167">
        <f>YEAR(Table7[[#This Row],[Date]])</f>
        <v>2025</v>
      </c>
      <c r="D612" s="168">
        <f t="shared" si="29"/>
        <v>45992</v>
      </c>
      <c r="AE612" s="167">
        <f t="shared" si="30"/>
        <v>0</v>
      </c>
    </row>
    <row r="613" spans="1:31">
      <c r="A613" s="197">
        <f t="shared" si="31"/>
        <v>45993</v>
      </c>
      <c r="B613" s="167">
        <f>YEAR(Table7[[#This Row],[Date]])+IF(MONTH(Table7[[#This Row],[Date]])&gt;=4,1,0)</f>
        <v>2026</v>
      </c>
      <c r="C613" s="167">
        <f>YEAR(Table7[[#This Row],[Date]])</f>
        <v>2025</v>
      </c>
      <c r="D613" s="168">
        <f t="shared" si="29"/>
        <v>45992</v>
      </c>
      <c r="AE613" s="167">
        <f t="shared" si="30"/>
        <v>0</v>
      </c>
    </row>
    <row r="614" spans="1:31">
      <c r="A614" s="197">
        <f t="shared" si="31"/>
        <v>45994</v>
      </c>
      <c r="B614" s="167">
        <f>YEAR(Table7[[#This Row],[Date]])+IF(MONTH(Table7[[#This Row],[Date]])&gt;=4,1,0)</f>
        <v>2026</v>
      </c>
      <c r="C614" s="167">
        <f>YEAR(Table7[[#This Row],[Date]])</f>
        <v>2025</v>
      </c>
      <c r="D614" s="168">
        <f t="shared" si="29"/>
        <v>45992</v>
      </c>
      <c r="AE614" s="167">
        <f t="shared" si="30"/>
        <v>0</v>
      </c>
    </row>
    <row r="615" spans="1:31">
      <c r="A615" s="197">
        <f t="shared" si="31"/>
        <v>45995</v>
      </c>
      <c r="B615" s="167">
        <f>YEAR(Table7[[#This Row],[Date]])+IF(MONTH(Table7[[#This Row],[Date]])&gt;=4,1,0)</f>
        <v>2026</v>
      </c>
      <c r="C615" s="167">
        <f>YEAR(Table7[[#This Row],[Date]])</f>
        <v>2025</v>
      </c>
      <c r="D615" s="168">
        <f t="shared" si="29"/>
        <v>45992</v>
      </c>
      <c r="AE615" s="167">
        <f t="shared" si="30"/>
        <v>0</v>
      </c>
    </row>
    <row r="616" spans="1:31">
      <c r="A616" s="197">
        <f t="shared" si="31"/>
        <v>45996</v>
      </c>
      <c r="B616" s="167">
        <f>YEAR(Table7[[#This Row],[Date]])+IF(MONTH(Table7[[#This Row],[Date]])&gt;=4,1,0)</f>
        <v>2026</v>
      </c>
      <c r="C616" s="167">
        <f>YEAR(Table7[[#This Row],[Date]])</f>
        <v>2025</v>
      </c>
      <c r="D616" s="168">
        <f t="shared" si="29"/>
        <v>45992</v>
      </c>
      <c r="AE616" s="167">
        <f t="shared" si="30"/>
        <v>0</v>
      </c>
    </row>
    <row r="617" spans="1:31">
      <c r="A617" s="197">
        <f t="shared" si="31"/>
        <v>45997</v>
      </c>
      <c r="B617" s="167">
        <f>YEAR(Table7[[#This Row],[Date]])+IF(MONTH(Table7[[#This Row],[Date]])&gt;=4,1,0)</f>
        <v>2026</v>
      </c>
      <c r="C617" s="167">
        <f>YEAR(Table7[[#This Row],[Date]])</f>
        <v>2025</v>
      </c>
      <c r="D617" s="168">
        <f t="shared" si="29"/>
        <v>45992</v>
      </c>
      <c r="AE617" s="167">
        <f t="shared" si="30"/>
        <v>0</v>
      </c>
    </row>
    <row r="618" spans="1:31">
      <c r="A618" s="197">
        <f t="shared" si="31"/>
        <v>45998</v>
      </c>
      <c r="B618" s="167">
        <f>YEAR(Table7[[#This Row],[Date]])+IF(MONTH(Table7[[#This Row],[Date]])&gt;=4,1,0)</f>
        <v>2026</v>
      </c>
      <c r="C618" s="167">
        <f>YEAR(Table7[[#This Row],[Date]])</f>
        <v>2025</v>
      </c>
      <c r="D618" s="168">
        <f t="shared" si="29"/>
        <v>45992</v>
      </c>
      <c r="AE618" s="167">
        <f t="shared" si="30"/>
        <v>0</v>
      </c>
    </row>
    <row r="619" spans="1:31">
      <c r="A619" s="197">
        <f t="shared" si="31"/>
        <v>45999</v>
      </c>
      <c r="B619" s="167">
        <f>YEAR(Table7[[#This Row],[Date]])+IF(MONTH(Table7[[#This Row],[Date]])&gt;=4,1,0)</f>
        <v>2026</v>
      </c>
      <c r="C619" s="167">
        <f>YEAR(Table7[[#This Row],[Date]])</f>
        <v>2025</v>
      </c>
      <c r="D619" s="168">
        <f t="shared" si="29"/>
        <v>45992</v>
      </c>
      <c r="AE619" s="167">
        <f t="shared" si="30"/>
        <v>0</v>
      </c>
    </row>
    <row r="620" spans="1:31">
      <c r="A620" s="197">
        <f t="shared" si="31"/>
        <v>46000</v>
      </c>
      <c r="B620" s="167">
        <f>YEAR(Table7[[#This Row],[Date]])+IF(MONTH(Table7[[#This Row],[Date]])&gt;=4,1,0)</f>
        <v>2026</v>
      </c>
      <c r="C620" s="167">
        <f>YEAR(Table7[[#This Row],[Date]])</f>
        <v>2025</v>
      </c>
      <c r="D620" s="168">
        <f t="shared" si="29"/>
        <v>45992</v>
      </c>
      <c r="AE620" s="167">
        <f t="shared" si="30"/>
        <v>0</v>
      </c>
    </row>
    <row r="621" spans="1:31">
      <c r="A621" s="197">
        <f t="shared" si="31"/>
        <v>46001</v>
      </c>
      <c r="B621" s="167">
        <f>YEAR(Table7[[#This Row],[Date]])+IF(MONTH(Table7[[#This Row],[Date]])&gt;=4,1,0)</f>
        <v>2026</v>
      </c>
      <c r="C621" s="167">
        <f>YEAR(Table7[[#This Row],[Date]])</f>
        <v>2025</v>
      </c>
      <c r="D621" s="168">
        <f t="shared" si="29"/>
        <v>45992</v>
      </c>
      <c r="AE621" s="167">
        <f t="shared" si="30"/>
        <v>0</v>
      </c>
    </row>
    <row r="622" spans="1:31">
      <c r="A622" s="197">
        <f t="shared" si="31"/>
        <v>46002</v>
      </c>
      <c r="B622" s="167">
        <f>YEAR(Table7[[#This Row],[Date]])+IF(MONTH(Table7[[#This Row],[Date]])&gt;=4,1,0)</f>
        <v>2026</v>
      </c>
      <c r="C622" s="167">
        <f>YEAR(Table7[[#This Row],[Date]])</f>
        <v>2025</v>
      </c>
      <c r="D622" s="168">
        <f t="shared" si="29"/>
        <v>45992</v>
      </c>
      <c r="AE622" s="167">
        <f t="shared" si="30"/>
        <v>0</v>
      </c>
    </row>
    <row r="623" spans="1:31">
      <c r="A623" s="197">
        <f t="shared" si="31"/>
        <v>46003</v>
      </c>
      <c r="B623" s="167">
        <f>YEAR(Table7[[#This Row],[Date]])+IF(MONTH(Table7[[#This Row],[Date]])&gt;=4,1,0)</f>
        <v>2026</v>
      </c>
      <c r="C623" s="167">
        <f>YEAR(Table7[[#This Row],[Date]])</f>
        <v>2025</v>
      </c>
      <c r="D623" s="168">
        <f t="shared" si="29"/>
        <v>45992</v>
      </c>
      <c r="AE623" s="167">
        <f t="shared" si="30"/>
        <v>0</v>
      </c>
    </row>
    <row r="624" spans="1:31">
      <c r="A624" s="197">
        <f t="shared" si="31"/>
        <v>46004</v>
      </c>
      <c r="B624" s="167">
        <f>YEAR(Table7[[#This Row],[Date]])+IF(MONTH(Table7[[#This Row],[Date]])&gt;=4,1,0)</f>
        <v>2026</v>
      </c>
      <c r="C624" s="167">
        <f>YEAR(Table7[[#This Row],[Date]])</f>
        <v>2025</v>
      </c>
      <c r="D624" s="168">
        <f t="shared" si="29"/>
        <v>45992</v>
      </c>
      <c r="AE624" s="167">
        <f t="shared" si="30"/>
        <v>0</v>
      </c>
    </row>
    <row r="625" spans="1:31">
      <c r="A625" s="197">
        <f t="shared" si="31"/>
        <v>46005</v>
      </c>
      <c r="B625" s="167">
        <f>YEAR(Table7[[#This Row],[Date]])+IF(MONTH(Table7[[#This Row],[Date]])&gt;=4,1,0)</f>
        <v>2026</v>
      </c>
      <c r="C625" s="167">
        <f>YEAR(Table7[[#This Row],[Date]])</f>
        <v>2025</v>
      </c>
      <c r="D625" s="168">
        <f t="shared" si="29"/>
        <v>45992</v>
      </c>
      <c r="AE625" s="167">
        <f t="shared" si="30"/>
        <v>0</v>
      </c>
    </row>
    <row r="626" spans="1:31">
      <c r="A626" s="197">
        <f t="shared" si="31"/>
        <v>46006</v>
      </c>
      <c r="B626" s="167">
        <f>YEAR(Table7[[#This Row],[Date]])+IF(MONTH(Table7[[#This Row],[Date]])&gt;=4,1,0)</f>
        <v>2026</v>
      </c>
      <c r="C626" s="167">
        <f>YEAR(Table7[[#This Row],[Date]])</f>
        <v>2025</v>
      </c>
      <c r="D626" s="168">
        <f t="shared" si="29"/>
        <v>45992</v>
      </c>
      <c r="AE626" s="167">
        <f t="shared" si="30"/>
        <v>0</v>
      </c>
    </row>
    <row r="627" spans="1:31">
      <c r="A627" s="197">
        <f t="shared" si="31"/>
        <v>46007</v>
      </c>
      <c r="B627" s="167">
        <f>YEAR(Table7[[#This Row],[Date]])+IF(MONTH(Table7[[#This Row],[Date]])&gt;=4,1,0)</f>
        <v>2026</v>
      </c>
      <c r="C627" s="167">
        <f>YEAR(Table7[[#This Row],[Date]])</f>
        <v>2025</v>
      </c>
      <c r="D627" s="168">
        <f t="shared" si="29"/>
        <v>45992</v>
      </c>
      <c r="AE627" s="167">
        <f t="shared" si="30"/>
        <v>0</v>
      </c>
    </row>
    <row r="628" spans="1:31">
      <c r="A628" s="197">
        <f t="shared" si="31"/>
        <v>46008</v>
      </c>
      <c r="B628" s="167">
        <f>YEAR(Table7[[#This Row],[Date]])+IF(MONTH(Table7[[#This Row],[Date]])&gt;=4,1,0)</f>
        <v>2026</v>
      </c>
      <c r="C628" s="167">
        <f>YEAR(Table7[[#This Row],[Date]])</f>
        <v>2025</v>
      </c>
      <c r="D628" s="168">
        <f t="shared" si="29"/>
        <v>45992</v>
      </c>
      <c r="AE628" s="167">
        <f t="shared" si="30"/>
        <v>0</v>
      </c>
    </row>
    <row r="629" spans="1:31">
      <c r="A629" s="197">
        <f t="shared" si="31"/>
        <v>46009</v>
      </c>
      <c r="B629" s="167">
        <f>YEAR(Table7[[#This Row],[Date]])+IF(MONTH(Table7[[#This Row],[Date]])&gt;=4,1,0)</f>
        <v>2026</v>
      </c>
      <c r="C629" s="167">
        <f>YEAR(Table7[[#This Row],[Date]])</f>
        <v>2025</v>
      </c>
      <c r="D629" s="168">
        <f t="shared" si="29"/>
        <v>45992</v>
      </c>
      <c r="AE629" s="167">
        <f t="shared" si="30"/>
        <v>0</v>
      </c>
    </row>
    <row r="630" spans="1:31">
      <c r="A630" s="197">
        <f t="shared" si="31"/>
        <v>46010</v>
      </c>
      <c r="B630" s="167">
        <f>YEAR(Table7[[#This Row],[Date]])+IF(MONTH(Table7[[#This Row],[Date]])&gt;=4,1,0)</f>
        <v>2026</v>
      </c>
      <c r="C630" s="167">
        <f>YEAR(Table7[[#This Row],[Date]])</f>
        <v>2025</v>
      </c>
      <c r="D630" s="168">
        <f t="shared" si="29"/>
        <v>45992</v>
      </c>
      <c r="AE630" s="167">
        <f t="shared" si="30"/>
        <v>0</v>
      </c>
    </row>
    <row r="631" spans="1:31">
      <c r="A631" s="197">
        <f t="shared" si="31"/>
        <v>46011</v>
      </c>
      <c r="B631" s="167">
        <f>YEAR(Table7[[#This Row],[Date]])+IF(MONTH(Table7[[#This Row],[Date]])&gt;=4,1,0)</f>
        <v>2026</v>
      </c>
      <c r="C631" s="167">
        <f>YEAR(Table7[[#This Row],[Date]])</f>
        <v>2025</v>
      </c>
      <c r="D631" s="168">
        <f t="shared" si="29"/>
        <v>45992</v>
      </c>
      <c r="AE631" s="167">
        <f t="shared" si="30"/>
        <v>0</v>
      </c>
    </row>
    <row r="632" spans="1:31">
      <c r="A632" s="197">
        <f t="shared" si="31"/>
        <v>46012</v>
      </c>
      <c r="B632" s="167">
        <f>YEAR(Table7[[#This Row],[Date]])+IF(MONTH(Table7[[#This Row],[Date]])&gt;=4,1,0)</f>
        <v>2026</v>
      </c>
      <c r="C632" s="167">
        <f>YEAR(Table7[[#This Row],[Date]])</f>
        <v>2025</v>
      </c>
      <c r="D632" s="168">
        <f t="shared" si="29"/>
        <v>45992</v>
      </c>
      <c r="AE632" s="167">
        <f t="shared" si="30"/>
        <v>0</v>
      </c>
    </row>
    <row r="633" spans="1:31">
      <c r="A633" s="197">
        <f t="shared" si="31"/>
        <v>46013</v>
      </c>
      <c r="B633" s="167">
        <f>YEAR(Table7[[#This Row],[Date]])+IF(MONTH(Table7[[#This Row],[Date]])&gt;=4,1,0)</f>
        <v>2026</v>
      </c>
      <c r="C633" s="167">
        <f>YEAR(Table7[[#This Row],[Date]])</f>
        <v>2025</v>
      </c>
      <c r="D633" s="168">
        <f t="shared" si="29"/>
        <v>45992</v>
      </c>
      <c r="AE633" s="167">
        <f t="shared" si="30"/>
        <v>0</v>
      </c>
    </row>
    <row r="634" spans="1:31">
      <c r="A634" s="197">
        <f t="shared" si="31"/>
        <v>46014</v>
      </c>
      <c r="B634" s="167">
        <f>YEAR(Table7[[#This Row],[Date]])+IF(MONTH(Table7[[#This Row],[Date]])&gt;=4,1,0)</f>
        <v>2026</v>
      </c>
      <c r="C634" s="167">
        <f>YEAR(Table7[[#This Row],[Date]])</f>
        <v>2025</v>
      </c>
      <c r="D634" s="168">
        <f t="shared" si="29"/>
        <v>45992</v>
      </c>
      <c r="AE634" s="167">
        <f t="shared" si="30"/>
        <v>0</v>
      </c>
    </row>
    <row r="635" spans="1:31">
      <c r="A635" s="197">
        <f t="shared" si="31"/>
        <v>46015</v>
      </c>
      <c r="B635" s="167">
        <f>YEAR(Table7[[#This Row],[Date]])+IF(MONTH(Table7[[#This Row],[Date]])&gt;=4,1,0)</f>
        <v>2026</v>
      </c>
      <c r="C635" s="167">
        <f>YEAR(Table7[[#This Row],[Date]])</f>
        <v>2025</v>
      </c>
      <c r="D635" s="168">
        <f t="shared" si="29"/>
        <v>45992</v>
      </c>
      <c r="AE635" s="167">
        <f t="shared" si="30"/>
        <v>0</v>
      </c>
    </row>
    <row r="636" spans="1:31">
      <c r="A636" s="197">
        <f t="shared" si="31"/>
        <v>46016</v>
      </c>
      <c r="B636" s="167">
        <f>YEAR(Table7[[#This Row],[Date]])+IF(MONTH(Table7[[#This Row],[Date]])&gt;=4,1,0)</f>
        <v>2026</v>
      </c>
      <c r="C636" s="167">
        <f>YEAR(Table7[[#This Row],[Date]])</f>
        <v>2025</v>
      </c>
      <c r="D636" s="168">
        <f t="shared" si="29"/>
        <v>45992</v>
      </c>
      <c r="AE636" s="167">
        <f t="shared" si="30"/>
        <v>0</v>
      </c>
    </row>
    <row r="637" spans="1:31">
      <c r="A637" s="197">
        <f t="shared" si="31"/>
        <v>46017</v>
      </c>
      <c r="B637" s="167">
        <f>YEAR(Table7[[#This Row],[Date]])+IF(MONTH(Table7[[#This Row],[Date]])&gt;=4,1,0)</f>
        <v>2026</v>
      </c>
      <c r="C637" s="167">
        <f>YEAR(Table7[[#This Row],[Date]])</f>
        <v>2025</v>
      </c>
      <c r="D637" s="168">
        <f t="shared" si="29"/>
        <v>45992</v>
      </c>
      <c r="AE637" s="167">
        <f t="shared" si="30"/>
        <v>0</v>
      </c>
    </row>
    <row r="638" spans="1:31">
      <c r="A638" s="197">
        <f t="shared" si="31"/>
        <v>46018</v>
      </c>
      <c r="B638" s="167">
        <f>YEAR(Table7[[#This Row],[Date]])+IF(MONTH(Table7[[#This Row],[Date]])&gt;=4,1,0)</f>
        <v>2026</v>
      </c>
      <c r="C638" s="167">
        <f>YEAR(Table7[[#This Row],[Date]])</f>
        <v>2025</v>
      </c>
      <c r="D638" s="168">
        <f t="shared" si="29"/>
        <v>45992</v>
      </c>
      <c r="AE638" s="167">
        <f t="shared" si="30"/>
        <v>0</v>
      </c>
    </row>
    <row r="639" spans="1:31">
      <c r="A639" s="197">
        <f t="shared" si="31"/>
        <v>46019</v>
      </c>
      <c r="B639" s="167">
        <f>YEAR(Table7[[#This Row],[Date]])+IF(MONTH(Table7[[#This Row],[Date]])&gt;=4,1,0)</f>
        <v>2026</v>
      </c>
      <c r="C639" s="167">
        <f>YEAR(Table7[[#This Row],[Date]])</f>
        <v>2025</v>
      </c>
      <c r="D639" s="168">
        <f t="shared" si="29"/>
        <v>45992</v>
      </c>
      <c r="AE639" s="167">
        <f t="shared" si="30"/>
        <v>0</v>
      </c>
    </row>
    <row r="640" spans="1:31">
      <c r="A640" s="197">
        <f t="shared" si="31"/>
        <v>46020</v>
      </c>
      <c r="B640" s="167">
        <f>YEAR(Table7[[#This Row],[Date]])+IF(MONTH(Table7[[#This Row],[Date]])&gt;=4,1,0)</f>
        <v>2026</v>
      </c>
      <c r="C640" s="167">
        <f>YEAR(Table7[[#This Row],[Date]])</f>
        <v>2025</v>
      </c>
      <c r="D640" s="168">
        <f t="shared" si="29"/>
        <v>45992</v>
      </c>
      <c r="AE640" s="167">
        <f t="shared" si="30"/>
        <v>0</v>
      </c>
    </row>
    <row r="641" spans="1:31">
      <c r="A641" s="197">
        <f t="shared" si="31"/>
        <v>46021</v>
      </c>
      <c r="B641" s="167">
        <f>YEAR(Table7[[#This Row],[Date]])+IF(MONTH(Table7[[#This Row],[Date]])&gt;=4,1,0)</f>
        <v>2026</v>
      </c>
      <c r="C641" s="167">
        <f>YEAR(Table7[[#This Row],[Date]])</f>
        <v>2025</v>
      </c>
      <c r="D641" s="168">
        <f t="shared" si="29"/>
        <v>45992</v>
      </c>
      <c r="AE641" s="167">
        <f t="shared" si="30"/>
        <v>0</v>
      </c>
    </row>
    <row r="642" spans="1:31">
      <c r="A642" s="197">
        <f t="shared" si="31"/>
        <v>46022</v>
      </c>
      <c r="B642" s="167">
        <f>YEAR(Table7[[#This Row],[Date]])+IF(MONTH(Table7[[#This Row],[Date]])&gt;=4,1,0)</f>
        <v>2026</v>
      </c>
      <c r="C642" s="167">
        <f>YEAR(Table7[[#This Row],[Date]])</f>
        <v>2025</v>
      </c>
      <c r="D642" s="168">
        <f t="shared" si="29"/>
        <v>45992</v>
      </c>
      <c r="AE642" s="167">
        <f t="shared" si="30"/>
        <v>0</v>
      </c>
    </row>
    <row r="643" spans="1:31">
      <c r="A643" s="197">
        <f t="shared" si="31"/>
        <v>46023</v>
      </c>
      <c r="B643" s="167">
        <f>YEAR(Table7[[#This Row],[Date]])+IF(MONTH(Table7[[#This Row],[Date]])&gt;=4,1,0)</f>
        <v>2026</v>
      </c>
      <c r="C643" s="167">
        <f>YEAR(Table7[[#This Row],[Date]])</f>
        <v>2026</v>
      </c>
      <c r="D643" s="168">
        <f t="shared" ref="D643:D706" si="32">A643-DAY(A643)+1</f>
        <v>46023</v>
      </c>
      <c r="AE643" s="167">
        <f t="shared" ref="AE643:AE706" si="33">SUM(E643:AD643)</f>
        <v>0</v>
      </c>
    </row>
    <row r="644" spans="1:31">
      <c r="A644" s="197">
        <f t="shared" si="31"/>
        <v>46024</v>
      </c>
      <c r="B644" s="167">
        <f>YEAR(Table7[[#This Row],[Date]])+IF(MONTH(Table7[[#This Row],[Date]])&gt;=4,1,0)</f>
        <v>2026</v>
      </c>
      <c r="C644" s="167">
        <f>YEAR(Table7[[#This Row],[Date]])</f>
        <v>2026</v>
      </c>
      <c r="D644" s="168">
        <f t="shared" si="32"/>
        <v>46023</v>
      </c>
      <c r="AE644" s="167">
        <f t="shared" si="33"/>
        <v>0</v>
      </c>
    </row>
    <row r="645" spans="1:31">
      <c r="A645" s="197">
        <f t="shared" ref="A645:A708" si="34">A644+1</f>
        <v>46025</v>
      </c>
      <c r="B645" s="167">
        <f>YEAR(Table7[[#This Row],[Date]])+IF(MONTH(Table7[[#This Row],[Date]])&gt;=4,1,0)</f>
        <v>2026</v>
      </c>
      <c r="C645" s="167">
        <f>YEAR(Table7[[#This Row],[Date]])</f>
        <v>2026</v>
      </c>
      <c r="D645" s="168">
        <f t="shared" si="32"/>
        <v>46023</v>
      </c>
      <c r="AE645" s="167">
        <f t="shared" si="33"/>
        <v>0</v>
      </c>
    </row>
    <row r="646" spans="1:31">
      <c r="A646" s="197">
        <f t="shared" si="34"/>
        <v>46026</v>
      </c>
      <c r="B646" s="167">
        <f>YEAR(Table7[[#This Row],[Date]])+IF(MONTH(Table7[[#This Row],[Date]])&gt;=4,1,0)</f>
        <v>2026</v>
      </c>
      <c r="C646" s="167">
        <f>YEAR(Table7[[#This Row],[Date]])</f>
        <v>2026</v>
      </c>
      <c r="D646" s="168">
        <f t="shared" si="32"/>
        <v>46023</v>
      </c>
      <c r="AE646" s="167">
        <f t="shared" si="33"/>
        <v>0</v>
      </c>
    </row>
    <row r="647" spans="1:31">
      <c r="A647" s="197">
        <f t="shared" si="34"/>
        <v>46027</v>
      </c>
      <c r="B647" s="167">
        <f>YEAR(Table7[[#This Row],[Date]])+IF(MONTH(Table7[[#This Row],[Date]])&gt;=4,1,0)</f>
        <v>2026</v>
      </c>
      <c r="C647" s="167">
        <f>YEAR(Table7[[#This Row],[Date]])</f>
        <v>2026</v>
      </c>
      <c r="D647" s="168">
        <f t="shared" si="32"/>
        <v>46023</v>
      </c>
      <c r="AE647" s="167">
        <f t="shared" si="33"/>
        <v>0</v>
      </c>
    </row>
    <row r="648" spans="1:31">
      <c r="A648" s="197">
        <f t="shared" si="34"/>
        <v>46028</v>
      </c>
      <c r="B648" s="167">
        <f>YEAR(Table7[[#This Row],[Date]])+IF(MONTH(Table7[[#This Row],[Date]])&gt;=4,1,0)</f>
        <v>2026</v>
      </c>
      <c r="C648" s="167">
        <f>YEAR(Table7[[#This Row],[Date]])</f>
        <v>2026</v>
      </c>
      <c r="D648" s="168">
        <f t="shared" si="32"/>
        <v>46023</v>
      </c>
      <c r="AE648" s="167">
        <f t="shared" si="33"/>
        <v>0</v>
      </c>
    </row>
    <row r="649" spans="1:31">
      <c r="A649" s="197">
        <f t="shared" si="34"/>
        <v>46029</v>
      </c>
      <c r="B649" s="167">
        <f>YEAR(Table7[[#This Row],[Date]])+IF(MONTH(Table7[[#This Row],[Date]])&gt;=4,1,0)</f>
        <v>2026</v>
      </c>
      <c r="C649" s="167">
        <f>YEAR(Table7[[#This Row],[Date]])</f>
        <v>2026</v>
      </c>
      <c r="D649" s="168">
        <f t="shared" si="32"/>
        <v>46023</v>
      </c>
      <c r="AE649" s="167">
        <f t="shared" si="33"/>
        <v>0</v>
      </c>
    </row>
    <row r="650" spans="1:31">
      <c r="A650" s="197">
        <f t="shared" si="34"/>
        <v>46030</v>
      </c>
      <c r="B650" s="167">
        <f>YEAR(Table7[[#This Row],[Date]])+IF(MONTH(Table7[[#This Row],[Date]])&gt;=4,1,0)</f>
        <v>2026</v>
      </c>
      <c r="C650" s="167">
        <f>YEAR(Table7[[#This Row],[Date]])</f>
        <v>2026</v>
      </c>
      <c r="D650" s="168">
        <f t="shared" si="32"/>
        <v>46023</v>
      </c>
      <c r="AE650" s="167">
        <f t="shared" si="33"/>
        <v>0</v>
      </c>
    </row>
    <row r="651" spans="1:31">
      <c r="A651" s="197">
        <f t="shared" si="34"/>
        <v>46031</v>
      </c>
      <c r="B651" s="167">
        <f>YEAR(Table7[[#This Row],[Date]])+IF(MONTH(Table7[[#This Row],[Date]])&gt;=4,1,0)</f>
        <v>2026</v>
      </c>
      <c r="C651" s="167">
        <f>YEAR(Table7[[#This Row],[Date]])</f>
        <v>2026</v>
      </c>
      <c r="D651" s="168">
        <f t="shared" si="32"/>
        <v>46023</v>
      </c>
      <c r="AE651" s="167">
        <f t="shared" si="33"/>
        <v>0</v>
      </c>
    </row>
    <row r="652" spans="1:31">
      <c r="A652" s="197">
        <f t="shared" si="34"/>
        <v>46032</v>
      </c>
      <c r="B652" s="167">
        <f>YEAR(Table7[[#This Row],[Date]])+IF(MONTH(Table7[[#This Row],[Date]])&gt;=4,1,0)</f>
        <v>2026</v>
      </c>
      <c r="C652" s="167">
        <f>YEAR(Table7[[#This Row],[Date]])</f>
        <v>2026</v>
      </c>
      <c r="D652" s="168">
        <f t="shared" si="32"/>
        <v>46023</v>
      </c>
      <c r="AE652" s="167">
        <f t="shared" si="33"/>
        <v>0</v>
      </c>
    </row>
    <row r="653" spans="1:31">
      <c r="A653" s="197">
        <f t="shared" si="34"/>
        <v>46033</v>
      </c>
      <c r="B653" s="167">
        <f>YEAR(Table7[[#This Row],[Date]])+IF(MONTH(Table7[[#This Row],[Date]])&gt;=4,1,0)</f>
        <v>2026</v>
      </c>
      <c r="C653" s="167">
        <f>YEAR(Table7[[#This Row],[Date]])</f>
        <v>2026</v>
      </c>
      <c r="D653" s="168">
        <f t="shared" si="32"/>
        <v>46023</v>
      </c>
      <c r="AE653" s="167">
        <f t="shared" si="33"/>
        <v>0</v>
      </c>
    </row>
    <row r="654" spans="1:31">
      <c r="A654" s="197">
        <f t="shared" si="34"/>
        <v>46034</v>
      </c>
      <c r="B654" s="167">
        <f>YEAR(Table7[[#This Row],[Date]])+IF(MONTH(Table7[[#This Row],[Date]])&gt;=4,1,0)</f>
        <v>2026</v>
      </c>
      <c r="C654" s="167">
        <f>YEAR(Table7[[#This Row],[Date]])</f>
        <v>2026</v>
      </c>
      <c r="D654" s="168">
        <f t="shared" si="32"/>
        <v>46023</v>
      </c>
      <c r="AE654" s="167">
        <f t="shared" si="33"/>
        <v>0</v>
      </c>
    </row>
    <row r="655" spans="1:31">
      <c r="A655" s="197">
        <f t="shared" si="34"/>
        <v>46035</v>
      </c>
      <c r="B655" s="167">
        <f>YEAR(Table7[[#This Row],[Date]])+IF(MONTH(Table7[[#This Row],[Date]])&gt;=4,1,0)</f>
        <v>2026</v>
      </c>
      <c r="C655" s="167">
        <f>YEAR(Table7[[#This Row],[Date]])</f>
        <v>2026</v>
      </c>
      <c r="D655" s="168">
        <f t="shared" si="32"/>
        <v>46023</v>
      </c>
      <c r="AE655" s="167">
        <f t="shared" si="33"/>
        <v>0</v>
      </c>
    </row>
    <row r="656" spans="1:31">
      <c r="A656" s="197">
        <f t="shared" si="34"/>
        <v>46036</v>
      </c>
      <c r="B656" s="167">
        <f>YEAR(Table7[[#This Row],[Date]])+IF(MONTH(Table7[[#This Row],[Date]])&gt;=4,1,0)</f>
        <v>2026</v>
      </c>
      <c r="C656" s="167">
        <f>YEAR(Table7[[#This Row],[Date]])</f>
        <v>2026</v>
      </c>
      <c r="D656" s="168">
        <f t="shared" si="32"/>
        <v>46023</v>
      </c>
      <c r="AE656" s="167">
        <f t="shared" si="33"/>
        <v>0</v>
      </c>
    </row>
    <row r="657" spans="1:31">
      <c r="A657" s="197">
        <f t="shared" si="34"/>
        <v>46037</v>
      </c>
      <c r="B657" s="167">
        <f>YEAR(Table7[[#This Row],[Date]])+IF(MONTH(Table7[[#This Row],[Date]])&gt;=4,1,0)</f>
        <v>2026</v>
      </c>
      <c r="C657" s="167">
        <f>YEAR(Table7[[#This Row],[Date]])</f>
        <v>2026</v>
      </c>
      <c r="D657" s="168">
        <f t="shared" si="32"/>
        <v>46023</v>
      </c>
      <c r="AE657" s="167">
        <f t="shared" si="33"/>
        <v>0</v>
      </c>
    </row>
    <row r="658" spans="1:31">
      <c r="A658" s="197">
        <f t="shared" si="34"/>
        <v>46038</v>
      </c>
      <c r="B658" s="167">
        <f>YEAR(Table7[[#This Row],[Date]])+IF(MONTH(Table7[[#This Row],[Date]])&gt;=4,1,0)</f>
        <v>2026</v>
      </c>
      <c r="C658" s="167">
        <f>YEAR(Table7[[#This Row],[Date]])</f>
        <v>2026</v>
      </c>
      <c r="D658" s="168">
        <f t="shared" si="32"/>
        <v>46023</v>
      </c>
      <c r="AE658" s="167">
        <f t="shared" si="33"/>
        <v>0</v>
      </c>
    </row>
    <row r="659" spans="1:31">
      <c r="A659" s="197">
        <f t="shared" si="34"/>
        <v>46039</v>
      </c>
      <c r="B659" s="167">
        <f>YEAR(Table7[[#This Row],[Date]])+IF(MONTH(Table7[[#This Row],[Date]])&gt;=4,1,0)</f>
        <v>2026</v>
      </c>
      <c r="C659" s="167">
        <f>YEAR(Table7[[#This Row],[Date]])</f>
        <v>2026</v>
      </c>
      <c r="D659" s="168">
        <f t="shared" si="32"/>
        <v>46023</v>
      </c>
      <c r="AE659" s="167">
        <f t="shared" si="33"/>
        <v>0</v>
      </c>
    </row>
    <row r="660" spans="1:31">
      <c r="A660" s="197">
        <f t="shared" si="34"/>
        <v>46040</v>
      </c>
      <c r="B660" s="167">
        <f>YEAR(Table7[[#This Row],[Date]])+IF(MONTH(Table7[[#This Row],[Date]])&gt;=4,1,0)</f>
        <v>2026</v>
      </c>
      <c r="C660" s="167">
        <f>YEAR(Table7[[#This Row],[Date]])</f>
        <v>2026</v>
      </c>
      <c r="D660" s="168">
        <f t="shared" si="32"/>
        <v>46023</v>
      </c>
      <c r="AE660" s="167">
        <f t="shared" si="33"/>
        <v>0</v>
      </c>
    </row>
    <row r="661" spans="1:31">
      <c r="A661" s="197">
        <f t="shared" si="34"/>
        <v>46041</v>
      </c>
      <c r="B661" s="167">
        <f>YEAR(Table7[[#This Row],[Date]])+IF(MONTH(Table7[[#This Row],[Date]])&gt;=4,1,0)</f>
        <v>2026</v>
      </c>
      <c r="C661" s="167">
        <f>YEAR(Table7[[#This Row],[Date]])</f>
        <v>2026</v>
      </c>
      <c r="D661" s="168">
        <f t="shared" si="32"/>
        <v>46023</v>
      </c>
      <c r="AE661" s="167">
        <f t="shared" si="33"/>
        <v>0</v>
      </c>
    </row>
    <row r="662" spans="1:31">
      <c r="A662" s="197">
        <f t="shared" si="34"/>
        <v>46042</v>
      </c>
      <c r="B662" s="167">
        <f>YEAR(Table7[[#This Row],[Date]])+IF(MONTH(Table7[[#This Row],[Date]])&gt;=4,1,0)</f>
        <v>2026</v>
      </c>
      <c r="C662" s="167">
        <f>YEAR(Table7[[#This Row],[Date]])</f>
        <v>2026</v>
      </c>
      <c r="D662" s="168">
        <f t="shared" si="32"/>
        <v>46023</v>
      </c>
      <c r="AE662" s="167">
        <f t="shared" si="33"/>
        <v>0</v>
      </c>
    </row>
    <row r="663" spans="1:31">
      <c r="A663" s="197">
        <f t="shared" si="34"/>
        <v>46043</v>
      </c>
      <c r="B663" s="167">
        <f>YEAR(Table7[[#This Row],[Date]])+IF(MONTH(Table7[[#This Row],[Date]])&gt;=4,1,0)</f>
        <v>2026</v>
      </c>
      <c r="C663" s="167">
        <f>YEAR(Table7[[#This Row],[Date]])</f>
        <v>2026</v>
      </c>
      <c r="D663" s="168">
        <f t="shared" si="32"/>
        <v>46023</v>
      </c>
      <c r="AE663" s="167">
        <f t="shared" si="33"/>
        <v>0</v>
      </c>
    </row>
    <row r="664" spans="1:31">
      <c r="A664" s="197">
        <f t="shared" si="34"/>
        <v>46044</v>
      </c>
      <c r="B664" s="167">
        <f>YEAR(Table7[[#This Row],[Date]])+IF(MONTH(Table7[[#This Row],[Date]])&gt;=4,1,0)</f>
        <v>2026</v>
      </c>
      <c r="C664" s="167">
        <f>YEAR(Table7[[#This Row],[Date]])</f>
        <v>2026</v>
      </c>
      <c r="D664" s="168">
        <f t="shared" si="32"/>
        <v>46023</v>
      </c>
      <c r="AE664" s="167">
        <f t="shared" si="33"/>
        <v>0</v>
      </c>
    </row>
    <row r="665" spans="1:31">
      <c r="A665" s="197">
        <f t="shared" si="34"/>
        <v>46045</v>
      </c>
      <c r="B665" s="167">
        <f>YEAR(Table7[[#This Row],[Date]])+IF(MONTH(Table7[[#This Row],[Date]])&gt;=4,1,0)</f>
        <v>2026</v>
      </c>
      <c r="C665" s="167">
        <f>YEAR(Table7[[#This Row],[Date]])</f>
        <v>2026</v>
      </c>
      <c r="D665" s="168">
        <f t="shared" si="32"/>
        <v>46023</v>
      </c>
      <c r="AE665" s="167">
        <f t="shared" si="33"/>
        <v>0</v>
      </c>
    </row>
    <row r="666" spans="1:31">
      <c r="A666" s="197">
        <f t="shared" si="34"/>
        <v>46046</v>
      </c>
      <c r="B666" s="167">
        <f>YEAR(Table7[[#This Row],[Date]])+IF(MONTH(Table7[[#This Row],[Date]])&gt;=4,1,0)</f>
        <v>2026</v>
      </c>
      <c r="C666" s="167">
        <f>YEAR(Table7[[#This Row],[Date]])</f>
        <v>2026</v>
      </c>
      <c r="D666" s="168">
        <f t="shared" si="32"/>
        <v>46023</v>
      </c>
      <c r="AE666" s="167">
        <f t="shared" si="33"/>
        <v>0</v>
      </c>
    </row>
    <row r="667" spans="1:31">
      <c r="A667" s="197">
        <f t="shared" si="34"/>
        <v>46047</v>
      </c>
      <c r="B667" s="167">
        <f>YEAR(Table7[[#This Row],[Date]])+IF(MONTH(Table7[[#This Row],[Date]])&gt;=4,1,0)</f>
        <v>2026</v>
      </c>
      <c r="C667" s="167">
        <f>YEAR(Table7[[#This Row],[Date]])</f>
        <v>2026</v>
      </c>
      <c r="D667" s="168">
        <f t="shared" si="32"/>
        <v>46023</v>
      </c>
      <c r="AE667" s="167">
        <f t="shared" si="33"/>
        <v>0</v>
      </c>
    </row>
    <row r="668" spans="1:31">
      <c r="A668" s="197">
        <f t="shared" si="34"/>
        <v>46048</v>
      </c>
      <c r="B668" s="167">
        <f>YEAR(Table7[[#This Row],[Date]])+IF(MONTH(Table7[[#This Row],[Date]])&gt;=4,1,0)</f>
        <v>2026</v>
      </c>
      <c r="C668" s="167">
        <f>YEAR(Table7[[#This Row],[Date]])</f>
        <v>2026</v>
      </c>
      <c r="D668" s="168">
        <f t="shared" si="32"/>
        <v>46023</v>
      </c>
      <c r="AE668" s="167">
        <f t="shared" si="33"/>
        <v>0</v>
      </c>
    </row>
    <row r="669" spans="1:31">
      <c r="A669" s="197">
        <f t="shared" si="34"/>
        <v>46049</v>
      </c>
      <c r="B669" s="167">
        <f>YEAR(Table7[[#This Row],[Date]])+IF(MONTH(Table7[[#This Row],[Date]])&gt;=4,1,0)</f>
        <v>2026</v>
      </c>
      <c r="C669" s="167">
        <f>YEAR(Table7[[#This Row],[Date]])</f>
        <v>2026</v>
      </c>
      <c r="D669" s="168">
        <f t="shared" si="32"/>
        <v>46023</v>
      </c>
      <c r="AE669" s="167">
        <f t="shared" si="33"/>
        <v>0</v>
      </c>
    </row>
    <row r="670" spans="1:31">
      <c r="A670" s="197">
        <f t="shared" si="34"/>
        <v>46050</v>
      </c>
      <c r="B670" s="167">
        <f>YEAR(Table7[[#This Row],[Date]])+IF(MONTH(Table7[[#This Row],[Date]])&gt;=4,1,0)</f>
        <v>2026</v>
      </c>
      <c r="C670" s="167">
        <f>YEAR(Table7[[#This Row],[Date]])</f>
        <v>2026</v>
      </c>
      <c r="D670" s="168">
        <f t="shared" si="32"/>
        <v>46023</v>
      </c>
      <c r="AE670" s="167">
        <f t="shared" si="33"/>
        <v>0</v>
      </c>
    </row>
    <row r="671" spans="1:31">
      <c r="A671" s="197">
        <f t="shared" si="34"/>
        <v>46051</v>
      </c>
      <c r="B671" s="167">
        <f>YEAR(Table7[[#This Row],[Date]])+IF(MONTH(Table7[[#This Row],[Date]])&gt;=4,1,0)</f>
        <v>2026</v>
      </c>
      <c r="C671" s="167">
        <f>YEAR(Table7[[#This Row],[Date]])</f>
        <v>2026</v>
      </c>
      <c r="D671" s="168">
        <f t="shared" si="32"/>
        <v>46023</v>
      </c>
      <c r="AE671" s="167">
        <f t="shared" si="33"/>
        <v>0</v>
      </c>
    </row>
    <row r="672" spans="1:31">
      <c r="A672" s="197">
        <f t="shared" si="34"/>
        <v>46052</v>
      </c>
      <c r="B672" s="167">
        <f>YEAR(Table7[[#This Row],[Date]])+IF(MONTH(Table7[[#This Row],[Date]])&gt;=4,1,0)</f>
        <v>2026</v>
      </c>
      <c r="C672" s="167">
        <f>YEAR(Table7[[#This Row],[Date]])</f>
        <v>2026</v>
      </c>
      <c r="D672" s="168">
        <f t="shared" si="32"/>
        <v>46023</v>
      </c>
      <c r="AE672" s="167">
        <f t="shared" si="33"/>
        <v>0</v>
      </c>
    </row>
    <row r="673" spans="1:31">
      <c r="A673" s="197">
        <f t="shared" si="34"/>
        <v>46053</v>
      </c>
      <c r="B673" s="167">
        <f>YEAR(Table7[[#This Row],[Date]])+IF(MONTH(Table7[[#This Row],[Date]])&gt;=4,1,0)</f>
        <v>2026</v>
      </c>
      <c r="C673" s="167">
        <f>YEAR(Table7[[#This Row],[Date]])</f>
        <v>2026</v>
      </c>
      <c r="D673" s="168">
        <f t="shared" si="32"/>
        <v>46023</v>
      </c>
      <c r="AE673" s="167">
        <f t="shared" si="33"/>
        <v>0</v>
      </c>
    </row>
    <row r="674" spans="1:31">
      <c r="A674" s="197">
        <f t="shared" si="34"/>
        <v>46054</v>
      </c>
      <c r="B674" s="167">
        <f>YEAR(Table7[[#This Row],[Date]])+IF(MONTH(Table7[[#This Row],[Date]])&gt;=4,1,0)</f>
        <v>2026</v>
      </c>
      <c r="C674" s="167">
        <f>YEAR(Table7[[#This Row],[Date]])</f>
        <v>2026</v>
      </c>
      <c r="D674" s="168">
        <f t="shared" si="32"/>
        <v>46054</v>
      </c>
      <c r="AE674" s="167">
        <f t="shared" si="33"/>
        <v>0</v>
      </c>
    </row>
    <row r="675" spans="1:31">
      <c r="A675" s="197">
        <f t="shared" si="34"/>
        <v>46055</v>
      </c>
      <c r="B675" s="167">
        <f>YEAR(Table7[[#This Row],[Date]])+IF(MONTH(Table7[[#This Row],[Date]])&gt;=4,1,0)</f>
        <v>2026</v>
      </c>
      <c r="C675" s="167">
        <f>YEAR(Table7[[#This Row],[Date]])</f>
        <v>2026</v>
      </c>
      <c r="D675" s="168">
        <f t="shared" si="32"/>
        <v>46054</v>
      </c>
      <c r="AE675" s="167">
        <f t="shared" si="33"/>
        <v>0</v>
      </c>
    </row>
    <row r="676" spans="1:31">
      <c r="A676" s="197">
        <f t="shared" si="34"/>
        <v>46056</v>
      </c>
      <c r="B676" s="167">
        <f>YEAR(Table7[[#This Row],[Date]])+IF(MONTH(Table7[[#This Row],[Date]])&gt;=4,1,0)</f>
        <v>2026</v>
      </c>
      <c r="C676" s="167">
        <f>YEAR(Table7[[#This Row],[Date]])</f>
        <v>2026</v>
      </c>
      <c r="D676" s="168">
        <f t="shared" si="32"/>
        <v>46054</v>
      </c>
      <c r="AE676" s="167">
        <f t="shared" si="33"/>
        <v>0</v>
      </c>
    </row>
    <row r="677" spans="1:31">
      <c r="A677" s="197">
        <f t="shared" si="34"/>
        <v>46057</v>
      </c>
      <c r="B677" s="167">
        <f>YEAR(Table7[[#This Row],[Date]])+IF(MONTH(Table7[[#This Row],[Date]])&gt;=4,1,0)</f>
        <v>2026</v>
      </c>
      <c r="C677" s="167">
        <f>YEAR(Table7[[#This Row],[Date]])</f>
        <v>2026</v>
      </c>
      <c r="D677" s="168">
        <f t="shared" si="32"/>
        <v>46054</v>
      </c>
      <c r="AE677" s="167">
        <f t="shared" si="33"/>
        <v>0</v>
      </c>
    </row>
    <row r="678" spans="1:31">
      <c r="A678" s="197">
        <f t="shared" si="34"/>
        <v>46058</v>
      </c>
      <c r="B678" s="167">
        <f>YEAR(Table7[[#This Row],[Date]])+IF(MONTH(Table7[[#This Row],[Date]])&gt;=4,1,0)</f>
        <v>2026</v>
      </c>
      <c r="C678" s="167">
        <f>YEAR(Table7[[#This Row],[Date]])</f>
        <v>2026</v>
      </c>
      <c r="D678" s="168">
        <f t="shared" si="32"/>
        <v>46054</v>
      </c>
      <c r="AE678" s="167">
        <f t="shared" si="33"/>
        <v>0</v>
      </c>
    </row>
    <row r="679" spans="1:31">
      <c r="A679" s="197">
        <f t="shared" si="34"/>
        <v>46059</v>
      </c>
      <c r="B679" s="167">
        <f>YEAR(Table7[[#This Row],[Date]])+IF(MONTH(Table7[[#This Row],[Date]])&gt;=4,1,0)</f>
        <v>2026</v>
      </c>
      <c r="C679" s="167">
        <f>YEAR(Table7[[#This Row],[Date]])</f>
        <v>2026</v>
      </c>
      <c r="D679" s="168">
        <f t="shared" si="32"/>
        <v>46054</v>
      </c>
      <c r="AE679" s="167">
        <f t="shared" si="33"/>
        <v>0</v>
      </c>
    </row>
    <row r="680" spans="1:31">
      <c r="A680" s="197">
        <f t="shared" si="34"/>
        <v>46060</v>
      </c>
      <c r="B680" s="167">
        <f>YEAR(Table7[[#This Row],[Date]])+IF(MONTH(Table7[[#This Row],[Date]])&gt;=4,1,0)</f>
        <v>2026</v>
      </c>
      <c r="C680" s="167">
        <f>YEAR(Table7[[#This Row],[Date]])</f>
        <v>2026</v>
      </c>
      <c r="D680" s="168">
        <f t="shared" si="32"/>
        <v>46054</v>
      </c>
      <c r="AE680" s="167">
        <f t="shared" si="33"/>
        <v>0</v>
      </c>
    </row>
    <row r="681" spans="1:31">
      <c r="A681" s="197">
        <f t="shared" si="34"/>
        <v>46061</v>
      </c>
      <c r="B681" s="167">
        <f>YEAR(Table7[[#This Row],[Date]])+IF(MONTH(Table7[[#This Row],[Date]])&gt;=4,1,0)</f>
        <v>2026</v>
      </c>
      <c r="C681" s="167">
        <f>YEAR(Table7[[#This Row],[Date]])</f>
        <v>2026</v>
      </c>
      <c r="D681" s="168">
        <f t="shared" si="32"/>
        <v>46054</v>
      </c>
      <c r="AE681" s="167">
        <f t="shared" si="33"/>
        <v>0</v>
      </c>
    </row>
    <row r="682" spans="1:31">
      <c r="A682" s="197">
        <f t="shared" si="34"/>
        <v>46062</v>
      </c>
      <c r="B682" s="167">
        <f>YEAR(Table7[[#This Row],[Date]])+IF(MONTH(Table7[[#This Row],[Date]])&gt;=4,1,0)</f>
        <v>2026</v>
      </c>
      <c r="C682" s="167">
        <f>YEAR(Table7[[#This Row],[Date]])</f>
        <v>2026</v>
      </c>
      <c r="D682" s="168">
        <f t="shared" si="32"/>
        <v>46054</v>
      </c>
      <c r="AE682" s="167">
        <f t="shared" si="33"/>
        <v>0</v>
      </c>
    </row>
    <row r="683" spans="1:31">
      <c r="A683" s="197">
        <f t="shared" si="34"/>
        <v>46063</v>
      </c>
      <c r="B683" s="167">
        <f>YEAR(Table7[[#This Row],[Date]])+IF(MONTH(Table7[[#This Row],[Date]])&gt;=4,1,0)</f>
        <v>2026</v>
      </c>
      <c r="C683" s="167">
        <f>YEAR(Table7[[#This Row],[Date]])</f>
        <v>2026</v>
      </c>
      <c r="D683" s="168">
        <f t="shared" si="32"/>
        <v>46054</v>
      </c>
      <c r="AE683" s="167">
        <f t="shared" si="33"/>
        <v>0</v>
      </c>
    </row>
    <row r="684" spans="1:31">
      <c r="A684" s="197">
        <f t="shared" si="34"/>
        <v>46064</v>
      </c>
      <c r="B684" s="167">
        <f>YEAR(Table7[[#This Row],[Date]])+IF(MONTH(Table7[[#This Row],[Date]])&gt;=4,1,0)</f>
        <v>2026</v>
      </c>
      <c r="C684" s="167">
        <f>YEAR(Table7[[#This Row],[Date]])</f>
        <v>2026</v>
      </c>
      <c r="D684" s="168">
        <f t="shared" si="32"/>
        <v>46054</v>
      </c>
      <c r="AE684" s="167">
        <f t="shared" si="33"/>
        <v>0</v>
      </c>
    </row>
    <row r="685" spans="1:31">
      <c r="A685" s="197">
        <f t="shared" si="34"/>
        <v>46065</v>
      </c>
      <c r="B685" s="167">
        <f>YEAR(Table7[[#This Row],[Date]])+IF(MONTH(Table7[[#This Row],[Date]])&gt;=4,1,0)</f>
        <v>2026</v>
      </c>
      <c r="C685" s="167">
        <f>YEAR(Table7[[#This Row],[Date]])</f>
        <v>2026</v>
      </c>
      <c r="D685" s="168">
        <f t="shared" si="32"/>
        <v>46054</v>
      </c>
      <c r="AE685" s="167">
        <f t="shared" si="33"/>
        <v>0</v>
      </c>
    </row>
    <row r="686" spans="1:31">
      <c r="A686" s="197">
        <f t="shared" si="34"/>
        <v>46066</v>
      </c>
      <c r="B686" s="167">
        <f>YEAR(Table7[[#This Row],[Date]])+IF(MONTH(Table7[[#This Row],[Date]])&gt;=4,1,0)</f>
        <v>2026</v>
      </c>
      <c r="C686" s="167">
        <f>YEAR(Table7[[#This Row],[Date]])</f>
        <v>2026</v>
      </c>
      <c r="D686" s="168">
        <f t="shared" si="32"/>
        <v>46054</v>
      </c>
      <c r="AE686" s="167">
        <f t="shared" si="33"/>
        <v>0</v>
      </c>
    </row>
    <row r="687" spans="1:31">
      <c r="A687" s="197">
        <f t="shared" si="34"/>
        <v>46067</v>
      </c>
      <c r="B687" s="167">
        <f>YEAR(Table7[[#This Row],[Date]])+IF(MONTH(Table7[[#This Row],[Date]])&gt;=4,1,0)</f>
        <v>2026</v>
      </c>
      <c r="C687" s="167">
        <f>YEAR(Table7[[#This Row],[Date]])</f>
        <v>2026</v>
      </c>
      <c r="D687" s="168">
        <f t="shared" si="32"/>
        <v>46054</v>
      </c>
      <c r="AE687" s="167">
        <f t="shared" si="33"/>
        <v>0</v>
      </c>
    </row>
    <row r="688" spans="1:31">
      <c r="A688" s="197">
        <f t="shared" si="34"/>
        <v>46068</v>
      </c>
      <c r="B688" s="167">
        <f>YEAR(Table7[[#This Row],[Date]])+IF(MONTH(Table7[[#This Row],[Date]])&gt;=4,1,0)</f>
        <v>2026</v>
      </c>
      <c r="C688" s="167">
        <f>YEAR(Table7[[#This Row],[Date]])</f>
        <v>2026</v>
      </c>
      <c r="D688" s="168">
        <f t="shared" si="32"/>
        <v>46054</v>
      </c>
      <c r="AE688" s="167">
        <f t="shared" si="33"/>
        <v>0</v>
      </c>
    </row>
    <row r="689" spans="1:31">
      <c r="A689" s="197">
        <f t="shared" si="34"/>
        <v>46069</v>
      </c>
      <c r="B689" s="167">
        <f>YEAR(Table7[[#This Row],[Date]])+IF(MONTH(Table7[[#This Row],[Date]])&gt;=4,1,0)</f>
        <v>2026</v>
      </c>
      <c r="C689" s="167">
        <f>YEAR(Table7[[#This Row],[Date]])</f>
        <v>2026</v>
      </c>
      <c r="D689" s="168">
        <f t="shared" si="32"/>
        <v>46054</v>
      </c>
      <c r="AE689" s="167">
        <f t="shared" si="33"/>
        <v>0</v>
      </c>
    </row>
    <row r="690" spans="1:31">
      <c r="A690" s="197">
        <f t="shared" si="34"/>
        <v>46070</v>
      </c>
      <c r="B690" s="167">
        <f>YEAR(Table7[[#This Row],[Date]])+IF(MONTH(Table7[[#This Row],[Date]])&gt;=4,1,0)</f>
        <v>2026</v>
      </c>
      <c r="C690" s="167">
        <f>YEAR(Table7[[#This Row],[Date]])</f>
        <v>2026</v>
      </c>
      <c r="D690" s="168">
        <f t="shared" si="32"/>
        <v>46054</v>
      </c>
      <c r="AE690" s="167">
        <f t="shared" si="33"/>
        <v>0</v>
      </c>
    </row>
    <row r="691" spans="1:31">
      <c r="A691" s="197">
        <f t="shared" si="34"/>
        <v>46071</v>
      </c>
      <c r="B691" s="167">
        <f>YEAR(Table7[[#This Row],[Date]])+IF(MONTH(Table7[[#This Row],[Date]])&gt;=4,1,0)</f>
        <v>2026</v>
      </c>
      <c r="C691" s="167">
        <f>YEAR(Table7[[#This Row],[Date]])</f>
        <v>2026</v>
      </c>
      <c r="D691" s="168">
        <f t="shared" si="32"/>
        <v>46054</v>
      </c>
      <c r="AE691" s="167">
        <f t="shared" si="33"/>
        <v>0</v>
      </c>
    </row>
    <row r="692" spans="1:31">
      <c r="A692" s="197">
        <f t="shared" si="34"/>
        <v>46072</v>
      </c>
      <c r="B692" s="167">
        <f>YEAR(Table7[[#This Row],[Date]])+IF(MONTH(Table7[[#This Row],[Date]])&gt;=4,1,0)</f>
        <v>2026</v>
      </c>
      <c r="C692" s="167">
        <f>YEAR(Table7[[#This Row],[Date]])</f>
        <v>2026</v>
      </c>
      <c r="D692" s="168">
        <f t="shared" si="32"/>
        <v>46054</v>
      </c>
      <c r="AE692" s="167">
        <f t="shared" si="33"/>
        <v>0</v>
      </c>
    </row>
    <row r="693" spans="1:31">
      <c r="A693" s="197">
        <f t="shared" si="34"/>
        <v>46073</v>
      </c>
      <c r="B693" s="167">
        <f>YEAR(Table7[[#This Row],[Date]])+IF(MONTH(Table7[[#This Row],[Date]])&gt;=4,1,0)</f>
        <v>2026</v>
      </c>
      <c r="C693" s="167">
        <f>YEAR(Table7[[#This Row],[Date]])</f>
        <v>2026</v>
      </c>
      <c r="D693" s="168">
        <f t="shared" si="32"/>
        <v>46054</v>
      </c>
      <c r="AE693" s="167">
        <f t="shared" si="33"/>
        <v>0</v>
      </c>
    </row>
    <row r="694" spans="1:31">
      <c r="A694" s="197">
        <f t="shared" si="34"/>
        <v>46074</v>
      </c>
      <c r="B694" s="167">
        <f>YEAR(Table7[[#This Row],[Date]])+IF(MONTH(Table7[[#This Row],[Date]])&gt;=4,1,0)</f>
        <v>2026</v>
      </c>
      <c r="C694" s="167">
        <f>YEAR(Table7[[#This Row],[Date]])</f>
        <v>2026</v>
      </c>
      <c r="D694" s="168">
        <f t="shared" si="32"/>
        <v>46054</v>
      </c>
      <c r="AE694" s="167">
        <f t="shared" si="33"/>
        <v>0</v>
      </c>
    </row>
    <row r="695" spans="1:31">
      <c r="A695" s="197">
        <f t="shared" si="34"/>
        <v>46075</v>
      </c>
      <c r="B695" s="167">
        <f>YEAR(Table7[[#This Row],[Date]])+IF(MONTH(Table7[[#This Row],[Date]])&gt;=4,1,0)</f>
        <v>2026</v>
      </c>
      <c r="C695" s="167">
        <f>YEAR(Table7[[#This Row],[Date]])</f>
        <v>2026</v>
      </c>
      <c r="D695" s="168">
        <f t="shared" si="32"/>
        <v>46054</v>
      </c>
      <c r="AE695" s="167">
        <f t="shared" si="33"/>
        <v>0</v>
      </c>
    </row>
    <row r="696" spans="1:31">
      <c r="A696" s="197">
        <f t="shared" si="34"/>
        <v>46076</v>
      </c>
      <c r="B696" s="167">
        <f>YEAR(Table7[[#This Row],[Date]])+IF(MONTH(Table7[[#This Row],[Date]])&gt;=4,1,0)</f>
        <v>2026</v>
      </c>
      <c r="C696" s="167">
        <f>YEAR(Table7[[#This Row],[Date]])</f>
        <v>2026</v>
      </c>
      <c r="D696" s="168">
        <f t="shared" si="32"/>
        <v>46054</v>
      </c>
      <c r="AE696" s="167">
        <f t="shared" si="33"/>
        <v>0</v>
      </c>
    </row>
    <row r="697" spans="1:31">
      <c r="A697" s="197">
        <f t="shared" si="34"/>
        <v>46077</v>
      </c>
      <c r="B697" s="167">
        <f>YEAR(Table7[[#This Row],[Date]])+IF(MONTH(Table7[[#This Row],[Date]])&gt;=4,1,0)</f>
        <v>2026</v>
      </c>
      <c r="C697" s="167">
        <f>YEAR(Table7[[#This Row],[Date]])</f>
        <v>2026</v>
      </c>
      <c r="D697" s="168">
        <f t="shared" si="32"/>
        <v>46054</v>
      </c>
      <c r="AE697" s="167">
        <f t="shared" si="33"/>
        <v>0</v>
      </c>
    </row>
    <row r="698" spans="1:31">
      <c r="A698" s="197">
        <f t="shared" si="34"/>
        <v>46078</v>
      </c>
      <c r="B698" s="167">
        <f>YEAR(Table7[[#This Row],[Date]])+IF(MONTH(Table7[[#This Row],[Date]])&gt;=4,1,0)</f>
        <v>2026</v>
      </c>
      <c r="C698" s="167">
        <f>YEAR(Table7[[#This Row],[Date]])</f>
        <v>2026</v>
      </c>
      <c r="D698" s="168">
        <f t="shared" si="32"/>
        <v>46054</v>
      </c>
      <c r="AE698" s="167">
        <f t="shared" si="33"/>
        <v>0</v>
      </c>
    </row>
    <row r="699" spans="1:31">
      <c r="A699" s="197">
        <f t="shared" si="34"/>
        <v>46079</v>
      </c>
      <c r="B699" s="167">
        <f>YEAR(Table7[[#This Row],[Date]])+IF(MONTH(Table7[[#This Row],[Date]])&gt;=4,1,0)</f>
        <v>2026</v>
      </c>
      <c r="C699" s="167">
        <f>YEAR(Table7[[#This Row],[Date]])</f>
        <v>2026</v>
      </c>
      <c r="D699" s="168">
        <f t="shared" si="32"/>
        <v>46054</v>
      </c>
      <c r="AE699" s="167">
        <f t="shared" si="33"/>
        <v>0</v>
      </c>
    </row>
    <row r="700" spans="1:31">
      <c r="A700" s="197">
        <f t="shared" si="34"/>
        <v>46080</v>
      </c>
      <c r="B700" s="167">
        <f>YEAR(Table7[[#This Row],[Date]])+IF(MONTH(Table7[[#This Row],[Date]])&gt;=4,1,0)</f>
        <v>2026</v>
      </c>
      <c r="C700" s="167">
        <f>YEAR(Table7[[#This Row],[Date]])</f>
        <v>2026</v>
      </c>
      <c r="D700" s="168">
        <f t="shared" si="32"/>
        <v>46054</v>
      </c>
      <c r="AE700" s="167">
        <f t="shared" si="33"/>
        <v>0</v>
      </c>
    </row>
    <row r="701" spans="1:31">
      <c r="A701" s="197">
        <f t="shared" si="34"/>
        <v>46081</v>
      </c>
      <c r="B701" s="167">
        <f>YEAR(Table7[[#This Row],[Date]])+IF(MONTH(Table7[[#This Row],[Date]])&gt;=4,1,0)</f>
        <v>2026</v>
      </c>
      <c r="C701" s="167">
        <f>YEAR(Table7[[#This Row],[Date]])</f>
        <v>2026</v>
      </c>
      <c r="D701" s="168">
        <f t="shared" si="32"/>
        <v>46054</v>
      </c>
      <c r="AE701" s="167">
        <f t="shared" si="33"/>
        <v>0</v>
      </c>
    </row>
    <row r="702" spans="1:31">
      <c r="A702" s="197">
        <f t="shared" si="34"/>
        <v>46082</v>
      </c>
      <c r="B702" s="167">
        <f>YEAR(Table7[[#This Row],[Date]])+IF(MONTH(Table7[[#This Row],[Date]])&gt;=4,1,0)</f>
        <v>2026</v>
      </c>
      <c r="C702" s="167">
        <f>YEAR(Table7[[#This Row],[Date]])</f>
        <v>2026</v>
      </c>
      <c r="D702" s="168">
        <f t="shared" si="32"/>
        <v>46082</v>
      </c>
      <c r="AE702" s="167">
        <f t="shared" si="33"/>
        <v>0</v>
      </c>
    </row>
    <row r="703" spans="1:31">
      <c r="A703" s="197">
        <f t="shared" si="34"/>
        <v>46083</v>
      </c>
      <c r="B703" s="167">
        <f>YEAR(Table7[[#This Row],[Date]])+IF(MONTH(Table7[[#This Row],[Date]])&gt;=4,1,0)</f>
        <v>2026</v>
      </c>
      <c r="C703" s="167">
        <f>YEAR(Table7[[#This Row],[Date]])</f>
        <v>2026</v>
      </c>
      <c r="D703" s="168">
        <f t="shared" si="32"/>
        <v>46082</v>
      </c>
      <c r="AE703" s="167">
        <f t="shared" si="33"/>
        <v>0</v>
      </c>
    </row>
    <row r="704" spans="1:31">
      <c r="A704" s="197">
        <f t="shared" si="34"/>
        <v>46084</v>
      </c>
      <c r="B704" s="167">
        <f>YEAR(Table7[[#This Row],[Date]])+IF(MONTH(Table7[[#This Row],[Date]])&gt;=4,1,0)</f>
        <v>2026</v>
      </c>
      <c r="C704" s="167">
        <f>YEAR(Table7[[#This Row],[Date]])</f>
        <v>2026</v>
      </c>
      <c r="D704" s="168">
        <f t="shared" si="32"/>
        <v>46082</v>
      </c>
      <c r="AE704" s="167">
        <f t="shared" si="33"/>
        <v>0</v>
      </c>
    </row>
    <row r="705" spans="1:31">
      <c r="A705" s="197">
        <f t="shared" si="34"/>
        <v>46085</v>
      </c>
      <c r="B705" s="167">
        <f>YEAR(Table7[[#This Row],[Date]])+IF(MONTH(Table7[[#This Row],[Date]])&gt;=4,1,0)</f>
        <v>2026</v>
      </c>
      <c r="C705" s="167">
        <f>YEAR(Table7[[#This Row],[Date]])</f>
        <v>2026</v>
      </c>
      <c r="D705" s="168">
        <f t="shared" si="32"/>
        <v>46082</v>
      </c>
      <c r="AE705" s="167">
        <f t="shared" si="33"/>
        <v>0</v>
      </c>
    </row>
    <row r="706" spans="1:31">
      <c r="A706" s="197">
        <f t="shared" si="34"/>
        <v>46086</v>
      </c>
      <c r="B706" s="167">
        <f>YEAR(Table7[[#This Row],[Date]])+IF(MONTH(Table7[[#This Row],[Date]])&gt;=4,1,0)</f>
        <v>2026</v>
      </c>
      <c r="C706" s="167">
        <f>YEAR(Table7[[#This Row],[Date]])</f>
        <v>2026</v>
      </c>
      <c r="D706" s="168">
        <f t="shared" si="32"/>
        <v>46082</v>
      </c>
      <c r="AE706" s="167">
        <f t="shared" si="33"/>
        <v>0</v>
      </c>
    </row>
    <row r="707" spans="1:31">
      <c r="A707" s="197">
        <f t="shared" si="34"/>
        <v>46087</v>
      </c>
      <c r="B707" s="167">
        <f>YEAR(Table7[[#This Row],[Date]])+IF(MONTH(Table7[[#This Row],[Date]])&gt;=4,1,0)</f>
        <v>2026</v>
      </c>
      <c r="C707" s="167">
        <f>YEAR(Table7[[#This Row],[Date]])</f>
        <v>2026</v>
      </c>
      <c r="D707" s="168">
        <f t="shared" ref="D707:D770" si="35">A707-DAY(A707)+1</f>
        <v>46082</v>
      </c>
      <c r="AE707" s="167">
        <f t="shared" ref="AE707:AE770" si="36">SUM(E707:AD707)</f>
        <v>0</v>
      </c>
    </row>
    <row r="708" spans="1:31">
      <c r="A708" s="197">
        <f t="shared" si="34"/>
        <v>46088</v>
      </c>
      <c r="B708" s="167">
        <f>YEAR(Table7[[#This Row],[Date]])+IF(MONTH(Table7[[#This Row],[Date]])&gt;=4,1,0)</f>
        <v>2026</v>
      </c>
      <c r="C708" s="167">
        <f>YEAR(Table7[[#This Row],[Date]])</f>
        <v>2026</v>
      </c>
      <c r="D708" s="168">
        <f t="shared" si="35"/>
        <v>46082</v>
      </c>
      <c r="AE708" s="167">
        <f t="shared" si="36"/>
        <v>0</v>
      </c>
    </row>
    <row r="709" spans="1:31">
      <c r="A709" s="197">
        <f t="shared" ref="A709:A772" si="37">A708+1</f>
        <v>46089</v>
      </c>
      <c r="B709" s="167">
        <f>YEAR(Table7[[#This Row],[Date]])+IF(MONTH(Table7[[#This Row],[Date]])&gt;=4,1,0)</f>
        <v>2026</v>
      </c>
      <c r="C709" s="167">
        <f>YEAR(Table7[[#This Row],[Date]])</f>
        <v>2026</v>
      </c>
      <c r="D709" s="168">
        <f t="shared" si="35"/>
        <v>46082</v>
      </c>
      <c r="AE709" s="167">
        <f t="shared" si="36"/>
        <v>0</v>
      </c>
    </row>
    <row r="710" spans="1:31">
      <c r="A710" s="197">
        <f t="shared" si="37"/>
        <v>46090</v>
      </c>
      <c r="B710" s="167">
        <f>YEAR(Table7[[#This Row],[Date]])+IF(MONTH(Table7[[#This Row],[Date]])&gt;=4,1,0)</f>
        <v>2026</v>
      </c>
      <c r="C710" s="167">
        <f>YEAR(Table7[[#This Row],[Date]])</f>
        <v>2026</v>
      </c>
      <c r="D710" s="168">
        <f t="shared" si="35"/>
        <v>46082</v>
      </c>
      <c r="AE710" s="167">
        <f t="shared" si="36"/>
        <v>0</v>
      </c>
    </row>
    <row r="711" spans="1:31">
      <c r="A711" s="197">
        <f t="shared" si="37"/>
        <v>46091</v>
      </c>
      <c r="B711" s="167">
        <f>YEAR(Table7[[#This Row],[Date]])+IF(MONTH(Table7[[#This Row],[Date]])&gt;=4,1,0)</f>
        <v>2026</v>
      </c>
      <c r="C711" s="167">
        <f>YEAR(Table7[[#This Row],[Date]])</f>
        <v>2026</v>
      </c>
      <c r="D711" s="168">
        <f t="shared" si="35"/>
        <v>46082</v>
      </c>
      <c r="AE711" s="167">
        <f t="shared" si="36"/>
        <v>0</v>
      </c>
    </row>
    <row r="712" spans="1:31">
      <c r="A712" s="197">
        <f t="shared" si="37"/>
        <v>46092</v>
      </c>
      <c r="B712" s="167">
        <f>YEAR(Table7[[#This Row],[Date]])+IF(MONTH(Table7[[#This Row],[Date]])&gt;=4,1,0)</f>
        <v>2026</v>
      </c>
      <c r="C712" s="167">
        <f>YEAR(Table7[[#This Row],[Date]])</f>
        <v>2026</v>
      </c>
      <c r="D712" s="168">
        <f t="shared" si="35"/>
        <v>46082</v>
      </c>
      <c r="AE712" s="167">
        <f t="shared" si="36"/>
        <v>0</v>
      </c>
    </row>
    <row r="713" spans="1:31">
      <c r="A713" s="197">
        <f t="shared" si="37"/>
        <v>46093</v>
      </c>
      <c r="B713" s="167">
        <f>YEAR(Table7[[#This Row],[Date]])+IF(MONTH(Table7[[#This Row],[Date]])&gt;=4,1,0)</f>
        <v>2026</v>
      </c>
      <c r="C713" s="167">
        <f>YEAR(Table7[[#This Row],[Date]])</f>
        <v>2026</v>
      </c>
      <c r="D713" s="168">
        <f t="shared" si="35"/>
        <v>46082</v>
      </c>
      <c r="AE713" s="167">
        <f t="shared" si="36"/>
        <v>0</v>
      </c>
    </row>
    <row r="714" spans="1:31">
      <c r="A714" s="197">
        <f t="shared" si="37"/>
        <v>46094</v>
      </c>
      <c r="B714" s="167">
        <f>YEAR(Table7[[#This Row],[Date]])+IF(MONTH(Table7[[#This Row],[Date]])&gt;=4,1,0)</f>
        <v>2026</v>
      </c>
      <c r="C714" s="167">
        <f>YEAR(Table7[[#This Row],[Date]])</f>
        <v>2026</v>
      </c>
      <c r="D714" s="168">
        <f t="shared" si="35"/>
        <v>46082</v>
      </c>
      <c r="AE714" s="167">
        <f t="shared" si="36"/>
        <v>0</v>
      </c>
    </row>
    <row r="715" spans="1:31">
      <c r="A715" s="197">
        <f t="shared" si="37"/>
        <v>46095</v>
      </c>
      <c r="B715" s="167">
        <f>YEAR(Table7[[#This Row],[Date]])+IF(MONTH(Table7[[#This Row],[Date]])&gt;=4,1,0)</f>
        <v>2026</v>
      </c>
      <c r="C715" s="167">
        <f>YEAR(Table7[[#This Row],[Date]])</f>
        <v>2026</v>
      </c>
      <c r="D715" s="168">
        <f t="shared" si="35"/>
        <v>46082</v>
      </c>
      <c r="AE715" s="167">
        <f t="shared" si="36"/>
        <v>0</v>
      </c>
    </row>
    <row r="716" spans="1:31">
      <c r="A716" s="197">
        <f t="shared" si="37"/>
        <v>46096</v>
      </c>
      <c r="B716" s="167">
        <f>YEAR(Table7[[#This Row],[Date]])+IF(MONTH(Table7[[#This Row],[Date]])&gt;=4,1,0)</f>
        <v>2026</v>
      </c>
      <c r="C716" s="167">
        <f>YEAR(Table7[[#This Row],[Date]])</f>
        <v>2026</v>
      </c>
      <c r="D716" s="168">
        <f t="shared" si="35"/>
        <v>46082</v>
      </c>
      <c r="AE716" s="167">
        <f t="shared" si="36"/>
        <v>0</v>
      </c>
    </row>
    <row r="717" spans="1:31">
      <c r="A717" s="197">
        <f t="shared" si="37"/>
        <v>46097</v>
      </c>
      <c r="B717" s="167">
        <f>YEAR(Table7[[#This Row],[Date]])+IF(MONTH(Table7[[#This Row],[Date]])&gt;=4,1,0)</f>
        <v>2026</v>
      </c>
      <c r="C717" s="167">
        <f>YEAR(Table7[[#This Row],[Date]])</f>
        <v>2026</v>
      </c>
      <c r="D717" s="168">
        <f t="shared" si="35"/>
        <v>46082</v>
      </c>
      <c r="AE717" s="167">
        <f t="shared" si="36"/>
        <v>0</v>
      </c>
    </row>
    <row r="718" spans="1:31">
      <c r="A718" s="197">
        <f t="shared" si="37"/>
        <v>46098</v>
      </c>
      <c r="B718" s="167">
        <f>YEAR(Table7[[#This Row],[Date]])+IF(MONTH(Table7[[#This Row],[Date]])&gt;=4,1,0)</f>
        <v>2026</v>
      </c>
      <c r="C718" s="167">
        <f>YEAR(Table7[[#This Row],[Date]])</f>
        <v>2026</v>
      </c>
      <c r="D718" s="168">
        <f t="shared" si="35"/>
        <v>46082</v>
      </c>
      <c r="AE718" s="167">
        <f t="shared" si="36"/>
        <v>0</v>
      </c>
    </row>
    <row r="719" spans="1:31">
      <c r="A719" s="197">
        <f t="shared" si="37"/>
        <v>46099</v>
      </c>
      <c r="B719" s="167">
        <f>YEAR(Table7[[#This Row],[Date]])+IF(MONTH(Table7[[#This Row],[Date]])&gt;=4,1,0)</f>
        <v>2026</v>
      </c>
      <c r="C719" s="167">
        <f>YEAR(Table7[[#This Row],[Date]])</f>
        <v>2026</v>
      </c>
      <c r="D719" s="168">
        <f t="shared" si="35"/>
        <v>46082</v>
      </c>
      <c r="AE719" s="167">
        <f t="shared" si="36"/>
        <v>0</v>
      </c>
    </row>
    <row r="720" spans="1:31">
      <c r="A720" s="197">
        <f t="shared" si="37"/>
        <v>46100</v>
      </c>
      <c r="B720" s="167">
        <f>YEAR(Table7[[#This Row],[Date]])+IF(MONTH(Table7[[#This Row],[Date]])&gt;=4,1,0)</f>
        <v>2026</v>
      </c>
      <c r="C720" s="167">
        <f>YEAR(Table7[[#This Row],[Date]])</f>
        <v>2026</v>
      </c>
      <c r="D720" s="168">
        <f t="shared" si="35"/>
        <v>46082</v>
      </c>
      <c r="AE720" s="167">
        <f t="shared" si="36"/>
        <v>0</v>
      </c>
    </row>
    <row r="721" spans="1:31">
      <c r="A721" s="197">
        <f t="shared" si="37"/>
        <v>46101</v>
      </c>
      <c r="B721" s="167">
        <f>YEAR(Table7[[#This Row],[Date]])+IF(MONTH(Table7[[#This Row],[Date]])&gt;=4,1,0)</f>
        <v>2026</v>
      </c>
      <c r="C721" s="167">
        <f>YEAR(Table7[[#This Row],[Date]])</f>
        <v>2026</v>
      </c>
      <c r="D721" s="168">
        <f t="shared" si="35"/>
        <v>46082</v>
      </c>
      <c r="AE721" s="167">
        <f t="shared" si="36"/>
        <v>0</v>
      </c>
    </row>
    <row r="722" spans="1:31">
      <c r="A722" s="197">
        <f t="shared" si="37"/>
        <v>46102</v>
      </c>
      <c r="B722" s="167">
        <f>YEAR(Table7[[#This Row],[Date]])+IF(MONTH(Table7[[#This Row],[Date]])&gt;=4,1,0)</f>
        <v>2026</v>
      </c>
      <c r="C722" s="167">
        <f>YEAR(Table7[[#This Row],[Date]])</f>
        <v>2026</v>
      </c>
      <c r="D722" s="168">
        <f t="shared" si="35"/>
        <v>46082</v>
      </c>
      <c r="AE722" s="167">
        <f t="shared" si="36"/>
        <v>0</v>
      </c>
    </row>
    <row r="723" spans="1:31">
      <c r="A723" s="197">
        <f t="shared" si="37"/>
        <v>46103</v>
      </c>
      <c r="B723" s="167">
        <f>YEAR(Table7[[#This Row],[Date]])+IF(MONTH(Table7[[#This Row],[Date]])&gt;=4,1,0)</f>
        <v>2026</v>
      </c>
      <c r="C723" s="167">
        <f>YEAR(Table7[[#This Row],[Date]])</f>
        <v>2026</v>
      </c>
      <c r="D723" s="168">
        <f t="shared" si="35"/>
        <v>46082</v>
      </c>
      <c r="AE723" s="167">
        <f t="shared" si="36"/>
        <v>0</v>
      </c>
    </row>
    <row r="724" spans="1:31">
      <c r="A724" s="197">
        <f t="shared" si="37"/>
        <v>46104</v>
      </c>
      <c r="B724" s="167">
        <f>YEAR(Table7[[#This Row],[Date]])+IF(MONTH(Table7[[#This Row],[Date]])&gt;=4,1,0)</f>
        <v>2026</v>
      </c>
      <c r="C724" s="167">
        <f>YEAR(Table7[[#This Row],[Date]])</f>
        <v>2026</v>
      </c>
      <c r="D724" s="168">
        <f t="shared" si="35"/>
        <v>46082</v>
      </c>
      <c r="AE724" s="167">
        <f t="shared" si="36"/>
        <v>0</v>
      </c>
    </row>
    <row r="725" spans="1:31">
      <c r="A725" s="197">
        <f t="shared" si="37"/>
        <v>46105</v>
      </c>
      <c r="B725" s="167">
        <f>YEAR(Table7[[#This Row],[Date]])+IF(MONTH(Table7[[#This Row],[Date]])&gt;=4,1,0)</f>
        <v>2026</v>
      </c>
      <c r="C725" s="167">
        <f>YEAR(Table7[[#This Row],[Date]])</f>
        <v>2026</v>
      </c>
      <c r="D725" s="168">
        <f t="shared" si="35"/>
        <v>46082</v>
      </c>
      <c r="AE725" s="167">
        <f t="shared" si="36"/>
        <v>0</v>
      </c>
    </row>
    <row r="726" spans="1:31">
      <c r="A726" s="197">
        <f t="shared" si="37"/>
        <v>46106</v>
      </c>
      <c r="B726" s="167">
        <f>YEAR(Table7[[#This Row],[Date]])+IF(MONTH(Table7[[#This Row],[Date]])&gt;=4,1,0)</f>
        <v>2026</v>
      </c>
      <c r="C726" s="167">
        <f>YEAR(Table7[[#This Row],[Date]])</f>
        <v>2026</v>
      </c>
      <c r="D726" s="168">
        <f t="shared" si="35"/>
        <v>46082</v>
      </c>
      <c r="AE726" s="167">
        <f t="shared" si="36"/>
        <v>0</v>
      </c>
    </row>
    <row r="727" spans="1:31">
      <c r="A727" s="197">
        <f t="shared" si="37"/>
        <v>46107</v>
      </c>
      <c r="B727" s="167">
        <f>YEAR(Table7[[#This Row],[Date]])+IF(MONTH(Table7[[#This Row],[Date]])&gt;=4,1,0)</f>
        <v>2026</v>
      </c>
      <c r="C727" s="167">
        <f>YEAR(Table7[[#This Row],[Date]])</f>
        <v>2026</v>
      </c>
      <c r="D727" s="168">
        <f t="shared" si="35"/>
        <v>46082</v>
      </c>
      <c r="AE727" s="167">
        <f t="shared" si="36"/>
        <v>0</v>
      </c>
    </row>
    <row r="728" spans="1:31">
      <c r="A728" s="197">
        <f t="shared" si="37"/>
        <v>46108</v>
      </c>
      <c r="B728" s="167">
        <f>YEAR(Table7[[#This Row],[Date]])+IF(MONTH(Table7[[#This Row],[Date]])&gt;=4,1,0)</f>
        <v>2026</v>
      </c>
      <c r="C728" s="167">
        <f>YEAR(Table7[[#This Row],[Date]])</f>
        <v>2026</v>
      </c>
      <c r="D728" s="168">
        <f t="shared" si="35"/>
        <v>46082</v>
      </c>
      <c r="AE728" s="167">
        <f t="shared" si="36"/>
        <v>0</v>
      </c>
    </row>
    <row r="729" spans="1:31">
      <c r="A729" s="197">
        <f t="shared" si="37"/>
        <v>46109</v>
      </c>
      <c r="B729" s="167">
        <f>YEAR(Table7[[#This Row],[Date]])+IF(MONTH(Table7[[#This Row],[Date]])&gt;=4,1,0)</f>
        <v>2026</v>
      </c>
      <c r="C729" s="167">
        <f>YEAR(Table7[[#This Row],[Date]])</f>
        <v>2026</v>
      </c>
      <c r="D729" s="168">
        <f t="shared" si="35"/>
        <v>46082</v>
      </c>
      <c r="AE729" s="167">
        <f t="shared" si="36"/>
        <v>0</v>
      </c>
    </row>
    <row r="730" spans="1:31">
      <c r="A730" s="197">
        <f t="shared" si="37"/>
        <v>46110</v>
      </c>
      <c r="B730" s="167">
        <f>YEAR(Table7[[#This Row],[Date]])+IF(MONTH(Table7[[#This Row],[Date]])&gt;=4,1,0)</f>
        <v>2026</v>
      </c>
      <c r="C730" s="167">
        <f>YEAR(Table7[[#This Row],[Date]])</f>
        <v>2026</v>
      </c>
      <c r="D730" s="168">
        <f t="shared" si="35"/>
        <v>46082</v>
      </c>
      <c r="AE730" s="167">
        <f t="shared" si="36"/>
        <v>0</v>
      </c>
    </row>
    <row r="731" spans="1:31">
      <c r="A731" s="197">
        <f t="shared" si="37"/>
        <v>46111</v>
      </c>
      <c r="B731" s="167">
        <f>YEAR(Table7[[#This Row],[Date]])+IF(MONTH(Table7[[#This Row],[Date]])&gt;=4,1,0)</f>
        <v>2026</v>
      </c>
      <c r="C731" s="167">
        <f>YEAR(Table7[[#This Row],[Date]])</f>
        <v>2026</v>
      </c>
      <c r="D731" s="168">
        <f t="shared" si="35"/>
        <v>46082</v>
      </c>
      <c r="AE731" s="167">
        <f t="shared" si="36"/>
        <v>0</v>
      </c>
    </row>
    <row r="732" spans="1:31">
      <c r="A732" s="197">
        <f t="shared" si="37"/>
        <v>46112</v>
      </c>
      <c r="B732" s="167">
        <f>YEAR(Table7[[#This Row],[Date]])+IF(MONTH(Table7[[#This Row],[Date]])&gt;=4,1,0)</f>
        <v>2026</v>
      </c>
      <c r="C732" s="167">
        <f>YEAR(Table7[[#This Row],[Date]])</f>
        <v>2026</v>
      </c>
      <c r="D732" s="168">
        <f t="shared" si="35"/>
        <v>46082</v>
      </c>
      <c r="AE732" s="167">
        <f t="shared" si="36"/>
        <v>0</v>
      </c>
    </row>
    <row r="733" spans="1:31">
      <c r="A733" s="197">
        <f t="shared" si="37"/>
        <v>46113</v>
      </c>
      <c r="B733" s="167">
        <f>YEAR(Table7[[#This Row],[Date]])+IF(MONTH(Table7[[#This Row],[Date]])&gt;=4,1,0)</f>
        <v>2027</v>
      </c>
      <c r="C733" s="167">
        <f>YEAR(Table7[[#This Row],[Date]])</f>
        <v>2026</v>
      </c>
      <c r="D733" s="168">
        <f t="shared" si="35"/>
        <v>46113</v>
      </c>
      <c r="AE733" s="167">
        <f t="shared" si="36"/>
        <v>0</v>
      </c>
    </row>
    <row r="734" spans="1:31">
      <c r="A734" s="197">
        <f t="shared" si="37"/>
        <v>46114</v>
      </c>
      <c r="B734" s="167">
        <f>YEAR(Table7[[#This Row],[Date]])+IF(MONTH(Table7[[#This Row],[Date]])&gt;=4,1,0)</f>
        <v>2027</v>
      </c>
      <c r="C734" s="167">
        <f>YEAR(Table7[[#This Row],[Date]])</f>
        <v>2026</v>
      </c>
      <c r="D734" s="168">
        <f t="shared" si="35"/>
        <v>46113</v>
      </c>
      <c r="AE734" s="167">
        <f t="shared" si="36"/>
        <v>0</v>
      </c>
    </row>
    <row r="735" spans="1:31">
      <c r="A735" s="197">
        <f t="shared" si="37"/>
        <v>46115</v>
      </c>
      <c r="B735" s="167">
        <f>YEAR(Table7[[#This Row],[Date]])+IF(MONTH(Table7[[#This Row],[Date]])&gt;=4,1,0)</f>
        <v>2027</v>
      </c>
      <c r="C735" s="167">
        <f>YEAR(Table7[[#This Row],[Date]])</f>
        <v>2026</v>
      </c>
      <c r="D735" s="168">
        <f t="shared" si="35"/>
        <v>46113</v>
      </c>
      <c r="AE735" s="167">
        <f t="shared" si="36"/>
        <v>0</v>
      </c>
    </row>
    <row r="736" spans="1:31">
      <c r="A736" s="197">
        <f t="shared" si="37"/>
        <v>46116</v>
      </c>
      <c r="B736" s="167">
        <f>YEAR(Table7[[#This Row],[Date]])+IF(MONTH(Table7[[#This Row],[Date]])&gt;=4,1,0)</f>
        <v>2027</v>
      </c>
      <c r="C736" s="167">
        <f>YEAR(Table7[[#This Row],[Date]])</f>
        <v>2026</v>
      </c>
      <c r="D736" s="168">
        <f t="shared" si="35"/>
        <v>46113</v>
      </c>
      <c r="AE736" s="167">
        <f t="shared" si="36"/>
        <v>0</v>
      </c>
    </row>
    <row r="737" spans="1:31">
      <c r="A737" s="197">
        <f t="shared" si="37"/>
        <v>46117</v>
      </c>
      <c r="B737" s="167">
        <f>YEAR(Table7[[#This Row],[Date]])+IF(MONTH(Table7[[#This Row],[Date]])&gt;=4,1,0)</f>
        <v>2027</v>
      </c>
      <c r="C737" s="167">
        <f>YEAR(Table7[[#This Row],[Date]])</f>
        <v>2026</v>
      </c>
      <c r="D737" s="168">
        <f t="shared" si="35"/>
        <v>46113</v>
      </c>
      <c r="AE737" s="167">
        <f t="shared" si="36"/>
        <v>0</v>
      </c>
    </row>
    <row r="738" spans="1:31">
      <c r="A738" s="197">
        <f t="shared" si="37"/>
        <v>46118</v>
      </c>
      <c r="B738" s="167">
        <f>YEAR(Table7[[#This Row],[Date]])+IF(MONTH(Table7[[#This Row],[Date]])&gt;=4,1,0)</f>
        <v>2027</v>
      </c>
      <c r="C738" s="167">
        <f>YEAR(Table7[[#This Row],[Date]])</f>
        <v>2026</v>
      </c>
      <c r="D738" s="168">
        <f t="shared" si="35"/>
        <v>46113</v>
      </c>
      <c r="AE738" s="167">
        <f t="shared" si="36"/>
        <v>0</v>
      </c>
    </row>
    <row r="739" spans="1:31">
      <c r="A739" s="197">
        <f t="shared" si="37"/>
        <v>46119</v>
      </c>
      <c r="B739" s="167">
        <f>YEAR(Table7[[#This Row],[Date]])+IF(MONTH(Table7[[#This Row],[Date]])&gt;=4,1,0)</f>
        <v>2027</v>
      </c>
      <c r="C739" s="167">
        <f>YEAR(Table7[[#This Row],[Date]])</f>
        <v>2026</v>
      </c>
      <c r="D739" s="168">
        <f t="shared" si="35"/>
        <v>46113</v>
      </c>
      <c r="AE739" s="167">
        <f t="shared" si="36"/>
        <v>0</v>
      </c>
    </row>
    <row r="740" spans="1:31">
      <c r="A740" s="197">
        <f t="shared" si="37"/>
        <v>46120</v>
      </c>
      <c r="B740" s="167">
        <f>YEAR(Table7[[#This Row],[Date]])+IF(MONTH(Table7[[#This Row],[Date]])&gt;=4,1,0)</f>
        <v>2027</v>
      </c>
      <c r="C740" s="167">
        <f>YEAR(Table7[[#This Row],[Date]])</f>
        <v>2026</v>
      </c>
      <c r="D740" s="168">
        <f t="shared" si="35"/>
        <v>46113</v>
      </c>
      <c r="AE740" s="167">
        <f t="shared" si="36"/>
        <v>0</v>
      </c>
    </row>
    <row r="741" spans="1:31">
      <c r="A741" s="197">
        <f t="shared" si="37"/>
        <v>46121</v>
      </c>
      <c r="B741" s="167">
        <f>YEAR(Table7[[#This Row],[Date]])+IF(MONTH(Table7[[#This Row],[Date]])&gt;=4,1,0)</f>
        <v>2027</v>
      </c>
      <c r="C741" s="167">
        <f>YEAR(Table7[[#This Row],[Date]])</f>
        <v>2026</v>
      </c>
      <c r="D741" s="168">
        <f t="shared" si="35"/>
        <v>46113</v>
      </c>
      <c r="AE741" s="167">
        <f t="shared" si="36"/>
        <v>0</v>
      </c>
    </row>
    <row r="742" spans="1:31">
      <c r="A742" s="197">
        <f t="shared" si="37"/>
        <v>46122</v>
      </c>
      <c r="B742" s="167">
        <f>YEAR(Table7[[#This Row],[Date]])+IF(MONTH(Table7[[#This Row],[Date]])&gt;=4,1,0)</f>
        <v>2027</v>
      </c>
      <c r="C742" s="167">
        <f>YEAR(Table7[[#This Row],[Date]])</f>
        <v>2026</v>
      </c>
      <c r="D742" s="168">
        <f t="shared" si="35"/>
        <v>46113</v>
      </c>
      <c r="AE742" s="167">
        <f t="shared" si="36"/>
        <v>0</v>
      </c>
    </row>
    <row r="743" spans="1:31">
      <c r="A743" s="197">
        <f t="shared" si="37"/>
        <v>46123</v>
      </c>
      <c r="B743" s="167">
        <f>YEAR(Table7[[#This Row],[Date]])+IF(MONTH(Table7[[#This Row],[Date]])&gt;=4,1,0)</f>
        <v>2027</v>
      </c>
      <c r="C743" s="167">
        <f>YEAR(Table7[[#This Row],[Date]])</f>
        <v>2026</v>
      </c>
      <c r="D743" s="168">
        <f t="shared" si="35"/>
        <v>46113</v>
      </c>
      <c r="AE743" s="167">
        <f t="shared" si="36"/>
        <v>0</v>
      </c>
    </row>
    <row r="744" spans="1:31">
      <c r="A744" s="197">
        <f t="shared" si="37"/>
        <v>46124</v>
      </c>
      <c r="B744" s="167">
        <f>YEAR(Table7[[#This Row],[Date]])+IF(MONTH(Table7[[#This Row],[Date]])&gt;=4,1,0)</f>
        <v>2027</v>
      </c>
      <c r="C744" s="167">
        <f>YEAR(Table7[[#This Row],[Date]])</f>
        <v>2026</v>
      </c>
      <c r="D744" s="168">
        <f t="shared" si="35"/>
        <v>46113</v>
      </c>
      <c r="AE744" s="167">
        <f t="shared" si="36"/>
        <v>0</v>
      </c>
    </row>
    <row r="745" spans="1:31">
      <c r="A745" s="197">
        <f t="shared" si="37"/>
        <v>46125</v>
      </c>
      <c r="B745" s="167">
        <f>YEAR(Table7[[#This Row],[Date]])+IF(MONTH(Table7[[#This Row],[Date]])&gt;=4,1,0)</f>
        <v>2027</v>
      </c>
      <c r="C745" s="167">
        <f>YEAR(Table7[[#This Row],[Date]])</f>
        <v>2026</v>
      </c>
      <c r="D745" s="168">
        <f t="shared" si="35"/>
        <v>46113</v>
      </c>
      <c r="AE745" s="167">
        <f t="shared" si="36"/>
        <v>0</v>
      </c>
    </row>
    <row r="746" spans="1:31">
      <c r="A746" s="197">
        <f t="shared" si="37"/>
        <v>46126</v>
      </c>
      <c r="B746" s="167">
        <f>YEAR(Table7[[#This Row],[Date]])+IF(MONTH(Table7[[#This Row],[Date]])&gt;=4,1,0)</f>
        <v>2027</v>
      </c>
      <c r="C746" s="167">
        <f>YEAR(Table7[[#This Row],[Date]])</f>
        <v>2026</v>
      </c>
      <c r="D746" s="168">
        <f t="shared" si="35"/>
        <v>46113</v>
      </c>
      <c r="AE746" s="167">
        <f t="shared" si="36"/>
        <v>0</v>
      </c>
    </row>
    <row r="747" spans="1:31">
      <c r="A747" s="197">
        <f t="shared" si="37"/>
        <v>46127</v>
      </c>
      <c r="B747" s="167">
        <f>YEAR(Table7[[#This Row],[Date]])+IF(MONTH(Table7[[#This Row],[Date]])&gt;=4,1,0)</f>
        <v>2027</v>
      </c>
      <c r="C747" s="167">
        <f>YEAR(Table7[[#This Row],[Date]])</f>
        <v>2026</v>
      </c>
      <c r="D747" s="168">
        <f t="shared" si="35"/>
        <v>46113</v>
      </c>
      <c r="AE747" s="167">
        <f t="shared" si="36"/>
        <v>0</v>
      </c>
    </row>
    <row r="748" spans="1:31">
      <c r="A748" s="197">
        <f t="shared" si="37"/>
        <v>46128</v>
      </c>
      <c r="B748" s="167">
        <f>YEAR(Table7[[#This Row],[Date]])+IF(MONTH(Table7[[#This Row],[Date]])&gt;=4,1,0)</f>
        <v>2027</v>
      </c>
      <c r="C748" s="167">
        <f>YEAR(Table7[[#This Row],[Date]])</f>
        <v>2026</v>
      </c>
      <c r="D748" s="168">
        <f t="shared" si="35"/>
        <v>46113</v>
      </c>
      <c r="AE748" s="167">
        <f t="shared" si="36"/>
        <v>0</v>
      </c>
    </row>
    <row r="749" spans="1:31">
      <c r="A749" s="197">
        <f t="shared" si="37"/>
        <v>46129</v>
      </c>
      <c r="B749" s="167">
        <f>YEAR(Table7[[#This Row],[Date]])+IF(MONTH(Table7[[#This Row],[Date]])&gt;=4,1,0)</f>
        <v>2027</v>
      </c>
      <c r="C749" s="167">
        <f>YEAR(Table7[[#This Row],[Date]])</f>
        <v>2026</v>
      </c>
      <c r="D749" s="168">
        <f t="shared" si="35"/>
        <v>46113</v>
      </c>
      <c r="AE749" s="167">
        <f t="shared" si="36"/>
        <v>0</v>
      </c>
    </row>
    <row r="750" spans="1:31">
      <c r="A750" s="197">
        <f t="shared" si="37"/>
        <v>46130</v>
      </c>
      <c r="B750" s="167">
        <f>YEAR(Table7[[#This Row],[Date]])+IF(MONTH(Table7[[#This Row],[Date]])&gt;=4,1,0)</f>
        <v>2027</v>
      </c>
      <c r="C750" s="167">
        <f>YEAR(Table7[[#This Row],[Date]])</f>
        <v>2026</v>
      </c>
      <c r="D750" s="168">
        <f t="shared" si="35"/>
        <v>46113</v>
      </c>
      <c r="AE750" s="167">
        <f t="shared" si="36"/>
        <v>0</v>
      </c>
    </row>
    <row r="751" spans="1:31">
      <c r="A751" s="197">
        <f t="shared" si="37"/>
        <v>46131</v>
      </c>
      <c r="B751" s="167">
        <f>YEAR(Table7[[#This Row],[Date]])+IF(MONTH(Table7[[#This Row],[Date]])&gt;=4,1,0)</f>
        <v>2027</v>
      </c>
      <c r="C751" s="167">
        <f>YEAR(Table7[[#This Row],[Date]])</f>
        <v>2026</v>
      </c>
      <c r="D751" s="168">
        <f t="shared" si="35"/>
        <v>46113</v>
      </c>
      <c r="AE751" s="167">
        <f t="shared" si="36"/>
        <v>0</v>
      </c>
    </row>
    <row r="752" spans="1:31">
      <c r="A752" s="197">
        <f t="shared" si="37"/>
        <v>46132</v>
      </c>
      <c r="B752" s="167">
        <f>YEAR(Table7[[#This Row],[Date]])+IF(MONTH(Table7[[#This Row],[Date]])&gt;=4,1,0)</f>
        <v>2027</v>
      </c>
      <c r="C752" s="167">
        <f>YEAR(Table7[[#This Row],[Date]])</f>
        <v>2026</v>
      </c>
      <c r="D752" s="168">
        <f t="shared" si="35"/>
        <v>46113</v>
      </c>
      <c r="AE752" s="167">
        <f t="shared" si="36"/>
        <v>0</v>
      </c>
    </row>
    <row r="753" spans="1:31">
      <c r="A753" s="197">
        <f t="shared" si="37"/>
        <v>46133</v>
      </c>
      <c r="B753" s="167">
        <f>YEAR(Table7[[#This Row],[Date]])+IF(MONTH(Table7[[#This Row],[Date]])&gt;=4,1,0)</f>
        <v>2027</v>
      </c>
      <c r="C753" s="167">
        <f>YEAR(Table7[[#This Row],[Date]])</f>
        <v>2026</v>
      </c>
      <c r="D753" s="168">
        <f t="shared" si="35"/>
        <v>46113</v>
      </c>
      <c r="AE753" s="167">
        <f t="shared" si="36"/>
        <v>0</v>
      </c>
    </row>
    <row r="754" spans="1:31">
      <c r="A754" s="197">
        <f t="shared" si="37"/>
        <v>46134</v>
      </c>
      <c r="B754" s="167">
        <f>YEAR(Table7[[#This Row],[Date]])+IF(MONTH(Table7[[#This Row],[Date]])&gt;=4,1,0)</f>
        <v>2027</v>
      </c>
      <c r="C754" s="167">
        <f>YEAR(Table7[[#This Row],[Date]])</f>
        <v>2026</v>
      </c>
      <c r="D754" s="168">
        <f t="shared" si="35"/>
        <v>46113</v>
      </c>
      <c r="AE754" s="167">
        <f t="shared" si="36"/>
        <v>0</v>
      </c>
    </row>
    <row r="755" spans="1:31">
      <c r="A755" s="197">
        <f t="shared" si="37"/>
        <v>46135</v>
      </c>
      <c r="B755" s="167">
        <f>YEAR(Table7[[#This Row],[Date]])+IF(MONTH(Table7[[#This Row],[Date]])&gt;=4,1,0)</f>
        <v>2027</v>
      </c>
      <c r="C755" s="167">
        <f>YEAR(Table7[[#This Row],[Date]])</f>
        <v>2026</v>
      </c>
      <c r="D755" s="168">
        <f t="shared" si="35"/>
        <v>46113</v>
      </c>
      <c r="AE755" s="167">
        <f t="shared" si="36"/>
        <v>0</v>
      </c>
    </row>
    <row r="756" spans="1:31">
      <c r="A756" s="197">
        <f t="shared" si="37"/>
        <v>46136</v>
      </c>
      <c r="B756" s="167">
        <f>YEAR(Table7[[#This Row],[Date]])+IF(MONTH(Table7[[#This Row],[Date]])&gt;=4,1,0)</f>
        <v>2027</v>
      </c>
      <c r="C756" s="167">
        <f>YEAR(Table7[[#This Row],[Date]])</f>
        <v>2026</v>
      </c>
      <c r="D756" s="168">
        <f t="shared" si="35"/>
        <v>46113</v>
      </c>
      <c r="AE756" s="167">
        <f t="shared" si="36"/>
        <v>0</v>
      </c>
    </row>
    <row r="757" spans="1:31">
      <c r="A757" s="197">
        <f t="shared" si="37"/>
        <v>46137</v>
      </c>
      <c r="B757" s="167">
        <f>YEAR(Table7[[#This Row],[Date]])+IF(MONTH(Table7[[#This Row],[Date]])&gt;=4,1,0)</f>
        <v>2027</v>
      </c>
      <c r="C757" s="167">
        <f>YEAR(Table7[[#This Row],[Date]])</f>
        <v>2026</v>
      </c>
      <c r="D757" s="168">
        <f t="shared" si="35"/>
        <v>46113</v>
      </c>
      <c r="AE757" s="167">
        <f t="shared" si="36"/>
        <v>0</v>
      </c>
    </row>
    <row r="758" spans="1:31">
      <c r="A758" s="197">
        <f t="shared" si="37"/>
        <v>46138</v>
      </c>
      <c r="B758" s="167">
        <f>YEAR(Table7[[#This Row],[Date]])+IF(MONTH(Table7[[#This Row],[Date]])&gt;=4,1,0)</f>
        <v>2027</v>
      </c>
      <c r="C758" s="167">
        <f>YEAR(Table7[[#This Row],[Date]])</f>
        <v>2026</v>
      </c>
      <c r="D758" s="168">
        <f t="shared" si="35"/>
        <v>46113</v>
      </c>
      <c r="AE758" s="167">
        <f t="shared" si="36"/>
        <v>0</v>
      </c>
    </row>
    <row r="759" spans="1:31">
      <c r="A759" s="197">
        <f t="shared" si="37"/>
        <v>46139</v>
      </c>
      <c r="B759" s="167">
        <f>YEAR(Table7[[#This Row],[Date]])+IF(MONTH(Table7[[#This Row],[Date]])&gt;=4,1,0)</f>
        <v>2027</v>
      </c>
      <c r="C759" s="167">
        <f>YEAR(Table7[[#This Row],[Date]])</f>
        <v>2026</v>
      </c>
      <c r="D759" s="168">
        <f t="shared" si="35"/>
        <v>46113</v>
      </c>
      <c r="AE759" s="167">
        <f t="shared" si="36"/>
        <v>0</v>
      </c>
    </row>
    <row r="760" spans="1:31">
      <c r="A760" s="197">
        <f t="shared" si="37"/>
        <v>46140</v>
      </c>
      <c r="B760" s="167">
        <f>YEAR(Table7[[#This Row],[Date]])+IF(MONTH(Table7[[#This Row],[Date]])&gt;=4,1,0)</f>
        <v>2027</v>
      </c>
      <c r="C760" s="167">
        <f>YEAR(Table7[[#This Row],[Date]])</f>
        <v>2026</v>
      </c>
      <c r="D760" s="168">
        <f t="shared" si="35"/>
        <v>46113</v>
      </c>
      <c r="AE760" s="167">
        <f t="shared" si="36"/>
        <v>0</v>
      </c>
    </row>
    <row r="761" spans="1:31">
      <c r="A761" s="197">
        <f t="shared" si="37"/>
        <v>46141</v>
      </c>
      <c r="B761" s="167">
        <f>YEAR(Table7[[#This Row],[Date]])+IF(MONTH(Table7[[#This Row],[Date]])&gt;=4,1,0)</f>
        <v>2027</v>
      </c>
      <c r="C761" s="167">
        <f>YEAR(Table7[[#This Row],[Date]])</f>
        <v>2026</v>
      </c>
      <c r="D761" s="168">
        <f t="shared" si="35"/>
        <v>46113</v>
      </c>
      <c r="AE761" s="167">
        <f t="shared" si="36"/>
        <v>0</v>
      </c>
    </row>
    <row r="762" spans="1:31">
      <c r="A762" s="197">
        <f t="shared" si="37"/>
        <v>46142</v>
      </c>
      <c r="B762" s="167">
        <f>YEAR(Table7[[#This Row],[Date]])+IF(MONTH(Table7[[#This Row],[Date]])&gt;=4,1,0)</f>
        <v>2027</v>
      </c>
      <c r="C762" s="167">
        <f>YEAR(Table7[[#This Row],[Date]])</f>
        <v>2026</v>
      </c>
      <c r="D762" s="168">
        <f t="shared" si="35"/>
        <v>46113</v>
      </c>
      <c r="AE762" s="167">
        <f t="shared" si="36"/>
        <v>0</v>
      </c>
    </row>
    <row r="763" spans="1:31">
      <c r="A763" s="197">
        <f t="shared" si="37"/>
        <v>46143</v>
      </c>
      <c r="B763" s="167">
        <f>YEAR(Table7[[#This Row],[Date]])+IF(MONTH(Table7[[#This Row],[Date]])&gt;=4,1,0)</f>
        <v>2027</v>
      </c>
      <c r="C763" s="167">
        <f>YEAR(Table7[[#This Row],[Date]])</f>
        <v>2026</v>
      </c>
      <c r="D763" s="168">
        <f t="shared" si="35"/>
        <v>46143</v>
      </c>
      <c r="AE763" s="167">
        <f t="shared" si="36"/>
        <v>0</v>
      </c>
    </row>
    <row r="764" spans="1:31">
      <c r="A764" s="197">
        <f t="shared" si="37"/>
        <v>46144</v>
      </c>
      <c r="B764" s="167">
        <f>YEAR(Table7[[#This Row],[Date]])+IF(MONTH(Table7[[#This Row],[Date]])&gt;=4,1,0)</f>
        <v>2027</v>
      </c>
      <c r="C764" s="167">
        <f>YEAR(Table7[[#This Row],[Date]])</f>
        <v>2026</v>
      </c>
      <c r="D764" s="168">
        <f t="shared" si="35"/>
        <v>46143</v>
      </c>
      <c r="AE764" s="167">
        <f t="shared" si="36"/>
        <v>0</v>
      </c>
    </row>
    <row r="765" spans="1:31">
      <c r="A765" s="197">
        <f t="shared" si="37"/>
        <v>46145</v>
      </c>
      <c r="B765" s="167">
        <f>YEAR(Table7[[#This Row],[Date]])+IF(MONTH(Table7[[#This Row],[Date]])&gt;=4,1,0)</f>
        <v>2027</v>
      </c>
      <c r="C765" s="167">
        <f>YEAR(Table7[[#This Row],[Date]])</f>
        <v>2026</v>
      </c>
      <c r="D765" s="168">
        <f t="shared" si="35"/>
        <v>46143</v>
      </c>
      <c r="AE765" s="167">
        <f t="shared" si="36"/>
        <v>0</v>
      </c>
    </row>
    <row r="766" spans="1:31">
      <c r="A766" s="197">
        <f t="shared" si="37"/>
        <v>46146</v>
      </c>
      <c r="B766" s="167">
        <f>YEAR(Table7[[#This Row],[Date]])+IF(MONTH(Table7[[#This Row],[Date]])&gt;=4,1,0)</f>
        <v>2027</v>
      </c>
      <c r="C766" s="167">
        <f>YEAR(Table7[[#This Row],[Date]])</f>
        <v>2026</v>
      </c>
      <c r="D766" s="168">
        <f t="shared" si="35"/>
        <v>46143</v>
      </c>
      <c r="AE766" s="167">
        <f t="shared" si="36"/>
        <v>0</v>
      </c>
    </row>
    <row r="767" spans="1:31">
      <c r="A767" s="197">
        <f t="shared" si="37"/>
        <v>46147</v>
      </c>
      <c r="B767" s="167">
        <f>YEAR(Table7[[#This Row],[Date]])+IF(MONTH(Table7[[#This Row],[Date]])&gt;=4,1,0)</f>
        <v>2027</v>
      </c>
      <c r="C767" s="167">
        <f>YEAR(Table7[[#This Row],[Date]])</f>
        <v>2026</v>
      </c>
      <c r="D767" s="168">
        <f t="shared" si="35"/>
        <v>46143</v>
      </c>
      <c r="AE767" s="167">
        <f t="shared" si="36"/>
        <v>0</v>
      </c>
    </row>
    <row r="768" spans="1:31">
      <c r="A768" s="197">
        <f t="shared" si="37"/>
        <v>46148</v>
      </c>
      <c r="B768" s="167">
        <f>YEAR(Table7[[#This Row],[Date]])+IF(MONTH(Table7[[#This Row],[Date]])&gt;=4,1,0)</f>
        <v>2027</v>
      </c>
      <c r="C768" s="167">
        <f>YEAR(Table7[[#This Row],[Date]])</f>
        <v>2026</v>
      </c>
      <c r="D768" s="168">
        <f t="shared" si="35"/>
        <v>46143</v>
      </c>
      <c r="AE768" s="167">
        <f t="shared" si="36"/>
        <v>0</v>
      </c>
    </row>
    <row r="769" spans="1:31">
      <c r="A769" s="197">
        <f t="shared" si="37"/>
        <v>46149</v>
      </c>
      <c r="B769" s="167">
        <f>YEAR(Table7[[#This Row],[Date]])+IF(MONTH(Table7[[#This Row],[Date]])&gt;=4,1,0)</f>
        <v>2027</v>
      </c>
      <c r="C769" s="167">
        <f>YEAR(Table7[[#This Row],[Date]])</f>
        <v>2026</v>
      </c>
      <c r="D769" s="168">
        <f t="shared" si="35"/>
        <v>46143</v>
      </c>
      <c r="AE769" s="167">
        <f t="shared" si="36"/>
        <v>0</v>
      </c>
    </row>
    <row r="770" spans="1:31">
      <c r="A770" s="197">
        <f t="shared" si="37"/>
        <v>46150</v>
      </c>
      <c r="B770" s="167">
        <f>YEAR(Table7[[#This Row],[Date]])+IF(MONTH(Table7[[#This Row],[Date]])&gt;=4,1,0)</f>
        <v>2027</v>
      </c>
      <c r="C770" s="167">
        <f>YEAR(Table7[[#This Row],[Date]])</f>
        <v>2026</v>
      </c>
      <c r="D770" s="168">
        <f t="shared" si="35"/>
        <v>46143</v>
      </c>
      <c r="AE770" s="167">
        <f t="shared" si="36"/>
        <v>0</v>
      </c>
    </row>
    <row r="771" spans="1:31">
      <c r="A771" s="197">
        <f t="shared" si="37"/>
        <v>46151</v>
      </c>
      <c r="B771" s="167">
        <f>YEAR(Table7[[#This Row],[Date]])+IF(MONTH(Table7[[#This Row],[Date]])&gt;=4,1,0)</f>
        <v>2027</v>
      </c>
      <c r="C771" s="167">
        <f>YEAR(Table7[[#This Row],[Date]])</f>
        <v>2026</v>
      </c>
      <c r="D771" s="168">
        <f t="shared" ref="D771:D834" si="38">A771-DAY(A771)+1</f>
        <v>46143</v>
      </c>
      <c r="AE771" s="167">
        <f t="shared" ref="AE771:AE834" si="39">SUM(E771:AD771)</f>
        <v>0</v>
      </c>
    </row>
    <row r="772" spans="1:31">
      <c r="A772" s="197">
        <f t="shared" si="37"/>
        <v>46152</v>
      </c>
      <c r="B772" s="167">
        <f>YEAR(Table7[[#This Row],[Date]])+IF(MONTH(Table7[[#This Row],[Date]])&gt;=4,1,0)</f>
        <v>2027</v>
      </c>
      <c r="C772" s="167">
        <f>YEAR(Table7[[#This Row],[Date]])</f>
        <v>2026</v>
      </c>
      <c r="D772" s="168">
        <f t="shared" si="38"/>
        <v>46143</v>
      </c>
      <c r="AE772" s="167">
        <f t="shared" si="39"/>
        <v>0</v>
      </c>
    </row>
    <row r="773" spans="1:31">
      <c r="A773" s="197">
        <f t="shared" ref="A773:A836" si="40">A772+1</f>
        <v>46153</v>
      </c>
      <c r="B773" s="167">
        <f>YEAR(Table7[[#This Row],[Date]])+IF(MONTH(Table7[[#This Row],[Date]])&gt;=4,1,0)</f>
        <v>2027</v>
      </c>
      <c r="C773" s="167">
        <f>YEAR(Table7[[#This Row],[Date]])</f>
        <v>2026</v>
      </c>
      <c r="D773" s="168">
        <f t="shared" si="38"/>
        <v>46143</v>
      </c>
      <c r="AE773" s="167">
        <f t="shared" si="39"/>
        <v>0</v>
      </c>
    </row>
    <row r="774" spans="1:31">
      <c r="A774" s="197">
        <f t="shared" si="40"/>
        <v>46154</v>
      </c>
      <c r="B774" s="167">
        <f>YEAR(Table7[[#This Row],[Date]])+IF(MONTH(Table7[[#This Row],[Date]])&gt;=4,1,0)</f>
        <v>2027</v>
      </c>
      <c r="C774" s="167">
        <f>YEAR(Table7[[#This Row],[Date]])</f>
        <v>2026</v>
      </c>
      <c r="D774" s="168">
        <f t="shared" si="38"/>
        <v>46143</v>
      </c>
      <c r="AE774" s="167">
        <f t="shared" si="39"/>
        <v>0</v>
      </c>
    </row>
    <row r="775" spans="1:31">
      <c r="A775" s="197">
        <f t="shared" si="40"/>
        <v>46155</v>
      </c>
      <c r="B775" s="167">
        <f>YEAR(Table7[[#This Row],[Date]])+IF(MONTH(Table7[[#This Row],[Date]])&gt;=4,1,0)</f>
        <v>2027</v>
      </c>
      <c r="C775" s="167">
        <f>YEAR(Table7[[#This Row],[Date]])</f>
        <v>2026</v>
      </c>
      <c r="D775" s="168">
        <f t="shared" si="38"/>
        <v>46143</v>
      </c>
      <c r="AE775" s="167">
        <f t="shared" si="39"/>
        <v>0</v>
      </c>
    </row>
    <row r="776" spans="1:31">
      <c r="A776" s="197">
        <f t="shared" si="40"/>
        <v>46156</v>
      </c>
      <c r="B776" s="167">
        <f>YEAR(Table7[[#This Row],[Date]])+IF(MONTH(Table7[[#This Row],[Date]])&gt;=4,1,0)</f>
        <v>2027</v>
      </c>
      <c r="C776" s="167">
        <f>YEAR(Table7[[#This Row],[Date]])</f>
        <v>2026</v>
      </c>
      <c r="D776" s="168">
        <f t="shared" si="38"/>
        <v>46143</v>
      </c>
      <c r="AE776" s="167">
        <f t="shared" si="39"/>
        <v>0</v>
      </c>
    </row>
    <row r="777" spans="1:31">
      <c r="A777" s="197">
        <f t="shared" si="40"/>
        <v>46157</v>
      </c>
      <c r="B777" s="167">
        <f>YEAR(Table7[[#This Row],[Date]])+IF(MONTH(Table7[[#This Row],[Date]])&gt;=4,1,0)</f>
        <v>2027</v>
      </c>
      <c r="C777" s="167">
        <f>YEAR(Table7[[#This Row],[Date]])</f>
        <v>2026</v>
      </c>
      <c r="D777" s="168">
        <f t="shared" si="38"/>
        <v>46143</v>
      </c>
      <c r="AE777" s="167">
        <f t="shared" si="39"/>
        <v>0</v>
      </c>
    </row>
    <row r="778" spans="1:31">
      <c r="A778" s="197">
        <f t="shared" si="40"/>
        <v>46158</v>
      </c>
      <c r="B778" s="167">
        <f>YEAR(Table7[[#This Row],[Date]])+IF(MONTH(Table7[[#This Row],[Date]])&gt;=4,1,0)</f>
        <v>2027</v>
      </c>
      <c r="C778" s="167">
        <f>YEAR(Table7[[#This Row],[Date]])</f>
        <v>2026</v>
      </c>
      <c r="D778" s="168">
        <f t="shared" si="38"/>
        <v>46143</v>
      </c>
      <c r="AE778" s="167">
        <f t="shared" si="39"/>
        <v>0</v>
      </c>
    </row>
    <row r="779" spans="1:31">
      <c r="A779" s="197">
        <f t="shared" si="40"/>
        <v>46159</v>
      </c>
      <c r="B779" s="167">
        <f>YEAR(Table7[[#This Row],[Date]])+IF(MONTH(Table7[[#This Row],[Date]])&gt;=4,1,0)</f>
        <v>2027</v>
      </c>
      <c r="C779" s="167">
        <f>YEAR(Table7[[#This Row],[Date]])</f>
        <v>2026</v>
      </c>
      <c r="D779" s="168">
        <f t="shared" si="38"/>
        <v>46143</v>
      </c>
      <c r="AE779" s="167">
        <f t="shared" si="39"/>
        <v>0</v>
      </c>
    </row>
    <row r="780" spans="1:31">
      <c r="A780" s="197">
        <f t="shared" si="40"/>
        <v>46160</v>
      </c>
      <c r="B780" s="167">
        <f>YEAR(Table7[[#This Row],[Date]])+IF(MONTH(Table7[[#This Row],[Date]])&gt;=4,1,0)</f>
        <v>2027</v>
      </c>
      <c r="C780" s="167">
        <f>YEAR(Table7[[#This Row],[Date]])</f>
        <v>2026</v>
      </c>
      <c r="D780" s="168">
        <f t="shared" si="38"/>
        <v>46143</v>
      </c>
      <c r="AE780" s="167">
        <f t="shared" si="39"/>
        <v>0</v>
      </c>
    </row>
    <row r="781" spans="1:31">
      <c r="A781" s="197">
        <f t="shared" si="40"/>
        <v>46161</v>
      </c>
      <c r="B781" s="167">
        <f>YEAR(Table7[[#This Row],[Date]])+IF(MONTH(Table7[[#This Row],[Date]])&gt;=4,1,0)</f>
        <v>2027</v>
      </c>
      <c r="C781" s="167">
        <f>YEAR(Table7[[#This Row],[Date]])</f>
        <v>2026</v>
      </c>
      <c r="D781" s="168">
        <f t="shared" si="38"/>
        <v>46143</v>
      </c>
      <c r="AE781" s="167">
        <f t="shared" si="39"/>
        <v>0</v>
      </c>
    </row>
    <row r="782" spans="1:31">
      <c r="A782" s="197">
        <f t="shared" si="40"/>
        <v>46162</v>
      </c>
      <c r="B782" s="167">
        <f>YEAR(Table7[[#This Row],[Date]])+IF(MONTH(Table7[[#This Row],[Date]])&gt;=4,1,0)</f>
        <v>2027</v>
      </c>
      <c r="C782" s="167">
        <f>YEAR(Table7[[#This Row],[Date]])</f>
        <v>2026</v>
      </c>
      <c r="D782" s="168">
        <f t="shared" si="38"/>
        <v>46143</v>
      </c>
      <c r="AE782" s="167">
        <f t="shared" si="39"/>
        <v>0</v>
      </c>
    </row>
    <row r="783" spans="1:31">
      <c r="A783" s="197">
        <f t="shared" si="40"/>
        <v>46163</v>
      </c>
      <c r="B783" s="167">
        <f>YEAR(Table7[[#This Row],[Date]])+IF(MONTH(Table7[[#This Row],[Date]])&gt;=4,1,0)</f>
        <v>2027</v>
      </c>
      <c r="C783" s="167">
        <f>YEAR(Table7[[#This Row],[Date]])</f>
        <v>2026</v>
      </c>
      <c r="D783" s="168">
        <f t="shared" si="38"/>
        <v>46143</v>
      </c>
      <c r="AE783" s="167">
        <f t="shared" si="39"/>
        <v>0</v>
      </c>
    </row>
    <row r="784" spans="1:31">
      <c r="A784" s="197">
        <f t="shared" si="40"/>
        <v>46164</v>
      </c>
      <c r="B784" s="167">
        <f>YEAR(Table7[[#This Row],[Date]])+IF(MONTH(Table7[[#This Row],[Date]])&gt;=4,1,0)</f>
        <v>2027</v>
      </c>
      <c r="C784" s="167">
        <f>YEAR(Table7[[#This Row],[Date]])</f>
        <v>2026</v>
      </c>
      <c r="D784" s="168">
        <f t="shared" si="38"/>
        <v>46143</v>
      </c>
      <c r="AE784" s="167">
        <f t="shared" si="39"/>
        <v>0</v>
      </c>
    </row>
    <row r="785" spans="1:31">
      <c r="A785" s="197">
        <f t="shared" si="40"/>
        <v>46165</v>
      </c>
      <c r="B785" s="167">
        <f>YEAR(Table7[[#This Row],[Date]])+IF(MONTH(Table7[[#This Row],[Date]])&gt;=4,1,0)</f>
        <v>2027</v>
      </c>
      <c r="C785" s="167">
        <f>YEAR(Table7[[#This Row],[Date]])</f>
        <v>2026</v>
      </c>
      <c r="D785" s="168">
        <f t="shared" si="38"/>
        <v>46143</v>
      </c>
      <c r="AE785" s="167">
        <f t="shared" si="39"/>
        <v>0</v>
      </c>
    </row>
    <row r="786" spans="1:31">
      <c r="A786" s="197">
        <f t="shared" si="40"/>
        <v>46166</v>
      </c>
      <c r="B786" s="167">
        <f>YEAR(Table7[[#This Row],[Date]])+IF(MONTH(Table7[[#This Row],[Date]])&gt;=4,1,0)</f>
        <v>2027</v>
      </c>
      <c r="C786" s="167">
        <f>YEAR(Table7[[#This Row],[Date]])</f>
        <v>2026</v>
      </c>
      <c r="D786" s="168">
        <f t="shared" si="38"/>
        <v>46143</v>
      </c>
      <c r="AE786" s="167">
        <f t="shared" si="39"/>
        <v>0</v>
      </c>
    </row>
    <row r="787" spans="1:31">
      <c r="A787" s="197">
        <f t="shared" si="40"/>
        <v>46167</v>
      </c>
      <c r="B787" s="167">
        <f>YEAR(Table7[[#This Row],[Date]])+IF(MONTH(Table7[[#This Row],[Date]])&gt;=4,1,0)</f>
        <v>2027</v>
      </c>
      <c r="C787" s="167">
        <f>YEAR(Table7[[#This Row],[Date]])</f>
        <v>2026</v>
      </c>
      <c r="D787" s="168">
        <f t="shared" si="38"/>
        <v>46143</v>
      </c>
      <c r="AE787" s="167">
        <f t="shared" si="39"/>
        <v>0</v>
      </c>
    </row>
    <row r="788" spans="1:31">
      <c r="A788" s="197">
        <f t="shared" si="40"/>
        <v>46168</v>
      </c>
      <c r="B788" s="167">
        <f>YEAR(Table7[[#This Row],[Date]])+IF(MONTH(Table7[[#This Row],[Date]])&gt;=4,1,0)</f>
        <v>2027</v>
      </c>
      <c r="C788" s="167">
        <f>YEAR(Table7[[#This Row],[Date]])</f>
        <v>2026</v>
      </c>
      <c r="D788" s="168">
        <f t="shared" si="38"/>
        <v>46143</v>
      </c>
      <c r="AE788" s="167">
        <f t="shared" si="39"/>
        <v>0</v>
      </c>
    </row>
    <row r="789" spans="1:31">
      <c r="A789" s="197">
        <f t="shared" si="40"/>
        <v>46169</v>
      </c>
      <c r="B789" s="167">
        <f>YEAR(Table7[[#This Row],[Date]])+IF(MONTH(Table7[[#This Row],[Date]])&gt;=4,1,0)</f>
        <v>2027</v>
      </c>
      <c r="C789" s="167">
        <f>YEAR(Table7[[#This Row],[Date]])</f>
        <v>2026</v>
      </c>
      <c r="D789" s="168">
        <f t="shared" si="38"/>
        <v>46143</v>
      </c>
      <c r="AE789" s="167">
        <f t="shared" si="39"/>
        <v>0</v>
      </c>
    </row>
    <row r="790" spans="1:31">
      <c r="A790" s="197">
        <f t="shared" si="40"/>
        <v>46170</v>
      </c>
      <c r="B790" s="167">
        <f>YEAR(Table7[[#This Row],[Date]])+IF(MONTH(Table7[[#This Row],[Date]])&gt;=4,1,0)</f>
        <v>2027</v>
      </c>
      <c r="C790" s="167">
        <f>YEAR(Table7[[#This Row],[Date]])</f>
        <v>2026</v>
      </c>
      <c r="D790" s="168">
        <f t="shared" si="38"/>
        <v>46143</v>
      </c>
      <c r="AE790" s="167">
        <f t="shared" si="39"/>
        <v>0</v>
      </c>
    </row>
    <row r="791" spans="1:31">
      <c r="A791" s="197">
        <f t="shared" si="40"/>
        <v>46171</v>
      </c>
      <c r="B791" s="167">
        <f>YEAR(Table7[[#This Row],[Date]])+IF(MONTH(Table7[[#This Row],[Date]])&gt;=4,1,0)</f>
        <v>2027</v>
      </c>
      <c r="C791" s="167">
        <f>YEAR(Table7[[#This Row],[Date]])</f>
        <v>2026</v>
      </c>
      <c r="D791" s="168">
        <f t="shared" si="38"/>
        <v>46143</v>
      </c>
      <c r="AE791" s="167">
        <f t="shared" si="39"/>
        <v>0</v>
      </c>
    </row>
    <row r="792" spans="1:31">
      <c r="A792" s="197">
        <f t="shared" si="40"/>
        <v>46172</v>
      </c>
      <c r="B792" s="167">
        <f>YEAR(Table7[[#This Row],[Date]])+IF(MONTH(Table7[[#This Row],[Date]])&gt;=4,1,0)</f>
        <v>2027</v>
      </c>
      <c r="C792" s="167">
        <f>YEAR(Table7[[#This Row],[Date]])</f>
        <v>2026</v>
      </c>
      <c r="D792" s="168">
        <f t="shared" si="38"/>
        <v>46143</v>
      </c>
      <c r="AE792" s="167">
        <f t="shared" si="39"/>
        <v>0</v>
      </c>
    </row>
    <row r="793" spans="1:31">
      <c r="A793" s="197">
        <f t="shared" si="40"/>
        <v>46173</v>
      </c>
      <c r="B793" s="167">
        <f>YEAR(Table7[[#This Row],[Date]])+IF(MONTH(Table7[[#This Row],[Date]])&gt;=4,1,0)</f>
        <v>2027</v>
      </c>
      <c r="C793" s="167">
        <f>YEAR(Table7[[#This Row],[Date]])</f>
        <v>2026</v>
      </c>
      <c r="D793" s="168">
        <f t="shared" si="38"/>
        <v>46143</v>
      </c>
      <c r="AE793" s="167">
        <f t="shared" si="39"/>
        <v>0</v>
      </c>
    </row>
    <row r="794" spans="1:31">
      <c r="A794" s="197">
        <f t="shared" si="40"/>
        <v>46174</v>
      </c>
      <c r="B794" s="167">
        <f>YEAR(Table7[[#This Row],[Date]])+IF(MONTH(Table7[[#This Row],[Date]])&gt;=4,1,0)</f>
        <v>2027</v>
      </c>
      <c r="C794" s="167">
        <f>YEAR(Table7[[#This Row],[Date]])</f>
        <v>2026</v>
      </c>
      <c r="D794" s="168">
        <f t="shared" si="38"/>
        <v>46174</v>
      </c>
      <c r="AE794" s="167">
        <f t="shared" si="39"/>
        <v>0</v>
      </c>
    </row>
    <row r="795" spans="1:31">
      <c r="A795" s="197">
        <f t="shared" si="40"/>
        <v>46175</v>
      </c>
      <c r="B795" s="167">
        <f>YEAR(Table7[[#This Row],[Date]])+IF(MONTH(Table7[[#This Row],[Date]])&gt;=4,1,0)</f>
        <v>2027</v>
      </c>
      <c r="C795" s="167">
        <f>YEAR(Table7[[#This Row],[Date]])</f>
        <v>2026</v>
      </c>
      <c r="D795" s="168">
        <f t="shared" si="38"/>
        <v>46174</v>
      </c>
      <c r="AE795" s="167">
        <f t="shared" si="39"/>
        <v>0</v>
      </c>
    </row>
    <row r="796" spans="1:31">
      <c r="A796" s="197">
        <f t="shared" si="40"/>
        <v>46176</v>
      </c>
      <c r="B796" s="167">
        <f>YEAR(Table7[[#This Row],[Date]])+IF(MONTH(Table7[[#This Row],[Date]])&gt;=4,1,0)</f>
        <v>2027</v>
      </c>
      <c r="C796" s="167">
        <f>YEAR(Table7[[#This Row],[Date]])</f>
        <v>2026</v>
      </c>
      <c r="D796" s="168">
        <f t="shared" si="38"/>
        <v>46174</v>
      </c>
      <c r="AE796" s="167">
        <f t="shared" si="39"/>
        <v>0</v>
      </c>
    </row>
    <row r="797" spans="1:31">
      <c r="A797" s="197">
        <f t="shared" si="40"/>
        <v>46177</v>
      </c>
      <c r="B797" s="167">
        <f>YEAR(Table7[[#This Row],[Date]])+IF(MONTH(Table7[[#This Row],[Date]])&gt;=4,1,0)</f>
        <v>2027</v>
      </c>
      <c r="C797" s="167">
        <f>YEAR(Table7[[#This Row],[Date]])</f>
        <v>2026</v>
      </c>
      <c r="D797" s="168">
        <f t="shared" si="38"/>
        <v>46174</v>
      </c>
      <c r="AE797" s="167">
        <f t="shared" si="39"/>
        <v>0</v>
      </c>
    </row>
    <row r="798" spans="1:31">
      <c r="A798" s="197">
        <f t="shared" si="40"/>
        <v>46178</v>
      </c>
      <c r="B798" s="167">
        <f>YEAR(Table7[[#This Row],[Date]])+IF(MONTH(Table7[[#This Row],[Date]])&gt;=4,1,0)</f>
        <v>2027</v>
      </c>
      <c r="C798" s="167">
        <f>YEAR(Table7[[#This Row],[Date]])</f>
        <v>2026</v>
      </c>
      <c r="D798" s="168">
        <f t="shared" si="38"/>
        <v>46174</v>
      </c>
      <c r="AE798" s="167">
        <f t="shared" si="39"/>
        <v>0</v>
      </c>
    </row>
    <row r="799" spans="1:31">
      <c r="A799" s="197">
        <f t="shared" si="40"/>
        <v>46179</v>
      </c>
      <c r="B799" s="167">
        <f>YEAR(Table7[[#This Row],[Date]])+IF(MONTH(Table7[[#This Row],[Date]])&gt;=4,1,0)</f>
        <v>2027</v>
      </c>
      <c r="C799" s="167">
        <f>YEAR(Table7[[#This Row],[Date]])</f>
        <v>2026</v>
      </c>
      <c r="D799" s="168">
        <f t="shared" si="38"/>
        <v>46174</v>
      </c>
      <c r="AE799" s="167">
        <f t="shared" si="39"/>
        <v>0</v>
      </c>
    </row>
    <row r="800" spans="1:31">
      <c r="A800" s="197">
        <f t="shared" si="40"/>
        <v>46180</v>
      </c>
      <c r="B800" s="167">
        <f>YEAR(Table7[[#This Row],[Date]])+IF(MONTH(Table7[[#This Row],[Date]])&gt;=4,1,0)</f>
        <v>2027</v>
      </c>
      <c r="C800" s="167">
        <f>YEAR(Table7[[#This Row],[Date]])</f>
        <v>2026</v>
      </c>
      <c r="D800" s="168">
        <f t="shared" si="38"/>
        <v>46174</v>
      </c>
      <c r="AE800" s="167">
        <f t="shared" si="39"/>
        <v>0</v>
      </c>
    </row>
    <row r="801" spans="1:31">
      <c r="A801" s="197">
        <f t="shared" si="40"/>
        <v>46181</v>
      </c>
      <c r="B801" s="167">
        <f>YEAR(Table7[[#This Row],[Date]])+IF(MONTH(Table7[[#This Row],[Date]])&gt;=4,1,0)</f>
        <v>2027</v>
      </c>
      <c r="C801" s="167">
        <f>YEAR(Table7[[#This Row],[Date]])</f>
        <v>2026</v>
      </c>
      <c r="D801" s="168">
        <f t="shared" si="38"/>
        <v>46174</v>
      </c>
      <c r="AE801" s="167">
        <f t="shared" si="39"/>
        <v>0</v>
      </c>
    </row>
    <row r="802" spans="1:31">
      <c r="A802" s="197">
        <f t="shared" si="40"/>
        <v>46182</v>
      </c>
      <c r="B802" s="167">
        <f>YEAR(Table7[[#This Row],[Date]])+IF(MONTH(Table7[[#This Row],[Date]])&gt;=4,1,0)</f>
        <v>2027</v>
      </c>
      <c r="C802" s="167">
        <f>YEAR(Table7[[#This Row],[Date]])</f>
        <v>2026</v>
      </c>
      <c r="D802" s="168">
        <f t="shared" si="38"/>
        <v>46174</v>
      </c>
      <c r="AE802" s="167">
        <f t="shared" si="39"/>
        <v>0</v>
      </c>
    </row>
    <row r="803" spans="1:31">
      <c r="A803" s="197">
        <f t="shared" si="40"/>
        <v>46183</v>
      </c>
      <c r="B803" s="167">
        <f>YEAR(Table7[[#This Row],[Date]])+IF(MONTH(Table7[[#This Row],[Date]])&gt;=4,1,0)</f>
        <v>2027</v>
      </c>
      <c r="C803" s="167">
        <f>YEAR(Table7[[#This Row],[Date]])</f>
        <v>2026</v>
      </c>
      <c r="D803" s="168">
        <f t="shared" si="38"/>
        <v>46174</v>
      </c>
      <c r="AE803" s="167">
        <f t="shared" si="39"/>
        <v>0</v>
      </c>
    </row>
    <row r="804" spans="1:31">
      <c r="A804" s="197">
        <f t="shared" si="40"/>
        <v>46184</v>
      </c>
      <c r="B804" s="167">
        <f>YEAR(Table7[[#This Row],[Date]])+IF(MONTH(Table7[[#This Row],[Date]])&gt;=4,1,0)</f>
        <v>2027</v>
      </c>
      <c r="C804" s="167">
        <f>YEAR(Table7[[#This Row],[Date]])</f>
        <v>2026</v>
      </c>
      <c r="D804" s="168">
        <f t="shared" si="38"/>
        <v>46174</v>
      </c>
      <c r="AE804" s="167">
        <f t="shared" si="39"/>
        <v>0</v>
      </c>
    </row>
    <row r="805" spans="1:31">
      <c r="A805" s="197">
        <f t="shared" si="40"/>
        <v>46185</v>
      </c>
      <c r="B805" s="167">
        <f>YEAR(Table7[[#This Row],[Date]])+IF(MONTH(Table7[[#This Row],[Date]])&gt;=4,1,0)</f>
        <v>2027</v>
      </c>
      <c r="C805" s="167">
        <f>YEAR(Table7[[#This Row],[Date]])</f>
        <v>2026</v>
      </c>
      <c r="D805" s="168">
        <f t="shared" si="38"/>
        <v>46174</v>
      </c>
      <c r="AE805" s="167">
        <f t="shared" si="39"/>
        <v>0</v>
      </c>
    </row>
    <row r="806" spans="1:31">
      <c r="A806" s="197">
        <f t="shared" si="40"/>
        <v>46186</v>
      </c>
      <c r="B806" s="167">
        <f>YEAR(Table7[[#This Row],[Date]])+IF(MONTH(Table7[[#This Row],[Date]])&gt;=4,1,0)</f>
        <v>2027</v>
      </c>
      <c r="C806" s="167">
        <f>YEAR(Table7[[#This Row],[Date]])</f>
        <v>2026</v>
      </c>
      <c r="D806" s="168">
        <f t="shared" si="38"/>
        <v>46174</v>
      </c>
      <c r="AE806" s="167">
        <f t="shared" si="39"/>
        <v>0</v>
      </c>
    </row>
    <row r="807" spans="1:31">
      <c r="A807" s="197">
        <f t="shared" si="40"/>
        <v>46187</v>
      </c>
      <c r="B807" s="167">
        <f>YEAR(Table7[[#This Row],[Date]])+IF(MONTH(Table7[[#This Row],[Date]])&gt;=4,1,0)</f>
        <v>2027</v>
      </c>
      <c r="C807" s="167">
        <f>YEAR(Table7[[#This Row],[Date]])</f>
        <v>2026</v>
      </c>
      <c r="D807" s="168">
        <f t="shared" si="38"/>
        <v>46174</v>
      </c>
      <c r="AE807" s="167">
        <f t="shared" si="39"/>
        <v>0</v>
      </c>
    </row>
    <row r="808" spans="1:31">
      <c r="A808" s="197">
        <f t="shared" si="40"/>
        <v>46188</v>
      </c>
      <c r="B808" s="167">
        <f>YEAR(Table7[[#This Row],[Date]])+IF(MONTH(Table7[[#This Row],[Date]])&gt;=4,1,0)</f>
        <v>2027</v>
      </c>
      <c r="C808" s="167">
        <f>YEAR(Table7[[#This Row],[Date]])</f>
        <v>2026</v>
      </c>
      <c r="D808" s="168">
        <f t="shared" si="38"/>
        <v>46174</v>
      </c>
      <c r="AE808" s="167">
        <f t="shared" si="39"/>
        <v>0</v>
      </c>
    </row>
    <row r="809" spans="1:31">
      <c r="A809" s="197">
        <f t="shared" si="40"/>
        <v>46189</v>
      </c>
      <c r="B809" s="167">
        <f>YEAR(Table7[[#This Row],[Date]])+IF(MONTH(Table7[[#This Row],[Date]])&gt;=4,1,0)</f>
        <v>2027</v>
      </c>
      <c r="C809" s="167">
        <f>YEAR(Table7[[#This Row],[Date]])</f>
        <v>2026</v>
      </c>
      <c r="D809" s="168">
        <f t="shared" si="38"/>
        <v>46174</v>
      </c>
      <c r="AE809" s="167">
        <f t="shared" si="39"/>
        <v>0</v>
      </c>
    </row>
    <row r="810" spans="1:31">
      <c r="A810" s="197">
        <f t="shared" si="40"/>
        <v>46190</v>
      </c>
      <c r="B810" s="167">
        <f>YEAR(Table7[[#This Row],[Date]])+IF(MONTH(Table7[[#This Row],[Date]])&gt;=4,1,0)</f>
        <v>2027</v>
      </c>
      <c r="C810" s="167">
        <f>YEAR(Table7[[#This Row],[Date]])</f>
        <v>2026</v>
      </c>
      <c r="D810" s="168">
        <f t="shared" si="38"/>
        <v>46174</v>
      </c>
      <c r="AE810" s="167">
        <f t="shared" si="39"/>
        <v>0</v>
      </c>
    </row>
    <row r="811" spans="1:31">
      <c r="A811" s="197">
        <f t="shared" si="40"/>
        <v>46191</v>
      </c>
      <c r="B811" s="167">
        <f>YEAR(Table7[[#This Row],[Date]])+IF(MONTH(Table7[[#This Row],[Date]])&gt;=4,1,0)</f>
        <v>2027</v>
      </c>
      <c r="C811" s="167">
        <f>YEAR(Table7[[#This Row],[Date]])</f>
        <v>2026</v>
      </c>
      <c r="D811" s="168">
        <f t="shared" si="38"/>
        <v>46174</v>
      </c>
      <c r="AE811" s="167">
        <f t="shared" si="39"/>
        <v>0</v>
      </c>
    </row>
    <row r="812" spans="1:31">
      <c r="A812" s="197">
        <f t="shared" si="40"/>
        <v>46192</v>
      </c>
      <c r="B812" s="167">
        <f>YEAR(Table7[[#This Row],[Date]])+IF(MONTH(Table7[[#This Row],[Date]])&gt;=4,1,0)</f>
        <v>2027</v>
      </c>
      <c r="C812" s="167">
        <f>YEAR(Table7[[#This Row],[Date]])</f>
        <v>2026</v>
      </c>
      <c r="D812" s="168">
        <f t="shared" si="38"/>
        <v>46174</v>
      </c>
      <c r="AE812" s="167">
        <f t="shared" si="39"/>
        <v>0</v>
      </c>
    </row>
    <row r="813" spans="1:31">
      <c r="A813" s="197">
        <f t="shared" si="40"/>
        <v>46193</v>
      </c>
      <c r="B813" s="167">
        <f>YEAR(Table7[[#This Row],[Date]])+IF(MONTH(Table7[[#This Row],[Date]])&gt;=4,1,0)</f>
        <v>2027</v>
      </c>
      <c r="C813" s="167">
        <f>YEAR(Table7[[#This Row],[Date]])</f>
        <v>2026</v>
      </c>
      <c r="D813" s="168">
        <f t="shared" si="38"/>
        <v>46174</v>
      </c>
      <c r="AE813" s="167">
        <f t="shared" si="39"/>
        <v>0</v>
      </c>
    </row>
    <row r="814" spans="1:31">
      <c r="A814" s="197">
        <f t="shared" si="40"/>
        <v>46194</v>
      </c>
      <c r="B814" s="167">
        <f>YEAR(Table7[[#This Row],[Date]])+IF(MONTH(Table7[[#This Row],[Date]])&gt;=4,1,0)</f>
        <v>2027</v>
      </c>
      <c r="C814" s="167">
        <f>YEAR(Table7[[#This Row],[Date]])</f>
        <v>2026</v>
      </c>
      <c r="D814" s="168">
        <f t="shared" si="38"/>
        <v>46174</v>
      </c>
      <c r="AE814" s="167">
        <f t="shared" si="39"/>
        <v>0</v>
      </c>
    </row>
    <row r="815" spans="1:31">
      <c r="A815" s="197">
        <f t="shared" si="40"/>
        <v>46195</v>
      </c>
      <c r="B815" s="167">
        <f>YEAR(Table7[[#This Row],[Date]])+IF(MONTH(Table7[[#This Row],[Date]])&gt;=4,1,0)</f>
        <v>2027</v>
      </c>
      <c r="C815" s="167">
        <f>YEAR(Table7[[#This Row],[Date]])</f>
        <v>2026</v>
      </c>
      <c r="D815" s="168">
        <f t="shared" si="38"/>
        <v>46174</v>
      </c>
      <c r="AE815" s="167">
        <f t="shared" si="39"/>
        <v>0</v>
      </c>
    </row>
    <row r="816" spans="1:31">
      <c r="A816" s="197">
        <f t="shared" si="40"/>
        <v>46196</v>
      </c>
      <c r="B816" s="167">
        <f>YEAR(Table7[[#This Row],[Date]])+IF(MONTH(Table7[[#This Row],[Date]])&gt;=4,1,0)</f>
        <v>2027</v>
      </c>
      <c r="C816" s="167">
        <f>YEAR(Table7[[#This Row],[Date]])</f>
        <v>2026</v>
      </c>
      <c r="D816" s="168">
        <f t="shared" si="38"/>
        <v>46174</v>
      </c>
      <c r="AE816" s="167">
        <f t="shared" si="39"/>
        <v>0</v>
      </c>
    </row>
    <row r="817" spans="1:31">
      <c r="A817" s="197">
        <f t="shared" si="40"/>
        <v>46197</v>
      </c>
      <c r="B817" s="167">
        <f>YEAR(Table7[[#This Row],[Date]])+IF(MONTH(Table7[[#This Row],[Date]])&gt;=4,1,0)</f>
        <v>2027</v>
      </c>
      <c r="C817" s="167">
        <f>YEAR(Table7[[#This Row],[Date]])</f>
        <v>2026</v>
      </c>
      <c r="D817" s="168">
        <f t="shared" si="38"/>
        <v>46174</v>
      </c>
      <c r="AE817" s="167">
        <f t="shared" si="39"/>
        <v>0</v>
      </c>
    </row>
    <row r="818" spans="1:31">
      <c r="A818" s="197">
        <f t="shared" si="40"/>
        <v>46198</v>
      </c>
      <c r="B818" s="167">
        <f>YEAR(Table7[[#This Row],[Date]])+IF(MONTH(Table7[[#This Row],[Date]])&gt;=4,1,0)</f>
        <v>2027</v>
      </c>
      <c r="C818" s="167">
        <f>YEAR(Table7[[#This Row],[Date]])</f>
        <v>2026</v>
      </c>
      <c r="D818" s="168">
        <f t="shared" si="38"/>
        <v>46174</v>
      </c>
      <c r="AE818" s="167">
        <f t="shared" si="39"/>
        <v>0</v>
      </c>
    </row>
    <row r="819" spans="1:31">
      <c r="A819" s="197">
        <f t="shared" si="40"/>
        <v>46199</v>
      </c>
      <c r="B819" s="167">
        <f>YEAR(Table7[[#This Row],[Date]])+IF(MONTH(Table7[[#This Row],[Date]])&gt;=4,1,0)</f>
        <v>2027</v>
      </c>
      <c r="C819" s="167">
        <f>YEAR(Table7[[#This Row],[Date]])</f>
        <v>2026</v>
      </c>
      <c r="D819" s="168">
        <f t="shared" si="38"/>
        <v>46174</v>
      </c>
      <c r="AE819" s="167">
        <f t="shared" si="39"/>
        <v>0</v>
      </c>
    </row>
    <row r="820" spans="1:31">
      <c r="A820" s="197">
        <f t="shared" si="40"/>
        <v>46200</v>
      </c>
      <c r="B820" s="167">
        <f>YEAR(Table7[[#This Row],[Date]])+IF(MONTH(Table7[[#This Row],[Date]])&gt;=4,1,0)</f>
        <v>2027</v>
      </c>
      <c r="C820" s="167">
        <f>YEAR(Table7[[#This Row],[Date]])</f>
        <v>2026</v>
      </c>
      <c r="D820" s="168">
        <f t="shared" si="38"/>
        <v>46174</v>
      </c>
      <c r="AE820" s="167">
        <f t="shared" si="39"/>
        <v>0</v>
      </c>
    </row>
    <row r="821" spans="1:31">
      <c r="A821" s="197">
        <f t="shared" si="40"/>
        <v>46201</v>
      </c>
      <c r="B821" s="167">
        <f>YEAR(Table7[[#This Row],[Date]])+IF(MONTH(Table7[[#This Row],[Date]])&gt;=4,1,0)</f>
        <v>2027</v>
      </c>
      <c r="C821" s="167">
        <f>YEAR(Table7[[#This Row],[Date]])</f>
        <v>2026</v>
      </c>
      <c r="D821" s="168">
        <f t="shared" si="38"/>
        <v>46174</v>
      </c>
      <c r="AE821" s="167">
        <f t="shared" si="39"/>
        <v>0</v>
      </c>
    </row>
    <row r="822" spans="1:31">
      <c r="A822" s="197">
        <f t="shared" si="40"/>
        <v>46202</v>
      </c>
      <c r="B822" s="167">
        <f>YEAR(Table7[[#This Row],[Date]])+IF(MONTH(Table7[[#This Row],[Date]])&gt;=4,1,0)</f>
        <v>2027</v>
      </c>
      <c r="C822" s="167">
        <f>YEAR(Table7[[#This Row],[Date]])</f>
        <v>2026</v>
      </c>
      <c r="D822" s="168">
        <f t="shared" si="38"/>
        <v>46174</v>
      </c>
      <c r="AE822" s="167">
        <f t="shared" si="39"/>
        <v>0</v>
      </c>
    </row>
    <row r="823" spans="1:31">
      <c r="A823" s="197">
        <f t="shared" si="40"/>
        <v>46203</v>
      </c>
      <c r="B823" s="167">
        <f>YEAR(Table7[[#This Row],[Date]])+IF(MONTH(Table7[[#This Row],[Date]])&gt;=4,1,0)</f>
        <v>2027</v>
      </c>
      <c r="C823" s="167">
        <f>YEAR(Table7[[#This Row],[Date]])</f>
        <v>2026</v>
      </c>
      <c r="D823" s="168">
        <f t="shared" si="38"/>
        <v>46174</v>
      </c>
      <c r="AE823" s="167">
        <f t="shared" si="39"/>
        <v>0</v>
      </c>
    </row>
    <row r="824" spans="1:31">
      <c r="A824" s="197">
        <f t="shared" si="40"/>
        <v>46204</v>
      </c>
      <c r="B824" s="167">
        <f>YEAR(Table7[[#This Row],[Date]])+IF(MONTH(Table7[[#This Row],[Date]])&gt;=4,1,0)</f>
        <v>2027</v>
      </c>
      <c r="C824" s="167">
        <f>YEAR(Table7[[#This Row],[Date]])</f>
        <v>2026</v>
      </c>
      <c r="D824" s="168">
        <f t="shared" si="38"/>
        <v>46204</v>
      </c>
      <c r="AE824" s="167">
        <f t="shared" si="39"/>
        <v>0</v>
      </c>
    </row>
    <row r="825" spans="1:31">
      <c r="A825" s="197">
        <f t="shared" si="40"/>
        <v>46205</v>
      </c>
      <c r="B825" s="167">
        <f>YEAR(Table7[[#This Row],[Date]])+IF(MONTH(Table7[[#This Row],[Date]])&gt;=4,1,0)</f>
        <v>2027</v>
      </c>
      <c r="C825" s="167">
        <f>YEAR(Table7[[#This Row],[Date]])</f>
        <v>2026</v>
      </c>
      <c r="D825" s="168">
        <f t="shared" si="38"/>
        <v>46204</v>
      </c>
      <c r="AE825" s="167">
        <f t="shared" si="39"/>
        <v>0</v>
      </c>
    </row>
    <row r="826" spans="1:31">
      <c r="A826" s="197">
        <f t="shared" si="40"/>
        <v>46206</v>
      </c>
      <c r="B826" s="167">
        <f>YEAR(Table7[[#This Row],[Date]])+IF(MONTH(Table7[[#This Row],[Date]])&gt;=4,1,0)</f>
        <v>2027</v>
      </c>
      <c r="C826" s="167">
        <f>YEAR(Table7[[#This Row],[Date]])</f>
        <v>2026</v>
      </c>
      <c r="D826" s="168">
        <f t="shared" si="38"/>
        <v>46204</v>
      </c>
      <c r="AE826" s="167">
        <f t="shared" si="39"/>
        <v>0</v>
      </c>
    </row>
    <row r="827" spans="1:31">
      <c r="A827" s="197">
        <f t="shared" si="40"/>
        <v>46207</v>
      </c>
      <c r="B827" s="167">
        <f>YEAR(Table7[[#This Row],[Date]])+IF(MONTH(Table7[[#This Row],[Date]])&gt;=4,1,0)</f>
        <v>2027</v>
      </c>
      <c r="C827" s="167">
        <f>YEAR(Table7[[#This Row],[Date]])</f>
        <v>2026</v>
      </c>
      <c r="D827" s="168">
        <f t="shared" si="38"/>
        <v>46204</v>
      </c>
      <c r="AE827" s="167">
        <f t="shared" si="39"/>
        <v>0</v>
      </c>
    </row>
    <row r="828" spans="1:31">
      <c r="A828" s="197">
        <f t="shared" si="40"/>
        <v>46208</v>
      </c>
      <c r="B828" s="167">
        <f>YEAR(Table7[[#This Row],[Date]])+IF(MONTH(Table7[[#This Row],[Date]])&gt;=4,1,0)</f>
        <v>2027</v>
      </c>
      <c r="C828" s="167">
        <f>YEAR(Table7[[#This Row],[Date]])</f>
        <v>2026</v>
      </c>
      <c r="D828" s="168">
        <f t="shared" si="38"/>
        <v>46204</v>
      </c>
      <c r="AE828" s="167">
        <f t="shared" si="39"/>
        <v>0</v>
      </c>
    </row>
    <row r="829" spans="1:31">
      <c r="A829" s="197">
        <f t="shared" si="40"/>
        <v>46209</v>
      </c>
      <c r="B829" s="167">
        <f>YEAR(Table7[[#This Row],[Date]])+IF(MONTH(Table7[[#This Row],[Date]])&gt;=4,1,0)</f>
        <v>2027</v>
      </c>
      <c r="C829" s="167">
        <f>YEAR(Table7[[#This Row],[Date]])</f>
        <v>2026</v>
      </c>
      <c r="D829" s="168">
        <f t="shared" si="38"/>
        <v>46204</v>
      </c>
      <c r="AE829" s="167">
        <f t="shared" si="39"/>
        <v>0</v>
      </c>
    </row>
    <row r="830" spans="1:31">
      <c r="A830" s="197">
        <f t="shared" si="40"/>
        <v>46210</v>
      </c>
      <c r="B830" s="167">
        <f>YEAR(Table7[[#This Row],[Date]])+IF(MONTH(Table7[[#This Row],[Date]])&gt;=4,1,0)</f>
        <v>2027</v>
      </c>
      <c r="C830" s="167">
        <f>YEAR(Table7[[#This Row],[Date]])</f>
        <v>2026</v>
      </c>
      <c r="D830" s="168">
        <f t="shared" si="38"/>
        <v>46204</v>
      </c>
      <c r="AE830" s="167">
        <f t="shared" si="39"/>
        <v>0</v>
      </c>
    </row>
    <row r="831" spans="1:31">
      <c r="A831" s="197">
        <f t="shared" si="40"/>
        <v>46211</v>
      </c>
      <c r="B831" s="167">
        <f>YEAR(Table7[[#This Row],[Date]])+IF(MONTH(Table7[[#This Row],[Date]])&gt;=4,1,0)</f>
        <v>2027</v>
      </c>
      <c r="C831" s="167">
        <f>YEAR(Table7[[#This Row],[Date]])</f>
        <v>2026</v>
      </c>
      <c r="D831" s="168">
        <f t="shared" si="38"/>
        <v>46204</v>
      </c>
      <c r="AE831" s="167">
        <f t="shared" si="39"/>
        <v>0</v>
      </c>
    </row>
    <row r="832" spans="1:31">
      <c r="A832" s="197">
        <f t="shared" si="40"/>
        <v>46212</v>
      </c>
      <c r="B832" s="167">
        <f>YEAR(Table7[[#This Row],[Date]])+IF(MONTH(Table7[[#This Row],[Date]])&gt;=4,1,0)</f>
        <v>2027</v>
      </c>
      <c r="C832" s="167">
        <f>YEAR(Table7[[#This Row],[Date]])</f>
        <v>2026</v>
      </c>
      <c r="D832" s="168">
        <f t="shared" si="38"/>
        <v>46204</v>
      </c>
      <c r="AE832" s="167">
        <f t="shared" si="39"/>
        <v>0</v>
      </c>
    </row>
    <row r="833" spans="1:31">
      <c r="A833" s="197">
        <f t="shared" si="40"/>
        <v>46213</v>
      </c>
      <c r="B833" s="167">
        <f>YEAR(Table7[[#This Row],[Date]])+IF(MONTH(Table7[[#This Row],[Date]])&gt;=4,1,0)</f>
        <v>2027</v>
      </c>
      <c r="C833" s="167">
        <f>YEAR(Table7[[#This Row],[Date]])</f>
        <v>2026</v>
      </c>
      <c r="D833" s="168">
        <f t="shared" si="38"/>
        <v>46204</v>
      </c>
      <c r="AE833" s="167">
        <f t="shared" si="39"/>
        <v>0</v>
      </c>
    </row>
    <row r="834" spans="1:31">
      <c r="A834" s="197">
        <f t="shared" si="40"/>
        <v>46214</v>
      </c>
      <c r="B834" s="167">
        <f>YEAR(Table7[[#This Row],[Date]])+IF(MONTH(Table7[[#This Row],[Date]])&gt;=4,1,0)</f>
        <v>2027</v>
      </c>
      <c r="C834" s="167">
        <f>YEAR(Table7[[#This Row],[Date]])</f>
        <v>2026</v>
      </c>
      <c r="D834" s="168">
        <f t="shared" si="38"/>
        <v>46204</v>
      </c>
      <c r="AE834" s="167">
        <f t="shared" si="39"/>
        <v>0</v>
      </c>
    </row>
    <row r="835" spans="1:31">
      <c r="A835" s="197">
        <f t="shared" si="40"/>
        <v>46215</v>
      </c>
      <c r="B835" s="167">
        <f>YEAR(Table7[[#This Row],[Date]])+IF(MONTH(Table7[[#This Row],[Date]])&gt;=4,1,0)</f>
        <v>2027</v>
      </c>
      <c r="C835" s="167">
        <f>YEAR(Table7[[#This Row],[Date]])</f>
        <v>2026</v>
      </c>
      <c r="D835" s="168">
        <f t="shared" ref="D835:D898" si="41">A835-DAY(A835)+1</f>
        <v>46204</v>
      </c>
      <c r="AE835" s="167">
        <f t="shared" ref="AE835:AE898" si="42">SUM(E835:AD835)</f>
        <v>0</v>
      </c>
    </row>
    <row r="836" spans="1:31">
      <c r="A836" s="197">
        <f t="shared" si="40"/>
        <v>46216</v>
      </c>
      <c r="B836" s="167">
        <f>YEAR(Table7[[#This Row],[Date]])+IF(MONTH(Table7[[#This Row],[Date]])&gt;=4,1,0)</f>
        <v>2027</v>
      </c>
      <c r="C836" s="167">
        <f>YEAR(Table7[[#This Row],[Date]])</f>
        <v>2026</v>
      </c>
      <c r="D836" s="168">
        <f t="shared" si="41"/>
        <v>46204</v>
      </c>
      <c r="AE836" s="167">
        <f t="shared" si="42"/>
        <v>0</v>
      </c>
    </row>
    <row r="837" spans="1:31">
      <c r="A837" s="197">
        <f t="shared" ref="A837:A900" si="43">A836+1</f>
        <v>46217</v>
      </c>
      <c r="B837" s="167">
        <f>YEAR(Table7[[#This Row],[Date]])+IF(MONTH(Table7[[#This Row],[Date]])&gt;=4,1,0)</f>
        <v>2027</v>
      </c>
      <c r="C837" s="167">
        <f>YEAR(Table7[[#This Row],[Date]])</f>
        <v>2026</v>
      </c>
      <c r="D837" s="168">
        <f t="shared" si="41"/>
        <v>46204</v>
      </c>
      <c r="AE837" s="167">
        <f t="shared" si="42"/>
        <v>0</v>
      </c>
    </row>
    <row r="838" spans="1:31">
      <c r="A838" s="197">
        <f t="shared" si="43"/>
        <v>46218</v>
      </c>
      <c r="B838" s="167">
        <f>YEAR(Table7[[#This Row],[Date]])+IF(MONTH(Table7[[#This Row],[Date]])&gt;=4,1,0)</f>
        <v>2027</v>
      </c>
      <c r="C838" s="167">
        <f>YEAR(Table7[[#This Row],[Date]])</f>
        <v>2026</v>
      </c>
      <c r="D838" s="168">
        <f t="shared" si="41"/>
        <v>46204</v>
      </c>
      <c r="AE838" s="167">
        <f t="shared" si="42"/>
        <v>0</v>
      </c>
    </row>
    <row r="839" spans="1:31">
      <c r="A839" s="197">
        <f t="shared" si="43"/>
        <v>46219</v>
      </c>
      <c r="B839" s="167">
        <f>YEAR(Table7[[#This Row],[Date]])+IF(MONTH(Table7[[#This Row],[Date]])&gt;=4,1,0)</f>
        <v>2027</v>
      </c>
      <c r="C839" s="167">
        <f>YEAR(Table7[[#This Row],[Date]])</f>
        <v>2026</v>
      </c>
      <c r="D839" s="168">
        <f t="shared" si="41"/>
        <v>46204</v>
      </c>
      <c r="AE839" s="167">
        <f t="shared" si="42"/>
        <v>0</v>
      </c>
    </row>
    <row r="840" spans="1:31">
      <c r="A840" s="197">
        <f t="shared" si="43"/>
        <v>46220</v>
      </c>
      <c r="B840" s="167">
        <f>YEAR(Table7[[#This Row],[Date]])+IF(MONTH(Table7[[#This Row],[Date]])&gt;=4,1,0)</f>
        <v>2027</v>
      </c>
      <c r="C840" s="167">
        <f>YEAR(Table7[[#This Row],[Date]])</f>
        <v>2026</v>
      </c>
      <c r="D840" s="168">
        <f t="shared" si="41"/>
        <v>46204</v>
      </c>
      <c r="AE840" s="167">
        <f t="shared" si="42"/>
        <v>0</v>
      </c>
    </row>
    <row r="841" spans="1:31">
      <c r="A841" s="197">
        <f t="shared" si="43"/>
        <v>46221</v>
      </c>
      <c r="B841" s="167">
        <f>YEAR(Table7[[#This Row],[Date]])+IF(MONTH(Table7[[#This Row],[Date]])&gt;=4,1,0)</f>
        <v>2027</v>
      </c>
      <c r="C841" s="167">
        <f>YEAR(Table7[[#This Row],[Date]])</f>
        <v>2026</v>
      </c>
      <c r="D841" s="168">
        <f t="shared" si="41"/>
        <v>46204</v>
      </c>
      <c r="AE841" s="167">
        <f t="shared" si="42"/>
        <v>0</v>
      </c>
    </row>
    <row r="842" spans="1:31">
      <c r="A842" s="197">
        <f t="shared" si="43"/>
        <v>46222</v>
      </c>
      <c r="B842" s="167">
        <f>YEAR(Table7[[#This Row],[Date]])+IF(MONTH(Table7[[#This Row],[Date]])&gt;=4,1,0)</f>
        <v>2027</v>
      </c>
      <c r="C842" s="167">
        <f>YEAR(Table7[[#This Row],[Date]])</f>
        <v>2026</v>
      </c>
      <c r="D842" s="168">
        <f t="shared" si="41"/>
        <v>46204</v>
      </c>
      <c r="AE842" s="167">
        <f t="shared" si="42"/>
        <v>0</v>
      </c>
    </row>
    <row r="843" spans="1:31">
      <c r="A843" s="197">
        <f t="shared" si="43"/>
        <v>46223</v>
      </c>
      <c r="B843" s="167">
        <f>YEAR(Table7[[#This Row],[Date]])+IF(MONTH(Table7[[#This Row],[Date]])&gt;=4,1,0)</f>
        <v>2027</v>
      </c>
      <c r="C843" s="167">
        <f>YEAR(Table7[[#This Row],[Date]])</f>
        <v>2026</v>
      </c>
      <c r="D843" s="168">
        <f t="shared" si="41"/>
        <v>46204</v>
      </c>
      <c r="AE843" s="167">
        <f t="shared" si="42"/>
        <v>0</v>
      </c>
    </row>
    <row r="844" spans="1:31">
      <c r="A844" s="197">
        <f t="shared" si="43"/>
        <v>46224</v>
      </c>
      <c r="B844" s="167">
        <f>YEAR(Table7[[#This Row],[Date]])+IF(MONTH(Table7[[#This Row],[Date]])&gt;=4,1,0)</f>
        <v>2027</v>
      </c>
      <c r="C844" s="167">
        <f>YEAR(Table7[[#This Row],[Date]])</f>
        <v>2026</v>
      </c>
      <c r="D844" s="168">
        <f t="shared" si="41"/>
        <v>46204</v>
      </c>
      <c r="AE844" s="167">
        <f t="shared" si="42"/>
        <v>0</v>
      </c>
    </row>
    <row r="845" spans="1:31">
      <c r="A845" s="197">
        <f t="shared" si="43"/>
        <v>46225</v>
      </c>
      <c r="B845" s="167">
        <f>YEAR(Table7[[#This Row],[Date]])+IF(MONTH(Table7[[#This Row],[Date]])&gt;=4,1,0)</f>
        <v>2027</v>
      </c>
      <c r="C845" s="167">
        <f>YEAR(Table7[[#This Row],[Date]])</f>
        <v>2026</v>
      </c>
      <c r="D845" s="168">
        <f t="shared" si="41"/>
        <v>46204</v>
      </c>
      <c r="AE845" s="167">
        <f t="shared" si="42"/>
        <v>0</v>
      </c>
    </row>
    <row r="846" spans="1:31">
      <c r="A846" s="197">
        <f t="shared" si="43"/>
        <v>46226</v>
      </c>
      <c r="B846" s="167">
        <f>YEAR(Table7[[#This Row],[Date]])+IF(MONTH(Table7[[#This Row],[Date]])&gt;=4,1,0)</f>
        <v>2027</v>
      </c>
      <c r="C846" s="167">
        <f>YEAR(Table7[[#This Row],[Date]])</f>
        <v>2026</v>
      </c>
      <c r="D846" s="168">
        <f t="shared" si="41"/>
        <v>46204</v>
      </c>
      <c r="AE846" s="167">
        <f t="shared" si="42"/>
        <v>0</v>
      </c>
    </row>
    <row r="847" spans="1:31">
      <c r="A847" s="197">
        <f t="shared" si="43"/>
        <v>46227</v>
      </c>
      <c r="B847" s="167">
        <f>YEAR(Table7[[#This Row],[Date]])+IF(MONTH(Table7[[#This Row],[Date]])&gt;=4,1,0)</f>
        <v>2027</v>
      </c>
      <c r="C847" s="167">
        <f>YEAR(Table7[[#This Row],[Date]])</f>
        <v>2026</v>
      </c>
      <c r="D847" s="168">
        <f t="shared" si="41"/>
        <v>46204</v>
      </c>
      <c r="AE847" s="167">
        <f t="shared" si="42"/>
        <v>0</v>
      </c>
    </row>
    <row r="848" spans="1:31">
      <c r="A848" s="197">
        <f t="shared" si="43"/>
        <v>46228</v>
      </c>
      <c r="B848" s="167">
        <f>YEAR(Table7[[#This Row],[Date]])+IF(MONTH(Table7[[#This Row],[Date]])&gt;=4,1,0)</f>
        <v>2027</v>
      </c>
      <c r="C848" s="167">
        <f>YEAR(Table7[[#This Row],[Date]])</f>
        <v>2026</v>
      </c>
      <c r="D848" s="168">
        <f t="shared" si="41"/>
        <v>46204</v>
      </c>
      <c r="AE848" s="167">
        <f t="shared" si="42"/>
        <v>0</v>
      </c>
    </row>
    <row r="849" spans="1:31">
      <c r="A849" s="197">
        <f t="shared" si="43"/>
        <v>46229</v>
      </c>
      <c r="B849" s="167">
        <f>YEAR(Table7[[#This Row],[Date]])+IF(MONTH(Table7[[#This Row],[Date]])&gt;=4,1,0)</f>
        <v>2027</v>
      </c>
      <c r="C849" s="167">
        <f>YEAR(Table7[[#This Row],[Date]])</f>
        <v>2026</v>
      </c>
      <c r="D849" s="168">
        <f t="shared" si="41"/>
        <v>46204</v>
      </c>
      <c r="AE849" s="167">
        <f t="shared" si="42"/>
        <v>0</v>
      </c>
    </row>
    <row r="850" spans="1:31">
      <c r="A850" s="197">
        <f t="shared" si="43"/>
        <v>46230</v>
      </c>
      <c r="B850" s="167">
        <f>YEAR(Table7[[#This Row],[Date]])+IF(MONTH(Table7[[#This Row],[Date]])&gt;=4,1,0)</f>
        <v>2027</v>
      </c>
      <c r="C850" s="167">
        <f>YEAR(Table7[[#This Row],[Date]])</f>
        <v>2026</v>
      </c>
      <c r="D850" s="168">
        <f t="shared" si="41"/>
        <v>46204</v>
      </c>
      <c r="AE850" s="167">
        <f t="shared" si="42"/>
        <v>0</v>
      </c>
    </row>
    <row r="851" spans="1:31">
      <c r="A851" s="197">
        <f t="shared" si="43"/>
        <v>46231</v>
      </c>
      <c r="B851" s="167">
        <f>YEAR(Table7[[#This Row],[Date]])+IF(MONTH(Table7[[#This Row],[Date]])&gt;=4,1,0)</f>
        <v>2027</v>
      </c>
      <c r="C851" s="167">
        <f>YEAR(Table7[[#This Row],[Date]])</f>
        <v>2026</v>
      </c>
      <c r="D851" s="168">
        <f t="shared" si="41"/>
        <v>46204</v>
      </c>
      <c r="AE851" s="167">
        <f t="shared" si="42"/>
        <v>0</v>
      </c>
    </row>
    <row r="852" spans="1:31">
      <c r="A852" s="197">
        <f t="shared" si="43"/>
        <v>46232</v>
      </c>
      <c r="B852" s="167">
        <f>YEAR(Table7[[#This Row],[Date]])+IF(MONTH(Table7[[#This Row],[Date]])&gt;=4,1,0)</f>
        <v>2027</v>
      </c>
      <c r="C852" s="167">
        <f>YEAR(Table7[[#This Row],[Date]])</f>
        <v>2026</v>
      </c>
      <c r="D852" s="168">
        <f t="shared" si="41"/>
        <v>46204</v>
      </c>
      <c r="AE852" s="167">
        <f t="shared" si="42"/>
        <v>0</v>
      </c>
    </row>
    <row r="853" spans="1:31">
      <c r="A853" s="197">
        <f t="shared" si="43"/>
        <v>46233</v>
      </c>
      <c r="B853" s="167">
        <f>YEAR(Table7[[#This Row],[Date]])+IF(MONTH(Table7[[#This Row],[Date]])&gt;=4,1,0)</f>
        <v>2027</v>
      </c>
      <c r="C853" s="167">
        <f>YEAR(Table7[[#This Row],[Date]])</f>
        <v>2026</v>
      </c>
      <c r="D853" s="168">
        <f t="shared" si="41"/>
        <v>46204</v>
      </c>
      <c r="AE853" s="167">
        <f t="shared" si="42"/>
        <v>0</v>
      </c>
    </row>
    <row r="854" spans="1:31">
      <c r="A854" s="197">
        <f t="shared" si="43"/>
        <v>46234</v>
      </c>
      <c r="B854" s="167">
        <f>YEAR(Table7[[#This Row],[Date]])+IF(MONTH(Table7[[#This Row],[Date]])&gt;=4,1,0)</f>
        <v>2027</v>
      </c>
      <c r="C854" s="167">
        <f>YEAR(Table7[[#This Row],[Date]])</f>
        <v>2026</v>
      </c>
      <c r="D854" s="168">
        <f t="shared" si="41"/>
        <v>46204</v>
      </c>
      <c r="AE854" s="167">
        <f t="shared" si="42"/>
        <v>0</v>
      </c>
    </row>
    <row r="855" spans="1:31">
      <c r="A855" s="197">
        <f t="shared" si="43"/>
        <v>46235</v>
      </c>
      <c r="B855" s="167">
        <f>YEAR(Table7[[#This Row],[Date]])+IF(MONTH(Table7[[#This Row],[Date]])&gt;=4,1,0)</f>
        <v>2027</v>
      </c>
      <c r="C855" s="167">
        <f>YEAR(Table7[[#This Row],[Date]])</f>
        <v>2026</v>
      </c>
      <c r="D855" s="168">
        <f t="shared" si="41"/>
        <v>46235</v>
      </c>
      <c r="AE855" s="167">
        <f t="shared" si="42"/>
        <v>0</v>
      </c>
    </row>
    <row r="856" spans="1:31">
      <c r="A856" s="197">
        <f t="shared" si="43"/>
        <v>46236</v>
      </c>
      <c r="B856" s="167">
        <f>YEAR(Table7[[#This Row],[Date]])+IF(MONTH(Table7[[#This Row],[Date]])&gt;=4,1,0)</f>
        <v>2027</v>
      </c>
      <c r="C856" s="167">
        <f>YEAR(Table7[[#This Row],[Date]])</f>
        <v>2026</v>
      </c>
      <c r="D856" s="168">
        <f t="shared" si="41"/>
        <v>46235</v>
      </c>
      <c r="AE856" s="167">
        <f t="shared" si="42"/>
        <v>0</v>
      </c>
    </row>
    <row r="857" spans="1:31">
      <c r="A857" s="197">
        <f t="shared" si="43"/>
        <v>46237</v>
      </c>
      <c r="B857" s="167">
        <f>YEAR(Table7[[#This Row],[Date]])+IF(MONTH(Table7[[#This Row],[Date]])&gt;=4,1,0)</f>
        <v>2027</v>
      </c>
      <c r="C857" s="167">
        <f>YEAR(Table7[[#This Row],[Date]])</f>
        <v>2026</v>
      </c>
      <c r="D857" s="168">
        <f t="shared" si="41"/>
        <v>46235</v>
      </c>
      <c r="AE857" s="167">
        <f t="shared" si="42"/>
        <v>0</v>
      </c>
    </row>
    <row r="858" spans="1:31">
      <c r="A858" s="197">
        <f t="shared" si="43"/>
        <v>46238</v>
      </c>
      <c r="B858" s="167">
        <f>YEAR(Table7[[#This Row],[Date]])+IF(MONTH(Table7[[#This Row],[Date]])&gt;=4,1,0)</f>
        <v>2027</v>
      </c>
      <c r="C858" s="167">
        <f>YEAR(Table7[[#This Row],[Date]])</f>
        <v>2026</v>
      </c>
      <c r="D858" s="168">
        <f t="shared" si="41"/>
        <v>46235</v>
      </c>
      <c r="AE858" s="167">
        <f t="shared" si="42"/>
        <v>0</v>
      </c>
    </row>
    <row r="859" spans="1:31">
      <c r="A859" s="197">
        <f t="shared" si="43"/>
        <v>46239</v>
      </c>
      <c r="B859" s="167">
        <f>YEAR(Table7[[#This Row],[Date]])+IF(MONTH(Table7[[#This Row],[Date]])&gt;=4,1,0)</f>
        <v>2027</v>
      </c>
      <c r="C859" s="167">
        <f>YEAR(Table7[[#This Row],[Date]])</f>
        <v>2026</v>
      </c>
      <c r="D859" s="168">
        <f t="shared" si="41"/>
        <v>46235</v>
      </c>
      <c r="AE859" s="167">
        <f t="shared" si="42"/>
        <v>0</v>
      </c>
    </row>
    <row r="860" spans="1:31">
      <c r="A860" s="197">
        <f t="shared" si="43"/>
        <v>46240</v>
      </c>
      <c r="B860" s="167">
        <f>YEAR(Table7[[#This Row],[Date]])+IF(MONTH(Table7[[#This Row],[Date]])&gt;=4,1,0)</f>
        <v>2027</v>
      </c>
      <c r="C860" s="167">
        <f>YEAR(Table7[[#This Row],[Date]])</f>
        <v>2026</v>
      </c>
      <c r="D860" s="168">
        <f t="shared" si="41"/>
        <v>46235</v>
      </c>
      <c r="AE860" s="167">
        <f t="shared" si="42"/>
        <v>0</v>
      </c>
    </row>
    <row r="861" spans="1:31">
      <c r="A861" s="197">
        <f t="shared" si="43"/>
        <v>46241</v>
      </c>
      <c r="B861" s="167">
        <f>YEAR(Table7[[#This Row],[Date]])+IF(MONTH(Table7[[#This Row],[Date]])&gt;=4,1,0)</f>
        <v>2027</v>
      </c>
      <c r="C861" s="167">
        <f>YEAR(Table7[[#This Row],[Date]])</f>
        <v>2026</v>
      </c>
      <c r="D861" s="168">
        <f t="shared" si="41"/>
        <v>46235</v>
      </c>
      <c r="AE861" s="167">
        <f t="shared" si="42"/>
        <v>0</v>
      </c>
    </row>
    <row r="862" spans="1:31">
      <c r="A862" s="197">
        <f t="shared" si="43"/>
        <v>46242</v>
      </c>
      <c r="B862" s="167">
        <f>YEAR(Table7[[#This Row],[Date]])+IF(MONTH(Table7[[#This Row],[Date]])&gt;=4,1,0)</f>
        <v>2027</v>
      </c>
      <c r="C862" s="167">
        <f>YEAR(Table7[[#This Row],[Date]])</f>
        <v>2026</v>
      </c>
      <c r="D862" s="168">
        <f t="shared" si="41"/>
        <v>46235</v>
      </c>
      <c r="AE862" s="167">
        <f t="shared" si="42"/>
        <v>0</v>
      </c>
    </row>
    <row r="863" spans="1:31">
      <c r="A863" s="197">
        <f t="shared" si="43"/>
        <v>46243</v>
      </c>
      <c r="B863" s="167">
        <f>YEAR(Table7[[#This Row],[Date]])+IF(MONTH(Table7[[#This Row],[Date]])&gt;=4,1,0)</f>
        <v>2027</v>
      </c>
      <c r="C863" s="167">
        <f>YEAR(Table7[[#This Row],[Date]])</f>
        <v>2026</v>
      </c>
      <c r="D863" s="168">
        <f t="shared" si="41"/>
        <v>46235</v>
      </c>
      <c r="AE863" s="167">
        <f t="shared" si="42"/>
        <v>0</v>
      </c>
    </row>
    <row r="864" spans="1:31">
      <c r="A864" s="197">
        <f t="shared" si="43"/>
        <v>46244</v>
      </c>
      <c r="B864" s="167">
        <f>YEAR(Table7[[#This Row],[Date]])+IF(MONTH(Table7[[#This Row],[Date]])&gt;=4,1,0)</f>
        <v>2027</v>
      </c>
      <c r="C864" s="167">
        <f>YEAR(Table7[[#This Row],[Date]])</f>
        <v>2026</v>
      </c>
      <c r="D864" s="168">
        <f t="shared" si="41"/>
        <v>46235</v>
      </c>
      <c r="AE864" s="167">
        <f t="shared" si="42"/>
        <v>0</v>
      </c>
    </row>
    <row r="865" spans="1:31">
      <c r="A865" s="197">
        <f t="shared" si="43"/>
        <v>46245</v>
      </c>
      <c r="B865" s="167">
        <f>YEAR(Table7[[#This Row],[Date]])+IF(MONTH(Table7[[#This Row],[Date]])&gt;=4,1,0)</f>
        <v>2027</v>
      </c>
      <c r="C865" s="167">
        <f>YEAR(Table7[[#This Row],[Date]])</f>
        <v>2026</v>
      </c>
      <c r="D865" s="168">
        <f t="shared" si="41"/>
        <v>46235</v>
      </c>
      <c r="AE865" s="167">
        <f t="shared" si="42"/>
        <v>0</v>
      </c>
    </row>
    <row r="866" spans="1:31">
      <c r="A866" s="197">
        <f t="shared" si="43"/>
        <v>46246</v>
      </c>
      <c r="B866" s="167">
        <f>YEAR(Table7[[#This Row],[Date]])+IF(MONTH(Table7[[#This Row],[Date]])&gt;=4,1,0)</f>
        <v>2027</v>
      </c>
      <c r="C866" s="167">
        <f>YEAR(Table7[[#This Row],[Date]])</f>
        <v>2026</v>
      </c>
      <c r="D866" s="168">
        <f t="shared" si="41"/>
        <v>46235</v>
      </c>
      <c r="AE866" s="167">
        <f t="shared" si="42"/>
        <v>0</v>
      </c>
    </row>
    <row r="867" spans="1:31">
      <c r="A867" s="197">
        <f t="shared" si="43"/>
        <v>46247</v>
      </c>
      <c r="B867" s="167">
        <f>YEAR(Table7[[#This Row],[Date]])+IF(MONTH(Table7[[#This Row],[Date]])&gt;=4,1,0)</f>
        <v>2027</v>
      </c>
      <c r="C867" s="167">
        <f>YEAR(Table7[[#This Row],[Date]])</f>
        <v>2026</v>
      </c>
      <c r="D867" s="168">
        <f t="shared" si="41"/>
        <v>46235</v>
      </c>
      <c r="AE867" s="167">
        <f t="shared" si="42"/>
        <v>0</v>
      </c>
    </row>
    <row r="868" spans="1:31">
      <c r="A868" s="197">
        <f t="shared" si="43"/>
        <v>46248</v>
      </c>
      <c r="B868" s="167">
        <f>YEAR(Table7[[#This Row],[Date]])+IF(MONTH(Table7[[#This Row],[Date]])&gt;=4,1,0)</f>
        <v>2027</v>
      </c>
      <c r="C868" s="167">
        <f>YEAR(Table7[[#This Row],[Date]])</f>
        <v>2026</v>
      </c>
      <c r="D868" s="168">
        <f t="shared" si="41"/>
        <v>46235</v>
      </c>
      <c r="AE868" s="167">
        <f t="shared" si="42"/>
        <v>0</v>
      </c>
    </row>
    <row r="869" spans="1:31">
      <c r="A869" s="197">
        <f t="shared" si="43"/>
        <v>46249</v>
      </c>
      <c r="B869" s="167">
        <f>YEAR(Table7[[#This Row],[Date]])+IF(MONTH(Table7[[#This Row],[Date]])&gt;=4,1,0)</f>
        <v>2027</v>
      </c>
      <c r="C869" s="167">
        <f>YEAR(Table7[[#This Row],[Date]])</f>
        <v>2026</v>
      </c>
      <c r="D869" s="168">
        <f t="shared" si="41"/>
        <v>46235</v>
      </c>
      <c r="AE869" s="167">
        <f t="shared" si="42"/>
        <v>0</v>
      </c>
    </row>
    <row r="870" spans="1:31">
      <c r="A870" s="197">
        <f t="shared" si="43"/>
        <v>46250</v>
      </c>
      <c r="B870" s="167">
        <f>YEAR(Table7[[#This Row],[Date]])+IF(MONTH(Table7[[#This Row],[Date]])&gt;=4,1,0)</f>
        <v>2027</v>
      </c>
      <c r="C870" s="167">
        <f>YEAR(Table7[[#This Row],[Date]])</f>
        <v>2026</v>
      </c>
      <c r="D870" s="168">
        <f t="shared" si="41"/>
        <v>46235</v>
      </c>
      <c r="AE870" s="167">
        <f t="shared" si="42"/>
        <v>0</v>
      </c>
    </row>
    <row r="871" spans="1:31">
      <c r="A871" s="197">
        <f t="shared" si="43"/>
        <v>46251</v>
      </c>
      <c r="B871" s="167">
        <f>YEAR(Table7[[#This Row],[Date]])+IF(MONTH(Table7[[#This Row],[Date]])&gt;=4,1,0)</f>
        <v>2027</v>
      </c>
      <c r="C871" s="167">
        <f>YEAR(Table7[[#This Row],[Date]])</f>
        <v>2026</v>
      </c>
      <c r="D871" s="168">
        <f t="shared" si="41"/>
        <v>46235</v>
      </c>
      <c r="AE871" s="167">
        <f t="shared" si="42"/>
        <v>0</v>
      </c>
    </row>
    <row r="872" spans="1:31">
      <c r="A872" s="197">
        <f t="shared" si="43"/>
        <v>46252</v>
      </c>
      <c r="B872" s="167">
        <f>YEAR(Table7[[#This Row],[Date]])+IF(MONTH(Table7[[#This Row],[Date]])&gt;=4,1,0)</f>
        <v>2027</v>
      </c>
      <c r="C872" s="167">
        <f>YEAR(Table7[[#This Row],[Date]])</f>
        <v>2026</v>
      </c>
      <c r="D872" s="168">
        <f t="shared" si="41"/>
        <v>46235</v>
      </c>
      <c r="AE872" s="167">
        <f t="shared" si="42"/>
        <v>0</v>
      </c>
    </row>
    <row r="873" spans="1:31">
      <c r="A873" s="197">
        <f t="shared" si="43"/>
        <v>46253</v>
      </c>
      <c r="B873" s="167">
        <f>YEAR(Table7[[#This Row],[Date]])+IF(MONTH(Table7[[#This Row],[Date]])&gt;=4,1,0)</f>
        <v>2027</v>
      </c>
      <c r="C873" s="167">
        <f>YEAR(Table7[[#This Row],[Date]])</f>
        <v>2026</v>
      </c>
      <c r="D873" s="168">
        <f t="shared" si="41"/>
        <v>46235</v>
      </c>
      <c r="AE873" s="167">
        <f t="shared" si="42"/>
        <v>0</v>
      </c>
    </row>
    <row r="874" spans="1:31">
      <c r="A874" s="197">
        <f t="shared" si="43"/>
        <v>46254</v>
      </c>
      <c r="B874" s="167">
        <f>YEAR(Table7[[#This Row],[Date]])+IF(MONTH(Table7[[#This Row],[Date]])&gt;=4,1,0)</f>
        <v>2027</v>
      </c>
      <c r="C874" s="167">
        <f>YEAR(Table7[[#This Row],[Date]])</f>
        <v>2026</v>
      </c>
      <c r="D874" s="168">
        <f t="shared" si="41"/>
        <v>46235</v>
      </c>
      <c r="AE874" s="167">
        <f t="shared" si="42"/>
        <v>0</v>
      </c>
    </row>
    <row r="875" spans="1:31">
      <c r="A875" s="197">
        <f t="shared" si="43"/>
        <v>46255</v>
      </c>
      <c r="B875" s="167">
        <f>YEAR(Table7[[#This Row],[Date]])+IF(MONTH(Table7[[#This Row],[Date]])&gt;=4,1,0)</f>
        <v>2027</v>
      </c>
      <c r="C875" s="167">
        <f>YEAR(Table7[[#This Row],[Date]])</f>
        <v>2026</v>
      </c>
      <c r="D875" s="168">
        <f t="shared" si="41"/>
        <v>46235</v>
      </c>
      <c r="AE875" s="167">
        <f t="shared" si="42"/>
        <v>0</v>
      </c>
    </row>
    <row r="876" spans="1:31">
      <c r="A876" s="197">
        <f t="shared" si="43"/>
        <v>46256</v>
      </c>
      <c r="B876" s="167">
        <f>YEAR(Table7[[#This Row],[Date]])+IF(MONTH(Table7[[#This Row],[Date]])&gt;=4,1,0)</f>
        <v>2027</v>
      </c>
      <c r="C876" s="167">
        <f>YEAR(Table7[[#This Row],[Date]])</f>
        <v>2026</v>
      </c>
      <c r="D876" s="168">
        <f t="shared" si="41"/>
        <v>46235</v>
      </c>
      <c r="AE876" s="167">
        <f t="shared" si="42"/>
        <v>0</v>
      </c>
    </row>
    <row r="877" spans="1:31">
      <c r="A877" s="197">
        <f t="shared" si="43"/>
        <v>46257</v>
      </c>
      <c r="B877" s="167">
        <f>YEAR(Table7[[#This Row],[Date]])+IF(MONTH(Table7[[#This Row],[Date]])&gt;=4,1,0)</f>
        <v>2027</v>
      </c>
      <c r="C877" s="167">
        <f>YEAR(Table7[[#This Row],[Date]])</f>
        <v>2026</v>
      </c>
      <c r="D877" s="168">
        <f t="shared" si="41"/>
        <v>46235</v>
      </c>
      <c r="AE877" s="167">
        <f t="shared" si="42"/>
        <v>0</v>
      </c>
    </row>
    <row r="878" spans="1:31">
      <c r="A878" s="197">
        <f t="shared" si="43"/>
        <v>46258</v>
      </c>
      <c r="B878" s="167">
        <f>YEAR(Table7[[#This Row],[Date]])+IF(MONTH(Table7[[#This Row],[Date]])&gt;=4,1,0)</f>
        <v>2027</v>
      </c>
      <c r="C878" s="167">
        <f>YEAR(Table7[[#This Row],[Date]])</f>
        <v>2026</v>
      </c>
      <c r="D878" s="168">
        <f t="shared" si="41"/>
        <v>46235</v>
      </c>
      <c r="AE878" s="167">
        <f t="shared" si="42"/>
        <v>0</v>
      </c>
    </row>
    <row r="879" spans="1:31">
      <c r="A879" s="197">
        <f t="shared" si="43"/>
        <v>46259</v>
      </c>
      <c r="B879" s="167">
        <f>YEAR(Table7[[#This Row],[Date]])+IF(MONTH(Table7[[#This Row],[Date]])&gt;=4,1,0)</f>
        <v>2027</v>
      </c>
      <c r="C879" s="167">
        <f>YEAR(Table7[[#This Row],[Date]])</f>
        <v>2026</v>
      </c>
      <c r="D879" s="168">
        <f t="shared" si="41"/>
        <v>46235</v>
      </c>
      <c r="AE879" s="167">
        <f t="shared" si="42"/>
        <v>0</v>
      </c>
    </row>
    <row r="880" spans="1:31">
      <c r="A880" s="197">
        <f t="shared" si="43"/>
        <v>46260</v>
      </c>
      <c r="B880" s="167">
        <f>YEAR(Table7[[#This Row],[Date]])+IF(MONTH(Table7[[#This Row],[Date]])&gt;=4,1,0)</f>
        <v>2027</v>
      </c>
      <c r="C880" s="167">
        <f>YEAR(Table7[[#This Row],[Date]])</f>
        <v>2026</v>
      </c>
      <c r="D880" s="168">
        <f t="shared" si="41"/>
        <v>46235</v>
      </c>
      <c r="AE880" s="167">
        <f t="shared" si="42"/>
        <v>0</v>
      </c>
    </row>
    <row r="881" spans="1:31">
      <c r="A881" s="197">
        <f t="shared" si="43"/>
        <v>46261</v>
      </c>
      <c r="B881" s="167">
        <f>YEAR(Table7[[#This Row],[Date]])+IF(MONTH(Table7[[#This Row],[Date]])&gt;=4,1,0)</f>
        <v>2027</v>
      </c>
      <c r="C881" s="167">
        <f>YEAR(Table7[[#This Row],[Date]])</f>
        <v>2026</v>
      </c>
      <c r="D881" s="168">
        <f t="shared" si="41"/>
        <v>46235</v>
      </c>
      <c r="AE881" s="167">
        <f t="shared" si="42"/>
        <v>0</v>
      </c>
    </row>
    <row r="882" spans="1:31">
      <c r="A882" s="197">
        <f t="shared" si="43"/>
        <v>46262</v>
      </c>
      <c r="B882" s="167">
        <f>YEAR(Table7[[#This Row],[Date]])+IF(MONTH(Table7[[#This Row],[Date]])&gt;=4,1,0)</f>
        <v>2027</v>
      </c>
      <c r="C882" s="167">
        <f>YEAR(Table7[[#This Row],[Date]])</f>
        <v>2026</v>
      </c>
      <c r="D882" s="168">
        <f t="shared" si="41"/>
        <v>46235</v>
      </c>
      <c r="AE882" s="167">
        <f t="shared" si="42"/>
        <v>0</v>
      </c>
    </row>
    <row r="883" spans="1:31">
      <c r="A883" s="197">
        <f t="shared" si="43"/>
        <v>46263</v>
      </c>
      <c r="B883" s="167">
        <f>YEAR(Table7[[#This Row],[Date]])+IF(MONTH(Table7[[#This Row],[Date]])&gt;=4,1,0)</f>
        <v>2027</v>
      </c>
      <c r="C883" s="167">
        <f>YEAR(Table7[[#This Row],[Date]])</f>
        <v>2026</v>
      </c>
      <c r="D883" s="168">
        <f t="shared" si="41"/>
        <v>46235</v>
      </c>
      <c r="AE883" s="167">
        <f t="shared" si="42"/>
        <v>0</v>
      </c>
    </row>
    <row r="884" spans="1:31">
      <c r="A884" s="197">
        <f t="shared" si="43"/>
        <v>46264</v>
      </c>
      <c r="B884" s="167">
        <f>YEAR(Table7[[#This Row],[Date]])+IF(MONTH(Table7[[#This Row],[Date]])&gt;=4,1,0)</f>
        <v>2027</v>
      </c>
      <c r="C884" s="167">
        <f>YEAR(Table7[[#This Row],[Date]])</f>
        <v>2026</v>
      </c>
      <c r="D884" s="168">
        <f t="shared" si="41"/>
        <v>46235</v>
      </c>
      <c r="AE884" s="167">
        <f t="shared" si="42"/>
        <v>0</v>
      </c>
    </row>
    <row r="885" spans="1:31">
      <c r="A885" s="197">
        <f t="shared" si="43"/>
        <v>46265</v>
      </c>
      <c r="B885" s="167">
        <f>YEAR(Table7[[#This Row],[Date]])+IF(MONTH(Table7[[#This Row],[Date]])&gt;=4,1,0)</f>
        <v>2027</v>
      </c>
      <c r="C885" s="167">
        <f>YEAR(Table7[[#This Row],[Date]])</f>
        <v>2026</v>
      </c>
      <c r="D885" s="168">
        <f t="shared" si="41"/>
        <v>46235</v>
      </c>
      <c r="AE885" s="167">
        <f t="shared" si="42"/>
        <v>0</v>
      </c>
    </row>
    <row r="886" spans="1:31">
      <c r="A886" s="197">
        <f t="shared" si="43"/>
        <v>46266</v>
      </c>
      <c r="B886" s="167">
        <f>YEAR(Table7[[#This Row],[Date]])+IF(MONTH(Table7[[#This Row],[Date]])&gt;=4,1,0)</f>
        <v>2027</v>
      </c>
      <c r="C886" s="167">
        <f>YEAR(Table7[[#This Row],[Date]])</f>
        <v>2026</v>
      </c>
      <c r="D886" s="168">
        <f t="shared" si="41"/>
        <v>46266</v>
      </c>
      <c r="AE886" s="167">
        <f t="shared" si="42"/>
        <v>0</v>
      </c>
    </row>
    <row r="887" spans="1:31">
      <c r="A887" s="197">
        <f t="shared" si="43"/>
        <v>46267</v>
      </c>
      <c r="B887" s="167">
        <f>YEAR(Table7[[#This Row],[Date]])+IF(MONTH(Table7[[#This Row],[Date]])&gt;=4,1,0)</f>
        <v>2027</v>
      </c>
      <c r="C887" s="167">
        <f>YEAR(Table7[[#This Row],[Date]])</f>
        <v>2026</v>
      </c>
      <c r="D887" s="168">
        <f t="shared" si="41"/>
        <v>46266</v>
      </c>
      <c r="AE887" s="167">
        <f t="shared" si="42"/>
        <v>0</v>
      </c>
    </row>
    <row r="888" spans="1:31">
      <c r="A888" s="197">
        <f t="shared" si="43"/>
        <v>46268</v>
      </c>
      <c r="B888" s="167">
        <f>YEAR(Table7[[#This Row],[Date]])+IF(MONTH(Table7[[#This Row],[Date]])&gt;=4,1,0)</f>
        <v>2027</v>
      </c>
      <c r="C888" s="167">
        <f>YEAR(Table7[[#This Row],[Date]])</f>
        <v>2026</v>
      </c>
      <c r="D888" s="168">
        <f t="shared" si="41"/>
        <v>46266</v>
      </c>
      <c r="AE888" s="167">
        <f t="shared" si="42"/>
        <v>0</v>
      </c>
    </row>
    <row r="889" spans="1:31">
      <c r="A889" s="197">
        <f t="shared" si="43"/>
        <v>46269</v>
      </c>
      <c r="B889" s="167">
        <f>YEAR(Table7[[#This Row],[Date]])+IF(MONTH(Table7[[#This Row],[Date]])&gt;=4,1,0)</f>
        <v>2027</v>
      </c>
      <c r="C889" s="167">
        <f>YEAR(Table7[[#This Row],[Date]])</f>
        <v>2026</v>
      </c>
      <c r="D889" s="168">
        <f t="shared" si="41"/>
        <v>46266</v>
      </c>
      <c r="AE889" s="167">
        <f t="shared" si="42"/>
        <v>0</v>
      </c>
    </row>
    <row r="890" spans="1:31">
      <c r="A890" s="197">
        <f t="shared" si="43"/>
        <v>46270</v>
      </c>
      <c r="B890" s="167">
        <f>YEAR(Table7[[#This Row],[Date]])+IF(MONTH(Table7[[#This Row],[Date]])&gt;=4,1,0)</f>
        <v>2027</v>
      </c>
      <c r="C890" s="167">
        <f>YEAR(Table7[[#This Row],[Date]])</f>
        <v>2026</v>
      </c>
      <c r="D890" s="168">
        <f t="shared" si="41"/>
        <v>46266</v>
      </c>
      <c r="AE890" s="167">
        <f t="shared" si="42"/>
        <v>0</v>
      </c>
    </row>
    <row r="891" spans="1:31">
      <c r="A891" s="197">
        <f t="shared" si="43"/>
        <v>46271</v>
      </c>
      <c r="B891" s="167">
        <f>YEAR(Table7[[#This Row],[Date]])+IF(MONTH(Table7[[#This Row],[Date]])&gt;=4,1,0)</f>
        <v>2027</v>
      </c>
      <c r="C891" s="167">
        <f>YEAR(Table7[[#This Row],[Date]])</f>
        <v>2026</v>
      </c>
      <c r="D891" s="168">
        <f t="shared" si="41"/>
        <v>46266</v>
      </c>
      <c r="AE891" s="167">
        <f t="shared" si="42"/>
        <v>0</v>
      </c>
    </row>
    <row r="892" spans="1:31">
      <c r="A892" s="197">
        <f t="shared" si="43"/>
        <v>46272</v>
      </c>
      <c r="B892" s="167">
        <f>YEAR(Table7[[#This Row],[Date]])+IF(MONTH(Table7[[#This Row],[Date]])&gt;=4,1,0)</f>
        <v>2027</v>
      </c>
      <c r="C892" s="167">
        <f>YEAR(Table7[[#This Row],[Date]])</f>
        <v>2026</v>
      </c>
      <c r="D892" s="168">
        <f t="shared" si="41"/>
        <v>46266</v>
      </c>
      <c r="AE892" s="167">
        <f t="shared" si="42"/>
        <v>0</v>
      </c>
    </row>
    <row r="893" spans="1:31">
      <c r="A893" s="197">
        <f t="shared" si="43"/>
        <v>46273</v>
      </c>
      <c r="B893" s="167">
        <f>YEAR(Table7[[#This Row],[Date]])+IF(MONTH(Table7[[#This Row],[Date]])&gt;=4,1,0)</f>
        <v>2027</v>
      </c>
      <c r="C893" s="167">
        <f>YEAR(Table7[[#This Row],[Date]])</f>
        <v>2026</v>
      </c>
      <c r="D893" s="168">
        <f t="shared" si="41"/>
        <v>46266</v>
      </c>
      <c r="AE893" s="167">
        <f t="shared" si="42"/>
        <v>0</v>
      </c>
    </row>
    <row r="894" spans="1:31">
      <c r="A894" s="197">
        <f t="shared" si="43"/>
        <v>46274</v>
      </c>
      <c r="B894" s="167">
        <f>YEAR(Table7[[#This Row],[Date]])+IF(MONTH(Table7[[#This Row],[Date]])&gt;=4,1,0)</f>
        <v>2027</v>
      </c>
      <c r="C894" s="167">
        <f>YEAR(Table7[[#This Row],[Date]])</f>
        <v>2026</v>
      </c>
      <c r="D894" s="168">
        <f t="shared" si="41"/>
        <v>46266</v>
      </c>
      <c r="AE894" s="167">
        <f t="shared" si="42"/>
        <v>0</v>
      </c>
    </row>
    <row r="895" spans="1:31">
      <c r="A895" s="197">
        <f t="shared" si="43"/>
        <v>46275</v>
      </c>
      <c r="B895" s="167">
        <f>YEAR(Table7[[#This Row],[Date]])+IF(MONTH(Table7[[#This Row],[Date]])&gt;=4,1,0)</f>
        <v>2027</v>
      </c>
      <c r="C895" s="167">
        <f>YEAR(Table7[[#This Row],[Date]])</f>
        <v>2026</v>
      </c>
      <c r="D895" s="168">
        <f t="shared" si="41"/>
        <v>46266</v>
      </c>
      <c r="AE895" s="167">
        <f t="shared" si="42"/>
        <v>0</v>
      </c>
    </row>
    <row r="896" spans="1:31">
      <c r="A896" s="197">
        <f t="shared" si="43"/>
        <v>46276</v>
      </c>
      <c r="B896" s="167">
        <f>YEAR(Table7[[#This Row],[Date]])+IF(MONTH(Table7[[#This Row],[Date]])&gt;=4,1,0)</f>
        <v>2027</v>
      </c>
      <c r="C896" s="167">
        <f>YEAR(Table7[[#This Row],[Date]])</f>
        <v>2026</v>
      </c>
      <c r="D896" s="168">
        <f t="shared" si="41"/>
        <v>46266</v>
      </c>
      <c r="AE896" s="167">
        <f t="shared" si="42"/>
        <v>0</v>
      </c>
    </row>
    <row r="897" spans="1:31">
      <c r="A897" s="197">
        <f t="shared" si="43"/>
        <v>46277</v>
      </c>
      <c r="B897" s="167">
        <f>YEAR(Table7[[#This Row],[Date]])+IF(MONTH(Table7[[#This Row],[Date]])&gt;=4,1,0)</f>
        <v>2027</v>
      </c>
      <c r="C897" s="167">
        <f>YEAR(Table7[[#This Row],[Date]])</f>
        <v>2026</v>
      </c>
      <c r="D897" s="168">
        <f t="shared" si="41"/>
        <v>46266</v>
      </c>
      <c r="AE897" s="167">
        <f t="shared" si="42"/>
        <v>0</v>
      </c>
    </row>
    <row r="898" spans="1:31">
      <c r="A898" s="197">
        <f t="shared" si="43"/>
        <v>46278</v>
      </c>
      <c r="B898" s="167">
        <f>YEAR(Table7[[#This Row],[Date]])+IF(MONTH(Table7[[#This Row],[Date]])&gt;=4,1,0)</f>
        <v>2027</v>
      </c>
      <c r="C898" s="167">
        <f>YEAR(Table7[[#This Row],[Date]])</f>
        <v>2026</v>
      </c>
      <c r="D898" s="168">
        <f t="shared" si="41"/>
        <v>46266</v>
      </c>
      <c r="AE898" s="167">
        <f t="shared" si="42"/>
        <v>0</v>
      </c>
    </row>
    <row r="899" spans="1:31">
      <c r="A899" s="197">
        <f t="shared" si="43"/>
        <v>46279</v>
      </c>
      <c r="B899" s="167">
        <f>YEAR(Table7[[#This Row],[Date]])+IF(MONTH(Table7[[#This Row],[Date]])&gt;=4,1,0)</f>
        <v>2027</v>
      </c>
      <c r="C899" s="167">
        <f>YEAR(Table7[[#This Row],[Date]])</f>
        <v>2026</v>
      </c>
      <c r="D899" s="168">
        <f t="shared" ref="D899:D962" si="44">A899-DAY(A899)+1</f>
        <v>46266</v>
      </c>
      <c r="AE899" s="167">
        <f t="shared" ref="AE899:AE962" si="45">SUM(E899:AD899)</f>
        <v>0</v>
      </c>
    </row>
    <row r="900" spans="1:31">
      <c r="A900" s="197">
        <f t="shared" si="43"/>
        <v>46280</v>
      </c>
      <c r="B900" s="167">
        <f>YEAR(Table7[[#This Row],[Date]])+IF(MONTH(Table7[[#This Row],[Date]])&gt;=4,1,0)</f>
        <v>2027</v>
      </c>
      <c r="C900" s="167">
        <f>YEAR(Table7[[#This Row],[Date]])</f>
        <v>2026</v>
      </c>
      <c r="D900" s="168">
        <f t="shared" si="44"/>
        <v>46266</v>
      </c>
      <c r="AE900" s="167">
        <f t="shared" si="45"/>
        <v>0</v>
      </c>
    </row>
    <row r="901" spans="1:31">
      <c r="A901" s="197">
        <f t="shared" ref="A901:A964" si="46">A900+1</f>
        <v>46281</v>
      </c>
      <c r="B901" s="167">
        <f>YEAR(Table7[[#This Row],[Date]])+IF(MONTH(Table7[[#This Row],[Date]])&gt;=4,1,0)</f>
        <v>2027</v>
      </c>
      <c r="C901" s="167">
        <f>YEAR(Table7[[#This Row],[Date]])</f>
        <v>2026</v>
      </c>
      <c r="D901" s="168">
        <f t="shared" si="44"/>
        <v>46266</v>
      </c>
      <c r="AE901" s="167">
        <f t="shared" si="45"/>
        <v>0</v>
      </c>
    </row>
    <row r="902" spans="1:31">
      <c r="A902" s="197">
        <f t="shared" si="46"/>
        <v>46282</v>
      </c>
      <c r="B902" s="167">
        <f>YEAR(Table7[[#This Row],[Date]])+IF(MONTH(Table7[[#This Row],[Date]])&gt;=4,1,0)</f>
        <v>2027</v>
      </c>
      <c r="C902" s="167">
        <f>YEAR(Table7[[#This Row],[Date]])</f>
        <v>2026</v>
      </c>
      <c r="D902" s="168">
        <f t="shared" si="44"/>
        <v>46266</v>
      </c>
      <c r="AE902" s="167">
        <f t="shared" si="45"/>
        <v>0</v>
      </c>
    </row>
    <row r="903" spans="1:31">
      <c r="A903" s="197">
        <f t="shared" si="46"/>
        <v>46283</v>
      </c>
      <c r="B903" s="167">
        <f>YEAR(Table7[[#This Row],[Date]])+IF(MONTH(Table7[[#This Row],[Date]])&gt;=4,1,0)</f>
        <v>2027</v>
      </c>
      <c r="C903" s="167">
        <f>YEAR(Table7[[#This Row],[Date]])</f>
        <v>2026</v>
      </c>
      <c r="D903" s="168">
        <f t="shared" si="44"/>
        <v>46266</v>
      </c>
      <c r="AE903" s="167">
        <f t="shared" si="45"/>
        <v>0</v>
      </c>
    </row>
    <row r="904" spans="1:31">
      <c r="A904" s="197">
        <f t="shared" si="46"/>
        <v>46284</v>
      </c>
      <c r="B904" s="167">
        <f>YEAR(Table7[[#This Row],[Date]])+IF(MONTH(Table7[[#This Row],[Date]])&gt;=4,1,0)</f>
        <v>2027</v>
      </c>
      <c r="C904" s="167">
        <f>YEAR(Table7[[#This Row],[Date]])</f>
        <v>2026</v>
      </c>
      <c r="D904" s="168">
        <f t="shared" si="44"/>
        <v>46266</v>
      </c>
      <c r="AE904" s="167">
        <f t="shared" si="45"/>
        <v>0</v>
      </c>
    </row>
    <row r="905" spans="1:31">
      <c r="A905" s="197">
        <f t="shared" si="46"/>
        <v>46285</v>
      </c>
      <c r="B905" s="167">
        <f>YEAR(Table7[[#This Row],[Date]])+IF(MONTH(Table7[[#This Row],[Date]])&gt;=4,1,0)</f>
        <v>2027</v>
      </c>
      <c r="C905" s="167">
        <f>YEAR(Table7[[#This Row],[Date]])</f>
        <v>2026</v>
      </c>
      <c r="D905" s="168">
        <f t="shared" si="44"/>
        <v>46266</v>
      </c>
      <c r="AE905" s="167">
        <f t="shared" si="45"/>
        <v>0</v>
      </c>
    </row>
    <row r="906" spans="1:31">
      <c r="A906" s="197">
        <f t="shared" si="46"/>
        <v>46286</v>
      </c>
      <c r="B906" s="167">
        <f>YEAR(Table7[[#This Row],[Date]])+IF(MONTH(Table7[[#This Row],[Date]])&gt;=4,1,0)</f>
        <v>2027</v>
      </c>
      <c r="C906" s="167">
        <f>YEAR(Table7[[#This Row],[Date]])</f>
        <v>2026</v>
      </c>
      <c r="D906" s="168">
        <f t="shared" si="44"/>
        <v>46266</v>
      </c>
      <c r="AE906" s="167">
        <f t="shared" si="45"/>
        <v>0</v>
      </c>
    </row>
    <row r="907" spans="1:31">
      <c r="A907" s="197">
        <f t="shared" si="46"/>
        <v>46287</v>
      </c>
      <c r="B907" s="167">
        <f>YEAR(Table7[[#This Row],[Date]])+IF(MONTH(Table7[[#This Row],[Date]])&gt;=4,1,0)</f>
        <v>2027</v>
      </c>
      <c r="C907" s="167">
        <f>YEAR(Table7[[#This Row],[Date]])</f>
        <v>2026</v>
      </c>
      <c r="D907" s="168">
        <f t="shared" si="44"/>
        <v>46266</v>
      </c>
      <c r="AE907" s="167">
        <f t="shared" si="45"/>
        <v>0</v>
      </c>
    </row>
    <row r="908" spans="1:31">
      <c r="A908" s="197">
        <f t="shared" si="46"/>
        <v>46288</v>
      </c>
      <c r="B908" s="167">
        <f>YEAR(Table7[[#This Row],[Date]])+IF(MONTH(Table7[[#This Row],[Date]])&gt;=4,1,0)</f>
        <v>2027</v>
      </c>
      <c r="C908" s="167">
        <f>YEAR(Table7[[#This Row],[Date]])</f>
        <v>2026</v>
      </c>
      <c r="D908" s="168">
        <f t="shared" si="44"/>
        <v>46266</v>
      </c>
      <c r="AE908" s="167">
        <f t="shared" si="45"/>
        <v>0</v>
      </c>
    </row>
    <row r="909" spans="1:31">
      <c r="A909" s="197">
        <f t="shared" si="46"/>
        <v>46289</v>
      </c>
      <c r="B909" s="167">
        <f>YEAR(Table7[[#This Row],[Date]])+IF(MONTH(Table7[[#This Row],[Date]])&gt;=4,1,0)</f>
        <v>2027</v>
      </c>
      <c r="C909" s="167">
        <f>YEAR(Table7[[#This Row],[Date]])</f>
        <v>2026</v>
      </c>
      <c r="D909" s="168">
        <f t="shared" si="44"/>
        <v>46266</v>
      </c>
      <c r="AE909" s="167">
        <f t="shared" si="45"/>
        <v>0</v>
      </c>
    </row>
    <row r="910" spans="1:31">
      <c r="A910" s="197">
        <f t="shared" si="46"/>
        <v>46290</v>
      </c>
      <c r="B910" s="167">
        <f>YEAR(Table7[[#This Row],[Date]])+IF(MONTH(Table7[[#This Row],[Date]])&gt;=4,1,0)</f>
        <v>2027</v>
      </c>
      <c r="C910" s="167">
        <f>YEAR(Table7[[#This Row],[Date]])</f>
        <v>2026</v>
      </c>
      <c r="D910" s="168">
        <f t="shared" si="44"/>
        <v>46266</v>
      </c>
      <c r="AE910" s="167">
        <f t="shared" si="45"/>
        <v>0</v>
      </c>
    </row>
    <row r="911" spans="1:31">
      <c r="A911" s="197">
        <f t="shared" si="46"/>
        <v>46291</v>
      </c>
      <c r="B911" s="167">
        <f>YEAR(Table7[[#This Row],[Date]])+IF(MONTH(Table7[[#This Row],[Date]])&gt;=4,1,0)</f>
        <v>2027</v>
      </c>
      <c r="C911" s="167">
        <f>YEAR(Table7[[#This Row],[Date]])</f>
        <v>2026</v>
      </c>
      <c r="D911" s="168">
        <f t="shared" si="44"/>
        <v>46266</v>
      </c>
      <c r="AE911" s="167">
        <f t="shared" si="45"/>
        <v>0</v>
      </c>
    </row>
    <row r="912" spans="1:31">
      <c r="A912" s="197">
        <f t="shared" si="46"/>
        <v>46292</v>
      </c>
      <c r="B912" s="167">
        <f>YEAR(Table7[[#This Row],[Date]])+IF(MONTH(Table7[[#This Row],[Date]])&gt;=4,1,0)</f>
        <v>2027</v>
      </c>
      <c r="C912" s="167">
        <f>YEAR(Table7[[#This Row],[Date]])</f>
        <v>2026</v>
      </c>
      <c r="D912" s="168">
        <f t="shared" si="44"/>
        <v>46266</v>
      </c>
      <c r="AE912" s="167">
        <f t="shared" si="45"/>
        <v>0</v>
      </c>
    </row>
    <row r="913" spans="1:31">
      <c r="A913" s="197">
        <f t="shared" si="46"/>
        <v>46293</v>
      </c>
      <c r="B913" s="167">
        <f>YEAR(Table7[[#This Row],[Date]])+IF(MONTH(Table7[[#This Row],[Date]])&gt;=4,1,0)</f>
        <v>2027</v>
      </c>
      <c r="C913" s="167">
        <f>YEAR(Table7[[#This Row],[Date]])</f>
        <v>2026</v>
      </c>
      <c r="D913" s="168">
        <f t="shared" si="44"/>
        <v>46266</v>
      </c>
      <c r="AE913" s="167">
        <f t="shared" si="45"/>
        <v>0</v>
      </c>
    </row>
    <row r="914" spans="1:31">
      <c r="A914" s="197">
        <f t="shared" si="46"/>
        <v>46294</v>
      </c>
      <c r="B914" s="167">
        <f>YEAR(Table7[[#This Row],[Date]])+IF(MONTH(Table7[[#This Row],[Date]])&gt;=4,1,0)</f>
        <v>2027</v>
      </c>
      <c r="C914" s="167">
        <f>YEAR(Table7[[#This Row],[Date]])</f>
        <v>2026</v>
      </c>
      <c r="D914" s="168">
        <f t="shared" si="44"/>
        <v>46266</v>
      </c>
      <c r="AE914" s="167">
        <f t="shared" si="45"/>
        <v>0</v>
      </c>
    </row>
    <row r="915" spans="1:31">
      <c r="A915" s="197">
        <f t="shared" si="46"/>
        <v>46295</v>
      </c>
      <c r="B915" s="167">
        <f>YEAR(Table7[[#This Row],[Date]])+IF(MONTH(Table7[[#This Row],[Date]])&gt;=4,1,0)</f>
        <v>2027</v>
      </c>
      <c r="C915" s="167">
        <f>YEAR(Table7[[#This Row],[Date]])</f>
        <v>2026</v>
      </c>
      <c r="D915" s="168">
        <f t="shared" si="44"/>
        <v>46266</v>
      </c>
      <c r="AE915" s="167">
        <f t="shared" si="45"/>
        <v>0</v>
      </c>
    </row>
    <row r="916" spans="1:31">
      <c r="A916" s="197">
        <f t="shared" si="46"/>
        <v>46296</v>
      </c>
      <c r="B916" s="167">
        <f>YEAR(Table7[[#This Row],[Date]])+IF(MONTH(Table7[[#This Row],[Date]])&gt;=4,1,0)</f>
        <v>2027</v>
      </c>
      <c r="C916" s="167">
        <f>YEAR(Table7[[#This Row],[Date]])</f>
        <v>2026</v>
      </c>
      <c r="D916" s="168">
        <f t="shared" si="44"/>
        <v>46296</v>
      </c>
      <c r="AE916" s="167">
        <f t="shared" si="45"/>
        <v>0</v>
      </c>
    </row>
    <row r="917" spans="1:31">
      <c r="A917" s="197">
        <f t="shared" si="46"/>
        <v>46297</v>
      </c>
      <c r="B917" s="167">
        <f>YEAR(Table7[[#This Row],[Date]])+IF(MONTH(Table7[[#This Row],[Date]])&gt;=4,1,0)</f>
        <v>2027</v>
      </c>
      <c r="C917" s="167">
        <f>YEAR(Table7[[#This Row],[Date]])</f>
        <v>2026</v>
      </c>
      <c r="D917" s="168">
        <f t="shared" si="44"/>
        <v>46296</v>
      </c>
      <c r="AE917" s="167">
        <f t="shared" si="45"/>
        <v>0</v>
      </c>
    </row>
    <row r="918" spans="1:31">
      <c r="A918" s="197">
        <f t="shared" si="46"/>
        <v>46298</v>
      </c>
      <c r="B918" s="167">
        <f>YEAR(Table7[[#This Row],[Date]])+IF(MONTH(Table7[[#This Row],[Date]])&gt;=4,1,0)</f>
        <v>2027</v>
      </c>
      <c r="C918" s="167">
        <f>YEAR(Table7[[#This Row],[Date]])</f>
        <v>2026</v>
      </c>
      <c r="D918" s="168">
        <f t="shared" si="44"/>
        <v>46296</v>
      </c>
      <c r="AE918" s="167">
        <f t="shared" si="45"/>
        <v>0</v>
      </c>
    </row>
    <row r="919" spans="1:31">
      <c r="A919" s="197">
        <f t="shared" si="46"/>
        <v>46299</v>
      </c>
      <c r="B919" s="167">
        <f>YEAR(Table7[[#This Row],[Date]])+IF(MONTH(Table7[[#This Row],[Date]])&gt;=4,1,0)</f>
        <v>2027</v>
      </c>
      <c r="C919" s="167">
        <f>YEAR(Table7[[#This Row],[Date]])</f>
        <v>2026</v>
      </c>
      <c r="D919" s="168">
        <f t="shared" si="44"/>
        <v>46296</v>
      </c>
      <c r="AE919" s="167">
        <f t="shared" si="45"/>
        <v>0</v>
      </c>
    </row>
    <row r="920" spans="1:31">
      <c r="A920" s="197">
        <f t="shared" si="46"/>
        <v>46300</v>
      </c>
      <c r="B920" s="167">
        <f>YEAR(Table7[[#This Row],[Date]])+IF(MONTH(Table7[[#This Row],[Date]])&gt;=4,1,0)</f>
        <v>2027</v>
      </c>
      <c r="C920" s="167">
        <f>YEAR(Table7[[#This Row],[Date]])</f>
        <v>2026</v>
      </c>
      <c r="D920" s="168">
        <f t="shared" si="44"/>
        <v>46296</v>
      </c>
      <c r="AE920" s="167">
        <f t="shared" si="45"/>
        <v>0</v>
      </c>
    </row>
    <row r="921" spans="1:31">
      <c r="A921" s="197">
        <f t="shared" si="46"/>
        <v>46301</v>
      </c>
      <c r="B921" s="167">
        <f>YEAR(Table7[[#This Row],[Date]])+IF(MONTH(Table7[[#This Row],[Date]])&gt;=4,1,0)</f>
        <v>2027</v>
      </c>
      <c r="C921" s="167">
        <f>YEAR(Table7[[#This Row],[Date]])</f>
        <v>2026</v>
      </c>
      <c r="D921" s="168">
        <f t="shared" si="44"/>
        <v>46296</v>
      </c>
      <c r="AE921" s="167">
        <f t="shared" si="45"/>
        <v>0</v>
      </c>
    </row>
    <row r="922" spans="1:31">
      <c r="A922" s="197">
        <f t="shared" si="46"/>
        <v>46302</v>
      </c>
      <c r="B922" s="167">
        <f>YEAR(Table7[[#This Row],[Date]])+IF(MONTH(Table7[[#This Row],[Date]])&gt;=4,1,0)</f>
        <v>2027</v>
      </c>
      <c r="C922" s="167">
        <f>YEAR(Table7[[#This Row],[Date]])</f>
        <v>2026</v>
      </c>
      <c r="D922" s="168">
        <f t="shared" si="44"/>
        <v>46296</v>
      </c>
      <c r="AE922" s="167">
        <f t="shared" si="45"/>
        <v>0</v>
      </c>
    </row>
    <row r="923" spans="1:31">
      <c r="A923" s="197">
        <f t="shared" si="46"/>
        <v>46303</v>
      </c>
      <c r="B923" s="167">
        <f>YEAR(Table7[[#This Row],[Date]])+IF(MONTH(Table7[[#This Row],[Date]])&gt;=4,1,0)</f>
        <v>2027</v>
      </c>
      <c r="C923" s="167">
        <f>YEAR(Table7[[#This Row],[Date]])</f>
        <v>2026</v>
      </c>
      <c r="D923" s="168">
        <f t="shared" si="44"/>
        <v>46296</v>
      </c>
      <c r="AE923" s="167">
        <f t="shared" si="45"/>
        <v>0</v>
      </c>
    </row>
    <row r="924" spans="1:31">
      <c r="A924" s="197">
        <f t="shared" si="46"/>
        <v>46304</v>
      </c>
      <c r="B924" s="167">
        <f>YEAR(Table7[[#This Row],[Date]])+IF(MONTH(Table7[[#This Row],[Date]])&gt;=4,1,0)</f>
        <v>2027</v>
      </c>
      <c r="C924" s="167">
        <f>YEAR(Table7[[#This Row],[Date]])</f>
        <v>2026</v>
      </c>
      <c r="D924" s="168">
        <f t="shared" si="44"/>
        <v>46296</v>
      </c>
      <c r="AE924" s="167">
        <f t="shared" si="45"/>
        <v>0</v>
      </c>
    </row>
    <row r="925" spans="1:31">
      <c r="A925" s="197">
        <f t="shared" si="46"/>
        <v>46305</v>
      </c>
      <c r="B925" s="167">
        <f>YEAR(Table7[[#This Row],[Date]])+IF(MONTH(Table7[[#This Row],[Date]])&gt;=4,1,0)</f>
        <v>2027</v>
      </c>
      <c r="C925" s="167">
        <f>YEAR(Table7[[#This Row],[Date]])</f>
        <v>2026</v>
      </c>
      <c r="D925" s="168">
        <f t="shared" si="44"/>
        <v>46296</v>
      </c>
      <c r="AE925" s="167">
        <f t="shared" si="45"/>
        <v>0</v>
      </c>
    </row>
    <row r="926" spans="1:31">
      <c r="A926" s="197">
        <f t="shared" si="46"/>
        <v>46306</v>
      </c>
      <c r="B926" s="167">
        <f>YEAR(Table7[[#This Row],[Date]])+IF(MONTH(Table7[[#This Row],[Date]])&gt;=4,1,0)</f>
        <v>2027</v>
      </c>
      <c r="C926" s="167">
        <f>YEAR(Table7[[#This Row],[Date]])</f>
        <v>2026</v>
      </c>
      <c r="D926" s="168">
        <f t="shared" si="44"/>
        <v>46296</v>
      </c>
      <c r="AE926" s="167">
        <f t="shared" si="45"/>
        <v>0</v>
      </c>
    </row>
    <row r="927" spans="1:31">
      <c r="A927" s="197">
        <f t="shared" si="46"/>
        <v>46307</v>
      </c>
      <c r="B927" s="167">
        <f>YEAR(Table7[[#This Row],[Date]])+IF(MONTH(Table7[[#This Row],[Date]])&gt;=4,1,0)</f>
        <v>2027</v>
      </c>
      <c r="C927" s="167">
        <f>YEAR(Table7[[#This Row],[Date]])</f>
        <v>2026</v>
      </c>
      <c r="D927" s="168">
        <f t="shared" si="44"/>
        <v>46296</v>
      </c>
      <c r="AE927" s="167">
        <f t="shared" si="45"/>
        <v>0</v>
      </c>
    </row>
    <row r="928" spans="1:31">
      <c r="A928" s="197">
        <f t="shared" si="46"/>
        <v>46308</v>
      </c>
      <c r="B928" s="167">
        <f>YEAR(Table7[[#This Row],[Date]])+IF(MONTH(Table7[[#This Row],[Date]])&gt;=4,1,0)</f>
        <v>2027</v>
      </c>
      <c r="C928" s="167">
        <f>YEAR(Table7[[#This Row],[Date]])</f>
        <v>2026</v>
      </c>
      <c r="D928" s="168">
        <f t="shared" si="44"/>
        <v>46296</v>
      </c>
      <c r="AE928" s="167">
        <f t="shared" si="45"/>
        <v>0</v>
      </c>
    </row>
    <row r="929" spans="1:31">
      <c r="A929" s="197">
        <f t="shared" si="46"/>
        <v>46309</v>
      </c>
      <c r="B929" s="167">
        <f>YEAR(Table7[[#This Row],[Date]])+IF(MONTH(Table7[[#This Row],[Date]])&gt;=4,1,0)</f>
        <v>2027</v>
      </c>
      <c r="C929" s="167">
        <f>YEAR(Table7[[#This Row],[Date]])</f>
        <v>2026</v>
      </c>
      <c r="D929" s="168">
        <f t="shared" si="44"/>
        <v>46296</v>
      </c>
      <c r="AE929" s="167">
        <f t="shared" si="45"/>
        <v>0</v>
      </c>
    </row>
    <row r="930" spans="1:31">
      <c r="A930" s="197">
        <f t="shared" si="46"/>
        <v>46310</v>
      </c>
      <c r="B930" s="167">
        <f>YEAR(Table7[[#This Row],[Date]])+IF(MONTH(Table7[[#This Row],[Date]])&gt;=4,1,0)</f>
        <v>2027</v>
      </c>
      <c r="C930" s="167">
        <f>YEAR(Table7[[#This Row],[Date]])</f>
        <v>2026</v>
      </c>
      <c r="D930" s="168">
        <f t="shared" si="44"/>
        <v>46296</v>
      </c>
      <c r="AE930" s="167">
        <f t="shared" si="45"/>
        <v>0</v>
      </c>
    </row>
    <row r="931" spans="1:31">
      <c r="A931" s="197">
        <f t="shared" si="46"/>
        <v>46311</v>
      </c>
      <c r="B931" s="167">
        <f>YEAR(Table7[[#This Row],[Date]])+IF(MONTH(Table7[[#This Row],[Date]])&gt;=4,1,0)</f>
        <v>2027</v>
      </c>
      <c r="C931" s="167">
        <f>YEAR(Table7[[#This Row],[Date]])</f>
        <v>2026</v>
      </c>
      <c r="D931" s="168">
        <f t="shared" si="44"/>
        <v>46296</v>
      </c>
      <c r="AE931" s="167">
        <f t="shared" si="45"/>
        <v>0</v>
      </c>
    </row>
    <row r="932" spans="1:31">
      <c r="A932" s="197">
        <f t="shared" si="46"/>
        <v>46312</v>
      </c>
      <c r="B932" s="167">
        <f>YEAR(Table7[[#This Row],[Date]])+IF(MONTH(Table7[[#This Row],[Date]])&gt;=4,1,0)</f>
        <v>2027</v>
      </c>
      <c r="C932" s="167">
        <f>YEAR(Table7[[#This Row],[Date]])</f>
        <v>2026</v>
      </c>
      <c r="D932" s="168">
        <f t="shared" si="44"/>
        <v>46296</v>
      </c>
      <c r="AE932" s="167">
        <f t="shared" si="45"/>
        <v>0</v>
      </c>
    </row>
    <row r="933" spans="1:31">
      <c r="A933" s="197">
        <f t="shared" si="46"/>
        <v>46313</v>
      </c>
      <c r="B933" s="167">
        <f>YEAR(Table7[[#This Row],[Date]])+IF(MONTH(Table7[[#This Row],[Date]])&gt;=4,1,0)</f>
        <v>2027</v>
      </c>
      <c r="C933" s="167">
        <f>YEAR(Table7[[#This Row],[Date]])</f>
        <v>2026</v>
      </c>
      <c r="D933" s="168">
        <f t="shared" si="44"/>
        <v>46296</v>
      </c>
      <c r="AE933" s="167">
        <f t="shared" si="45"/>
        <v>0</v>
      </c>
    </row>
    <row r="934" spans="1:31">
      <c r="A934" s="197">
        <f t="shared" si="46"/>
        <v>46314</v>
      </c>
      <c r="B934" s="167">
        <f>YEAR(Table7[[#This Row],[Date]])+IF(MONTH(Table7[[#This Row],[Date]])&gt;=4,1,0)</f>
        <v>2027</v>
      </c>
      <c r="C934" s="167">
        <f>YEAR(Table7[[#This Row],[Date]])</f>
        <v>2026</v>
      </c>
      <c r="D934" s="168">
        <f t="shared" si="44"/>
        <v>46296</v>
      </c>
      <c r="AE934" s="167">
        <f t="shared" si="45"/>
        <v>0</v>
      </c>
    </row>
    <row r="935" spans="1:31">
      <c r="A935" s="197">
        <f t="shared" si="46"/>
        <v>46315</v>
      </c>
      <c r="B935" s="167">
        <f>YEAR(Table7[[#This Row],[Date]])+IF(MONTH(Table7[[#This Row],[Date]])&gt;=4,1,0)</f>
        <v>2027</v>
      </c>
      <c r="C935" s="167">
        <f>YEAR(Table7[[#This Row],[Date]])</f>
        <v>2026</v>
      </c>
      <c r="D935" s="168">
        <f t="shared" si="44"/>
        <v>46296</v>
      </c>
      <c r="AE935" s="167">
        <f t="shared" si="45"/>
        <v>0</v>
      </c>
    </row>
    <row r="936" spans="1:31">
      <c r="A936" s="197">
        <f t="shared" si="46"/>
        <v>46316</v>
      </c>
      <c r="B936" s="167">
        <f>YEAR(Table7[[#This Row],[Date]])+IF(MONTH(Table7[[#This Row],[Date]])&gt;=4,1,0)</f>
        <v>2027</v>
      </c>
      <c r="C936" s="167">
        <f>YEAR(Table7[[#This Row],[Date]])</f>
        <v>2026</v>
      </c>
      <c r="D936" s="168">
        <f t="shared" si="44"/>
        <v>46296</v>
      </c>
      <c r="AE936" s="167">
        <f t="shared" si="45"/>
        <v>0</v>
      </c>
    </row>
    <row r="937" spans="1:31">
      <c r="A937" s="197">
        <f t="shared" si="46"/>
        <v>46317</v>
      </c>
      <c r="B937" s="167">
        <f>YEAR(Table7[[#This Row],[Date]])+IF(MONTH(Table7[[#This Row],[Date]])&gt;=4,1,0)</f>
        <v>2027</v>
      </c>
      <c r="C937" s="167">
        <f>YEAR(Table7[[#This Row],[Date]])</f>
        <v>2026</v>
      </c>
      <c r="D937" s="168">
        <f t="shared" si="44"/>
        <v>46296</v>
      </c>
      <c r="AE937" s="167">
        <f t="shared" si="45"/>
        <v>0</v>
      </c>
    </row>
    <row r="938" spans="1:31">
      <c r="A938" s="197">
        <f t="shared" si="46"/>
        <v>46318</v>
      </c>
      <c r="B938" s="167">
        <f>YEAR(Table7[[#This Row],[Date]])+IF(MONTH(Table7[[#This Row],[Date]])&gt;=4,1,0)</f>
        <v>2027</v>
      </c>
      <c r="C938" s="167">
        <f>YEAR(Table7[[#This Row],[Date]])</f>
        <v>2026</v>
      </c>
      <c r="D938" s="168">
        <f t="shared" si="44"/>
        <v>46296</v>
      </c>
      <c r="AE938" s="167">
        <f t="shared" si="45"/>
        <v>0</v>
      </c>
    </row>
    <row r="939" spans="1:31">
      <c r="A939" s="197">
        <f t="shared" si="46"/>
        <v>46319</v>
      </c>
      <c r="B939" s="167">
        <f>YEAR(Table7[[#This Row],[Date]])+IF(MONTH(Table7[[#This Row],[Date]])&gt;=4,1,0)</f>
        <v>2027</v>
      </c>
      <c r="C939" s="167">
        <f>YEAR(Table7[[#This Row],[Date]])</f>
        <v>2026</v>
      </c>
      <c r="D939" s="168">
        <f t="shared" si="44"/>
        <v>46296</v>
      </c>
      <c r="AE939" s="167">
        <f t="shared" si="45"/>
        <v>0</v>
      </c>
    </row>
    <row r="940" spans="1:31">
      <c r="A940" s="197">
        <f t="shared" si="46"/>
        <v>46320</v>
      </c>
      <c r="B940" s="167">
        <f>YEAR(Table7[[#This Row],[Date]])+IF(MONTH(Table7[[#This Row],[Date]])&gt;=4,1,0)</f>
        <v>2027</v>
      </c>
      <c r="C940" s="167">
        <f>YEAR(Table7[[#This Row],[Date]])</f>
        <v>2026</v>
      </c>
      <c r="D940" s="168">
        <f t="shared" si="44"/>
        <v>46296</v>
      </c>
      <c r="AE940" s="167">
        <f t="shared" si="45"/>
        <v>0</v>
      </c>
    </row>
    <row r="941" spans="1:31">
      <c r="A941" s="197">
        <f t="shared" si="46"/>
        <v>46321</v>
      </c>
      <c r="B941" s="167">
        <f>YEAR(Table7[[#This Row],[Date]])+IF(MONTH(Table7[[#This Row],[Date]])&gt;=4,1,0)</f>
        <v>2027</v>
      </c>
      <c r="C941" s="167">
        <f>YEAR(Table7[[#This Row],[Date]])</f>
        <v>2026</v>
      </c>
      <c r="D941" s="168">
        <f t="shared" si="44"/>
        <v>46296</v>
      </c>
      <c r="AE941" s="167">
        <f t="shared" si="45"/>
        <v>0</v>
      </c>
    </row>
    <row r="942" spans="1:31">
      <c r="A942" s="197">
        <f t="shared" si="46"/>
        <v>46322</v>
      </c>
      <c r="B942" s="167">
        <f>YEAR(Table7[[#This Row],[Date]])+IF(MONTH(Table7[[#This Row],[Date]])&gt;=4,1,0)</f>
        <v>2027</v>
      </c>
      <c r="C942" s="167">
        <f>YEAR(Table7[[#This Row],[Date]])</f>
        <v>2026</v>
      </c>
      <c r="D942" s="168">
        <f t="shared" si="44"/>
        <v>46296</v>
      </c>
      <c r="AE942" s="167">
        <f t="shared" si="45"/>
        <v>0</v>
      </c>
    </row>
    <row r="943" spans="1:31">
      <c r="A943" s="197">
        <f t="shared" si="46"/>
        <v>46323</v>
      </c>
      <c r="B943" s="167">
        <f>YEAR(Table7[[#This Row],[Date]])+IF(MONTH(Table7[[#This Row],[Date]])&gt;=4,1,0)</f>
        <v>2027</v>
      </c>
      <c r="C943" s="167">
        <f>YEAR(Table7[[#This Row],[Date]])</f>
        <v>2026</v>
      </c>
      <c r="D943" s="168">
        <f t="shared" si="44"/>
        <v>46296</v>
      </c>
      <c r="AE943" s="167">
        <f t="shared" si="45"/>
        <v>0</v>
      </c>
    </row>
    <row r="944" spans="1:31">
      <c r="A944" s="197">
        <f t="shared" si="46"/>
        <v>46324</v>
      </c>
      <c r="B944" s="167">
        <f>YEAR(Table7[[#This Row],[Date]])+IF(MONTH(Table7[[#This Row],[Date]])&gt;=4,1,0)</f>
        <v>2027</v>
      </c>
      <c r="C944" s="167">
        <f>YEAR(Table7[[#This Row],[Date]])</f>
        <v>2026</v>
      </c>
      <c r="D944" s="168">
        <f t="shared" si="44"/>
        <v>46296</v>
      </c>
      <c r="AE944" s="167">
        <f t="shared" si="45"/>
        <v>0</v>
      </c>
    </row>
    <row r="945" spans="1:31">
      <c r="A945" s="197">
        <f t="shared" si="46"/>
        <v>46325</v>
      </c>
      <c r="B945" s="167">
        <f>YEAR(Table7[[#This Row],[Date]])+IF(MONTH(Table7[[#This Row],[Date]])&gt;=4,1,0)</f>
        <v>2027</v>
      </c>
      <c r="C945" s="167">
        <f>YEAR(Table7[[#This Row],[Date]])</f>
        <v>2026</v>
      </c>
      <c r="D945" s="168">
        <f t="shared" si="44"/>
        <v>46296</v>
      </c>
      <c r="AE945" s="167">
        <f t="shared" si="45"/>
        <v>0</v>
      </c>
    </row>
    <row r="946" spans="1:31">
      <c r="A946" s="197">
        <f t="shared" si="46"/>
        <v>46326</v>
      </c>
      <c r="B946" s="167">
        <f>YEAR(Table7[[#This Row],[Date]])+IF(MONTH(Table7[[#This Row],[Date]])&gt;=4,1,0)</f>
        <v>2027</v>
      </c>
      <c r="C946" s="167">
        <f>YEAR(Table7[[#This Row],[Date]])</f>
        <v>2026</v>
      </c>
      <c r="D946" s="168">
        <f t="shared" si="44"/>
        <v>46296</v>
      </c>
      <c r="AE946" s="167">
        <f t="shared" si="45"/>
        <v>0</v>
      </c>
    </row>
    <row r="947" spans="1:31">
      <c r="A947" s="197">
        <f t="shared" si="46"/>
        <v>46327</v>
      </c>
      <c r="B947" s="167">
        <f>YEAR(Table7[[#This Row],[Date]])+IF(MONTH(Table7[[#This Row],[Date]])&gt;=4,1,0)</f>
        <v>2027</v>
      </c>
      <c r="C947" s="167">
        <f>YEAR(Table7[[#This Row],[Date]])</f>
        <v>2026</v>
      </c>
      <c r="D947" s="168">
        <f t="shared" si="44"/>
        <v>46327</v>
      </c>
      <c r="AE947" s="167">
        <f t="shared" si="45"/>
        <v>0</v>
      </c>
    </row>
    <row r="948" spans="1:31">
      <c r="A948" s="197">
        <f t="shared" si="46"/>
        <v>46328</v>
      </c>
      <c r="B948" s="167">
        <f>YEAR(Table7[[#This Row],[Date]])+IF(MONTH(Table7[[#This Row],[Date]])&gt;=4,1,0)</f>
        <v>2027</v>
      </c>
      <c r="C948" s="167">
        <f>YEAR(Table7[[#This Row],[Date]])</f>
        <v>2026</v>
      </c>
      <c r="D948" s="168">
        <f t="shared" si="44"/>
        <v>46327</v>
      </c>
      <c r="AE948" s="167">
        <f t="shared" si="45"/>
        <v>0</v>
      </c>
    </row>
    <row r="949" spans="1:31">
      <c r="A949" s="197">
        <f t="shared" si="46"/>
        <v>46329</v>
      </c>
      <c r="B949" s="167">
        <f>YEAR(Table7[[#This Row],[Date]])+IF(MONTH(Table7[[#This Row],[Date]])&gt;=4,1,0)</f>
        <v>2027</v>
      </c>
      <c r="C949" s="167">
        <f>YEAR(Table7[[#This Row],[Date]])</f>
        <v>2026</v>
      </c>
      <c r="D949" s="168">
        <f t="shared" si="44"/>
        <v>46327</v>
      </c>
      <c r="AE949" s="167">
        <f t="shared" si="45"/>
        <v>0</v>
      </c>
    </row>
    <row r="950" spans="1:31">
      <c r="A950" s="197">
        <f t="shared" si="46"/>
        <v>46330</v>
      </c>
      <c r="B950" s="167">
        <f>YEAR(Table7[[#This Row],[Date]])+IF(MONTH(Table7[[#This Row],[Date]])&gt;=4,1,0)</f>
        <v>2027</v>
      </c>
      <c r="C950" s="167">
        <f>YEAR(Table7[[#This Row],[Date]])</f>
        <v>2026</v>
      </c>
      <c r="D950" s="168">
        <f t="shared" si="44"/>
        <v>46327</v>
      </c>
      <c r="AE950" s="167">
        <f t="shared" si="45"/>
        <v>0</v>
      </c>
    </row>
    <row r="951" spans="1:31">
      <c r="A951" s="197">
        <f t="shared" si="46"/>
        <v>46331</v>
      </c>
      <c r="B951" s="167">
        <f>YEAR(Table7[[#This Row],[Date]])+IF(MONTH(Table7[[#This Row],[Date]])&gt;=4,1,0)</f>
        <v>2027</v>
      </c>
      <c r="C951" s="167">
        <f>YEAR(Table7[[#This Row],[Date]])</f>
        <v>2026</v>
      </c>
      <c r="D951" s="168">
        <f t="shared" si="44"/>
        <v>46327</v>
      </c>
      <c r="AE951" s="167">
        <f t="shared" si="45"/>
        <v>0</v>
      </c>
    </row>
    <row r="952" spans="1:31">
      <c r="A952" s="197">
        <f t="shared" si="46"/>
        <v>46332</v>
      </c>
      <c r="B952" s="167">
        <f>YEAR(Table7[[#This Row],[Date]])+IF(MONTH(Table7[[#This Row],[Date]])&gt;=4,1,0)</f>
        <v>2027</v>
      </c>
      <c r="C952" s="167">
        <f>YEAR(Table7[[#This Row],[Date]])</f>
        <v>2026</v>
      </c>
      <c r="D952" s="168">
        <f t="shared" si="44"/>
        <v>46327</v>
      </c>
      <c r="AE952" s="167">
        <f t="shared" si="45"/>
        <v>0</v>
      </c>
    </row>
    <row r="953" spans="1:31">
      <c r="A953" s="197">
        <f t="shared" si="46"/>
        <v>46333</v>
      </c>
      <c r="B953" s="167">
        <f>YEAR(Table7[[#This Row],[Date]])+IF(MONTH(Table7[[#This Row],[Date]])&gt;=4,1,0)</f>
        <v>2027</v>
      </c>
      <c r="C953" s="167">
        <f>YEAR(Table7[[#This Row],[Date]])</f>
        <v>2026</v>
      </c>
      <c r="D953" s="168">
        <f t="shared" si="44"/>
        <v>46327</v>
      </c>
      <c r="AE953" s="167">
        <f t="shared" si="45"/>
        <v>0</v>
      </c>
    </row>
    <row r="954" spans="1:31">
      <c r="A954" s="197">
        <f t="shared" si="46"/>
        <v>46334</v>
      </c>
      <c r="B954" s="167">
        <f>YEAR(Table7[[#This Row],[Date]])+IF(MONTH(Table7[[#This Row],[Date]])&gt;=4,1,0)</f>
        <v>2027</v>
      </c>
      <c r="C954" s="167">
        <f>YEAR(Table7[[#This Row],[Date]])</f>
        <v>2026</v>
      </c>
      <c r="D954" s="168">
        <f t="shared" si="44"/>
        <v>46327</v>
      </c>
      <c r="AE954" s="167">
        <f t="shared" si="45"/>
        <v>0</v>
      </c>
    </row>
    <row r="955" spans="1:31">
      <c r="A955" s="197">
        <f t="shared" si="46"/>
        <v>46335</v>
      </c>
      <c r="B955" s="167">
        <f>YEAR(Table7[[#This Row],[Date]])+IF(MONTH(Table7[[#This Row],[Date]])&gt;=4,1,0)</f>
        <v>2027</v>
      </c>
      <c r="C955" s="167">
        <f>YEAR(Table7[[#This Row],[Date]])</f>
        <v>2026</v>
      </c>
      <c r="D955" s="168">
        <f t="shared" si="44"/>
        <v>46327</v>
      </c>
      <c r="AE955" s="167">
        <f t="shared" si="45"/>
        <v>0</v>
      </c>
    </row>
    <row r="956" spans="1:31">
      <c r="A956" s="197">
        <f t="shared" si="46"/>
        <v>46336</v>
      </c>
      <c r="B956" s="167">
        <f>YEAR(Table7[[#This Row],[Date]])+IF(MONTH(Table7[[#This Row],[Date]])&gt;=4,1,0)</f>
        <v>2027</v>
      </c>
      <c r="C956" s="167">
        <f>YEAR(Table7[[#This Row],[Date]])</f>
        <v>2026</v>
      </c>
      <c r="D956" s="168">
        <f t="shared" si="44"/>
        <v>46327</v>
      </c>
      <c r="AE956" s="167">
        <f t="shared" si="45"/>
        <v>0</v>
      </c>
    </row>
    <row r="957" spans="1:31">
      <c r="A957" s="197">
        <f t="shared" si="46"/>
        <v>46337</v>
      </c>
      <c r="B957" s="167">
        <f>YEAR(Table7[[#This Row],[Date]])+IF(MONTH(Table7[[#This Row],[Date]])&gt;=4,1,0)</f>
        <v>2027</v>
      </c>
      <c r="C957" s="167">
        <f>YEAR(Table7[[#This Row],[Date]])</f>
        <v>2026</v>
      </c>
      <c r="D957" s="168">
        <f t="shared" si="44"/>
        <v>46327</v>
      </c>
      <c r="AE957" s="167">
        <f t="shared" si="45"/>
        <v>0</v>
      </c>
    </row>
    <row r="958" spans="1:31">
      <c r="A958" s="197">
        <f t="shared" si="46"/>
        <v>46338</v>
      </c>
      <c r="B958" s="167">
        <f>YEAR(Table7[[#This Row],[Date]])+IF(MONTH(Table7[[#This Row],[Date]])&gt;=4,1,0)</f>
        <v>2027</v>
      </c>
      <c r="C958" s="167">
        <f>YEAR(Table7[[#This Row],[Date]])</f>
        <v>2026</v>
      </c>
      <c r="D958" s="168">
        <f t="shared" si="44"/>
        <v>46327</v>
      </c>
      <c r="AE958" s="167">
        <f t="shared" si="45"/>
        <v>0</v>
      </c>
    </row>
    <row r="959" spans="1:31">
      <c r="A959" s="197">
        <f t="shared" si="46"/>
        <v>46339</v>
      </c>
      <c r="B959" s="167">
        <f>YEAR(Table7[[#This Row],[Date]])+IF(MONTH(Table7[[#This Row],[Date]])&gt;=4,1,0)</f>
        <v>2027</v>
      </c>
      <c r="C959" s="167">
        <f>YEAR(Table7[[#This Row],[Date]])</f>
        <v>2026</v>
      </c>
      <c r="D959" s="168">
        <f t="shared" si="44"/>
        <v>46327</v>
      </c>
      <c r="AE959" s="167">
        <f t="shared" si="45"/>
        <v>0</v>
      </c>
    </row>
    <row r="960" spans="1:31">
      <c r="A960" s="197">
        <f t="shared" si="46"/>
        <v>46340</v>
      </c>
      <c r="B960" s="167">
        <f>YEAR(Table7[[#This Row],[Date]])+IF(MONTH(Table7[[#This Row],[Date]])&gt;=4,1,0)</f>
        <v>2027</v>
      </c>
      <c r="C960" s="167">
        <f>YEAR(Table7[[#This Row],[Date]])</f>
        <v>2026</v>
      </c>
      <c r="D960" s="168">
        <f t="shared" si="44"/>
        <v>46327</v>
      </c>
      <c r="AE960" s="167">
        <f t="shared" si="45"/>
        <v>0</v>
      </c>
    </row>
    <row r="961" spans="1:31">
      <c r="A961" s="197">
        <f t="shared" si="46"/>
        <v>46341</v>
      </c>
      <c r="B961" s="167">
        <f>YEAR(Table7[[#This Row],[Date]])+IF(MONTH(Table7[[#This Row],[Date]])&gt;=4,1,0)</f>
        <v>2027</v>
      </c>
      <c r="C961" s="167">
        <f>YEAR(Table7[[#This Row],[Date]])</f>
        <v>2026</v>
      </c>
      <c r="D961" s="168">
        <f t="shared" si="44"/>
        <v>46327</v>
      </c>
      <c r="AE961" s="167">
        <f t="shared" si="45"/>
        <v>0</v>
      </c>
    </row>
    <row r="962" spans="1:31">
      <c r="A962" s="197">
        <f t="shared" si="46"/>
        <v>46342</v>
      </c>
      <c r="B962" s="167">
        <f>YEAR(Table7[[#This Row],[Date]])+IF(MONTH(Table7[[#This Row],[Date]])&gt;=4,1,0)</f>
        <v>2027</v>
      </c>
      <c r="C962" s="167">
        <f>YEAR(Table7[[#This Row],[Date]])</f>
        <v>2026</v>
      </c>
      <c r="D962" s="168">
        <f t="shared" si="44"/>
        <v>46327</v>
      </c>
      <c r="AE962" s="167">
        <f t="shared" si="45"/>
        <v>0</v>
      </c>
    </row>
    <row r="963" spans="1:31">
      <c r="A963" s="197">
        <f t="shared" si="46"/>
        <v>46343</v>
      </c>
      <c r="B963" s="167">
        <f>YEAR(Table7[[#This Row],[Date]])+IF(MONTH(Table7[[#This Row],[Date]])&gt;=4,1,0)</f>
        <v>2027</v>
      </c>
      <c r="C963" s="167">
        <f>YEAR(Table7[[#This Row],[Date]])</f>
        <v>2026</v>
      </c>
      <c r="D963" s="168">
        <f t="shared" ref="D963:D1026" si="47">A963-DAY(A963)+1</f>
        <v>46327</v>
      </c>
      <c r="AE963" s="167">
        <f t="shared" ref="AE963:AE1026" si="48">SUM(E963:AD963)</f>
        <v>0</v>
      </c>
    </row>
    <row r="964" spans="1:31">
      <c r="A964" s="197">
        <f t="shared" si="46"/>
        <v>46344</v>
      </c>
      <c r="B964" s="167">
        <f>YEAR(Table7[[#This Row],[Date]])+IF(MONTH(Table7[[#This Row],[Date]])&gt;=4,1,0)</f>
        <v>2027</v>
      </c>
      <c r="C964" s="167">
        <f>YEAR(Table7[[#This Row],[Date]])</f>
        <v>2026</v>
      </c>
      <c r="D964" s="168">
        <f t="shared" si="47"/>
        <v>46327</v>
      </c>
      <c r="AE964" s="167">
        <f t="shared" si="48"/>
        <v>0</v>
      </c>
    </row>
    <row r="965" spans="1:31">
      <c r="A965" s="197">
        <f t="shared" ref="A965:A1028" si="49">A964+1</f>
        <v>46345</v>
      </c>
      <c r="B965" s="167">
        <f>YEAR(Table7[[#This Row],[Date]])+IF(MONTH(Table7[[#This Row],[Date]])&gt;=4,1,0)</f>
        <v>2027</v>
      </c>
      <c r="C965" s="167">
        <f>YEAR(Table7[[#This Row],[Date]])</f>
        <v>2026</v>
      </c>
      <c r="D965" s="168">
        <f t="shared" si="47"/>
        <v>46327</v>
      </c>
      <c r="AE965" s="167">
        <f t="shared" si="48"/>
        <v>0</v>
      </c>
    </row>
    <row r="966" spans="1:31">
      <c r="A966" s="197">
        <f t="shared" si="49"/>
        <v>46346</v>
      </c>
      <c r="B966" s="167">
        <f>YEAR(Table7[[#This Row],[Date]])+IF(MONTH(Table7[[#This Row],[Date]])&gt;=4,1,0)</f>
        <v>2027</v>
      </c>
      <c r="C966" s="167">
        <f>YEAR(Table7[[#This Row],[Date]])</f>
        <v>2026</v>
      </c>
      <c r="D966" s="168">
        <f t="shared" si="47"/>
        <v>46327</v>
      </c>
      <c r="AE966" s="167">
        <f t="shared" si="48"/>
        <v>0</v>
      </c>
    </row>
    <row r="967" spans="1:31">
      <c r="A967" s="197">
        <f t="shared" si="49"/>
        <v>46347</v>
      </c>
      <c r="B967" s="167">
        <f>YEAR(Table7[[#This Row],[Date]])+IF(MONTH(Table7[[#This Row],[Date]])&gt;=4,1,0)</f>
        <v>2027</v>
      </c>
      <c r="C967" s="167">
        <f>YEAR(Table7[[#This Row],[Date]])</f>
        <v>2026</v>
      </c>
      <c r="D967" s="168">
        <f t="shared" si="47"/>
        <v>46327</v>
      </c>
      <c r="AE967" s="167">
        <f t="shared" si="48"/>
        <v>0</v>
      </c>
    </row>
    <row r="968" spans="1:31">
      <c r="A968" s="197">
        <f t="shared" si="49"/>
        <v>46348</v>
      </c>
      <c r="B968" s="167">
        <f>YEAR(Table7[[#This Row],[Date]])+IF(MONTH(Table7[[#This Row],[Date]])&gt;=4,1,0)</f>
        <v>2027</v>
      </c>
      <c r="C968" s="167">
        <f>YEAR(Table7[[#This Row],[Date]])</f>
        <v>2026</v>
      </c>
      <c r="D968" s="168">
        <f t="shared" si="47"/>
        <v>46327</v>
      </c>
      <c r="AE968" s="167">
        <f t="shared" si="48"/>
        <v>0</v>
      </c>
    </row>
    <row r="969" spans="1:31">
      <c r="A969" s="197">
        <f t="shared" si="49"/>
        <v>46349</v>
      </c>
      <c r="B969" s="167">
        <f>YEAR(Table7[[#This Row],[Date]])+IF(MONTH(Table7[[#This Row],[Date]])&gt;=4,1,0)</f>
        <v>2027</v>
      </c>
      <c r="C969" s="167">
        <f>YEAR(Table7[[#This Row],[Date]])</f>
        <v>2026</v>
      </c>
      <c r="D969" s="168">
        <f t="shared" si="47"/>
        <v>46327</v>
      </c>
      <c r="AE969" s="167">
        <f t="shared" si="48"/>
        <v>0</v>
      </c>
    </row>
    <row r="970" spans="1:31">
      <c r="A970" s="197">
        <f t="shared" si="49"/>
        <v>46350</v>
      </c>
      <c r="B970" s="167">
        <f>YEAR(Table7[[#This Row],[Date]])+IF(MONTH(Table7[[#This Row],[Date]])&gt;=4,1,0)</f>
        <v>2027</v>
      </c>
      <c r="C970" s="167">
        <f>YEAR(Table7[[#This Row],[Date]])</f>
        <v>2026</v>
      </c>
      <c r="D970" s="168">
        <f t="shared" si="47"/>
        <v>46327</v>
      </c>
      <c r="AE970" s="167">
        <f t="shared" si="48"/>
        <v>0</v>
      </c>
    </row>
    <row r="971" spans="1:31">
      <c r="A971" s="197">
        <f t="shared" si="49"/>
        <v>46351</v>
      </c>
      <c r="B971" s="167">
        <f>YEAR(Table7[[#This Row],[Date]])+IF(MONTH(Table7[[#This Row],[Date]])&gt;=4,1,0)</f>
        <v>2027</v>
      </c>
      <c r="C971" s="167">
        <f>YEAR(Table7[[#This Row],[Date]])</f>
        <v>2026</v>
      </c>
      <c r="D971" s="168">
        <f t="shared" si="47"/>
        <v>46327</v>
      </c>
      <c r="AE971" s="167">
        <f t="shared" si="48"/>
        <v>0</v>
      </c>
    </row>
    <row r="972" spans="1:31">
      <c r="A972" s="197">
        <f t="shared" si="49"/>
        <v>46352</v>
      </c>
      <c r="B972" s="167">
        <f>YEAR(Table7[[#This Row],[Date]])+IF(MONTH(Table7[[#This Row],[Date]])&gt;=4,1,0)</f>
        <v>2027</v>
      </c>
      <c r="C972" s="167">
        <f>YEAR(Table7[[#This Row],[Date]])</f>
        <v>2026</v>
      </c>
      <c r="D972" s="168">
        <f t="shared" si="47"/>
        <v>46327</v>
      </c>
      <c r="AE972" s="167">
        <f t="shared" si="48"/>
        <v>0</v>
      </c>
    </row>
    <row r="973" spans="1:31">
      <c r="A973" s="197">
        <f t="shared" si="49"/>
        <v>46353</v>
      </c>
      <c r="B973" s="167">
        <f>YEAR(Table7[[#This Row],[Date]])+IF(MONTH(Table7[[#This Row],[Date]])&gt;=4,1,0)</f>
        <v>2027</v>
      </c>
      <c r="C973" s="167">
        <f>YEAR(Table7[[#This Row],[Date]])</f>
        <v>2026</v>
      </c>
      <c r="D973" s="168">
        <f t="shared" si="47"/>
        <v>46327</v>
      </c>
      <c r="AE973" s="167">
        <f t="shared" si="48"/>
        <v>0</v>
      </c>
    </row>
    <row r="974" spans="1:31">
      <c r="A974" s="197">
        <f t="shared" si="49"/>
        <v>46354</v>
      </c>
      <c r="B974" s="167">
        <f>YEAR(Table7[[#This Row],[Date]])+IF(MONTH(Table7[[#This Row],[Date]])&gt;=4,1,0)</f>
        <v>2027</v>
      </c>
      <c r="C974" s="167">
        <f>YEAR(Table7[[#This Row],[Date]])</f>
        <v>2026</v>
      </c>
      <c r="D974" s="168">
        <f t="shared" si="47"/>
        <v>46327</v>
      </c>
      <c r="AE974" s="167">
        <f t="shared" si="48"/>
        <v>0</v>
      </c>
    </row>
    <row r="975" spans="1:31">
      <c r="A975" s="197">
        <f t="shared" si="49"/>
        <v>46355</v>
      </c>
      <c r="B975" s="167">
        <f>YEAR(Table7[[#This Row],[Date]])+IF(MONTH(Table7[[#This Row],[Date]])&gt;=4,1,0)</f>
        <v>2027</v>
      </c>
      <c r="C975" s="167">
        <f>YEAR(Table7[[#This Row],[Date]])</f>
        <v>2026</v>
      </c>
      <c r="D975" s="168">
        <f t="shared" si="47"/>
        <v>46327</v>
      </c>
      <c r="AE975" s="167">
        <f t="shared" si="48"/>
        <v>0</v>
      </c>
    </row>
    <row r="976" spans="1:31">
      <c r="A976" s="197">
        <f t="shared" si="49"/>
        <v>46356</v>
      </c>
      <c r="B976" s="167">
        <f>YEAR(Table7[[#This Row],[Date]])+IF(MONTH(Table7[[#This Row],[Date]])&gt;=4,1,0)</f>
        <v>2027</v>
      </c>
      <c r="C976" s="167">
        <f>YEAR(Table7[[#This Row],[Date]])</f>
        <v>2026</v>
      </c>
      <c r="D976" s="168">
        <f t="shared" si="47"/>
        <v>46327</v>
      </c>
      <c r="AE976" s="167">
        <f t="shared" si="48"/>
        <v>0</v>
      </c>
    </row>
    <row r="977" spans="1:31">
      <c r="A977" s="197">
        <f t="shared" si="49"/>
        <v>46357</v>
      </c>
      <c r="B977" s="167">
        <f>YEAR(Table7[[#This Row],[Date]])+IF(MONTH(Table7[[#This Row],[Date]])&gt;=4,1,0)</f>
        <v>2027</v>
      </c>
      <c r="C977" s="167">
        <f>YEAR(Table7[[#This Row],[Date]])</f>
        <v>2026</v>
      </c>
      <c r="D977" s="168">
        <f t="shared" si="47"/>
        <v>46357</v>
      </c>
      <c r="AE977" s="167">
        <f t="shared" si="48"/>
        <v>0</v>
      </c>
    </row>
    <row r="978" spans="1:31">
      <c r="A978" s="197">
        <f t="shared" si="49"/>
        <v>46358</v>
      </c>
      <c r="B978" s="167">
        <f>YEAR(Table7[[#This Row],[Date]])+IF(MONTH(Table7[[#This Row],[Date]])&gt;=4,1,0)</f>
        <v>2027</v>
      </c>
      <c r="C978" s="167">
        <f>YEAR(Table7[[#This Row],[Date]])</f>
        <v>2026</v>
      </c>
      <c r="D978" s="168">
        <f t="shared" si="47"/>
        <v>46357</v>
      </c>
      <c r="AE978" s="167">
        <f t="shared" si="48"/>
        <v>0</v>
      </c>
    </row>
    <row r="979" spans="1:31">
      <c r="A979" s="197">
        <f t="shared" si="49"/>
        <v>46359</v>
      </c>
      <c r="B979" s="167">
        <f>YEAR(Table7[[#This Row],[Date]])+IF(MONTH(Table7[[#This Row],[Date]])&gt;=4,1,0)</f>
        <v>2027</v>
      </c>
      <c r="C979" s="167">
        <f>YEAR(Table7[[#This Row],[Date]])</f>
        <v>2026</v>
      </c>
      <c r="D979" s="168">
        <f t="shared" si="47"/>
        <v>46357</v>
      </c>
      <c r="AE979" s="167">
        <f t="shared" si="48"/>
        <v>0</v>
      </c>
    </row>
    <row r="980" spans="1:31">
      <c r="A980" s="197">
        <f t="shared" si="49"/>
        <v>46360</v>
      </c>
      <c r="B980" s="167">
        <f>YEAR(Table7[[#This Row],[Date]])+IF(MONTH(Table7[[#This Row],[Date]])&gt;=4,1,0)</f>
        <v>2027</v>
      </c>
      <c r="C980" s="167">
        <f>YEAR(Table7[[#This Row],[Date]])</f>
        <v>2026</v>
      </c>
      <c r="D980" s="168">
        <f t="shared" si="47"/>
        <v>46357</v>
      </c>
      <c r="AE980" s="167">
        <f t="shared" si="48"/>
        <v>0</v>
      </c>
    </row>
    <row r="981" spans="1:31">
      <c r="A981" s="197">
        <f t="shared" si="49"/>
        <v>46361</v>
      </c>
      <c r="B981" s="167">
        <f>YEAR(Table7[[#This Row],[Date]])+IF(MONTH(Table7[[#This Row],[Date]])&gt;=4,1,0)</f>
        <v>2027</v>
      </c>
      <c r="C981" s="167">
        <f>YEAR(Table7[[#This Row],[Date]])</f>
        <v>2026</v>
      </c>
      <c r="D981" s="168">
        <f t="shared" si="47"/>
        <v>46357</v>
      </c>
      <c r="AE981" s="167">
        <f t="shared" si="48"/>
        <v>0</v>
      </c>
    </row>
    <row r="982" spans="1:31">
      <c r="A982" s="197">
        <f t="shared" si="49"/>
        <v>46362</v>
      </c>
      <c r="B982" s="167">
        <f>YEAR(Table7[[#This Row],[Date]])+IF(MONTH(Table7[[#This Row],[Date]])&gt;=4,1,0)</f>
        <v>2027</v>
      </c>
      <c r="C982" s="167">
        <f>YEAR(Table7[[#This Row],[Date]])</f>
        <v>2026</v>
      </c>
      <c r="D982" s="168">
        <f t="shared" si="47"/>
        <v>46357</v>
      </c>
      <c r="AE982" s="167">
        <f t="shared" si="48"/>
        <v>0</v>
      </c>
    </row>
    <row r="983" spans="1:31">
      <c r="A983" s="197">
        <f t="shared" si="49"/>
        <v>46363</v>
      </c>
      <c r="B983" s="167">
        <f>YEAR(Table7[[#This Row],[Date]])+IF(MONTH(Table7[[#This Row],[Date]])&gt;=4,1,0)</f>
        <v>2027</v>
      </c>
      <c r="C983" s="167">
        <f>YEAR(Table7[[#This Row],[Date]])</f>
        <v>2026</v>
      </c>
      <c r="D983" s="168">
        <f t="shared" si="47"/>
        <v>46357</v>
      </c>
      <c r="AE983" s="167">
        <f t="shared" si="48"/>
        <v>0</v>
      </c>
    </row>
    <row r="984" spans="1:31">
      <c r="A984" s="197">
        <f t="shared" si="49"/>
        <v>46364</v>
      </c>
      <c r="B984" s="167">
        <f>YEAR(Table7[[#This Row],[Date]])+IF(MONTH(Table7[[#This Row],[Date]])&gt;=4,1,0)</f>
        <v>2027</v>
      </c>
      <c r="C984" s="167">
        <f>YEAR(Table7[[#This Row],[Date]])</f>
        <v>2026</v>
      </c>
      <c r="D984" s="168">
        <f t="shared" si="47"/>
        <v>46357</v>
      </c>
      <c r="AE984" s="167">
        <f t="shared" si="48"/>
        <v>0</v>
      </c>
    </row>
    <row r="985" spans="1:31">
      <c r="A985" s="197">
        <f t="shared" si="49"/>
        <v>46365</v>
      </c>
      <c r="B985" s="167">
        <f>YEAR(Table7[[#This Row],[Date]])+IF(MONTH(Table7[[#This Row],[Date]])&gt;=4,1,0)</f>
        <v>2027</v>
      </c>
      <c r="C985" s="167">
        <f>YEAR(Table7[[#This Row],[Date]])</f>
        <v>2026</v>
      </c>
      <c r="D985" s="168">
        <f t="shared" si="47"/>
        <v>46357</v>
      </c>
      <c r="AE985" s="167">
        <f t="shared" si="48"/>
        <v>0</v>
      </c>
    </row>
    <row r="986" spans="1:31">
      <c r="A986" s="197">
        <f t="shared" si="49"/>
        <v>46366</v>
      </c>
      <c r="B986" s="167">
        <f>YEAR(Table7[[#This Row],[Date]])+IF(MONTH(Table7[[#This Row],[Date]])&gt;=4,1,0)</f>
        <v>2027</v>
      </c>
      <c r="C986" s="167">
        <f>YEAR(Table7[[#This Row],[Date]])</f>
        <v>2026</v>
      </c>
      <c r="D986" s="168">
        <f t="shared" si="47"/>
        <v>46357</v>
      </c>
      <c r="AE986" s="167">
        <f t="shared" si="48"/>
        <v>0</v>
      </c>
    </row>
    <row r="987" spans="1:31">
      <c r="A987" s="197">
        <f t="shared" si="49"/>
        <v>46367</v>
      </c>
      <c r="B987" s="167">
        <f>YEAR(Table7[[#This Row],[Date]])+IF(MONTH(Table7[[#This Row],[Date]])&gt;=4,1,0)</f>
        <v>2027</v>
      </c>
      <c r="C987" s="167">
        <f>YEAR(Table7[[#This Row],[Date]])</f>
        <v>2026</v>
      </c>
      <c r="D987" s="168">
        <f t="shared" si="47"/>
        <v>46357</v>
      </c>
      <c r="AE987" s="167">
        <f t="shared" si="48"/>
        <v>0</v>
      </c>
    </row>
    <row r="988" spans="1:31">
      <c r="A988" s="197">
        <f t="shared" si="49"/>
        <v>46368</v>
      </c>
      <c r="B988" s="167">
        <f>YEAR(Table7[[#This Row],[Date]])+IF(MONTH(Table7[[#This Row],[Date]])&gt;=4,1,0)</f>
        <v>2027</v>
      </c>
      <c r="C988" s="167">
        <f>YEAR(Table7[[#This Row],[Date]])</f>
        <v>2026</v>
      </c>
      <c r="D988" s="168">
        <f t="shared" si="47"/>
        <v>46357</v>
      </c>
      <c r="AE988" s="167">
        <f t="shared" si="48"/>
        <v>0</v>
      </c>
    </row>
    <row r="989" spans="1:31">
      <c r="A989" s="197">
        <f t="shared" si="49"/>
        <v>46369</v>
      </c>
      <c r="B989" s="167">
        <f>YEAR(Table7[[#This Row],[Date]])+IF(MONTH(Table7[[#This Row],[Date]])&gt;=4,1,0)</f>
        <v>2027</v>
      </c>
      <c r="C989" s="167">
        <f>YEAR(Table7[[#This Row],[Date]])</f>
        <v>2026</v>
      </c>
      <c r="D989" s="168">
        <f t="shared" si="47"/>
        <v>46357</v>
      </c>
      <c r="AE989" s="167">
        <f t="shared" si="48"/>
        <v>0</v>
      </c>
    </row>
    <row r="990" spans="1:31">
      <c r="A990" s="197">
        <f t="shared" si="49"/>
        <v>46370</v>
      </c>
      <c r="B990" s="167">
        <f>YEAR(Table7[[#This Row],[Date]])+IF(MONTH(Table7[[#This Row],[Date]])&gt;=4,1,0)</f>
        <v>2027</v>
      </c>
      <c r="C990" s="167">
        <f>YEAR(Table7[[#This Row],[Date]])</f>
        <v>2026</v>
      </c>
      <c r="D990" s="168">
        <f t="shared" si="47"/>
        <v>46357</v>
      </c>
      <c r="AE990" s="167">
        <f t="shared" si="48"/>
        <v>0</v>
      </c>
    </row>
    <row r="991" spans="1:31">
      <c r="A991" s="197">
        <f t="shared" si="49"/>
        <v>46371</v>
      </c>
      <c r="B991" s="167">
        <f>YEAR(Table7[[#This Row],[Date]])+IF(MONTH(Table7[[#This Row],[Date]])&gt;=4,1,0)</f>
        <v>2027</v>
      </c>
      <c r="C991" s="167">
        <f>YEAR(Table7[[#This Row],[Date]])</f>
        <v>2026</v>
      </c>
      <c r="D991" s="168">
        <f t="shared" si="47"/>
        <v>46357</v>
      </c>
      <c r="AE991" s="167">
        <f t="shared" si="48"/>
        <v>0</v>
      </c>
    </row>
    <row r="992" spans="1:31">
      <c r="A992" s="197">
        <f t="shared" si="49"/>
        <v>46372</v>
      </c>
      <c r="B992" s="167">
        <f>YEAR(Table7[[#This Row],[Date]])+IF(MONTH(Table7[[#This Row],[Date]])&gt;=4,1,0)</f>
        <v>2027</v>
      </c>
      <c r="C992" s="167">
        <f>YEAR(Table7[[#This Row],[Date]])</f>
        <v>2026</v>
      </c>
      <c r="D992" s="168">
        <f t="shared" si="47"/>
        <v>46357</v>
      </c>
      <c r="AE992" s="167">
        <f t="shared" si="48"/>
        <v>0</v>
      </c>
    </row>
    <row r="993" spans="1:31">
      <c r="A993" s="197">
        <f t="shared" si="49"/>
        <v>46373</v>
      </c>
      <c r="B993" s="167">
        <f>YEAR(Table7[[#This Row],[Date]])+IF(MONTH(Table7[[#This Row],[Date]])&gt;=4,1,0)</f>
        <v>2027</v>
      </c>
      <c r="C993" s="167">
        <f>YEAR(Table7[[#This Row],[Date]])</f>
        <v>2026</v>
      </c>
      <c r="D993" s="168">
        <f t="shared" si="47"/>
        <v>46357</v>
      </c>
      <c r="AE993" s="167">
        <f t="shared" si="48"/>
        <v>0</v>
      </c>
    </row>
    <row r="994" spans="1:31">
      <c r="A994" s="197">
        <f t="shared" si="49"/>
        <v>46374</v>
      </c>
      <c r="B994" s="167">
        <f>YEAR(Table7[[#This Row],[Date]])+IF(MONTH(Table7[[#This Row],[Date]])&gt;=4,1,0)</f>
        <v>2027</v>
      </c>
      <c r="C994" s="167">
        <f>YEAR(Table7[[#This Row],[Date]])</f>
        <v>2026</v>
      </c>
      <c r="D994" s="168">
        <f t="shared" si="47"/>
        <v>46357</v>
      </c>
      <c r="AE994" s="167">
        <f t="shared" si="48"/>
        <v>0</v>
      </c>
    </row>
    <row r="995" spans="1:31">
      <c r="A995" s="197">
        <f t="shared" si="49"/>
        <v>46375</v>
      </c>
      <c r="B995" s="167">
        <f>YEAR(Table7[[#This Row],[Date]])+IF(MONTH(Table7[[#This Row],[Date]])&gt;=4,1,0)</f>
        <v>2027</v>
      </c>
      <c r="C995" s="167">
        <f>YEAR(Table7[[#This Row],[Date]])</f>
        <v>2026</v>
      </c>
      <c r="D995" s="168">
        <f t="shared" si="47"/>
        <v>46357</v>
      </c>
      <c r="AE995" s="167">
        <f t="shared" si="48"/>
        <v>0</v>
      </c>
    </row>
    <row r="996" spans="1:31">
      <c r="A996" s="197">
        <f t="shared" si="49"/>
        <v>46376</v>
      </c>
      <c r="B996" s="167">
        <f>YEAR(Table7[[#This Row],[Date]])+IF(MONTH(Table7[[#This Row],[Date]])&gt;=4,1,0)</f>
        <v>2027</v>
      </c>
      <c r="C996" s="167">
        <f>YEAR(Table7[[#This Row],[Date]])</f>
        <v>2026</v>
      </c>
      <c r="D996" s="168">
        <f t="shared" si="47"/>
        <v>46357</v>
      </c>
      <c r="AE996" s="167">
        <f t="shared" si="48"/>
        <v>0</v>
      </c>
    </row>
    <row r="997" spans="1:31">
      <c r="A997" s="197">
        <f t="shared" si="49"/>
        <v>46377</v>
      </c>
      <c r="B997" s="167">
        <f>YEAR(Table7[[#This Row],[Date]])+IF(MONTH(Table7[[#This Row],[Date]])&gt;=4,1,0)</f>
        <v>2027</v>
      </c>
      <c r="C997" s="167">
        <f>YEAR(Table7[[#This Row],[Date]])</f>
        <v>2026</v>
      </c>
      <c r="D997" s="168">
        <f t="shared" si="47"/>
        <v>46357</v>
      </c>
      <c r="AE997" s="167">
        <f t="shared" si="48"/>
        <v>0</v>
      </c>
    </row>
    <row r="998" spans="1:31">
      <c r="A998" s="197">
        <f t="shared" si="49"/>
        <v>46378</v>
      </c>
      <c r="B998" s="167">
        <f>YEAR(Table7[[#This Row],[Date]])+IF(MONTH(Table7[[#This Row],[Date]])&gt;=4,1,0)</f>
        <v>2027</v>
      </c>
      <c r="C998" s="167">
        <f>YEAR(Table7[[#This Row],[Date]])</f>
        <v>2026</v>
      </c>
      <c r="D998" s="168">
        <f t="shared" si="47"/>
        <v>46357</v>
      </c>
      <c r="AE998" s="167">
        <f t="shared" si="48"/>
        <v>0</v>
      </c>
    </row>
    <row r="999" spans="1:31">
      <c r="A999" s="197">
        <f t="shared" si="49"/>
        <v>46379</v>
      </c>
      <c r="B999" s="167">
        <f>YEAR(Table7[[#This Row],[Date]])+IF(MONTH(Table7[[#This Row],[Date]])&gt;=4,1,0)</f>
        <v>2027</v>
      </c>
      <c r="C999" s="167">
        <f>YEAR(Table7[[#This Row],[Date]])</f>
        <v>2026</v>
      </c>
      <c r="D999" s="168">
        <f t="shared" si="47"/>
        <v>46357</v>
      </c>
      <c r="AE999" s="167">
        <f t="shared" si="48"/>
        <v>0</v>
      </c>
    </row>
    <row r="1000" spans="1:31">
      <c r="A1000" s="197">
        <f t="shared" si="49"/>
        <v>46380</v>
      </c>
      <c r="B1000" s="167">
        <f>YEAR(Table7[[#This Row],[Date]])+IF(MONTH(Table7[[#This Row],[Date]])&gt;=4,1,0)</f>
        <v>2027</v>
      </c>
      <c r="C1000" s="167">
        <f>YEAR(Table7[[#This Row],[Date]])</f>
        <v>2026</v>
      </c>
      <c r="D1000" s="168">
        <f t="shared" si="47"/>
        <v>46357</v>
      </c>
      <c r="AE1000" s="167">
        <f t="shared" si="48"/>
        <v>0</v>
      </c>
    </row>
    <row r="1001" spans="1:31">
      <c r="A1001" s="197">
        <f t="shared" si="49"/>
        <v>46381</v>
      </c>
      <c r="B1001" s="167">
        <f>YEAR(Table7[[#This Row],[Date]])+IF(MONTH(Table7[[#This Row],[Date]])&gt;=4,1,0)</f>
        <v>2027</v>
      </c>
      <c r="C1001" s="167">
        <f>YEAR(Table7[[#This Row],[Date]])</f>
        <v>2026</v>
      </c>
      <c r="D1001" s="168">
        <f t="shared" si="47"/>
        <v>46357</v>
      </c>
      <c r="AE1001" s="167">
        <f t="shared" si="48"/>
        <v>0</v>
      </c>
    </row>
    <row r="1002" spans="1:31">
      <c r="A1002" s="197">
        <f t="shared" si="49"/>
        <v>46382</v>
      </c>
      <c r="B1002" s="167">
        <f>YEAR(Table7[[#This Row],[Date]])+IF(MONTH(Table7[[#This Row],[Date]])&gt;=4,1,0)</f>
        <v>2027</v>
      </c>
      <c r="C1002" s="167">
        <f>YEAR(Table7[[#This Row],[Date]])</f>
        <v>2026</v>
      </c>
      <c r="D1002" s="168">
        <f t="shared" si="47"/>
        <v>46357</v>
      </c>
      <c r="AE1002" s="167">
        <f t="shared" si="48"/>
        <v>0</v>
      </c>
    </row>
    <row r="1003" spans="1:31">
      <c r="A1003" s="197">
        <f t="shared" si="49"/>
        <v>46383</v>
      </c>
      <c r="B1003" s="167">
        <f>YEAR(Table7[[#This Row],[Date]])+IF(MONTH(Table7[[#This Row],[Date]])&gt;=4,1,0)</f>
        <v>2027</v>
      </c>
      <c r="C1003" s="167">
        <f>YEAR(Table7[[#This Row],[Date]])</f>
        <v>2026</v>
      </c>
      <c r="D1003" s="168">
        <f t="shared" si="47"/>
        <v>46357</v>
      </c>
      <c r="AE1003" s="167">
        <f t="shared" si="48"/>
        <v>0</v>
      </c>
    </row>
    <row r="1004" spans="1:31">
      <c r="A1004" s="197">
        <f t="shared" si="49"/>
        <v>46384</v>
      </c>
      <c r="B1004" s="167">
        <f>YEAR(Table7[[#This Row],[Date]])+IF(MONTH(Table7[[#This Row],[Date]])&gt;=4,1,0)</f>
        <v>2027</v>
      </c>
      <c r="C1004" s="167">
        <f>YEAR(Table7[[#This Row],[Date]])</f>
        <v>2026</v>
      </c>
      <c r="D1004" s="168">
        <f t="shared" si="47"/>
        <v>46357</v>
      </c>
      <c r="AE1004" s="167">
        <f t="shared" si="48"/>
        <v>0</v>
      </c>
    </row>
    <row r="1005" spans="1:31">
      <c r="A1005" s="197">
        <f t="shared" si="49"/>
        <v>46385</v>
      </c>
      <c r="B1005" s="167">
        <f>YEAR(Table7[[#This Row],[Date]])+IF(MONTH(Table7[[#This Row],[Date]])&gt;=4,1,0)</f>
        <v>2027</v>
      </c>
      <c r="C1005" s="167">
        <f>YEAR(Table7[[#This Row],[Date]])</f>
        <v>2026</v>
      </c>
      <c r="D1005" s="168">
        <f t="shared" si="47"/>
        <v>46357</v>
      </c>
      <c r="AE1005" s="167">
        <f t="shared" si="48"/>
        <v>0</v>
      </c>
    </row>
    <row r="1006" spans="1:31">
      <c r="A1006" s="197">
        <f t="shared" si="49"/>
        <v>46386</v>
      </c>
      <c r="B1006" s="167">
        <f>YEAR(Table7[[#This Row],[Date]])+IF(MONTH(Table7[[#This Row],[Date]])&gt;=4,1,0)</f>
        <v>2027</v>
      </c>
      <c r="C1006" s="167">
        <f>YEAR(Table7[[#This Row],[Date]])</f>
        <v>2026</v>
      </c>
      <c r="D1006" s="168">
        <f t="shared" si="47"/>
        <v>46357</v>
      </c>
      <c r="AE1006" s="167">
        <f t="shared" si="48"/>
        <v>0</v>
      </c>
    </row>
    <row r="1007" spans="1:31">
      <c r="A1007" s="197">
        <f t="shared" si="49"/>
        <v>46387</v>
      </c>
      <c r="B1007" s="167">
        <f>YEAR(Table7[[#This Row],[Date]])+IF(MONTH(Table7[[#This Row],[Date]])&gt;=4,1,0)</f>
        <v>2027</v>
      </c>
      <c r="C1007" s="167">
        <f>YEAR(Table7[[#This Row],[Date]])</f>
        <v>2026</v>
      </c>
      <c r="D1007" s="168">
        <f t="shared" si="47"/>
        <v>46357</v>
      </c>
      <c r="AE1007" s="167">
        <f t="shared" si="48"/>
        <v>0</v>
      </c>
    </row>
    <row r="1008" spans="1:31">
      <c r="A1008" s="197">
        <f t="shared" si="49"/>
        <v>46388</v>
      </c>
      <c r="B1008" s="167">
        <f>YEAR(Table7[[#This Row],[Date]])+IF(MONTH(Table7[[#This Row],[Date]])&gt;=4,1,0)</f>
        <v>2027</v>
      </c>
      <c r="C1008" s="167">
        <f>YEAR(Table7[[#This Row],[Date]])</f>
        <v>2027</v>
      </c>
      <c r="D1008" s="168">
        <f t="shared" si="47"/>
        <v>46388</v>
      </c>
      <c r="AE1008" s="167">
        <f t="shared" si="48"/>
        <v>0</v>
      </c>
    </row>
    <row r="1009" spans="1:31">
      <c r="A1009" s="197">
        <f t="shared" si="49"/>
        <v>46389</v>
      </c>
      <c r="B1009" s="167">
        <f>YEAR(Table7[[#This Row],[Date]])+IF(MONTH(Table7[[#This Row],[Date]])&gt;=4,1,0)</f>
        <v>2027</v>
      </c>
      <c r="C1009" s="167">
        <f>YEAR(Table7[[#This Row],[Date]])</f>
        <v>2027</v>
      </c>
      <c r="D1009" s="168">
        <f t="shared" si="47"/>
        <v>46388</v>
      </c>
      <c r="AE1009" s="167">
        <f t="shared" si="48"/>
        <v>0</v>
      </c>
    </row>
    <row r="1010" spans="1:31">
      <c r="A1010" s="197">
        <f t="shared" si="49"/>
        <v>46390</v>
      </c>
      <c r="B1010" s="167">
        <f>YEAR(Table7[[#This Row],[Date]])+IF(MONTH(Table7[[#This Row],[Date]])&gt;=4,1,0)</f>
        <v>2027</v>
      </c>
      <c r="C1010" s="167">
        <f>YEAR(Table7[[#This Row],[Date]])</f>
        <v>2027</v>
      </c>
      <c r="D1010" s="168">
        <f t="shared" si="47"/>
        <v>46388</v>
      </c>
      <c r="AE1010" s="167">
        <f t="shared" si="48"/>
        <v>0</v>
      </c>
    </row>
    <row r="1011" spans="1:31">
      <c r="A1011" s="197">
        <f t="shared" si="49"/>
        <v>46391</v>
      </c>
      <c r="B1011" s="167">
        <f>YEAR(Table7[[#This Row],[Date]])+IF(MONTH(Table7[[#This Row],[Date]])&gt;=4,1,0)</f>
        <v>2027</v>
      </c>
      <c r="C1011" s="167">
        <f>YEAR(Table7[[#This Row],[Date]])</f>
        <v>2027</v>
      </c>
      <c r="D1011" s="168">
        <f t="shared" si="47"/>
        <v>46388</v>
      </c>
      <c r="AE1011" s="167">
        <f t="shared" si="48"/>
        <v>0</v>
      </c>
    </row>
    <row r="1012" spans="1:31">
      <c r="A1012" s="197">
        <f t="shared" si="49"/>
        <v>46392</v>
      </c>
      <c r="B1012" s="167">
        <f>YEAR(Table7[[#This Row],[Date]])+IF(MONTH(Table7[[#This Row],[Date]])&gt;=4,1,0)</f>
        <v>2027</v>
      </c>
      <c r="C1012" s="167">
        <f>YEAR(Table7[[#This Row],[Date]])</f>
        <v>2027</v>
      </c>
      <c r="D1012" s="168">
        <f t="shared" si="47"/>
        <v>46388</v>
      </c>
      <c r="AE1012" s="167">
        <f t="shared" si="48"/>
        <v>0</v>
      </c>
    </row>
    <row r="1013" spans="1:31">
      <c r="A1013" s="197">
        <f t="shared" si="49"/>
        <v>46393</v>
      </c>
      <c r="B1013" s="167">
        <f>YEAR(Table7[[#This Row],[Date]])+IF(MONTH(Table7[[#This Row],[Date]])&gt;=4,1,0)</f>
        <v>2027</v>
      </c>
      <c r="C1013" s="167">
        <f>YEAR(Table7[[#This Row],[Date]])</f>
        <v>2027</v>
      </c>
      <c r="D1013" s="168">
        <f t="shared" si="47"/>
        <v>46388</v>
      </c>
      <c r="AE1013" s="167">
        <f t="shared" si="48"/>
        <v>0</v>
      </c>
    </row>
    <row r="1014" spans="1:31">
      <c r="A1014" s="197">
        <f t="shared" si="49"/>
        <v>46394</v>
      </c>
      <c r="B1014" s="167">
        <f>YEAR(Table7[[#This Row],[Date]])+IF(MONTH(Table7[[#This Row],[Date]])&gt;=4,1,0)</f>
        <v>2027</v>
      </c>
      <c r="C1014" s="167">
        <f>YEAR(Table7[[#This Row],[Date]])</f>
        <v>2027</v>
      </c>
      <c r="D1014" s="168">
        <f t="shared" si="47"/>
        <v>46388</v>
      </c>
      <c r="AE1014" s="167">
        <f t="shared" si="48"/>
        <v>0</v>
      </c>
    </row>
    <row r="1015" spans="1:31">
      <c r="A1015" s="197">
        <f t="shared" si="49"/>
        <v>46395</v>
      </c>
      <c r="B1015" s="167">
        <f>YEAR(Table7[[#This Row],[Date]])+IF(MONTH(Table7[[#This Row],[Date]])&gt;=4,1,0)</f>
        <v>2027</v>
      </c>
      <c r="C1015" s="167">
        <f>YEAR(Table7[[#This Row],[Date]])</f>
        <v>2027</v>
      </c>
      <c r="D1015" s="168">
        <f t="shared" si="47"/>
        <v>46388</v>
      </c>
      <c r="AE1015" s="167">
        <f t="shared" si="48"/>
        <v>0</v>
      </c>
    </row>
    <row r="1016" spans="1:31">
      <c r="A1016" s="197">
        <f t="shared" si="49"/>
        <v>46396</v>
      </c>
      <c r="B1016" s="167">
        <f>YEAR(Table7[[#This Row],[Date]])+IF(MONTH(Table7[[#This Row],[Date]])&gt;=4,1,0)</f>
        <v>2027</v>
      </c>
      <c r="C1016" s="167">
        <f>YEAR(Table7[[#This Row],[Date]])</f>
        <v>2027</v>
      </c>
      <c r="D1016" s="168">
        <f t="shared" si="47"/>
        <v>46388</v>
      </c>
      <c r="AE1016" s="167">
        <f t="shared" si="48"/>
        <v>0</v>
      </c>
    </row>
    <row r="1017" spans="1:31">
      <c r="A1017" s="197">
        <f t="shared" si="49"/>
        <v>46397</v>
      </c>
      <c r="B1017" s="167">
        <f>YEAR(Table7[[#This Row],[Date]])+IF(MONTH(Table7[[#This Row],[Date]])&gt;=4,1,0)</f>
        <v>2027</v>
      </c>
      <c r="C1017" s="167">
        <f>YEAR(Table7[[#This Row],[Date]])</f>
        <v>2027</v>
      </c>
      <c r="D1017" s="168">
        <f t="shared" si="47"/>
        <v>46388</v>
      </c>
      <c r="AE1017" s="167">
        <f t="shared" si="48"/>
        <v>0</v>
      </c>
    </row>
    <row r="1018" spans="1:31">
      <c r="A1018" s="197">
        <f t="shared" si="49"/>
        <v>46398</v>
      </c>
      <c r="B1018" s="167">
        <f>YEAR(Table7[[#This Row],[Date]])+IF(MONTH(Table7[[#This Row],[Date]])&gt;=4,1,0)</f>
        <v>2027</v>
      </c>
      <c r="C1018" s="167">
        <f>YEAR(Table7[[#This Row],[Date]])</f>
        <v>2027</v>
      </c>
      <c r="D1018" s="168">
        <f t="shared" si="47"/>
        <v>46388</v>
      </c>
      <c r="AE1018" s="167">
        <f t="shared" si="48"/>
        <v>0</v>
      </c>
    </row>
    <row r="1019" spans="1:31">
      <c r="A1019" s="197">
        <f t="shared" si="49"/>
        <v>46399</v>
      </c>
      <c r="B1019" s="167">
        <f>YEAR(Table7[[#This Row],[Date]])+IF(MONTH(Table7[[#This Row],[Date]])&gt;=4,1,0)</f>
        <v>2027</v>
      </c>
      <c r="C1019" s="167">
        <f>YEAR(Table7[[#This Row],[Date]])</f>
        <v>2027</v>
      </c>
      <c r="D1019" s="168">
        <f t="shared" si="47"/>
        <v>46388</v>
      </c>
      <c r="AE1019" s="167">
        <f t="shared" si="48"/>
        <v>0</v>
      </c>
    </row>
    <row r="1020" spans="1:31">
      <c r="A1020" s="197">
        <f t="shared" si="49"/>
        <v>46400</v>
      </c>
      <c r="B1020" s="167">
        <f>YEAR(Table7[[#This Row],[Date]])+IF(MONTH(Table7[[#This Row],[Date]])&gt;=4,1,0)</f>
        <v>2027</v>
      </c>
      <c r="C1020" s="167">
        <f>YEAR(Table7[[#This Row],[Date]])</f>
        <v>2027</v>
      </c>
      <c r="D1020" s="168">
        <f t="shared" si="47"/>
        <v>46388</v>
      </c>
      <c r="AE1020" s="167">
        <f t="shared" si="48"/>
        <v>0</v>
      </c>
    </row>
    <row r="1021" spans="1:31">
      <c r="A1021" s="197">
        <f t="shared" si="49"/>
        <v>46401</v>
      </c>
      <c r="B1021" s="167">
        <f>YEAR(Table7[[#This Row],[Date]])+IF(MONTH(Table7[[#This Row],[Date]])&gt;=4,1,0)</f>
        <v>2027</v>
      </c>
      <c r="C1021" s="167">
        <f>YEAR(Table7[[#This Row],[Date]])</f>
        <v>2027</v>
      </c>
      <c r="D1021" s="168">
        <f t="shared" si="47"/>
        <v>46388</v>
      </c>
      <c r="AE1021" s="167">
        <f t="shared" si="48"/>
        <v>0</v>
      </c>
    </row>
    <row r="1022" spans="1:31">
      <c r="A1022" s="197">
        <f t="shared" si="49"/>
        <v>46402</v>
      </c>
      <c r="B1022" s="167">
        <f>YEAR(Table7[[#This Row],[Date]])+IF(MONTH(Table7[[#This Row],[Date]])&gt;=4,1,0)</f>
        <v>2027</v>
      </c>
      <c r="C1022" s="167">
        <f>YEAR(Table7[[#This Row],[Date]])</f>
        <v>2027</v>
      </c>
      <c r="D1022" s="168">
        <f t="shared" si="47"/>
        <v>46388</v>
      </c>
      <c r="AE1022" s="167">
        <f t="shared" si="48"/>
        <v>0</v>
      </c>
    </row>
    <row r="1023" spans="1:31">
      <c r="A1023" s="197">
        <f t="shared" si="49"/>
        <v>46403</v>
      </c>
      <c r="B1023" s="167">
        <f>YEAR(Table7[[#This Row],[Date]])+IF(MONTH(Table7[[#This Row],[Date]])&gt;=4,1,0)</f>
        <v>2027</v>
      </c>
      <c r="C1023" s="167">
        <f>YEAR(Table7[[#This Row],[Date]])</f>
        <v>2027</v>
      </c>
      <c r="D1023" s="168">
        <f t="shared" si="47"/>
        <v>46388</v>
      </c>
      <c r="AE1023" s="167">
        <f t="shared" si="48"/>
        <v>0</v>
      </c>
    </row>
    <row r="1024" spans="1:31">
      <c r="A1024" s="197">
        <f t="shared" si="49"/>
        <v>46404</v>
      </c>
      <c r="B1024" s="167">
        <f>YEAR(Table7[[#This Row],[Date]])+IF(MONTH(Table7[[#This Row],[Date]])&gt;=4,1,0)</f>
        <v>2027</v>
      </c>
      <c r="C1024" s="167">
        <f>YEAR(Table7[[#This Row],[Date]])</f>
        <v>2027</v>
      </c>
      <c r="D1024" s="168">
        <f t="shared" si="47"/>
        <v>46388</v>
      </c>
      <c r="AE1024" s="167">
        <f t="shared" si="48"/>
        <v>0</v>
      </c>
    </row>
    <row r="1025" spans="1:31">
      <c r="A1025" s="197">
        <f t="shared" si="49"/>
        <v>46405</v>
      </c>
      <c r="B1025" s="167">
        <f>YEAR(Table7[[#This Row],[Date]])+IF(MONTH(Table7[[#This Row],[Date]])&gt;=4,1,0)</f>
        <v>2027</v>
      </c>
      <c r="C1025" s="167">
        <f>YEAR(Table7[[#This Row],[Date]])</f>
        <v>2027</v>
      </c>
      <c r="D1025" s="168">
        <f t="shared" si="47"/>
        <v>46388</v>
      </c>
      <c r="AE1025" s="167">
        <f t="shared" si="48"/>
        <v>0</v>
      </c>
    </row>
    <row r="1026" spans="1:31">
      <c r="A1026" s="197">
        <f t="shared" si="49"/>
        <v>46406</v>
      </c>
      <c r="B1026" s="167">
        <f>YEAR(Table7[[#This Row],[Date]])+IF(MONTH(Table7[[#This Row],[Date]])&gt;=4,1,0)</f>
        <v>2027</v>
      </c>
      <c r="C1026" s="167">
        <f>YEAR(Table7[[#This Row],[Date]])</f>
        <v>2027</v>
      </c>
      <c r="D1026" s="168">
        <f t="shared" si="47"/>
        <v>46388</v>
      </c>
      <c r="AE1026" s="167">
        <f t="shared" si="48"/>
        <v>0</v>
      </c>
    </row>
    <row r="1027" spans="1:31">
      <c r="A1027" s="197">
        <f t="shared" si="49"/>
        <v>46407</v>
      </c>
      <c r="B1027" s="167">
        <f>YEAR(Table7[[#This Row],[Date]])+IF(MONTH(Table7[[#This Row],[Date]])&gt;=4,1,0)</f>
        <v>2027</v>
      </c>
      <c r="C1027" s="167">
        <f>YEAR(Table7[[#This Row],[Date]])</f>
        <v>2027</v>
      </c>
      <c r="D1027" s="168">
        <f t="shared" ref="D1027:D1090" si="50">A1027-DAY(A1027)+1</f>
        <v>46388</v>
      </c>
      <c r="AE1027" s="167">
        <f t="shared" ref="AE1027:AE1090" si="51">SUM(E1027:AD1027)</f>
        <v>0</v>
      </c>
    </row>
    <row r="1028" spans="1:31">
      <c r="A1028" s="197">
        <f t="shared" si="49"/>
        <v>46408</v>
      </c>
      <c r="B1028" s="167">
        <f>YEAR(Table7[[#This Row],[Date]])+IF(MONTH(Table7[[#This Row],[Date]])&gt;=4,1,0)</f>
        <v>2027</v>
      </c>
      <c r="C1028" s="167">
        <f>YEAR(Table7[[#This Row],[Date]])</f>
        <v>2027</v>
      </c>
      <c r="D1028" s="168">
        <f t="shared" si="50"/>
        <v>46388</v>
      </c>
      <c r="AE1028" s="167">
        <f t="shared" si="51"/>
        <v>0</v>
      </c>
    </row>
    <row r="1029" spans="1:31">
      <c r="A1029" s="197">
        <f t="shared" ref="A1029:A1092" si="52">A1028+1</f>
        <v>46409</v>
      </c>
      <c r="B1029" s="167">
        <f>YEAR(Table7[[#This Row],[Date]])+IF(MONTH(Table7[[#This Row],[Date]])&gt;=4,1,0)</f>
        <v>2027</v>
      </c>
      <c r="C1029" s="167">
        <f>YEAR(Table7[[#This Row],[Date]])</f>
        <v>2027</v>
      </c>
      <c r="D1029" s="168">
        <f t="shared" si="50"/>
        <v>46388</v>
      </c>
      <c r="AE1029" s="167">
        <f t="shared" si="51"/>
        <v>0</v>
      </c>
    </row>
    <row r="1030" spans="1:31">
      <c r="A1030" s="197">
        <f t="shared" si="52"/>
        <v>46410</v>
      </c>
      <c r="B1030" s="167">
        <f>YEAR(Table7[[#This Row],[Date]])+IF(MONTH(Table7[[#This Row],[Date]])&gt;=4,1,0)</f>
        <v>2027</v>
      </c>
      <c r="C1030" s="167">
        <f>YEAR(Table7[[#This Row],[Date]])</f>
        <v>2027</v>
      </c>
      <c r="D1030" s="168">
        <f t="shared" si="50"/>
        <v>46388</v>
      </c>
      <c r="AE1030" s="167">
        <f t="shared" si="51"/>
        <v>0</v>
      </c>
    </row>
    <row r="1031" spans="1:31">
      <c r="A1031" s="197">
        <f t="shared" si="52"/>
        <v>46411</v>
      </c>
      <c r="B1031" s="167">
        <f>YEAR(Table7[[#This Row],[Date]])+IF(MONTH(Table7[[#This Row],[Date]])&gt;=4,1,0)</f>
        <v>2027</v>
      </c>
      <c r="C1031" s="167">
        <f>YEAR(Table7[[#This Row],[Date]])</f>
        <v>2027</v>
      </c>
      <c r="D1031" s="168">
        <f t="shared" si="50"/>
        <v>46388</v>
      </c>
      <c r="AE1031" s="167">
        <f t="shared" si="51"/>
        <v>0</v>
      </c>
    </row>
    <row r="1032" spans="1:31">
      <c r="A1032" s="197">
        <f t="shared" si="52"/>
        <v>46412</v>
      </c>
      <c r="B1032" s="167">
        <f>YEAR(Table7[[#This Row],[Date]])+IF(MONTH(Table7[[#This Row],[Date]])&gt;=4,1,0)</f>
        <v>2027</v>
      </c>
      <c r="C1032" s="167">
        <f>YEAR(Table7[[#This Row],[Date]])</f>
        <v>2027</v>
      </c>
      <c r="D1032" s="168">
        <f t="shared" si="50"/>
        <v>46388</v>
      </c>
      <c r="AE1032" s="167">
        <f t="shared" si="51"/>
        <v>0</v>
      </c>
    </row>
    <row r="1033" spans="1:31">
      <c r="A1033" s="197">
        <f t="shared" si="52"/>
        <v>46413</v>
      </c>
      <c r="B1033" s="167">
        <f>YEAR(Table7[[#This Row],[Date]])+IF(MONTH(Table7[[#This Row],[Date]])&gt;=4,1,0)</f>
        <v>2027</v>
      </c>
      <c r="C1033" s="167">
        <f>YEAR(Table7[[#This Row],[Date]])</f>
        <v>2027</v>
      </c>
      <c r="D1033" s="168">
        <f t="shared" si="50"/>
        <v>46388</v>
      </c>
      <c r="AE1033" s="167">
        <f t="shared" si="51"/>
        <v>0</v>
      </c>
    </row>
    <row r="1034" spans="1:31">
      <c r="A1034" s="197">
        <f t="shared" si="52"/>
        <v>46414</v>
      </c>
      <c r="B1034" s="167">
        <f>YEAR(Table7[[#This Row],[Date]])+IF(MONTH(Table7[[#This Row],[Date]])&gt;=4,1,0)</f>
        <v>2027</v>
      </c>
      <c r="C1034" s="167">
        <f>YEAR(Table7[[#This Row],[Date]])</f>
        <v>2027</v>
      </c>
      <c r="D1034" s="168">
        <f t="shared" si="50"/>
        <v>46388</v>
      </c>
      <c r="AE1034" s="167">
        <f t="shared" si="51"/>
        <v>0</v>
      </c>
    </row>
    <row r="1035" spans="1:31">
      <c r="A1035" s="197">
        <f t="shared" si="52"/>
        <v>46415</v>
      </c>
      <c r="B1035" s="167">
        <f>YEAR(Table7[[#This Row],[Date]])+IF(MONTH(Table7[[#This Row],[Date]])&gt;=4,1,0)</f>
        <v>2027</v>
      </c>
      <c r="C1035" s="167">
        <f>YEAR(Table7[[#This Row],[Date]])</f>
        <v>2027</v>
      </c>
      <c r="D1035" s="168">
        <f t="shared" si="50"/>
        <v>46388</v>
      </c>
      <c r="AE1035" s="167">
        <f t="shared" si="51"/>
        <v>0</v>
      </c>
    </row>
    <row r="1036" spans="1:31">
      <c r="A1036" s="197">
        <f t="shared" si="52"/>
        <v>46416</v>
      </c>
      <c r="B1036" s="167">
        <f>YEAR(Table7[[#This Row],[Date]])+IF(MONTH(Table7[[#This Row],[Date]])&gt;=4,1,0)</f>
        <v>2027</v>
      </c>
      <c r="C1036" s="167">
        <f>YEAR(Table7[[#This Row],[Date]])</f>
        <v>2027</v>
      </c>
      <c r="D1036" s="168">
        <f t="shared" si="50"/>
        <v>46388</v>
      </c>
      <c r="AE1036" s="167">
        <f t="shared" si="51"/>
        <v>0</v>
      </c>
    </row>
    <row r="1037" spans="1:31">
      <c r="A1037" s="197">
        <f t="shared" si="52"/>
        <v>46417</v>
      </c>
      <c r="B1037" s="167">
        <f>YEAR(Table7[[#This Row],[Date]])+IF(MONTH(Table7[[#This Row],[Date]])&gt;=4,1,0)</f>
        <v>2027</v>
      </c>
      <c r="C1037" s="167">
        <f>YEAR(Table7[[#This Row],[Date]])</f>
        <v>2027</v>
      </c>
      <c r="D1037" s="168">
        <f t="shared" si="50"/>
        <v>46388</v>
      </c>
      <c r="AE1037" s="167">
        <f t="shared" si="51"/>
        <v>0</v>
      </c>
    </row>
    <row r="1038" spans="1:31">
      <c r="A1038" s="197">
        <f t="shared" si="52"/>
        <v>46418</v>
      </c>
      <c r="B1038" s="167">
        <f>YEAR(Table7[[#This Row],[Date]])+IF(MONTH(Table7[[#This Row],[Date]])&gt;=4,1,0)</f>
        <v>2027</v>
      </c>
      <c r="C1038" s="167">
        <f>YEAR(Table7[[#This Row],[Date]])</f>
        <v>2027</v>
      </c>
      <c r="D1038" s="168">
        <f t="shared" si="50"/>
        <v>46388</v>
      </c>
      <c r="AE1038" s="167">
        <f t="shared" si="51"/>
        <v>0</v>
      </c>
    </row>
    <row r="1039" spans="1:31">
      <c r="A1039" s="197">
        <f t="shared" si="52"/>
        <v>46419</v>
      </c>
      <c r="B1039" s="167">
        <f>YEAR(Table7[[#This Row],[Date]])+IF(MONTH(Table7[[#This Row],[Date]])&gt;=4,1,0)</f>
        <v>2027</v>
      </c>
      <c r="C1039" s="167">
        <f>YEAR(Table7[[#This Row],[Date]])</f>
        <v>2027</v>
      </c>
      <c r="D1039" s="168">
        <f t="shared" si="50"/>
        <v>46419</v>
      </c>
      <c r="AE1039" s="167">
        <f t="shared" si="51"/>
        <v>0</v>
      </c>
    </row>
    <row r="1040" spans="1:31">
      <c r="A1040" s="197">
        <f t="shared" si="52"/>
        <v>46420</v>
      </c>
      <c r="B1040" s="167">
        <f>YEAR(Table7[[#This Row],[Date]])+IF(MONTH(Table7[[#This Row],[Date]])&gt;=4,1,0)</f>
        <v>2027</v>
      </c>
      <c r="C1040" s="167">
        <f>YEAR(Table7[[#This Row],[Date]])</f>
        <v>2027</v>
      </c>
      <c r="D1040" s="168">
        <f t="shared" si="50"/>
        <v>46419</v>
      </c>
      <c r="AE1040" s="167">
        <f t="shared" si="51"/>
        <v>0</v>
      </c>
    </row>
    <row r="1041" spans="1:31">
      <c r="A1041" s="197">
        <f t="shared" si="52"/>
        <v>46421</v>
      </c>
      <c r="B1041" s="167">
        <f>YEAR(Table7[[#This Row],[Date]])+IF(MONTH(Table7[[#This Row],[Date]])&gt;=4,1,0)</f>
        <v>2027</v>
      </c>
      <c r="C1041" s="167">
        <f>YEAR(Table7[[#This Row],[Date]])</f>
        <v>2027</v>
      </c>
      <c r="D1041" s="168">
        <f t="shared" si="50"/>
        <v>46419</v>
      </c>
      <c r="AE1041" s="167">
        <f t="shared" si="51"/>
        <v>0</v>
      </c>
    </row>
    <row r="1042" spans="1:31">
      <c r="A1042" s="197">
        <f t="shared" si="52"/>
        <v>46422</v>
      </c>
      <c r="B1042" s="167">
        <f>YEAR(Table7[[#This Row],[Date]])+IF(MONTH(Table7[[#This Row],[Date]])&gt;=4,1,0)</f>
        <v>2027</v>
      </c>
      <c r="C1042" s="167">
        <f>YEAR(Table7[[#This Row],[Date]])</f>
        <v>2027</v>
      </c>
      <c r="D1042" s="168">
        <f t="shared" si="50"/>
        <v>46419</v>
      </c>
      <c r="AE1042" s="167">
        <f t="shared" si="51"/>
        <v>0</v>
      </c>
    </row>
    <row r="1043" spans="1:31">
      <c r="A1043" s="197">
        <f t="shared" si="52"/>
        <v>46423</v>
      </c>
      <c r="B1043" s="167">
        <f>YEAR(Table7[[#This Row],[Date]])+IF(MONTH(Table7[[#This Row],[Date]])&gt;=4,1,0)</f>
        <v>2027</v>
      </c>
      <c r="C1043" s="167">
        <f>YEAR(Table7[[#This Row],[Date]])</f>
        <v>2027</v>
      </c>
      <c r="D1043" s="168">
        <f t="shared" si="50"/>
        <v>46419</v>
      </c>
      <c r="AE1043" s="167">
        <f t="shared" si="51"/>
        <v>0</v>
      </c>
    </row>
    <row r="1044" spans="1:31">
      <c r="A1044" s="197">
        <f t="shared" si="52"/>
        <v>46424</v>
      </c>
      <c r="B1044" s="167">
        <f>YEAR(Table7[[#This Row],[Date]])+IF(MONTH(Table7[[#This Row],[Date]])&gt;=4,1,0)</f>
        <v>2027</v>
      </c>
      <c r="C1044" s="167">
        <f>YEAR(Table7[[#This Row],[Date]])</f>
        <v>2027</v>
      </c>
      <c r="D1044" s="168">
        <f t="shared" si="50"/>
        <v>46419</v>
      </c>
      <c r="AE1044" s="167">
        <f t="shared" si="51"/>
        <v>0</v>
      </c>
    </row>
    <row r="1045" spans="1:31">
      <c r="A1045" s="197">
        <f t="shared" si="52"/>
        <v>46425</v>
      </c>
      <c r="B1045" s="167">
        <f>YEAR(Table7[[#This Row],[Date]])+IF(MONTH(Table7[[#This Row],[Date]])&gt;=4,1,0)</f>
        <v>2027</v>
      </c>
      <c r="C1045" s="167">
        <f>YEAR(Table7[[#This Row],[Date]])</f>
        <v>2027</v>
      </c>
      <c r="D1045" s="168">
        <f t="shared" si="50"/>
        <v>46419</v>
      </c>
      <c r="AE1045" s="167">
        <f t="shared" si="51"/>
        <v>0</v>
      </c>
    </row>
    <row r="1046" spans="1:31">
      <c r="A1046" s="197">
        <f t="shared" si="52"/>
        <v>46426</v>
      </c>
      <c r="B1046" s="167">
        <f>YEAR(Table7[[#This Row],[Date]])+IF(MONTH(Table7[[#This Row],[Date]])&gt;=4,1,0)</f>
        <v>2027</v>
      </c>
      <c r="C1046" s="167">
        <f>YEAR(Table7[[#This Row],[Date]])</f>
        <v>2027</v>
      </c>
      <c r="D1046" s="168">
        <f t="shared" si="50"/>
        <v>46419</v>
      </c>
      <c r="AE1046" s="167">
        <f t="shared" si="51"/>
        <v>0</v>
      </c>
    </row>
    <row r="1047" spans="1:31">
      <c r="A1047" s="197">
        <f t="shared" si="52"/>
        <v>46427</v>
      </c>
      <c r="B1047" s="167">
        <f>YEAR(Table7[[#This Row],[Date]])+IF(MONTH(Table7[[#This Row],[Date]])&gt;=4,1,0)</f>
        <v>2027</v>
      </c>
      <c r="C1047" s="167">
        <f>YEAR(Table7[[#This Row],[Date]])</f>
        <v>2027</v>
      </c>
      <c r="D1047" s="168">
        <f t="shared" si="50"/>
        <v>46419</v>
      </c>
      <c r="AE1047" s="167">
        <f t="shared" si="51"/>
        <v>0</v>
      </c>
    </row>
    <row r="1048" spans="1:31">
      <c r="A1048" s="197">
        <f t="shared" si="52"/>
        <v>46428</v>
      </c>
      <c r="B1048" s="167">
        <f>YEAR(Table7[[#This Row],[Date]])+IF(MONTH(Table7[[#This Row],[Date]])&gt;=4,1,0)</f>
        <v>2027</v>
      </c>
      <c r="C1048" s="167">
        <f>YEAR(Table7[[#This Row],[Date]])</f>
        <v>2027</v>
      </c>
      <c r="D1048" s="168">
        <f t="shared" si="50"/>
        <v>46419</v>
      </c>
      <c r="AE1048" s="167">
        <f t="shared" si="51"/>
        <v>0</v>
      </c>
    </row>
    <row r="1049" spans="1:31">
      <c r="A1049" s="197">
        <f t="shared" si="52"/>
        <v>46429</v>
      </c>
      <c r="B1049" s="167">
        <f>YEAR(Table7[[#This Row],[Date]])+IF(MONTH(Table7[[#This Row],[Date]])&gt;=4,1,0)</f>
        <v>2027</v>
      </c>
      <c r="C1049" s="167">
        <f>YEAR(Table7[[#This Row],[Date]])</f>
        <v>2027</v>
      </c>
      <c r="D1049" s="168">
        <f t="shared" si="50"/>
        <v>46419</v>
      </c>
      <c r="AE1049" s="167">
        <f t="shared" si="51"/>
        <v>0</v>
      </c>
    </row>
    <row r="1050" spans="1:31">
      <c r="A1050" s="197">
        <f t="shared" si="52"/>
        <v>46430</v>
      </c>
      <c r="B1050" s="167">
        <f>YEAR(Table7[[#This Row],[Date]])+IF(MONTH(Table7[[#This Row],[Date]])&gt;=4,1,0)</f>
        <v>2027</v>
      </c>
      <c r="C1050" s="167">
        <f>YEAR(Table7[[#This Row],[Date]])</f>
        <v>2027</v>
      </c>
      <c r="D1050" s="168">
        <f t="shared" si="50"/>
        <v>46419</v>
      </c>
      <c r="AE1050" s="167">
        <f t="shared" si="51"/>
        <v>0</v>
      </c>
    </row>
    <row r="1051" spans="1:31">
      <c r="A1051" s="197">
        <f t="shared" si="52"/>
        <v>46431</v>
      </c>
      <c r="B1051" s="167">
        <f>YEAR(Table7[[#This Row],[Date]])+IF(MONTH(Table7[[#This Row],[Date]])&gt;=4,1,0)</f>
        <v>2027</v>
      </c>
      <c r="C1051" s="167">
        <f>YEAR(Table7[[#This Row],[Date]])</f>
        <v>2027</v>
      </c>
      <c r="D1051" s="168">
        <f t="shared" si="50"/>
        <v>46419</v>
      </c>
      <c r="AE1051" s="167">
        <f t="shared" si="51"/>
        <v>0</v>
      </c>
    </row>
    <row r="1052" spans="1:31">
      <c r="A1052" s="197">
        <f t="shared" si="52"/>
        <v>46432</v>
      </c>
      <c r="B1052" s="167">
        <f>YEAR(Table7[[#This Row],[Date]])+IF(MONTH(Table7[[#This Row],[Date]])&gt;=4,1,0)</f>
        <v>2027</v>
      </c>
      <c r="C1052" s="167">
        <f>YEAR(Table7[[#This Row],[Date]])</f>
        <v>2027</v>
      </c>
      <c r="D1052" s="168">
        <f t="shared" si="50"/>
        <v>46419</v>
      </c>
      <c r="AE1052" s="167">
        <f t="shared" si="51"/>
        <v>0</v>
      </c>
    </row>
    <row r="1053" spans="1:31">
      <c r="A1053" s="197">
        <f t="shared" si="52"/>
        <v>46433</v>
      </c>
      <c r="B1053" s="167">
        <f>YEAR(Table7[[#This Row],[Date]])+IF(MONTH(Table7[[#This Row],[Date]])&gt;=4,1,0)</f>
        <v>2027</v>
      </c>
      <c r="C1053" s="167">
        <f>YEAR(Table7[[#This Row],[Date]])</f>
        <v>2027</v>
      </c>
      <c r="D1053" s="168">
        <f t="shared" si="50"/>
        <v>46419</v>
      </c>
      <c r="AE1053" s="167">
        <f t="shared" si="51"/>
        <v>0</v>
      </c>
    </row>
    <row r="1054" spans="1:31">
      <c r="A1054" s="197">
        <f t="shared" si="52"/>
        <v>46434</v>
      </c>
      <c r="B1054" s="167">
        <f>YEAR(Table7[[#This Row],[Date]])+IF(MONTH(Table7[[#This Row],[Date]])&gt;=4,1,0)</f>
        <v>2027</v>
      </c>
      <c r="C1054" s="167">
        <f>YEAR(Table7[[#This Row],[Date]])</f>
        <v>2027</v>
      </c>
      <c r="D1054" s="168">
        <f t="shared" si="50"/>
        <v>46419</v>
      </c>
      <c r="AE1054" s="167">
        <f t="shared" si="51"/>
        <v>0</v>
      </c>
    </row>
    <row r="1055" spans="1:31">
      <c r="A1055" s="197">
        <f t="shared" si="52"/>
        <v>46435</v>
      </c>
      <c r="B1055" s="167">
        <f>YEAR(Table7[[#This Row],[Date]])+IF(MONTH(Table7[[#This Row],[Date]])&gt;=4,1,0)</f>
        <v>2027</v>
      </c>
      <c r="C1055" s="167">
        <f>YEAR(Table7[[#This Row],[Date]])</f>
        <v>2027</v>
      </c>
      <c r="D1055" s="168">
        <f t="shared" si="50"/>
        <v>46419</v>
      </c>
      <c r="AE1055" s="167">
        <f t="shared" si="51"/>
        <v>0</v>
      </c>
    </row>
    <row r="1056" spans="1:31">
      <c r="A1056" s="197">
        <f t="shared" si="52"/>
        <v>46436</v>
      </c>
      <c r="B1056" s="167">
        <f>YEAR(Table7[[#This Row],[Date]])+IF(MONTH(Table7[[#This Row],[Date]])&gt;=4,1,0)</f>
        <v>2027</v>
      </c>
      <c r="C1056" s="167">
        <f>YEAR(Table7[[#This Row],[Date]])</f>
        <v>2027</v>
      </c>
      <c r="D1056" s="168">
        <f t="shared" si="50"/>
        <v>46419</v>
      </c>
      <c r="AE1056" s="167">
        <f t="shared" si="51"/>
        <v>0</v>
      </c>
    </row>
    <row r="1057" spans="1:31">
      <c r="A1057" s="197">
        <f t="shared" si="52"/>
        <v>46437</v>
      </c>
      <c r="B1057" s="167">
        <f>YEAR(Table7[[#This Row],[Date]])+IF(MONTH(Table7[[#This Row],[Date]])&gt;=4,1,0)</f>
        <v>2027</v>
      </c>
      <c r="C1057" s="167">
        <f>YEAR(Table7[[#This Row],[Date]])</f>
        <v>2027</v>
      </c>
      <c r="D1057" s="168">
        <f t="shared" si="50"/>
        <v>46419</v>
      </c>
      <c r="AE1057" s="167">
        <f t="shared" si="51"/>
        <v>0</v>
      </c>
    </row>
    <row r="1058" spans="1:31">
      <c r="A1058" s="197">
        <f t="shared" si="52"/>
        <v>46438</v>
      </c>
      <c r="B1058" s="167">
        <f>YEAR(Table7[[#This Row],[Date]])+IF(MONTH(Table7[[#This Row],[Date]])&gt;=4,1,0)</f>
        <v>2027</v>
      </c>
      <c r="C1058" s="167">
        <f>YEAR(Table7[[#This Row],[Date]])</f>
        <v>2027</v>
      </c>
      <c r="D1058" s="168">
        <f t="shared" si="50"/>
        <v>46419</v>
      </c>
      <c r="AE1058" s="167">
        <f t="shared" si="51"/>
        <v>0</v>
      </c>
    </row>
    <row r="1059" spans="1:31">
      <c r="A1059" s="197">
        <f t="shared" si="52"/>
        <v>46439</v>
      </c>
      <c r="B1059" s="167">
        <f>YEAR(Table7[[#This Row],[Date]])+IF(MONTH(Table7[[#This Row],[Date]])&gt;=4,1,0)</f>
        <v>2027</v>
      </c>
      <c r="C1059" s="167">
        <f>YEAR(Table7[[#This Row],[Date]])</f>
        <v>2027</v>
      </c>
      <c r="D1059" s="168">
        <f t="shared" si="50"/>
        <v>46419</v>
      </c>
      <c r="AE1059" s="167">
        <f t="shared" si="51"/>
        <v>0</v>
      </c>
    </row>
    <row r="1060" spans="1:31">
      <c r="A1060" s="197">
        <f t="shared" si="52"/>
        <v>46440</v>
      </c>
      <c r="B1060" s="167">
        <f>YEAR(Table7[[#This Row],[Date]])+IF(MONTH(Table7[[#This Row],[Date]])&gt;=4,1,0)</f>
        <v>2027</v>
      </c>
      <c r="C1060" s="167">
        <f>YEAR(Table7[[#This Row],[Date]])</f>
        <v>2027</v>
      </c>
      <c r="D1060" s="168">
        <f t="shared" si="50"/>
        <v>46419</v>
      </c>
      <c r="AE1060" s="167">
        <f t="shared" si="51"/>
        <v>0</v>
      </c>
    </row>
    <row r="1061" spans="1:31">
      <c r="A1061" s="197">
        <f t="shared" si="52"/>
        <v>46441</v>
      </c>
      <c r="B1061" s="167">
        <f>YEAR(Table7[[#This Row],[Date]])+IF(MONTH(Table7[[#This Row],[Date]])&gt;=4,1,0)</f>
        <v>2027</v>
      </c>
      <c r="C1061" s="167">
        <f>YEAR(Table7[[#This Row],[Date]])</f>
        <v>2027</v>
      </c>
      <c r="D1061" s="168">
        <f t="shared" si="50"/>
        <v>46419</v>
      </c>
      <c r="AE1061" s="167">
        <f t="shared" si="51"/>
        <v>0</v>
      </c>
    </row>
    <row r="1062" spans="1:31">
      <c r="A1062" s="197">
        <f t="shared" si="52"/>
        <v>46442</v>
      </c>
      <c r="B1062" s="167">
        <f>YEAR(Table7[[#This Row],[Date]])+IF(MONTH(Table7[[#This Row],[Date]])&gt;=4,1,0)</f>
        <v>2027</v>
      </c>
      <c r="C1062" s="167">
        <f>YEAR(Table7[[#This Row],[Date]])</f>
        <v>2027</v>
      </c>
      <c r="D1062" s="168">
        <f t="shared" si="50"/>
        <v>46419</v>
      </c>
      <c r="AE1062" s="167">
        <f t="shared" si="51"/>
        <v>0</v>
      </c>
    </row>
    <row r="1063" spans="1:31">
      <c r="A1063" s="197">
        <f t="shared" si="52"/>
        <v>46443</v>
      </c>
      <c r="B1063" s="167">
        <f>YEAR(Table7[[#This Row],[Date]])+IF(MONTH(Table7[[#This Row],[Date]])&gt;=4,1,0)</f>
        <v>2027</v>
      </c>
      <c r="C1063" s="167">
        <f>YEAR(Table7[[#This Row],[Date]])</f>
        <v>2027</v>
      </c>
      <c r="D1063" s="168">
        <f t="shared" si="50"/>
        <v>46419</v>
      </c>
      <c r="AE1063" s="167">
        <f t="shared" si="51"/>
        <v>0</v>
      </c>
    </row>
    <row r="1064" spans="1:31">
      <c r="A1064" s="197">
        <f t="shared" si="52"/>
        <v>46444</v>
      </c>
      <c r="B1064" s="167">
        <f>YEAR(Table7[[#This Row],[Date]])+IF(MONTH(Table7[[#This Row],[Date]])&gt;=4,1,0)</f>
        <v>2027</v>
      </c>
      <c r="C1064" s="167">
        <f>YEAR(Table7[[#This Row],[Date]])</f>
        <v>2027</v>
      </c>
      <c r="D1064" s="168">
        <f t="shared" si="50"/>
        <v>46419</v>
      </c>
      <c r="AE1064" s="167">
        <f t="shared" si="51"/>
        <v>0</v>
      </c>
    </row>
    <row r="1065" spans="1:31">
      <c r="A1065" s="197">
        <f t="shared" si="52"/>
        <v>46445</v>
      </c>
      <c r="B1065" s="167">
        <f>YEAR(Table7[[#This Row],[Date]])+IF(MONTH(Table7[[#This Row],[Date]])&gt;=4,1,0)</f>
        <v>2027</v>
      </c>
      <c r="C1065" s="167">
        <f>YEAR(Table7[[#This Row],[Date]])</f>
        <v>2027</v>
      </c>
      <c r="D1065" s="168">
        <f t="shared" si="50"/>
        <v>46419</v>
      </c>
      <c r="AE1065" s="167">
        <f t="shared" si="51"/>
        <v>0</v>
      </c>
    </row>
    <row r="1066" spans="1:31">
      <c r="A1066" s="197">
        <f t="shared" si="52"/>
        <v>46446</v>
      </c>
      <c r="B1066" s="167">
        <f>YEAR(Table7[[#This Row],[Date]])+IF(MONTH(Table7[[#This Row],[Date]])&gt;=4,1,0)</f>
        <v>2027</v>
      </c>
      <c r="C1066" s="167">
        <f>YEAR(Table7[[#This Row],[Date]])</f>
        <v>2027</v>
      </c>
      <c r="D1066" s="168">
        <f t="shared" si="50"/>
        <v>46419</v>
      </c>
      <c r="AE1066" s="167">
        <f t="shared" si="51"/>
        <v>0</v>
      </c>
    </row>
    <row r="1067" spans="1:31">
      <c r="A1067" s="197">
        <f t="shared" si="52"/>
        <v>46447</v>
      </c>
      <c r="B1067" s="167">
        <f>YEAR(Table7[[#This Row],[Date]])+IF(MONTH(Table7[[#This Row],[Date]])&gt;=4,1,0)</f>
        <v>2027</v>
      </c>
      <c r="C1067" s="167">
        <f>YEAR(Table7[[#This Row],[Date]])</f>
        <v>2027</v>
      </c>
      <c r="D1067" s="168">
        <f t="shared" si="50"/>
        <v>46447</v>
      </c>
      <c r="AE1067" s="167">
        <f t="shared" si="51"/>
        <v>0</v>
      </c>
    </row>
    <row r="1068" spans="1:31">
      <c r="A1068" s="197">
        <f t="shared" si="52"/>
        <v>46448</v>
      </c>
      <c r="B1068" s="167">
        <f>YEAR(Table7[[#This Row],[Date]])+IF(MONTH(Table7[[#This Row],[Date]])&gt;=4,1,0)</f>
        <v>2027</v>
      </c>
      <c r="C1068" s="167">
        <f>YEAR(Table7[[#This Row],[Date]])</f>
        <v>2027</v>
      </c>
      <c r="D1068" s="168">
        <f t="shared" si="50"/>
        <v>46447</v>
      </c>
      <c r="AE1068" s="167">
        <f t="shared" si="51"/>
        <v>0</v>
      </c>
    </row>
    <row r="1069" spans="1:31">
      <c r="A1069" s="197">
        <f t="shared" si="52"/>
        <v>46449</v>
      </c>
      <c r="B1069" s="167">
        <f>YEAR(Table7[[#This Row],[Date]])+IF(MONTH(Table7[[#This Row],[Date]])&gt;=4,1,0)</f>
        <v>2027</v>
      </c>
      <c r="C1069" s="167">
        <f>YEAR(Table7[[#This Row],[Date]])</f>
        <v>2027</v>
      </c>
      <c r="D1069" s="168">
        <f t="shared" si="50"/>
        <v>46447</v>
      </c>
      <c r="AE1069" s="167">
        <f t="shared" si="51"/>
        <v>0</v>
      </c>
    </row>
    <row r="1070" spans="1:31">
      <c r="A1070" s="197">
        <f t="shared" si="52"/>
        <v>46450</v>
      </c>
      <c r="B1070" s="167">
        <f>YEAR(Table7[[#This Row],[Date]])+IF(MONTH(Table7[[#This Row],[Date]])&gt;=4,1,0)</f>
        <v>2027</v>
      </c>
      <c r="C1070" s="167">
        <f>YEAR(Table7[[#This Row],[Date]])</f>
        <v>2027</v>
      </c>
      <c r="D1070" s="168">
        <f t="shared" si="50"/>
        <v>46447</v>
      </c>
      <c r="AE1070" s="167">
        <f t="shared" si="51"/>
        <v>0</v>
      </c>
    </row>
    <row r="1071" spans="1:31">
      <c r="A1071" s="197">
        <f t="shared" si="52"/>
        <v>46451</v>
      </c>
      <c r="B1071" s="167">
        <f>YEAR(Table7[[#This Row],[Date]])+IF(MONTH(Table7[[#This Row],[Date]])&gt;=4,1,0)</f>
        <v>2027</v>
      </c>
      <c r="C1071" s="167">
        <f>YEAR(Table7[[#This Row],[Date]])</f>
        <v>2027</v>
      </c>
      <c r="D1071" s="168">
        <f t="shared" si="50"/>
        <v>46447</v>
      </c>
      <c r="AE1071" s="167">
        <f t="shared" si="51"/>
        <v>0</v>
      </c>
    </row>
    <row r="1072" spans="1:31">
      <c r="A1072" s="197">
        <f t="shared" si="52"/>
        <v>46452</v>
      </c>
      <c r="B1072" s="167">
        <f>YEAR(Table7[[#This Row],[Date]])+IF(MONTH(Table7[[#This Row],[Date]])&gt;=4,1,0)</f>
        <v>2027</v>
      </c>
      <c r="C1072" s="167">
        <f>YEAR(Table7[[#This Row],[Date]])</f>
        <v>2027</v>
      </c>
      <c r="D1072" s="168">
        <f t="shared" si="50"/>
        <v>46447</v>
      </c>
      <c r="AE1072" s="167">
        <f t="shared" si="51"/>
        <v>0</v>
      </c>
    </row>
    <row r="1073" spans="1:31">
      <c r="A1073" s="197">
        <f t="shared" si="52"/>
        <v>46453</v>
      </c>
      <c r="B1073" s="167">
        <f>YEAR(Table7[[#This Row],[Date]])+IF(MONTH(Table7[[#This Row],[Date]])&gt;=4,1,0)</f>
        <v>2027</v>
      </c>
      <c r="C1073" s="167">
        <f>YEAR(Table7[[#This Row],[Date]])</f>
        <v>2027</v>
      </c>
      <c r="D1073" s="168">
        <f t="shared" si="50"/>
        <v>46447</v>
      </c>
      <c r="AE1073" s="167">
        <f t="shared" si="51"/>
        <v>0</v>
      </c>
    </row>
    <row r="1074" spans="1:31">
      <c r="A1074" s="197">
        <f t="shared" si="52"/>
        <v>46454</v>
      </c>
      <c r="B1074" s="167">
        <f>YEAR(Table7[[#This Row],[Date]])+IF(MONTH(Table7[[#This Row],[Date]])&gt;=4,1,0)</f>
        <v>2027</v>
      </c>
      <c r="C1074" s="167">
        <f>YEAR(Table7[[#This Row],[Date]])</f>
        <v>2027</v>
      </c>
      <c r="D1074" s="168">
        <f t="shared" si="50"/>
        <v>46447</v>
      </c>
      <c r="AE1074" s="167">
        <f t="shared" si="51"/>
        <v>0</v>
      </c>
    </row>
    <row r="1075" spans="1:31">
      <c r="A1075" s="197">
        <f t="shared" si="52"/>
        <v>46455</v>
      </c>
      <c r="B1075" s="167">
        <f>YEAR(Table7[[#This Row],[Date]])+IF(MONTH(Table7[[#This Row],[Date]])&gt;=4,1,0)</f>
        <v>2027</v>
      </c>
      <c r="C1075" s="167">
        <f>YEAR(Table7[[#This Row],[Date]])</f>
        <v>2027</v>
      </c>
      <c r="D1075" s="168">
        <f t="shared" si="50"/>
        <v>46447</v>
      </c>
      <c r="AE1075" s="167">
        <f t="shared" si="51"/>
        <v>0</v>
      </c>
    </row>
    <row r="1076" spans="1:31">
      <c r="A1076" s="197">
        <f t="shared" si="52"/>
        <v>46456</v>
      </c>
      <c r="B1076" s="167">
        <f>YEAR(Table7[[#This Row],[Date]])+IF(MONTH(Table7[[#This Row],[Date]])&gt;=4,1,0)</f>
        <v>2027</v>
      </c>
      <c r="C1076" s="167">
        <f>YEAR(Table7[[#This Row],[Date]])</f>
        <v>2027</v>
      </c>
      <c r="D1076" s="168">
        <f t="shared" si="50"/>
        <v>46447</v>
      </c>
      <c r="AE1076" s="167">
        <f t="shared" si="51"/>
        <v>0</v>
      </c>
    </row>
    <row r="1077" spans="1:31">
      <c r="A1077" s="197">
        <f t="shared" si="52"/>
        <v>46457</v>
      </c>
      <c r="B1077" s="167">
        <f>YEAR(Table7[[#This Row],[Date]])+IF(MONTH(Table7[[#This Row],[Date]])&gt;=4,1,0)</f>
        <v>2027</v>
      </c>
      <c r="C1077" s="167">
        <f>YEAR(Table7[[#This Row],[Date]])</f>
        <v>2027</v>
      </c>
      <c r="D1077" s="168">
        <f t="shared" si="50"/>
        <v>46447</v>
      </c>
      <c r="AE1077" s="167">
        <f t="shared" si="51"/>
        <v>0</v>
      </c>
    </row>
    <row r="1078" spans="1:31">
      <c r="A1078" s="197">
        <f t="shared" si="52"/>
        <v>46458</v>
      </c>
      <c r="B1078" s="167">
        <f>YEAR(Table7[[#This Row],[Date]])+IF(MONTH(Table7[[#This Row],[Date]])&gt;=4,1,0)</f>
        <v>2027</v>
      </c>
      <c r="C1078" s="167">
        <f>YEAR(Table7[[#This Row],[Date]])</f>
        <v>2027</v>
      </c>
      <c r="D1078" s="168">
        <f t="shared" si="50"/>
        <v>46447</v>
      </c>
      <c r="AE1078" s="167">
        <f t="shared" si="51"/>
        <v>0</v>
      </c>
    </row>
    <row r="1079" spans="1:31">
      <c r="A1079" s="197">
        <f t="shared" si="52"/>
        <v>46459</v>
      </c>
      <c r="B1079" s="167">
        <f>YEAR(Table7[[#This Row],[Date]])+IF(MONTH(Table7[[#This Row],[Date]])&gt;=4,1,0)</f>
        <v>2027</v>
      </c>
      <c r="C1079" s="167">
        <f>YEAR(Table7[[#This Row],[Date]])</f>
        <v>2027</v>
      </c>
      <c r="D1079" s="168">
        <f t="shared" si="50"/>
        <v>46447</v>
      </c>
      <c r="AE1079" s="167">
        <f t="shared" si="51"/>
        <v>0</v>
      </c>
    </row>
    <row r="1080" spans="1:31">
      <c r="A1080" s="197">
        <f t="shared" si="52"/>
        <v>46460</v>
      </c>
      <c r="B1080" s="167">
        <f>YEAR(Table7[[#This Row],[Date]])+IF(MONTH(Table7[[#This Row],[Date]])&gt;=4,1,0)</f>
        <v>2027</v>
      </c>
      <c r="C1080" s="167">
        <f>YEAR(Table7[[#This Row],[Date]])</f>
        <v>2027</v>
      </c>
      <c r="D1080" s="168">
        <f t="shared" si="50"/>
        <v>46447</v>
      </c>
      <c r="AE1080" s="167">
        <f t="shared" si="51"/>
        <v>0</v>
      </c>
    </row>
    <row r="1081" spans="1:31">
      <c r="A1081" s="197">
        <f t="shared" si="52"/>
        <v>46461</v>
      </c>
      <c r="B1081" s="167">
        <f>YEAR(Table7[[#This Row],[Date]])+IF(MONTH(Table7[[#This Row],[Date]])&gt;=4,1,0)</f>
        <v>2027</v>
      </c>
      <c r="C1081" s="167">
        <f>YEAR(Table7[[#This Row],[Date]])</f>
        <v>2027</v>
      </c>
      <c r="D1081" s="168">
        <f t="shared" si="50"/>
        <v>46447</v>
      </c>
      <c r="AE1081" s="167">
        <f t="shared" si="51"/>
        <v>0</v>
      </c>
    </row>
    <row r="1082" spans="1:31">
      <c r="A1082" s="197">
        <f t="shared" si="52"/>
        <v>46462</v>
      </c>
      <c r="B1082" s="167">
        <f>YEAR(Table7[[#This Row],[Date]])+IF(MONTH(Table7[[#This Row],[Date]])&gt;=4,1,0)</f>
        <v>2027</v>
      </c>
      <c r="C1082" s="167">
        <f>YEAR(Table7[[#This Row],[Date]])</f>
        <v>2027</v>
      </c>
      <c r="D1082" s="168">
        <f t="shared" si="50"/>
        <v>46447</v>
      </c>
      <c r="AE1082" s="167">
        <f t="shared" si="51"/>
        <v>0</v>
      </c>
    </row>
    <row r="1083" spans="1:31">
      <c r="A1083" s="197">
        <f t="shared" si="52"/>
        <v>46463</v>
      </c>
      <c r="B1083" s="167">
        <f>YEAR(Table7[[#This Row],[Date]])+IF(MONTH(Table7[[#This Row],[Date]])&gt;=4,1,0)</f>
        <v>2027</v>
      </c>
      <c r="C1083" s="167">
        <f>YEAR(Table7[[#This Row],[Date]])</f>
        <v>2027</v>
      </c>
      <c r="D1083" s="168">
        <f t="shared" si="50"/>
        <v>46447</v>
      </c>
      <c r="AE1083" s="167">
        <f t="shared" si="51"/>
        <v>0</v>
      </c>
    </row>
    <row r="1084" spans="1:31">
      <c r="A1084" s="197">
        <f t="shared" si="52"/>
        <v>46464</v>
      </c>
      <c r="B1084" s="167">
        <f>YEAR(Table7[[#This Row],[Date]])+IF(MONTH(Table7[[#This Row],[Date]])&gt;=4,1,0)</f>
        <v>2027</v>
      </c>
      <c r="C1084" s="167">
        <f>YEAR(Table7[[#This Row],[Date]])</f>
        <v>2027</v>
      </c>
      <c r="D1084" s="168">
        <f t="shared" si="50"/>
        <v>46447</v>
      </c>
      <c r="AE1084" s="167">
        <f t="shared" si="51"/>
        <v>0</v>
      </c>
    </row>
    <row r="1085" spans="1:31">
      <c r="A1085" s="197">
        <f t="shared" si="52"/>
        <v>46465</v>
      </c>
      <c r="B1085" s="167">
        <f>YEAR(Table7[[#This Row],[Date]])+IF(MONTH(Table7[[#This Row],[Date]])&gt;=4,1,0)</f>
        <v>2027</v>
      </c>
      <c r="C1085" s="167">
        <f>YEAR(Table7[[#This Row],[Date]])</f>
        <v>2027</v>
      </c>
      <c r="D1085" s="168">
        <f t="shared" si="50"/>
        <v>46447</v>
      </c>
      <c r="AE1085" s="167">
        <f t="shared" si="51"/>
        <v>0</v>
      </c>
    </row>
    <row r="1086" spans="1:31">
      <c r="A1086" s="197">
        <f t="shared" si="52"/>
        <v>46466</v>
      </c>
      <c r="B1086" s="167">
        <f>YEAR(Table7[[#This Row],[Date]])+IF(MONTH(Table7[[#This Row],[Date]])&gt;=4,1,0)</f>
        <v>2027</v>
      </c>
      <c r="C1086" s="167">
        <f>YEAR(Table7[[#This Row],[Date]])</f>
        <v>2027</v>
      </c>
      <c r="D1086" s="168">
        <f t="shared" si="50"/>
        <v>46447</v>
      </c>
      <c r="AE1086" s="167">
        <f t="shared" si="51"/>
        <v>0</v>
      </c>
    </row>
    <row r="1087" spans="1:31">
      <c r="A1087" s="197">
        <f t="shared" si="52"/>
        <v>46467</v>
      </c>
      <c r="B1087" s="167">
        <f>YEAR(Table7[[#This Row],[Date]])+IF(MONTH(Table7[[#This Row],[Date]])&gt;=4,1,0)</f>
        <v>2027</v>
      </c>
      <c r="C1087" s="167">
        <f>YEAR(Table7[[#This Row],[Date]])</f>
        <v>2027</v>
      </c>
      <c r="D1087" s="168">
        <f t="shared" si="50"/>
        <v>46447</v>
      </c>
      <c r="AE1087" s="167">
        <f t="shared" si="51"/>
        <v>0</v>
      </c>
    </row>
    <row r="1088" spans="1:31">
      <c r="A1088" s="197">
        <f t="shared" si="52"/>
        <v>46468</v>
      </c>
      <c r="B1088" s="167">
        <f>YEAR(Table7[[#This Row],[Date]])+IF(MONTH(Table7[[#This Row],[Date]])&gt;=4,1,0)</f>
        <v>2027</v>
      </c>
      <c r="C1088" s="167">
        <f>YEAR(Table7[[#This Row],[Date]])</f>
        <v>2027</v>
      </c>
      <c r="D1088" s="168">
        <f t="shared" si="50"/>
        <v>46447</v>
      </c>
      <c r="AE1088" s="167">
        <f t="shared" si="51"/>
        <v>0</v>
      </c>
    </row>
    <row r="1089" spans="1:31">
      <c r="A1089" s="197">
        <f t="shared" si="52"/>
        <v>46469</v>
      </c>
      <c r="B1089" s="167">
        <f>YEAR(Table7[[#This Row],[Date]])+IF(MONTH(Table7[[#This Row],[Date]])&gt;=4,1,0)</f>
        <v>2027</v>
      </c>
      <c r="C1089" s="167">
        <f>YEAR(Table7[[#This Row],[Date]])</f>
        <v>2027</v>
      </c>
      <c r="D1089" s="168">
        <f t="shared" si="50"/>
        <v>46447</v>
      </c>
      <c r="AE1089" s="167">
        <f t="shared" si="51"/>
        <v>0</v>
      </c>
    </row>
    <row r="1090" spans="1:31">
      <c r="A1090" s="197">
        <f t="shared" si="52"/>
        <v>46470</v>
      </c>
      <c r="B1090" s="167">
        <f>YEAR(Table7[[#This Row],[Date]])+IF(MONTH(Table7[[#This Row],[Date]])&gt;=4,1,0)</f>
        <v>2027</v>
      </c>
      <c r="C1090" s="167">
        <f>YEAR(Table7[[#This Row],[Date]])</f>
        <v>2027</v>
      </c>
      <c r="D1090" s="168">
        <f t="shared" si="50"/>
        <v>46447</v>
      </c>
      <c r="AE1090" s="167">
        <f t="shared" si="51"/>
        <v>0</v>
      </c>
    </row>
    <row r="1091" spans="1:31">
      <c r="A1091" s="197">
        <f t="shared" si="52"/>
        <v>46471</v>
      </c>
      <c r="B1091" s="167">
        <f>YEAR(Table7[[#This Row],[Date]])+IF(MONTH(Table7[[#This Row],[Date]])&gt;=4,1,0)</f>
        <v>2027</v>
      </c>
      <c r="C1091" s="167">
        <f>YEAR(Table7[[#This Row],[Date]])</f>
        <v>2027</v>
      </c>
      <c r="D1091" s="168">
        <f t="shared" ref="D1091:D1154" si="53">A1091-DAY(A1091)+1</f>
        <v>46447</v>
      </c>
      <c r="AE1091" s="167">
        <f t="shared" ref="AE1091:AE1154" si="54">SUM(E1091:AD1091)</f>
        <v>0</v>
      </c>
    </row>
    <row r="1092" spans="1:31">
      <c r="A1092" s="197">
        <f t="shared" si="52"/>
        <v>46472</v>
      </c>
      <c r="B1092" s="167">
        <f>YEAR(Table7[[#This Row],[Date]])+IF(MONTH(Table7[[#This Row],[Date]])&gt;=4,1,0)</f>
        <v>2027</v>
      </c>
      <c r="C1092" s="167">
        <f>YEAR(Table7[[#This Row],[Date]])</f>
        <v>2027</v>
      </c>
      <c r="D1092" s="168">
        <f t="shared" si="53"/>
        <v>46447</v>
      </c>
      <c r="AE1092" s="167">
        <f t="shared" si="54"/>
        <v>0</v>
      </c>
    </row>
    <row r="1093" spans="1:31">
      <c r="A1093" s="197">
        <f t="shared" ref="A1093:A1156" si="55">A1092+1</f>
        <v>46473</v>
      </c>
      <c r="B1093" s="167">
        <f>YEAR(Table7[[#This Row],[Date]])+IF(MONTH(Table7[[#This Row],[Date]])&gt;=4,1,0)</f>
        <v>2027</v>
      </c>
      <c r="C1093" s="167">
        <f>YEAR(Table7[[#This Row],[Date]])</f>
        <v>2027</v>
      </c>
      <c r="D1093" s="168">
        <f t="shared" si="53"/>
        <v>46447</v>
      </c>
      <c r="AE1093" s="167">
        <f t="shared" si="54"/>
        <v>0</v>
      </c>
    </row>
    <row r="1094" spans="1:31">
      <c r="A1094" s="197">
        <f t="shared" si="55"/>
        <v>46474</v>
      </c>
      <c r="B1094" s="167">
        <f>YEAR(Table7[[#This Row],[Date]])+IF(MONTH(Table7[[#This Row],[Date]])&gt;=4,1,0)</f>
        <v>2027</v>
      </c>
      <c r="C1094" s="167">
        <f>YEAR(Table7[[#This Row],[Date]])</f>
        <v>2027</v>
      </c>
      <c r="D1094" s="168">
        <f t="shared" si="53"/>
        <v>46447</v>
      </c>
      <c r="AE1094" s="167">
        <f t="shared" si="54"/>
        <v>0</v>
      </c>
    </row>
    <row r="1095" spans="1:31">
      <c r="A1095" s="197">
        <f t="shared" si="55"/>
        <v>46475</v>
      </c>
      <c r="B1095" s="167">
        <f>YEAR(Table7[[#This Row],[Date]])+IF(MONTH(Table7[[#This Row],[Date]])&gt;=4,1,0)</f>
        <v>2027</v>
      </c>
      <c r="C1095" s="167">
        <f>YEAR(Table7[[#This Row],[Date]])</f>
        <v>2027</v>
      </c>
      <c r="D1095" s="168">
        <f t="shared" si="53"/>
        <v>46447</v>
      </c>
      <c r="AE1095" s="167">
        <f t="shared" si="54"/>
        <v>0</v>
      </c>
    </row>
    <row r="1096" spans="1:31">
      <c r="A1096" s="197">
        <f t="shared" si="55"/>
        <v>46476</v>
      </c>
      <c r="B1096" s="167">
        <f>YEAR(Table7[[#This Row],[Date]])+IF(MONTH(Table7[[#This Row],[Date]])&gt;=4,1,0)</f>
        <v>2027</v>
      </c>
      <c r="C1096" s="167">
        <f>YEAR(Table7[[#This Row],[Date]])</f>
        <v>2027</v>
      </c>
      <c r="D1096" s="168">
        <f t="shared" si="53"/>
        <v>46447</v>
      </c>
      <c r="AE1096" s="167">
        <f t="shared" si="54"/>
        <v>0</v>
      </c>
    </row>
    <row r="1097" spans="1:31">
      <c r="A1097" s="197">
        <f t="shared" si="55"/>
        <v>46477</v>
      </c>
      <c r="B1097" s="167">
        <f>YEAR(Table7[[#This Row],[Date]])+IF(MONTH(Table7[[#This Row],[Date]])&gt;=4,1,0)</f>
        <v>2027</v>
      </c>
      <c r="C1097" s="167">
        <f>YEAR(Table7[[#This Row],[Date]])</f>
        <v>2027</v>
      </c>
      <c r="D1097" s="168">
        <f t="shared" si="53"/>
        <v>46447</v>
      </c>
      <c r="AE1097" s="167">
        <f t="shared" si="54"/>
        <v>0</v>
      </c>
    </row>
    <row r="1098" spans="1:31">
      <c r="A1098" s="197">
        <f t="shared" si="55"/>
        <v>46478</v>
      </c>
      <c r="B1098" s="167">
        <f>YEAR(Table7[[#This Row],[Date]])+IF(MONTH(Table7[[#This Row],[Date]])&gt;=4,1,0)</f>
        <v>2028</v>
      </c>
      <c r="C1098" s="167">
        <f>YEAR(Table7[[#This Row],[Date]])</f>
        <v>2027</v>
      </c>
      <c r="D1098" s="168">
        <f t="shared" si="53"/>
        <v>46478</v>
      </c>
      <c r="AE1098" s="167">
        <f t="shared" si="54"/>
        <v>0</v>
      </c>
    </row>
    <row r="1099" spans="1:31">
      <c r="A1099" s="197">
        <f t="shared" si="55"/>
        <v>46479</v>
      </c>
      <c r="B1099" s="167">
        <f>YEAR(Table7[[#This Row],[Date]])+IF(MONTH(Table7[[#This Row],[Date]])&gt;=4,1,0)</f>
        <v>2028</v>
      </c>
      <c r="C1099" s="167">
        <f>YEAR(Table7[[#This Row],[Date]])</f>
        <v>2027</v>
      </c>
      <c r="D1099" s="168">
        <f t="shared" si="53"/>
        <v>46478</v>
      </c>
      <c r="AE1099" s="167">
        <f t="shared" si="54"/>
        <v>0</v>
      </c>
    </row>
    <row r="1100" spans="1:31">
      <c r="A1100" s="197">
        <f t="shared" si="55"/>
        <v>46480</v>
      </c>
      <c r="B1100" s="167">
        <f>YEAR(Table7[[#This Row],[Date]])+IF(MONTH(Table7[[#This Row],[Date]])&gt;=4,1,0)</f>
        <v>2028</v>
      </c>
      <c r="C1100" s="167">
        <f>YEAR(Table7[[#This Row],[Date]])</f>
        <v>2027</v>
      </c>
      <c r="D1100" s="168">
        <f t="shared" si="53"/>
        <v>46478</v>
      </c>
      <c r="AE1100" s="167">
        <f t="shared" si="54"/>
        <v>0</v>
      </c>
    </row>
    <row r="1101" spans="1:31">
      <c r="A1101" s="197">
        <f t="shared" si="55"/>
        <v>46481</v>
      </c>
      <c r="B1101" s="167">
        <f>YEAR(Table7[[#This Row],[Date]])+IF(MONTH(Table7[[#This Row],[Date]])&gt;=4,1,0)</f>
        <v>2028</v>
      </c>
      <c r="C1101" s="167">
        <f>YEAR(Table7[[#This Row],[Date]])</f>
        <v>2027</v>
      </c>
      <c r="D1101" s="168">
        <f t="shared" si="53"/>
        <v>46478</v>
      </c>
      <c r="AE1101" s="167">
        <f t="shared" si="54"/>
        <v>0</v>
      </c>
    </row>
    <row r="1102" spans="1:31">
      <c r="A1102" s="197">
        <f t="shared" si="55"/>
        <v>46482</v>
      </c>
      <c r="B1102" s="167">
        <f>YEAR(Table7[[#This Row],[Date]])+IF(MONTH(Table7[[#This Row],[Date]])&gt;=4,1,0)</f>
        <v>2028</v>
      </c>
      <c r="C1102" s="167">
        <f>YEAR(Table7[[#This Row],[Date]])</f>
        <v>2027</v>
      </c>
      <c r="D1102" s="168">
        <f t="shared" si="53"/>
        <v>46478</v>
      </c>
      <c r="AE1102" s="167">
        <f t="shared" si="54"/>
        <v>0</v>
      </c>
    </row>
    <row r="1103" spans="1:31">
      <c r="A1103" s="197">
        <f t="shared" si="55"/>
        <v>46483</v>
      </c>
      <c r="B1103" s="167">
        <f>YEAR(Table7[[#This Row],[Date]])+IF(MONTH(Table7[[#This Row],[Date]])&gt;=4,1,0)</f>
        <v>2028</v>
      </c>
      <c r="C1103" s="167">
        <f>YEAR(Table7[[#This Row],[Date]])</f>
        <v>2027</v>
      </c>
      <c r="D1103" s="168">
        <f t="shared" si="53"/>
        <v>46478</v>
      </c>
      <c r="AE1103" s="167">
        <f t="shared" si="54"/>
        <v>0</v>
      </c>
    </row>
    <row r="1104" spans="1:31">
      <c r="A1104" s="197">
        <f t="shared" si="55"/>
        <v>46484</v>
      </c>
      <c r="B1104" s="167">
        <f>YEAR(Table7[[#This Row],[Date]])+IF(MONTH(Table7[[#This Row],[Date]])&gt;=4,1,0)</f>
        <v>2028</v>
      </c>
      <c r="C1104" s="167">
        <f>YEAR(Table7[[#This Row],[Date]])</f>
        <v>2027</v>
      </c>
      <c r="D1104" s="168">
        <f t="shared" si="53"/>
        <v>46478</v>
      </c>
      <c r="AE1104" s="167">
        <f t="shared" si="54"/>
        <v>0</v>
      </c>
    </row>
    <row r="1105" spans="1:31">
      <c r="A1105" s="197">
        <f t="shared" si="55"/>
        <v>46485</v>
      </c>
      <c r="B1105" s="167">
        <f>YEAR(Table7[[#This Row],[Date]])+IF(MONTH(Table7[[#This Row],[Date]])&gt;=4,1,0)</f>
        <v>2028</v>
      </c>
      <c r="C1105" s="167">
        <f>YEAR(Table7[[#This Row],[Date]])</f>
        <v>2027</v>
      </c>
      <c r="D1105" s="168">
        <f t="shared" si="53"/>
        <v>46478</v>
      </c>
      <c r="AE1105" s="167">
        <f t="shared" si="54"/>
        <v>0</v>
      </c>
    </row>
    <row r="1106" spans="1:31">
      <c r="A1106" s="197">
        <f t="shared" si="55"/>
        <v>46486</v>
      </c>
      <c r="B1106" s="167">
        <f>YEAR(Table7[[#This Row],[Date]])+IF(MONTH(Table7[[#This Row],[Date]])&gt;=4,1,0)</f>
        <v>2028</v>
      </c>
      <c r="C1106" s="167">
        <f>YEAR(Table7[[#This Row],[Date]])</f>
        <v>2027</v>
      </c>
      <c r="D1106" s="168">
        <f t="shared" si="53"/>
        <v>46478</v>
      </c>
      <c r="AE1106" s="167">
        <f t="shared" si="54"/>
        <v>0</v>
      </c>
    </row>
    <row r="1107" spans="1:31">
      <c r="A1107" s="197">
        <f t="shared" si="55"/>
        <v>46487</v>
      </c>
      <c r="B1107" s="167">
        <f>YEAR(Table7[[#This Row],[Date]])+IF(MONTH(Table7[[#This Row],[Date]])&gt;=4,1,0)</f>
        <v>2028</v>
      </c>
      <c r="C1107" s="167">
        <f>YEAR(Table7[[#This Row],[Date]])</f>
        <v>2027</v>
      </c>
      <c r="D1107" s="168">
        <f t="shared" si="53"/>
        <v>46478</v>
      </c>
      <c r="AE1107" s="167">
        <f t="shared" si="54"/>
        <v>0</v>
      </c>
    </row>
    <row r="1108" spans="1:31">
      <c r="A1108" s="197">
        <f t="shared" si="55"/>
        <v>46488</v>
      </c>
      <c r="B1108" s="167">
        <f>YEAR(Table7[[#This Row],[Date]])+IF(MONTH(Table7[[#This Row],[Date]])&gt;=4,1,0)</f>
        <v>2028</v>
      </c>
      <c r="C1108" s="167">
        <f>YEAR(Table7[[#This Row],[Date]])</f>
        <v>2027</v>
      </c>
      <c r="D1108" s="168">
        <f t="shared" si="53"/>
        <v>46478</v>
      </c>
      <c r="AE1108" s="167">
        <f t="shared" si="54"/>
        <v>0</v>
      </c>
    </row>
    <row r="1109" spans="1:31">
      <c r="A1109" s="197">
        <f t="shared" si="55"/>
        <v>46489</v>
      </c>
      <c r="B1109" s="167">
        <f>YEAR(Table7[[#This Row],[Date]])+IF(MONTH(Table7[[#This Row],[Date]])&gt;=4,1,0)</f>
        <v>2028</v>
      </c>
      <c r="C1109" s="167">
        <f>YEAR(Table7[[#This Row],[Date]])</f>
        <v>2027</v>
      </c>
      <c r="D1109" s="168">
        <f t="shared" si="53"/>
        <v>46478</v>
      </c>
      <c r="AE1109" s="167">
        <f t="shared" si="54"/>
        <v>0</v>
      </c>
    </row>
    <row r="1110" spans="1:31">
      <c r="A1110" s="197">
        <f t="shared" si="55"/>
        <v>46490</v>
      </c>
      <c r="B1110" s="167">
        <f>YEAR(Table7[[#This Row],[Date]])+IF(MONTH(Table7[[#This Row],[Date]])&gt;=4,1,0)</f>
        <v>2028</v>
      </c>
      <c r="C1110" s="167">
        <f>YEAR(Table7[[#This Row],[Date]])</f>
        <v>2027</v>
      </c>
      <c r="D1110" s="168">
        <f t="shared" si="53"/>
        <v>46478</v>
      </c>
      <c r="AE1110" s="167">
        <f t="shared" si="54"/>
        <v>0</v>
      </c>
    </row>
    <row r="1111" spans="1:31">
      <c r="A1111" s="197">
        <f t="shared" si="55"/>
        <v>46491</v>
      </c>
      <c r="B1111" s="167">
        <f>YEAR(Table7[[#This Row],[Date]])+IF(MONTH(Table7[[#This Row],[Date]])&gt;=4,1,0)</f>
        <v>2028</v>
      </c>
      <c r="C1111" s="167">
        <f>YEAR(Table7[[#This Row],[Date]])</f>
        <v>2027</v>
      </c>
      <c r="D1111" s="168">
        <f t="shared" si="53"/>
        <v>46478</v>
      </c>
      <c r="AE1111" s="167">
        <f t="shared" si="54"/>
        <v>0</v>
      </c>
    </row>
    <row r="1112" spans="1:31">
      <c r="A1112" s="197">
        <f t="shared" si="55"/>
        <v>46492</v>
      </c>
      <c r="B1112" s="167">
        <f>YEAR(Table7[[#This Row],[Date]])+IF(MONTH(Table7[[#This Row],[Date]])&gt;=4,1,0)</f>
        <v>2028</v>
      </c>
      <c r="C1112" s="167">
        <f>YEAR(Table7[[#This Row],[Date]])</f>
        <v>2027</v>
      </c>
      <c r="D1112" s="168">
        <f t="shared" si="53"/>
        <v>46478</v>
      </c>
      <c r="AE1112" s="167">
        <f t="shared" si="54"/>
        <v>0</v>
      </c>
    </row>
    <row r="1113" spans="1:31">
      <c r="A1113" s="197">
        <f t="shared" si="55"/>
        <v>46493</v>
      </c>
      <c r="B1113" s="167">
        <f>YEAR(Table7[[#This Row],[Date]])+IF(MONTH(Table7[[#This Row],[Date]])&gt;=4,1,0)</f>
        <v>2028</v>
      </c>
      <c r="C1113" s="167">
        <f>YEAR(Table7[[#This Row],[Date]])</f>
        <v>2027</v>
      </c>
      <c r="D1113" s="168">
        <f t="shared" si="53"/>
        <v>46478</v>
      </c>
      <c r="AE1113" s="167">
        <f t="shared" si="54"/>
        <v>0</v>
      </c>
    </row>
    <row r="1114" spans="1:31">
      <c r="A1114" s="197">
        <f t="shared" si="55"/>
        <v>46494</v>
      </c>
      <c r="B1114" s="167">
        <f>YEAR(Table7[[#This Row],[Date]])+IF(MONTH(Table7[[#This Row],[Date]])&gt;=4,1,0)</f>
        <v>2028</v>
      </c>
      <c r="C1114" s="167">
        <f>YEAR(Table7[[#This Row],[Date]])</f>
        <v>2027</v>
      </c>
      <c r="D1114" s="168">
        <f t="shared" si="53"/>
        <v>46478</v>
      </c>
      <c r="AE1114" s="167">
        <f t="shared" si="54"/>
        <v>0</v>
      </c>
    </row>
    <row r="1115" spans="1:31">
      <c r="A1115" s="197">
        <f t="shared" si="55"/>
        <v>46495</v>
      </c>
      <c r="B1115" s="167">
        <f>YEAR(Table7[[#This Row],[Date]])+IF(MONTH(Table7[[#This Row],[Date]])&gt;=4,1,0)</f>
        <v>2028</v>
      </c>
      <c r="C1115" s="167">
        <f>YEAR(Table7[[#This Row],[Date]])</f>
        <v>2027</v>
      </c>
      <c r="D1115" s="168">
        <f t="shared" si="53"/>
        <v>46478</v>
      </c>
      <c r="AE1115" s="167">
        <f t="shared" si="54"/>
        <v>0</v>
      </c>
    </row>
    <row r="1116" spans="1:31">
      <c r="A1116" s="197">
        <f t="shared" si="55"/>
        <v>46496</v>
      </c>
      <c r="B1116" s="167">
        <f>YEAR(Table7[[#This Row],[Date]])+IF(MONTH(Table7[[#This Row],[Date]])&gt;=4,1,0)</f>
        <v>2028</v>
      </c>
      <c r="C1116" s="167">
        <f>YEAR(Table7[[#This Row],[Date]])</f>
        <v>2027</v>
      </c>
      <c r="D1116" s="168">
        <f t="shared" si="53"/>
        <v>46478</v>
      </c>
      <c r="AE1116" s="167">
        <f t="shared" si="54"/>
        <v>0</v>
      </c>
    </row>
    <row r="1117" spans="1:31">
      <c r="A1117" s="197">
        <f t="shared" si="55"/>
        <v>46497</v>
      </c>
      <c r="B1117" s="167">
        <f>YEAR(Table7[[#This Row],[Date]])+IF(MONTH(Table7[[#This Row],[Date]])&gt;=4,1,0)</f>
        <v>2028</v>
      </c>
      <c r="C1117" s="167">
        <f>YEAR(Table7[[#This Row],[Date]])</f>
        <v>2027</v>
      </c>
      <c r="D1117" s="168">
        <f t="shared" si="53"/>
        <v>46478</v>
      </c>
      <c r="AE1117" s="167">
        <f t="shared" si="54"/>
        <v>0</v>
      </c>
    </row>
    <row r="1118" spans="1:31">
      <c r="A1118" s="197">
        <f t="shared" si="55"/>
        <v>46498</v>
      </c>
      <c r="B1118" s="167">
        <f>YEAR(Table7[[#This Row],[Date]])+IF(MONTH(Table7[[#This Row],[Date]])&gt;=4,1,0)</f>
        <v>2028</v>
      </c>
      <c r="C1118" s="167">
        <f>YEAR(Table7[[#This Row],[Date]])</f>
        <v>2027</v>
      </c>
      <c r="D1118" s="168">
        <f t="shared" si="53"/>
        <v>46478</v>
      </c>
      <c r="AE1118" s="167">
        <f t="shared" si="54"/>
        <v>0</v>
      </c>
    </row>
    <row r="1119" spans="1:31">
      <c r="A1119" s="197">
        <f t="shared" si="55"/>
        <v>46499</v>
      </c>
      <c r="B1119" s="167">
        <f>YEAR(Table7[[#This Row],[Date]])+IF(MONTH(Table7[[#This Row],[Date]])&gt;=4,1,0)</f>
        <v>2028</v>
      </c>
      <c r="C1119" s="167">
        <f>YEAR(Table7[[#This Row],[Date]])</f>
        <v>2027</v>
      </c>
      <c r="D1119" s="168">
        <f t="shared" si="53"/>
        <v>46478</v>
      </c>
      <c r="AE1119" s="167">
        <f t="shared" si="54"/>
        <v>0</v>
      </c>
    </row>
    <row r="1120" spans="1:31">
      <c r="A1120" s="197">
        <f t="shared" si="55"/>
        <v>46500</v>
      </c>
      <c r="B1120" s="167">
        <f>YEAR(Table7[[#This Row],[Date]])+IF(MONTH(Table7[[#This Row],[Date]])&gt;=4,1,0)</f>
        <v>2028</v>
      </c>
      <c r="C1120" s="167">
        <f>YEAR(Table7[[#This Row],[Date]])</f>
        <v>2027</v>
      </c>
      <c r="D1120" s="168">
        <f t="shared" si="53"/>
        <v>46478</v>
      </c>
      <c r="AE1120" s="167">
        <f t="shared" si="54"/>
        <v>0</v>
      </c>
    </row>
    <row r="1121" spans="1:31">
      <c r="A1121" s="197">
        <f t="shared" si="55"/>
        <v>46501</v>
      </c>
      <c r="B1121" s="167">
        <f>YEAR(Table7[[#This Row],[Date]])+IF(MONTH(Table7[[#This Row],[Date]])&gt;=4,1,0)</f>
        <v>2028</v>
      </c>
      <c r="C1121" s="167">
        <f>YEAR(Table7[[#This Row],[Date]])</f>
        <v>2027</v>
      </c>
      <c r="D1121" s="168">
        <f t="shared" si="53"/>
        <v>46478</v>
      </c>
      <c r="AE1121" s="167">
        <f t="shared" si="54"/>
        <v>0</v>
      </c>
    </row>
    <row r="1122" spans="1:31">
      <c r="A1122" s="197">
        <f t="shared" si="55"/>
        <v>46502</v>
      </c>
      <c r="B1122" s="167">
        <f>YEAR(Table7[[#This Row],[Date]])+IF(MONTH(Table7[[#This Row],[Date]])&gt;=4,1,0)</f>
        <v>2028</v>
      </c>
      <c r="C1122" s="167">
        <f>YEAR(Table7[[#This Row],[Date]])</f>
        <v>2027</v>
      </c>
      <c r="D1122" s="168">
        <f t="shared" si="53"/>
        <v>46478</v>
      </c>
      <c r="AE1122" s="167">
        <f t="shared" si="54"/>
        <v>0</v>
      </c>
    </row>
    <row r="1123" spans="1:31">
      <c r="A1123" s="197">
        <f t="shared" si="55"/>
        <v>46503</v>
      </c>
      <c r="B1123" s="167">
        <f>YEAR(Table7[[#This Row],[Date]])+IF(MONTH(Table7[[#This Row],[Date]])&gt;=4,1,0)</f>
        <v>2028</v>
      </c>
      <c r="C1123" s="167">
        <f>YEAR(Table7[[#This Row],[Date]])</f>
        <v>2027</v>
      </c>
      <c r="D1123" s="168">
        <f t="shared" si="53"/>
        <v>46478</v>
      </c>
      <c r="AE1123" s="167">
        <f t="shared" si="54"/>
        <v>0</v>
      </c>
    </row>
    <row r="1124" spans="1:31">
      <c r="A1124" s="197">
        <f t="shared" si="55"/>
        <v>46504</v>
      </c>
      <c r="B1124" s="167">
        <f>YEAR(Table7[[#This Row],[Date]])+IF(MONTH(Table7[[#This Row],[Date]])&gt;=4,1,0)</f>
        <v>2028</v>
      </c>
      <c r="C1124" s="167">
        <f>YEAR(Table7[[#This Row],[Date]])</f>
        <v>2027</v>
      </c>
      <c r="D1124" s="168">
        <f t="shared" si="53"/>
        <v>46478</v>
      </c>
      <c r="AE1124" s="167">
        <f t="shared" si="54"/>
        <v>0</v>
      </c>
    </row>
    <row r="1125" spans="1:31">
      <c r="A1125" s="197">
        <f t="shared" si="55"/>
        <v>46505</v>
      </c>
      <c r="B1125" s="167">
        <f>YEAR(Table7[[#This Row],[Date]])+IF(MONTH(Table7[[#This Row],[Date]])&gt;=4,1,0)</f>
        <v>2028</v>
      </c>
      <c r="C1125" s="167">
        <f>YEAR(Table7[[#This Row],[Date]])</f>
        <v>2027</v>
      </c>
      <c r="D1125" s="168">
        <f t="shared" si="53"/>
        <v>46478</v>
      </c>
      <c r="AE1125" s="167">
        <f t="shared" si="54"/>
        <v>0</v>
      </c>
    </row>
    <row r="1126" spans="1:31">
      <c r="A1126" s="197">
        <f t="shared" si="55"/>
        <v>46506</v>
      </c>
      <c r="B1126" s="167">
        <f>YEAR(Table7[[#This Row],[Date]])+IF(MONTH(Table7[[#This Row],[Date]])&gt;=4,1,0)</f>
        <v>2028</v>
      </c>
      <c r="C1126" s="167">
        <f>YEAR(Table7[[#This Row],[Date]])</f>
        <v>2027</v>
      </c>
      <c r="D1126" s="168">
        <f t="shared" si="53"/>
        <v>46478</v>
      </c>
      <c r="AE1126" s="167">
        <f t="shared" si="54"/>
        <v>0</v>
      </c>
    </row>
    <row r="1127" spans="1:31">
      <c r="A1127" s="197">
        <f t="shared" si="55"/>
        <v>46507</v>
      </c>
      <c r="B1127" s="167">
        <f>YEAR(Table7[[#This Row],[Date]])+IF(MONTH(Table7[[#This Row],[Date]])&gt;=4,1,0)</f>
        <v>2028</v>
      </c>
      <c r="C1127" s="167">
        <f>YEAR(Table7[[#This Row],[Date]])</f>
        <v>2027</v>
      </c>
      <c r="D1127" s="168">
        <f t="shared" si="53"/>
        <v>46478</v>
      </c>
      <c r="AE1127" s="167">
        <f t="shared" si="54"/>
        <v>0</v>
      </c>
    </row>
    <row r="1128" spans="1:31">
      <c r="A1128" s="197">
        <f t="shared" si="55"/>
        <v>46508</v>
      </c>
      <c r="B1128" s="167">
        <f>YEAR(Table7[[#This Row],[Date]])+IF(MONTH(Table7[[#This Row],[Date]])&gt;=4,1,0)</f>
        <v>2028</v>
      </c>
      <c r="C1128" s="167">
        <f>YEAR(Table7[[#This Row],[Date]])</f>
        <v>2027</v>
      </c>
      <c r="D1128" s="168">
        <f t="shared" si="53"/>
        <v>46508</v>
      </c>
      <c r="AE1128" s="167">
        <f t="shared" si="54"/>
        <v>0</v>
      </c>
    </row>
    <row r="1129" spans="1:31">
      <c r="A1129" s="197">
        <f t="shared" si="55"/>
        <v>46509</v>
      </c>
      <c r="B1129" s="167">
        <f>YEAR(Table7[[#This Row],[Date]])+IF(MONTH(Table7[[#This Row],[Date]])&gt;=4,1,0)</f>
        <v>2028</v>
      </c>
      <c r="C1129" s="167">
        <f>YEAR(Table7[[#This Row],[Date]])</f>
        <v>2027</v>
      </c>
      <c r="D1129" s="168">
        <f t="shared" si="53"/>
        <v>46508</v>
      </c>
      <c r="AE1129" s="167">
        <f t="shared" si="54"/>
        <v>0</v>
      </c>
    </row>
    <row r="1130" spans="1:31">
      <c r="A1130" s="197">
        <f t="shared" si="55"/>
        <v>46510</v>
      </c>
      <c r="B1130" s="167">
        <f>YEAR(Table7[[#This Row],[Date]])+IF(MONTH(Table7[[#This Row],[Date]])&gt;=4,1,0)</f>
        <v>2028</v>
      </c>
      <c r="C1130" s="167">
        <f>YEAR(Table7[[#This Row],[Date]])</f>
        <v>2027</v>
      </c>
      <c r="D1130" s="168">
        <f t="shared" si="53"/>
        <v>46508</v>
      </c>
      <c r="AE1130" s="167">
        <f t="shared" si="54"/>
        <v>0</v>
      </c>
    </row>
    <row r="1131" spans="1:31">
      <c r="A1131" s="197">
        <f t="shared" si="55"/>
        <v>46511</v>
      </c>
      <c r="B1131" s="167">
        <f>YEAR(Table7[[#This Row],[Date]])+IF(MONTH(Table7[[#This Row],[Date]])&gt;=4,1,0)</f>
        <v>2028</v>
      </c>
      <c r="C1131" s="167">
        <f>YEAR(Table7[[#This Row],[Date]])</f>
        <v>2027</v>
      </c>
      <c r="D1131" s="168">
        <f t="shared" si="53"/>
        <v>46508</v>
      </c>
      <c r="AE1131" s="167">
        <f t="shared" si="54"/>
        <v>0</v>
      </c>
    </row>
    <row r="1132" spans="1:31">
      <c r="A1132" s="197">
        <f t="shared" si="55"/>
        <v>46512</v>
      </c>
      <c r="B1132" s="167">
        <f>YEAR(Table7[[#This Row],[Date]])+IF(MONTH(Table7[[#This Row],[Date]])&gt;=4,1,0)</f>
        <v>2028</v>
      </c>
      <c r="C1132" s="167">
        <f>YEAR(Table7[[#This Row],[Date]])</f>
        <v>2027</v>
      </c>
      <c r="D1132" s="168">
        <f t="shared" si="53"/>
        <v>46508</v>
      </c>
      <c r="AE1132" s="167">
        <f t="shared" si="54"/>
        <v>0</v>
      </c>
    </row>
    <row r="1133" spans="1:31">
      <c r="A1133" s="197">
        <f t="shared" si="55"/>
        <v>46513</v>
      </c>
      <c r="B1133" s="167">
        <f>YEAR(Table7[[#This Row],[Date]])+IF(MONTH(Table7[[#This Row],[Date]])&gt;=4,1,0)</f>
        <v>2028</v>
      </c>
      <c r="C1133" s="167">
        <f>YEAR(Table7[[#This Row],[Date]])</f>
        <v>2027</v>
      </c>
      <c r="D1133" s="168">
        <f t="shared" si="53"/>
        <v>46508</v>
      </c>
      <c r="AE1133" s="167">
        <f t="shared" si="54"/>
        <v>0</v>
      </c>
    </row>
    <row r="1134" spans="1:31">
      <c r="A1134" s="197">
        <f t="shared" si="55"/>
        <v>46514</v>
      </c>
      <c r="B1134" s="167">
        <f>YEAR(Table7[[#This Row],[Date]])+IF(MONTH(Table7[[#This Row],[Date]])&gt;=4,1,0)</f>
        <v>2028</v>
      </c>
      <c r="C1134" s="167">
        <f>YEAR(Table7[[#This Row],[Date]])</f>
        <v>2027</v>
      </c>
      <c r="D1134" s="168">
        <f t="shared" si="53"/>
        <v>46508</v>
      </c>
      <c r="AE1134" s="167">
        <f t="shared" si="54"/>
        <v>0</v>
      </c>
    </row>
    <row r="1135" spans="1:31">
      <c r="A1135" s="197">
        <f t="shared" si="55"/>
        <v>46515</v>
      </c>
      <c r="B1135" s="167">
        <f>YEAR(Table7[[#This Row],[Date]])+IF(MONTH(Table7[[#This Row],[Date]])&gt;=4,1,0)</f>
        <v>2028</v>
      </c>
      <c r="C1135" s="167">
        <f>YEAR(Table7[[#This Row],[Date]])</f>
        <v>2027</v>
      </c>
      <c r="D1135" s="168">
        <f t="shared" si="53"/>
        <v>46508</v>
      </c>
      <c r="AE1135" s="167">
        <f t="shared" si="54"/>
        <v>0</v>
      </c>
    </row>
    <row r="1136" spans="1:31">
      <c r="A1136" s="197">
        <f t="shared" si="55"/>
        <v>46516</v>
      </c>
      <c r="B1136" s="167">
        <f>YEAR(Table7[[#This Row],[Date]])+IF(MONTH(Table7[[#This Row],[Date]])&gt;=4,1,0)</f>
        <v>2028</v>
      </c>
      <c r="C1136" s="167">
        <f>YEAR(Table7[[#This Row],[Date]])</f>
        <v>2027</v>
      </c>
      <c r="D1136" s="168">
        <f t="shared" si="53"/>
        <v>46508</v>
      </c>
      <c r="AE1136" s="167">
        <f t="shared" si="54"/>
        <v>0</v>
      </c>
    </row>
    <row r="1137" spans="1:31">
      <c r="A1137" s="197">
        <f t="shared" si="55"/>
        <v>46517</v>
      </c>
      <c r="B1137" s="167">
        <f>YEAR(Table7[[#This Row],[Date]])+IF(MONTH(Table7[[#This Row],[Date]])&gt;=4,1,0)</f>
        <v>2028</v>
      </c>
      <c r="C1137" s="167">
        <f>YEAR(Table7[[#This Row],[Date]])</f>
        <v>2027</v>
      </c>
      <c r="D1137" s="168">
        <f t="shared" si="53"/>
        <v>46508</v>
      </c>
      <c r="AE1137" s="167">
        <f t="shared" si="54"/>
        <v>0</v>
      </c>
    </row>
    <row r="1138" spans="1:31">
      <c r="A1138" s="197">
        <f t="shared" si="55"/>
        <v>46518</v>
      </c>
      <c r="B1138" s="167">
        <f>YEAR(Table7[[#This Row],[Date]])+IF(MONTH(Table7[[#This Row],[Date]])&gt;=4,1,0)</f>
        <v>2028</v>
      </c>
      <c r="C1138" s="167">
        <f>YEAR(Table7[[#This Row],[Date]])</f>
        <v>2027</v>
      </c>
      <c r="D1138" s="168">
        <f t="shared" si="53"/>
        <v>46508</v>
      </c>
      <c r="AE1138" s="167">
        <f t="shared" si="54"/>
        <v>0</v>
      </c>
    </row>
    <row r="1139" spans="1:31">
      <c r="A1139" s="197">
        <f t="shared" si="55"/>
        <v>46519</v>
      </c>
      <c r="B1139" s="167">
        <f>YEAR(Table7[[#This Row],[Date]])+IF(MONTH(Table7[[#This Row],[Date]])&gt;=4,1,0)</f>
        <v>2028</v>
      </c>
      <c r="C1139" s="167">
        <f>YEAR(Table7[[#This Row],[Date]])</f>
        <v>2027</v>
      </c>
      <c r="D1139" s="168">
        <f t="shared" si="53"/>
        <v>46508</v>
      </c>
      <c r="AE1139" s="167">
        <f t="shared" si="54"/>
        <v>0</v>
      </c>
    </row>
    <row r="1140" spans="1:31">
      <c r="A1140" s="197">
        <f t="shared" si="55"/>
        <v>46520</v>
      </c>
      <c r="B1140" s="167">
        <f>YEAR(Table7[[#This Row],[Date]])+IF(MONTH(Table7[[#This Row],[Date]])&gt;=4,1,0)</f>
        <v>2028</v>
      </c>
      <c r="C1140" s="167">
        <f>YEAR(Table7[[#This Row],[Date]])</f>
        <v>2027</v>
      </c>
      <c r="D1140" s="168">
        <f t="shared" si="53"/>
        <v>46508</v>
      </c>
      <c r="AE1140" s="167">
        <f t="shared" si="54"/>
        <v>0</v>
      </c>
    </row>
    <row r="1141" spans="1:31">
      <c r="A1141" s="197">
        <f t="shared" si="55"/>
        <v>46521</v>
      </c>
      <c r="B1141" s="167">
        <f>YEAR(Table7[[#This Row],[Date]])+IF(MONTH(Table7[[#This Row],[Date]])&gt;=4,1,0)</f>
        <v>2028</v>
      </c>
      <c r="C1141" s="167">
        <f>YEAR(Table7[[#This Row],[Date]])</f>
        <v>2027</v>
      </c>
      <c r="D1141" s="168">
        <f t="shared" si="53"/>
        <v>46508</v>
      </c>
      <c r="AE1141" s="167">
        <f t="shared" si="54"/>
        <v>0</v>
      </c>
    </row>
    <row r="1142" spans="1:31">
      <c r="A1142" s="197">
        <f t="shared" si="55"/>
        <v>46522</v>
      </c>
      <c r="B1142" s="167">
        <f>YEAR(Table7[[#This Row],[Date]])+IF(MONTH(Table7[[#This Row],[Date]])&gt;=4,1,0)</f>
        <v>2028</v>
      </c>
      <c r="C1142" s="167">
        <f>YEAR(Table7[[#This Row],[Date]])</f>
        <v>2027</v>
      </c>
      <c r="D1142" s="168">
        <f t="shared" si="53"/>
        <v>46508</v>
      </c>
      <c r="AE1142" s="167">
        <f t="shared" si="54"/>
        <v>0</v>
      </c>
    </row>
    <row r="1143" spans="1:31">
      <c r="A1143" s="197">
        <f t="shared" si="55"/>
        <v>46523</v>
      </c>
      <c r="B1143" s="167">
        <f>YEAR(Table7[[#This Row],[Date]])+IF(MONTH(Table7[[#This Row],[Date]])&gt;=4,1,0)</f>
        <v>2028</v>
      </c>
      <c r="C1143" s="167">
        <f>YEAR(Table7[[#This Row],[Date]])</f>
        <v>2027</v>
      </c>
      <c r="D1143" s="168">
        <f t="shared" si="53"/>
        <v>46508</v>
      </c>
      <c r="AE1143" s="167">
        <f t="shared" si="54"/>
        <v>0</v>
      </c>
    </row>
    <row r="1144" spans="1:31">
      <c r="A1144" s="197">
        <f t="shared" si="55"/>
        <v>46524</v>
      </c>
      <c r="B1144" s="167">
        <f>YEAR(Table7[[#This Row],[Date]])+IF(MONTH(Table7[[#This Row],[Date]])&gt;=4,1,0)</f>
        <v>2028</v>
      </c>
      <c r="C1144" s="167">
        <f>YEAR(Table7[[#This Row],[Date]])</f>
        <v>2027</v>
      </c>
      <c r="D1144" s="168">
        <f t="shared" si="53"/>
        <v>46508</v>
      </c>
      <c r="AE1144" s="167">
        <f t="shared" si="54"/>
        <v>0</v>
      </c>
    </row>
    <row r="1145" spans="1:31">
      <c r="A1145" s="197">
        <f t="shared" si="55"/>
        <v>46525</v>
      </c>
      <c r="B1145" s="167">
        <f>YEAR(Table7[[#This Row],[Date]])+IF(MONTH(Table7[[#This Row],[Date]])&gt;=4,1,0)</f>
        <v>2028</v>
      </c>
      <c r="C1145" s="167">
        <f>YEAR(Table7[[#This Row],[Date]])</f>
        <v>2027</v>
      </c>
      <c r="D1145" s="168">
        <f t="shared" si="53"/>
        <v>46508</v>
      </c>
      <c r="AE1145" s="167">
        <f t="shared" si="54"/>
        <v>0</v>
      </c>
    </row>
    <row r="1146" spans="1:31">
      <c r="A1146" s="197">
        <f t="shared" si="55"/>
        <v>46526</v>
      </c>
      <c r="B1146" s="167">
        <f>YEAR(Table7[[#This Row],[Date]])+IF(MONTH(Table7[[#This Row],[Date]])&gt;=4,1,0)</f>
        <v>2028</v>
      </c>
      <c r="C1146" s="167">
        <f>YEAR(Table7[[#This Row],[Date]])</f>
        <v>2027</v>
      </c>
      <c r="D1146" s="168">
        <f t="shared" si="53"/>
        <v>46508</v>
      </c>
      <c r="AE1146" s="167">
        <f t="shared" si="54"/>
        <v>0</v>
      </c>
    </row>
    <row r="1147" spans="1:31">
      <c r="A1147" s="197">
        <f t="shared" si="55"/>
        <v>46527</v>
      </c>
      <c r="B1147" s="167">
        <f>YEAR(Table7[[#This Row],[Date]])+IF(MONTH(Table7[[#This Row],[Date]])&gt;=4,1,0)</f>
        <v>2028</v>
      </c>
      <c r="C1147" s="167">
        <f>YEAR(Table7[[#This Row],[Date]])</f>
        <v>2027</v>
      </c>
      <c r="D1147" s="168">
        <f t="shared" si="53"/>
        <v>46508</v>
      </c>
      <c r="AE1147" s="167">
        <f t="shared" si="54"/>
        <v>0</v>
      </c>
    </row>
    <row r="1148" spans="1:31">
      <c r="A1148" s="197">
        <f t="shared" si="55"/>
        <v>46528</v>
      </c>
      <c r="B1148" s="167">
        <f>YEAR(Table7[[#This Row],[Date]])+IF(MONTH(Table7[[#This Row],[Date]])&gt;=4,1,0)</f>
        <v>2028</v>
      </c>
      <c r="C1148" s="167">
        <f>YEAR(Table7[[#This Row],[Date]])</f>
        <v>2027</v>
      </c>
      <c r="D1148" s="168">
        <f t="shared" si="53"/>
        <v>46508</v>
      </c>
      <c r="AE1148" s="167">
        <f t="shared" si="54"/>
        <v>0</v>
      </c>
    </row>
    <row r="1149" spans="1:31">
      <c r="A1149" s="197">
        <f t="shared" si="55"/>
        <v>46529</v>
      </c>
      <c r="B1149" s="167">
        <f>YEAR(Table7[[#This Row],[Date]])+IF(MONTH(Table7[[#This Row],[Date]])&gt;=4,1,0)</f>
        <v>2028</v>
      </c>
      <c r="C1149" s="167">
        <f>YEAR(Table7[[#This Row],[Date]])</f>
        <v>2027</v>
      </c>
      <c r="D1149" s="168">
        <f t="shared" si="53"/>
        <v>46508</v>
      </c>
      <c r="AE1149" s="167">
        <f t="shared" si="54"/>
        <v>0</v>
      </c>
    </row>
    <row r="1150" spans="1:31">
      <c r="A1150" s="197">
        <f t="shared" si="55"/>
        <v>46530</v>
      </c>
      <c r="B1150" s="167">
        <f>YEAR(Table7[[#This Row],[Date]])+IF(MONTH(Table7[[#This Row],[Date]])&gt;=4,1,0)</f>
        <v>2028</v>
      </c>
      <c r="C1150" s="167">
        <f>YEAR(Table7[[#This Row],[Date]])</f>
        <v>2027</v>
      </c>
      <c r="D1150" s="168">
        <f t="shared" si="53"/>
        <v>46508</v>
      </c>
      <c r="AE1150" s="167">
        <f t="shared" si="54"/>
        <v>0</v>
      </c>
    </row>
    <row r="1151" spans="1:31">
      <c r="A1151" s="197">
        <f t="shared" si="55"/>
        <v>46531</v>
      </c>
      <c r="B1151" s="167">
        <f>YEAR(Table7[[#This Row],[Date]])+IF(MONTH(Table7[[#This Row],[Date]])&gt;=4,1,0)</f>
        <v>2028</v>
      </c>
      <c r="C1151" s="167">
        <f>YEAR(Table7[[#This Row],[Date]])</f>
        <v>2027</v>
      </c>
      <c r="D1151" s="168">
        <f t="shared" si="53"/>
        <v>46508</v>
      </c>
      <c r="AE1151" s="167">
        <f t="shared" si="54"/>
        <v>0</v>
      </c>
    </row>
    <row r="1152" spans="1:31">
      <c r="A1152" s="197">
        <f t="shared" si="55"/>
        <v>46532</v>
      </c>
      <c r="B1152" s="167">
        <f>YEAR(Table7[[#This Row],[Date]])+IF(MONTH(Table7[[#This Row],[Date]])&gt;=4,1,0)</f>
        <v>2028</v>
      </c>
      <c r="C1152" s="167">
        <f>YEAR(Table7[[#This Row],[Date]])</f>
        <v>2027</v>
      </c>
      <c r="D1152" s="168">
        <f t="shared" si="53"/>
        <v>46508</v>
      </c>
      <c r="AE1152" s="167">
        <f t="shared" si="54"/>
        <v>0</v>
      </c>
    </row>
    <row r="1153" spans="1:31">
      <c r="A1153" s="197">
        <f t="shared" si="55"/>
        <v>46533</v>
      </c>
      <c r="B1153" s="167">
        <f>YEAR(Table7[[#This Row],[Date]])+IF(MONTH(Table7[[#This Row],[Date]])&gt;=4,1,0)</f>
        <v>2028</v>
      </c>
      <c r="C1153" s="167">
        <f>YEAR(Table7[[#This Row],[Date]])</f>
        <v>2027</v>
      </c>
      <c r="D1153" s="168">
        <f t="shared" si="53"/>
        <v>46508</v>
      </c>
      <c r="AE1153" s="167">
        <f t="shared" si="54"/>
        <v>0</v>
      </c>
    </row>
    <row r="1154" spans="1:31">
      <c r="A1154" s="197">
        <f t="shared" si="55"/>
        <v>46534</v>
      </c>
      <c r="B1154" s="167">
        <f>YEAR(Table7[[#This Row],[Date]])+IF(MONTH(Table7[[#This Row],[Date]])&gt;=4,1,0)</f>
        <v>2028</v>
      </c>
      <c r="C1154" s="167">
        <f>YEAR(Table7[[#This Row],[Date]])</f>
        <v>2027</v>
      </c>
      <c r="D1154" s="168">
        <f t="shared" si="53"/>
        <v>46508</v>
      </c>
      <c r="AE1154" s="167">
        <f t="shared" si="54"/>
        <v>0</v>
      </c>
    </row>
    <row r="1155" spans="1:31">
      <c r="A1155" s="197">
        <f t="shared" si="55"/>
        <v>46535</v>
      </c>
      <c r="B1155" s="167">
        <f>YEAR(Table7[[#This Row],[Date]])+IF(MONTH(Table7[[#This Row],[Date]])&gt;=4,1,0)</f>
        <v>2028</v>
      </c>
      <c r="C1155" s="167">
        <f>YEAR(Table7[[#This Row],[Date]])</f>
        <v>2027</v>
      </c>
      <c r="D1155" s="168">
        <f t="shared" ref="D1155:D1218" si="56">A1155-DAY(A1155)+1</f>
        <v>46508</v>
      </c>
      <c r="AE1155" s="167">
        <f t="shared" ref="AE1155:AE1218" si="57">SUM(E1155:AD1155)</f>
        <v>0</v>
      </c>
    </row>
    <row r="1156" spans="1:31">
      <c r="A1156" s="197">
        <f t="shared" si="55"/>
        <v>46536</v>
      </c>
      <c r="B1156" s="167">
        <f>YEAR(Table7[[#This Row],[Date]])+IF(MONTH(Table7[[#This Row],[Date]])&gt;=4,1,0)</f>
        <v>2028</v>
      </c>
      <c r="C1156" s="167">
        <f>YEAR(Table7[[#This Row],[Date]])</f>
        <v>2027</v>
      </c>
      <c r="D1156" s="168">
        <f t="shared" si="56"/>
        <v>46508</v>
      </c>
      <c r="AE1156" s="167">
        <f t="shared" si="57"/>
        <v>0</v>
      </c>
    </row>
    <row r="1157" spans="1:31">
      <c r="A1157" s="197">
        <f t="shared" ref="A1157:A1220" si="58">A1156+1</f>
        <v>46537</v>
      </c>
      <c r="B1157" s="167">
        <f>YEAR(Table7[[#This Row],[Date]])+IF(MONTH(Table7[[#This Row],[Date]])&gt;=4,1,0)</f>
        <v>2028</v>
      </c>
      <c r="C1157" s="167">
        <f>YEAR(Table7[[#This Row],[Date]])</f>
        <v>2027</v>
      </c>
      <c r="D1157" s="168">
        <f t="shared" si="56"/>
        <v>46508</v>
      </c>
      <c r="AE1157" s="167">
        <f t="shared" si="57"/>
        <v>0</v>
      </c>
    </row>
    <row r="1158" spans="1:31">
      <c r="A1158" s="197">
        <f t="shared" si="58"/>
        <v>46538</v>
      </c>
      <c r="B1158" s="167">
        <f>YEAR(Table7[[#This Row],[Date]])+IF(MONTH(Table7[[#This Row],[Date]])&gt;=4,1,0)</f>
        <v>2028</v>
      </c>
      <c r="C1158" s="167">
        <f>YEAR(Table7[[#This Row],[Date]])</f>
        <v>2027</v>
      </c>
      <c r="D1158" s="168">
        <f t="shared" si="56"/>
        <v>46508</v>
      </c>
      <c r="AE1158" s="167">
        <f t="shared" si="57"/>
        <v>0</v>
      </c>
    </row>
    <row r="1159" spans="1:31">
      <c r="A1159" s="197">
        <f t="shared" si="58"/>
        <v>46539</v>
      </c>
      <c r="B1159" s="167">
        <f>YEAR(Table7[[#This Row],[Date]])+IF(MONTH(Table7[[#This Row],[Date]])&gt;=4,1,0)</f>
        <v>2028</v>
      </c>
      <c r="C1159" s="167">
        <f>YEAR(Table7[[#This Row],[Date]])</f>
        <v>2027</v>
      </c>
      <c r="D1159" s="168">
        <f t="shared" si="56"/>
        <v>46539</v>
      </c>
      <c r="AE1159" s="167">
        <f t="shared" si="57"/>
        <v>0</v>
      </c>
    </row>
    <row r="1160" spans="1:31">
      <c r="A1160" s="197">
        <f t="shared" si="58"/>
        <v>46540</v>
      </c>
      <c r="B1160" s="167">
        <f>YEAR(Table7[[#This Row],[Date]])+IF(MONTH(Table7[[#This Row],[Date]])&gt;=4,1,0)</f>
        <v>2028</v>
      </c>
      <c r="C1160" s="167">
        <f>YEAR(Table7[[#This Row],[Date]])</f>
        <v>2027</v>
      </c>
      <c r="D1160" s="168">
        <f t="shared" si="56"/>
        <v>46539</v>
      </c>
      <c r="AE1160" s="167">
        <f t="shared" si="57"/>
        <v>0</v>
      </c>
    </row>
    <row r="1161" spans="1:31">
      <c r="A1161" s="197">
        <f t="shared" si="58"/>
        <v>46541</v>
      </c>
      <c r="B1161" s="167">
        <f>YEAR(Table7[[#This Row],[Date]])+IF(MONTH(Table7[[#This Row],[Date]])&gt;=4,1,0)</f>
        <v>2028</v>
      </c>
      <c r="C1161" s="167">
        <f>YEAR(Table7[[#This Row],[Date]])</f>
        <v>2027</v>
      </c>
      <c r="D1161" s="168">
        <f t="shared" si="56"/>
        <v>46539</v>
      </c>
      <c r="AE1161" s="167">
        <f t="shared" si="57"/>
        <v>0</v>
      </c>
    </row>
    <row r="1162" spans="1:31">
      <c r="A1162" s="197">
        <f t="shared" si="58"/>
        <v>46542</v>
      </c>
      <c r="B1162" s="167">
        <f>YEAR(Table7[[#This Row],[Date]])+IF(MONTH(Table7[[#This Row],[Date]])&gt;=4,1,0)</f>
        <v>2028</v>
      </c>
      <c r="C1162" s="167">
        <f>YEAR(Table7[[#This Row],[Date]])</f>
        <v>2027</v>
      </c>
      <c r="D1162" s="168">
        <f t="shared" si="56"/>
        <v>46539</v>
      </c>
      <c r="AE1162" s="167">
        <f t="shared" si="57"/>
        <v>0</v>
      </c>
    </row>
    <row r="1163" spans="1:31">
      <c r="A1163" s="197">
        <f t="shared" si="58"/>
        <v>46543</v>
      </c>
      <c r="B1163" s="167">
        <f>YEAR(Table7[[#This Row],[Date]])+IF(MONTH(Table7[[#This Row],[Date]])&gt;=4,1,0)</f>
        <v>2028</v>
      </c>
      <c r="C1163" s="167">
        <f>YEAR(Table7[[#This Row],[Date]])</f>
        <v>2027</v>
      </c>
      <c r="D1163" s="168">
        <f t="shared" si="56"/>
        <v>46539</v>
      </c>
      <c r="AE1163" s="167">
        <f t="shared" si="57"/>
        <v>0</v>
      </c>
    </row>
    <row r="1164" spans="1:31">
      <c r="A1164" s="197">
        <f t="shared" si="58"/>
        <v>46544</v>
      </c>
      <c r="B1164" s="167">
        <f>YEAR(Table7[[#This Row],[Date]])+IF(MONTH(Table7[[#This Row],[Date]])&gt;=4,1,0)</f>
        <v>2028</v>
      </c>
      <c r="C1164" s="167">
        <f>YEAR(Table7[[#This Row],[Date]])</f>
        <v>2027</v>
      </c>
      <c r="D1164" s="168">
        <f t="shared" si="56"/>
        <v>46539</v>
      </c>
      <c r="AE1164" s="167">
        <f t="shared" si="57"/>
        <v>0</v>
      </c>
    </row>
    <row r="1165" spans="1:31">
      <c r="A1165" s="197">
        <f t="shared" si="58"/>
        <v>46545</v>
      </c>
      <c r="B1165" s="167">
        <f>YEAR(Table7[[#This Row],[Date]])+IF(MONTH(Table7[[#This Row],[Date]])&gt;=4,1,0)</f>
        <v>2028</v>
      </c>
      <c r="C1165" s="167">
        <f>YEAR(Table7[[#This Row],[Date]])</f>
        <v>2027</v>
      </c>
      <c r="D1165" s="168">
        <f t="shared" si="56"/>
        <v>46539</v>
      </c>
      <c r="AE1165" s="167">
        <f t="shared" si="57"/>
        <v>0</v>
      </c>
    </row>
    <row r="1166" spans="1:31">
      <c r="A1166" s="197">
        <f t="shared" si="58"/>
        <v>46546</v>
      </c>
      <c r="B1166" s="167">
        <f>YEAR(Table7[[#This Row],[Date]])+IF(MONTH(Table7[[#This Row],[Date]])&gt;=4,1,0)</f>
        <v>2028</v>
      </c>
      <c r="C1166" s="167">
        <f>YEAR(Table7[[#This Row],[Date]])</f>
        <v>2027</v>
      </c>
      <c r="D1166" s="168">
        <f t="shared" si="56"/>
        <v>46539</v>
      </c>
      <c r="AE1166" s="167">
        <f t="shared" si="57"/>
        <v>0</v>
      </c>
    </row>
    <row r="1167" spans="1:31">
      <c r="A1167" s="197">
        <f t="shared" si="58"/>
        <v>46547</v>
      </c>
      <c r="B1167" s="167">
        <f>YEAR(Table7[[#This Row],[Date]])+IF(MONTH(Table7[[#This Row],[Date]])&gt;=4,1,0)</f>
        <v>2028</v>
      </c>
      <c r="C1167" s="167">
        <f>YEAR(Table7[[#This Row],[Date]])</f>
        <v>2027</v>
      </c>
      <c r="D1167" s="168">
        <f t="shared" si="56"/>
        <v>46539</v>
      </c>
      <c r="AE1167" s="167">
        <f t="shared" si="57"/>
        <v>0</v>
      </c>
    </row>
    <row r="1168" spans="1:31">
      <c r="A1168" s="197">
        <f t="shared" si="58"/>
        <v>46548</v>
      </c>
      <c r="B1168" s="167">
        <f>YEAR(Table7[[#This Row],[Date]])+IF(MONTH(Table7[[#This Row],[Date]])&gt;=4,1,0)</f>
        <v>2028</v>
      </c>
      <c r="C1168" s="167">
        <f>YEAR(Table7[[#This Row],[Date]])</f>
        <v>2027</v>
      </c>
      <c r="D1168" s="168">
        <f t="shared" si="56"/>
        <v>46539</v>
      </c>
      <c r="AE1168" s="167">
        <f t="shared" si="57"/>
        <v>0</v>
      </c>
    </row>
    <row r="1169" spans="1:31">
      <c r="A1169" s="197">
        <f t="shared" si="58"/>
        <v>46549</v>
      </c>
      <c r="B1169" s="167">
        <f>YEAR(Table7[[#This Row],[Date]])+IF(MONTH(Table7[[#This Row],[Date]])&gt;=4,1,0)</f>
        <v>2028</v>
      </c>
      <c r="C1169" s="167">
        <f>YEAR(Table7[[#This Row],[Date]])</f>
        <v>2027</v>
      </c>
      <c r="D1169" s="168">
        <f t="shared" si="56"/>
        <v>46539</v>
      </c>
      <c r="AE1169" s="167">
        <f t="shared" si="57"/>
        <v>0</v>
      </c>
    </row>
    <row r="1170" spans="1:31">
      <c r="A1170" s="197">
        <f t="shared" si="58"/>
        <v>46550</v>
      </c>
      <c r="B1170" s="167">
        <f>YEAR(Table7[[#This Row],[Date]])+IF(MONTH(Table7[[#This Row],[Date]])&gt;=4,1,0)</f>
        <v>2028</v>
      </c>
      <c r="C1170" s="167">
        <f>YEAR(Table7[[#This Row],[Date]])</f>
        <v>2027</v>
      </c>
      <c r="D1170" s="168">
        <f t="shared" si="56"/>
        <v>46539</v>
      </c>
      <c r="AE1170" s="167">
        <f t="shared" si="57"/>
        <v>0</v>
      </c>
    </row>
    <row r="1171" spans="1:31">
      <c r="A1171" s="197">
        <f t="shared" si="58"/>
        <v>46551</v>
      </c>
      <c r="B1171" s="167">
        <f>YEAR(Table7[[#This Row],[Date]])+IF(MONTH(Table7[[#This Row],[Date]])&gt;=4,1,0)</f>
        <v>2028</v>
      </c>
      <c r="C1171" s="167">
        <f>YEAR(Table7[[#This Row],[Date]])</f>
        <v>2027</v>
      </c>
      <c r="D1171" s="168">
        <f t="shared" si="56"/>
        <v>46539</v>
      </c>
      <c r="AE1171" s="167">
        <f t="shared" si="57"/>
        <v>0</v>
      </c>
    </row>
    <row r="1172" spans="1:31">
      <c r="A1172" s="197">
        <f t="shared" si="58"/>
        <v>46552</v>
      </c>
      <c r="B1172" s="167">
        <f>YEAR(Table7[[#This Row],[Date]])+IF(MONTH(Table7[[#This Row],[Date]])&gt;=4,1,0)</f>
        <v>2028</v>
      </c>
      <c r="C1172" s="167">
        <f>YEAR(Table7[[#This Row],[Date]])</f>
        <v>2027</v>
      </c>
      <c r="D1172" s="168">
        <f t="shared" si="56"/>
        <v>46539</v>
      </c>
      <c r="AE1172" s="167">
        <f t="shared" si="57"/>
        <v>0</v>
      </c>
    </row>
    <row r="1173" spans="1:31">
      <c r="A1173" s="197">
        <f t="shared" si="58"/>
        <v>46553</v>
      </c>
      <c r="B1173" s="167">
        <f>YEAR(Table7[[#This Row],[Date]])+IF(MONTH(Table7[[#This Row],[Date]])&gt;=4,1,0)</f>
        <v>2028</v>
      </c>
      <c r="C1173" s="167">
        <f>YEAR(Table7[[#This Row],[Date]])</f>
        <v>2027</v>
      </c>
      <c r="D1173" s="168">
        <f t="shared" si="56"/>
        <v>46539</v>
      </c>
      <c r="AE1173" s="167">
        <f t="shared" si="57"/>
        <v>0</v>
      </c>
    </row>
    <row r="1174" spans="1:31">
      <c r="A1174" s="197">
        <f t="shared" si="58"/>
        <v>46554</v>
      </c>
      <c r="B1174" s="167">
        <f>YEAR(Table7[[#This Row],[Date]])+IF(MONTH(Table7[[#This Row],[Date]])&gt;=4,1,0)</f>
        <v>2028</v>
      </c>
      <c r="C1174" s="167">
        <f>YEAR(Table7[[#This Row],[Date]])</f>
        <v>2027</v>
      </c>
      <c r="D1174" s="168">
        <f t="shared" si="56"/>
        <v>46539</v>
      </c>
      <c r="AE1174" s="167">
        <f t="shared" si="57"/>
        <v>0</v>
      </c>
    </row>
    <row r="1175" spans="1:31">
      <c r="A1175" s="197">
        <f t="shared" si="58"/>
        <v>46555</v>
      </c>
      <c r="B1175" s="167">
        <f>YEAR(Table7[[#This Row],[Date]])+IF(MONTH(Table7[[#This Row],[Date]])&gt;=4,1,0)</f>
        <v>2028</v>
      </c>
      <c r="C1175" s="167">
        <f>YEAR(Table7[[#This Row],[Date]])</f>
        <v>2027</v>
      </c>
      <c r="D1175" s="168">
        <f t="shared" si="56"/>
        <v>46539</v>
      </c>
      <c r="AE1175" s="167">
        <f t="shared" si="57"/>
        <v>0</v>
      </c>
    </row>
    <row r="1176" spans="1:31">
      <c r="A1176" s="197">
        <f t="shared" si="58"/>
        <v>46556</v>
      </c>
      <c r="B1176" s="167">
        <f>YEAR(Table7[[#This Row],[Date]])+IF(MONTH(Table7[[#This Row],[Date]])&gt;=4,1,0)</f>
        <v>2028</v>
      </c>
      <c r="C1176" s="167">
        <f>YEAR(Table7[[#This Row],[Date]])</f>
        <v>2027</v>
      </c>
      <c r="D1176" s="168">
        <f t="shared" si="56"/>
        <v>46539</v>
      </c>
      <c r="AE1176" s="167">
        <f t="shared" si="57"/>
        <v>0</v>
      </c>
    </row>
    <row r="1177" spans="1:31">
      <c r="A1177" s="197">
        <f t="shared" si="58"/>
        <v>46557</v>
      </c>
      <c r="B1177" s="167">
        <f>YEAR(Table7[[#This Row],[Date]])+IF(MONTH(Table7[[#This Row],[Date]])&gt;=4,1,0)</f>
        <v>2028</v>
      </c>
      <c r="C1177" s="167">
        <f>YEAR(Table7[[#This Row],[Date]])</f>
        <v>2027</v>
      </c>
      <c r="D1177" s="168">
        <f t="shared" si="56"/>
        <v>46539</v>
      </c>
      <c r="AE1177" s="167">
        <f t="shared" si="57"/>
        <v>0</v>
      </c>
    </row>
    <row r="1178" spans="1:31">
      <c r="A1178" s="197">
        <f t="shared" si="58"/>
        <v>46558</v>
      </c>
      <c r="B1178" s="167">
        <f>YEAR(Table7[[#This Row],[Date]])+IF(MONTH(Table7[[#This Row],[Date]])&gt;=4,1,0)</f>
        <v>2028</v>
      </c>
      <c r="C1178" s="167">
        <f>YEAR(Table7[[#This Row],[Date]])</f>
        <v>2027</v>
      </c>
      <c r="D1178" s="168">
        <f t="shared" si="56"/>
        <v>46539</v>
      </c>
      <c r="AE1178" s="167">
        <f t="shared" si="57"/>
        <v>0</v>
      </c>
    </row>
    <row r="1179" spans="1:31">
      <c r="A1179" s="197">
        <f t="shared" si="58"/>
        <v>46559</v>
      </c>
      <c r="B1179" s="167">
        <f>YEAR(Table7[[#This Row],[Date]])+IF(MONTH(Table7[[#This Row],[Date]])&gt;=4,1,0)</f>
        <v>2028</v>
      </c>
      <c r="C1179" s="167">
        <f>YEAR(Table7[[#This Row],[Date]])</f>
        <v>2027</v>
      </c>
      <c r="D1179" s="168">
        <f t="shared" si="56"/>
        <v>46539</v>
      </c>
      <c r="AE1179" s="167">
        <f t="shared" si="57"/>
        <v>0</v>
      </c>
    </row>
    <row r="1180" spans="1:31">
      <c r="A1180" s="197">
        <f t="shared" si="58"/>
        <v>46560</v>
      </c>
      <c r="B1180" s="167">
        <f>YEAR(Table7[[#This Row],[Date]])+IF(MONTH(Table7[[#This Row],[Date]])&gt;=4,1,0)</f>
        <v>2028</v>
      </c>
      <c r="C1180" s="167">
        <f>YEAR(Table7[[#This Row],[Date]])</f>
        <v>2027</v>
      </c>
      <c r="D1180" s="168">
        <f t="shared" si="56"/>
        <v>46539</v>
      </c>
      <c r="AE1180" s="167">
        <f t="shared" si="57"/>
        <v>0</v>
      </c>
    </row>
    <row r="1181" spans="1:31">
      <c r="A1181" s="197">
        <f t="shared" si="58"/>
        <v>46561</v>
      </c>
      <c r="B1181" s="167">
        <f>YEAR(Table7[[#This Row],[Date]])+IF(MONTH(Table7[[#This Row],[Date]])&gt;=4,1,0)</f>
        <v>2028</v>
      </c>
      <c r="C1181" s="167">
        <f>YEAR(Table7[[#This Row],[Date]])</f>
        <v>2027</v>
      </c>
      <c r="D1181" s="168">
        <f t="shared" si="56"/>
        <v>46539</v>
      </c>
      <c r="AE1181" s="167">
        <f t="shared" si="57"/>
        <v>0</v>
      </c>
    </row>
    <row r="1182" spans="1:31">
      <c r="A1182" s="197">
        <f t="shared" si="58"/>
        <v>46562</v>
      </c>
      <c r="B1182" s="167">
        <f>YEAR(Table7[[#This Row],[Date]])+IF(MONTH(Table7[[#This Row],[Date]])&gt;=4,1,0)</f>
        <v>2028</v>
      </c>
      <c r="C1182" s="167">
        <f>YEAR(Table7[[#This Row],[Date]])</f>
        <v>2027</v>
      </c>
      <c r="D1182" s="168">
        <f t="shared" si="56"/>
        <v>46539</v>
      </c>
      <c r="AE1182" s="167">
        <f t="shared" si="57"/>
        <v>0</v>
      </c>
    </row>
    <row r="1183" spans="1:31">
      <c r="A1183" s="197">
        <f t="shared" si="58"/>
        <v>46563</v>
      </c>
      <c r="B1183" s="167">
        <f>YEAR(Table7[[#This Row],[Date]])+IF(MONTH(Table7[[#This Row],[Date]])&gt;=4,1,0)</f>
        <v>2028</v>
      </c>
      <c r="C1183" s="167">
        <f>YEAR(Table7[[#This Row],[Date]])</f>
        <v>2027</v>
      </c>
      <c r="D1183" s="168">
        <f t="shared" si="56"/>
        <v>46539</v>
      </c>
      <c r="AE1183" s="167">
        <f t="shared" si="57"/>
        <v>0</v>
      </c>
    </row>
    <row r="1184" spans="1:31">
      <c r="A1184" s="197">
        <f t="shared" si="58"/>
        <v>46564</v>
      </c>
      <c r="B1184" s="167">
        <f>YEAR(Table7[[#This Row],[Date]])+IF(MONTH(Table7[[#This Row],[Date]])&gt;=4,1,0)</f>
        <v>2028</v>
      </c>
      <c r="C1184" s="167">
        <f>YEAR(Table7[[#This Row],[Date]])</f>
        <v>2027</v>
      </c>
      <c r="D1184" s="168">
        <f t="shared" si="56"/>
        <v>46539</v>
      </c>
      <c r="AE1184" s="167">
        <f t="shared" si="57"/>
        <v>0</v>
      </c>
    </row>
    <row r="1185" spans="1:31">
      <c r="A1185" s="197">
        <f t="shared" si="58"/>
        <v>46565</v>
      </c>
      <c r="B1185" s="167">
        <f>YEAR(Table7[[#This Row],[Date]])+IF(MONTH(Table7[[#This Row],[Date]])&gt;=4,1,0)</f>
        <v>2028</v>
      </c>
      <c r="C1185" s="167">
        <f>YEAR(Table7[[#This Row],[Date]])</f>
        <v>2027</v>
      </c>
      <c r="D1185" s="168">
        <f t="shared" si="56"/>
        <v>46539</v>
      </c>
      <c r="AE1185" s="167">
        <f t="shared" si="57"/>
        <v>0</v>
      </c>
    </row>
    <row r="1186" spans="1:31">
      <c r="A1186" s="197">
        <f t="shared" si="58"/>
        <v>46566</v>
      </c>
      <c r="B1186" s="167">
        <f>YEAR(Table7[[#This Row],[Date]])+IF(MONTH(Table7[[#This Row],[Date]])&gt;=4,1,0)</f>
        <v>2028</v>
      </c>
      <c r="C1186" s="167">
        <f>YEAR(Table7[[#This Row],[Date]])</f>
        <v>2027</v>
      </c>
      <c r="D1186" s="168">
        <f t="shared" si="56"/>
        <v>46539</v>
      </c>
      <c r="AE1186" s="167">
        <f t="shared" si="57"/>
        <v>0</v>
      </c>
    </row>
    <row r="1187" spans="1:31">
      <c r="A1187" s="197">
        <f t="shared" si="58"/>
        <v>46567</v>
      </c>
      <c r="B1187" s="167">
        <f>YEAR(Table7[[#This Row],[Date]])+IF(MONTH(Table7[[#This Row],[Date]])&gt;=4,1,0)</f>
        <v>2028</v>
      </c>
      <c r="C1187" s="167">
        <f>YEAR(Table7[[#This Row],[Date]])</f>
        <v>2027</v>
      </c>
      <c r="D1187" s="168">
        <f t="shared" si="56"/>
        <v>46539</v>
      </c>
      <c r="AE1187" s="167">
        <f t="shared" si="57"/>
        <v>0</v>
      </c>
    </row>
    <row r="1188" spans="1:31">
      <c r="A1188" s="197">
        <f t="shared" si="58"/>
        <v>46568</v>
      </c>
      <c r="B1188" s="167">
        <f>YEAR(Table7[[#This Row],[Date]])+IF(MONTH(Table7[[#This Row],[Date]])&gt;=4,1,0)</f>
        <v>2028</v>
      </c>
      <c r="C1188" s="167">
        <f>YEAR(Table7[[#This Row],[Date]])</f>
        <v>2027</v>
      </c>
      <c r="D1188" s="168">
        <f t="shared" si="56"/>
        <v>46539</v>
      </c>
      <c r="AE1188" s="167">
        <f t="shared" si="57"/>
        <v>0</v>
      </c>
    </row>
    <row r="1189" spans="1:31">
      <c r="A1189" s="197">
        <f t="shared" si="58"/>
        <v>46569</v>
      </c>
      <c r="B1189" s="167">
        <f>YEAR(Table7[[#This Row],[Date]])+IF(MONTH(Table7[[#This Row],[Date]])&gt;=4,1,0)</f>
        <v>2028</v>
      </c>
      <c r="C1189" s="167">
        <f>YEAR(Table7[[#This Row],[Date]])</f>
        <v>2027</v>
      </c>
      <c r="D1189" s="168">
        <f t="shared" si="56"/>
        <v>46569</v>
      </c>
      <c r="AE1189" s="167">
        <f t="shared" si="57"/>
        <v>0</v>
      </c>
    </row>
    <row r="1190" spans="1:31">
      <c r="A1190" s="197">
        <f t="shared" si="58"/>
        <v>46570</v>
      </c>
      <c r="B1190" s="167">
        <f>YEAR(Table7[[#This Row],[Date]])+IF(MONTH(Table7[[#This Row],[Date]])&gt;=4,1,0)</f>
        <v>2028</v>
      </c>
      <c r="C1190" s="167">
        <f>YEAR(Table7[[#This Row],[Date]])</f>
        <v>2027</v>
      </c>
      <c r="D1190" s="168">
        <f t="shared" si="56"/>
        <v>46569</v>
      </c>
      <c r="AE1190" s="167">
        <f t="shared" si="57"/>
        <v>0</v>
      </c>
    </row>
    <row r="1191" spans="1:31">
      <c r="A1191" s="197">
        <f t="shared" si="58"/>
        <v>46571</v>
      </c>
      <c r="B1191" s="167">
        <f>YEAR(Table7[[#This Row],[Date]])+IF(MONTH(Table7[[#This Row],[Date]])&gt;=4,1,0)</f>
        <v>2028</v>
      </c>
      <c r="C1191" s="167">
        <f>YEAR(Table7[[#This Row],[Date]])</f>
        <v>2027</v>
      </c>
      <c r="D1191" s="168">
        <f t="shared" si="56"/>
        <v>46569</v>
      </c>
      <c r="AE1191" s="167">
        <f t="shared" si="57"/>
        <v>0</v>
      </c>
    </row>
    <row r="1192" spans="1:31">
      <c r="A1192" s="197">
        <f t="shared" si="58"/>
        <v>46572</v>
      </c>
      <c r="B1192" s="167">
        <f>YEAR(Table7[[#This Row],[Date]])+IF(MONTH(Table7[[#This Row],[Date]])&gt;=4,1,0)</f>
        <v>2028</v>
      </c>
      <c r="C1192" s="167">
        <f>YEAR(Table7[[#This Row],[Date]])</f>
        <v>2027</v>
      </c>
      <c r="D1192" s="168">
        <f t="shared" si="56"/>
        <v>46569</v>
      </c>
      <c r="AE1192" s="167">
        <f t="shared" si="57"/>
        <v>0</v>
      </c>
    </row>
    <row r="1193" spans="1:31">
      <c r="A1193" s="197">
        <f t="shared" si="58"/>
        <v>46573</v>
      </c>
      <c r="B1193" s="167">
        <f>YEAR(Table7[[#This Row],[Date]])+IF(MONTH(Table7[[#This Row],[Date]])&gt;=4,1,0)</f>
        <v>2028</v>
      </c>
      <c r="C1193" s="167">
        <f>YEAR(Table7[[#This Row],[Date]])</f>
        <v>2027</v>
      </c>
      <c r="D1193" s="168">
        <f t="shared" si="56"/>
        <v>46569</v>
      </c>
      <c r="AE1193" s="167">
        <f t="shared" si="57"/>
        <v>0</v>
      </c>
    </row>
    <row r="1194" spans="1:31">
      <c r="A1194" s="197">
        <f t="shared" si="58"/>
        <v>46574</v>
      </c>
      <c r="B1194" s="167">
        <f>YEAR(Table7[[#This Row],[Date]])+IF(MONTH(Table7[[#This Row],[Date]])&gt;=4,1,0)</f>
        <v>2028</v>
      </c>
      <c r="C1194" s="167">
        <f>YEAR(Table7[[#This Row],[Date]])</f>
        <v>2027</v>
      </c>
      <c r="D1194" s="168">
        <f t="shared" si="56"/>
        <v>46569</v>
      </c>
      <c r="AE1194" s="167">
        <f t="shared" si="57"/>
        <v>0</v>
      </c>
    </row>
    <row r="1195" spans="1:31">
      <c r="A1195" s="197">
        <f t="shared" si="58"/>
        <v>46575</v>
      </c>
      <c r="B1195" s="167">
        <f>YEAR(Table7[[#This Row],[Date]])+IF(MONTH(Table7[[#This Row],[Date]])&gt;=4,1,0)</f>
        <v>2028</v>
      </c>
      <c r="C1195" s="167">
        <f>YEAR(Table7[[#This Row],[Date]])</f>
        <v>2027</v>
      </c>
      <c r="D1195" s="168">
        <f t="shared" si="56"/>
        <v>46569</v>
      </c>
      <c r="AE1195" s="167">
        <f t="shared" si="57"/>
        <v>0</v>
      </c>
    </row>
    <row r="1196" spans="1:31">
      <c r="A1196" s="197">
        <f t="shared" si="58"/>
        <v>46576</v>
      </c>
      <c r="B1196" s="167">
        <f>YEAR(Table7[[#This Row],[Date]])+IF(MONTH(Table7[[#This Row],[Date]])&gt;=4,1,0)</f>
        <v>2028</v>
      </c>
      <c r="C1196" s="167">
        <f>YEAR(Table7[[#This Row],[Date]])</f>
        <v>2027</v>
      </c>
      <c r="D1196" s="168">
        <f t="shared" si="56"/>
        <v>46569</v>
      </c>
      <c r="AE1196" s="167">
        <f t="shared" si="57"/>
        <v>0</v>
      </c>
    </row>
    <row r="1197" spans="1:31">
      <c r="A1197" s="197">
        <f t="shared" si="58"/>
        <v>46577</v>
      </c>
      <c r="B1197" s="167">
        <f>YEAR(Table7[[#This Row],[Date]])+IF(MONTH(Table7[[#This Row],[Date]])&gt;=4,1,0)</f>
        <v>2028</v>
      </c>
      <c r="C1197" s="167">
        <f>YEAR(Table7[[#This Row],[Date]])</f>
        <v>2027</v>
      </c>
      <c r="D1197" s="168">
        <f t="shared" si="56"/>
        <v>46569</v>
      </c>
      <c r="AE1197" s="167">
        <f t="shared" si="57"/>
        <v>0</v>
      </c>
    </row>
    <row r="1198" spans="1:31">
      <c r="A1198" s="197">
        <f t="shared" si="58"/>
        <v>46578</v>
      </c>
      <c r="B1198" s="167">
        <f>YEAR(Table7[[#This Row],[Date]])+IF(MONTH(Table7[[#This Row],[Date]])&gt;=4,1,0)</f>
        <v>2028</v>
      </c>
      <c r="C1198" s="167">
        <f>YEAR(Table7[[#This Row],[Date]])</f>
        <v>2027</v>
      </c>
      <c r="D1198" s="168">
        <f t="shared" si="56"/>
        <v>46569</v>
      </c>
      <c r="AE1198" s="167">
        <f t="shared" si="57"/>
        <v>0</v>
      </c>
    </row>
    <row r="1199" spans="1:31">
      <c r="A1199" s="197">
        <f t="shared" si="58"/>
        <v>46579</v>
      </c>
      <c r="B1199" s="167">
        <f>YEAR(Table7[[#This Row],[Date]])+IF(MONTH(Table7[[#This Row],[Date]])&gt;=4,1,0)</f>
        <v>2028</v>
      </c>
      <c r="C1199" s="167">
        <f>YEAR(Table7[[#This Row],[Date]])</f>
        <v>2027</v>
      </c>
      <c r="D1199" s="168">
        <f t="shared" si="56"/>
        <v>46569</v>
      </c>
      <c r="AE1199" s="167">
        <f t="shared" si="57"/>
        <v>0</v>
      </c>
    </row>
    <row r="1200" spans="1:31">
      <c r="A1200" s="197">
        <f t="shared" si="58"/>
        <v>46580</v>
      </c>
      <c r="B1200" s="167">
        <f>YEAR(Table7[[#This Row],[Date]])+IF(MONTH(Table7[[#This Row],[Date]])&gt;=4,1,0)</f>
        <v>2028</v>
      </c>
      <c r="C1200" s="167">
        <f>YEAR(Table7[[#This Row],[Date]])</f>
        <v>2027</v>
      </c>
      <c r="D1200" s="168">
        <f t="shared" si="56"/>
        <v>46569</v>
      </c>
      <c r="AE1200" s="167">
        <f t="shared" si="57"/>
        <v>0</v>
      </c>
    </row>
    <row r="1201" spans="1:31">
      <c r="A1201" s="197">
        <f t="shared" si="58"/>
        <v>46581</v>
      </c>
      <c r="B1201" s="167">
        <f>YEAR(Table7[[#This Row],[Date]])+IF(MONTH(Table7[[#This Row],[Date]])&gt;=4,1,0)</f>
        <v>2028</v>
      </c>
      <c r="C1201" s="167">
        <f>YEAR(Table7[[#This Row],[Date]])</f>
        <v>2027</v>
      </c>
      <c r="D1201" s="168">
        <f t="shared" si="56"/>
        <v>46569</v>
      </c>
      <c r="AE1201" s="167">
        <f t="shared" si="57"/>
        <v>0</v>
      </c>
    </row>
    <row r="1202" spans="1:31">
      <c r="A1202" s="197">
        <f t="shared" si="58"/>
        <v>46582</v>
      </c>
      <c r="B1202" s="167">
        <f>YEAR(Table7[[#This Row],[Date]])+IF(MONTH(Table7[[#This Row],[Date]])&gt;=4,1,0)</f>
        <v>2028</v>
      </c>
      <c r="C1202" s="167">
        <f>YEAR(Table7[[#This Row],[Date]])</f>
        <v>2027</v>
      </c>
      <c r="D1202" s="168">
        <f t="shared" si="56"/>
        <v>46569</v>
      </c>
      <c r="AE1202" s="167">
        <f t="shared" si="57"/>
        <v>0</v>
      </c>
    </row>
    <row r="1203" spans="1:31">
      <c r="A1203" s="197">
        <f t="shared" si="58"/>
        <v>46583</v>
      </c>
      <c r="B1203" s="167">
        <f>YEAR(Table7[[#This Row],[Date]])+IF(MONTH(Table7[[#This Row],[Date]])&gt;=4,1,0)</f>
        <v>2028</v>
      </c>
      <c r="C1203" s="167">
        <f>YEAR(Table7[[#This Row],[Date]])</f>
        <v>2027</v>
      </c>
      <c r="D1203" s="168">
        <f t="shared" si="56"/>
        <v>46569</v>
      </c>
      <c r="AE1203" s="167">
        <f t="shared" si="57"/>
        <v>0</v>
      </c>
    </row>
    <row r="1204" spans="1:31">
      <c r="A1204" s="197">
        <f t="shared" si="58"/>
        <v>46584</v>
      </c>
      <c r="B1204" s="167">
        <f>YEAR(Table7[[#This Row],[Date]])+IF(MONTH(Table7[[#This Row],[Date]])&gt;=4,1,0)</f>
        <v>2028</v>
      </c>
      <c r="C1204" s="167">
        <f>YEAR(Table7[[#This Row],[Date]])</f>
        <v>2027</v>
      </c>
      <c r="D1204" s="168">
        <f t="shared" si="56"/>
        <v>46569</v>
      </c>
      <c r="AE1204" s="167">
        <f t="shared" si="57"/>
        <v>0</v>
      </c>
    </row>
    <row r="1205" spans="1:31">
      <c r="A1205" s="197">
        <f t="shared" si="58"/>
        <v>46585</v>
      </c>
      <c r="B1205" s="167">
        <f>YEAR(Table7[[#This Row],[Date]])+IF(MONTH(Table7[[#This Row],[Date]])&gt;=4,1,0)</f>
        <v>2028</v>
      </c>
      <c r="C1205" s="167">
        <f>YEAR(Table7[[#This Row],[Date]])</f>
        <v>2027</v>
      </c>
      <c r="D1205" s="168">
        <f t="shared" si="56"/>
        <v>46569</v>
      </c>
      <c r="AE1205" s="167">
        <f t="shared" si="57"/>
        <v>0</v>
      </c>
    </row>
    <row r="1206" spans="1:31">
      <c r="A1206" s="197">
        <f t="shared" si="58"/>
        <v>46586</v>
      </c>
      <c r="B1206" s="167">
        <f>YEAR(Table7[[#This Row],[Date]])+IF(MONTH(Table7[[#This Row],[Date]])&gt;=4,1,0)</f>
        <v>2028</v>
      </c>
      <c r="C1206" s="167">
        <f>YEAR(Table7[[#This Row],[Date]])</f>
        <v>2027</v>
      </c>
      <c r="D1206" s="168">
        <f t="shared" si="56"/>
        <v>46569</v>
      </c>
      <c r="AE1206" s="167">
        <f t="shared" si="57"/>
        <v>0</v>
      </c>
    </row>
    <row r="1207" spans="1:31">
      <c r="A1207" s="197">
        <f t="shared" si="58"/>
        <v>46587</v>
      </c>
      <c r="B1207" s="167">
        <f>YEAR(Table7[[#This Row],[Date]])+IF(MONTH(Table7[[#This Row],[Date]])&gt;=4,1,0)</f>
        <v>2028</v>
      </c>
      <c r="C1207" s="167">
        <f>YEAR(Table7[[#This Row],[Date]])</f>
        <v>2027</v>
      </c>
      <c r="D1207" s="168">
        <f t="shared" si="56"/>
        <v>46569</v>
      </c>
      <c r="AE1207" s="167">
        <f t="shared" si="57"/>
        <v>0</v>
      </c>
    </row>
    <row r="1208" spans="1:31">
      <c r="A1208" s="197">
        <f t="shared" si="58"/>
        <v>46588</v>
      </c>
      <c r="B1208" s="167">
        <f>YEAR(Table7[[#This Row],[Date]])+IF(MONTH(Table7[[#This Row],[Date]])&gt;=4,1,0)</f>
        <v>2028</v>
      </c>
      <c r="C1208" s="167">
        <f>YEAR(Table7[[#This Row],[Date]])</f>
        <v>2027</v>
      </c>
      <c r="D1208" s="168">
        <f t="shared" si="56"/>
        <v>46569</v>
      </c>
      <c r="AE1208" s="167">
        <f t="shared" si="57"/>
        <v>0</v>
      </c>
    </row>
    <row r="1209" spans="1:31">
      <c r="A1209" s="197">
        <f t="shared" si="58"/>
        <v>46589</v>
      </c>
      <c r="B1209" s="167">
        <f>YEAR(Table7[[#This Row],[Date]])+IF(MONTH(Table7[[#This Row],[Date]])&gt;=4,1,0)</f>
        <v>2028</v>
      </c>
      <c r="C1209" s="167">
        <f>YEAR(Table7[[#This Row],[Date]])</f>
        <v>2027</v>
      </c>
      <c r="D1209" s="168">
        <f t="shared" si="56"/>
        <v>46569</v>
      </c>
      <c r="AE1209" s="167">
        <f t="shared" si="57"/>
        <v>0</v>
      </c>
    </row>
    <row r="1210" spans="1:31">
      <c r="A1210" s="197">
        <f t="shared" si="58"/>
        <v>46590</v>
      </c>
      <c r="B1210" s="167">
        <f>YEAR(Table7[[#This Row],[Date]])+IF(MONTH(Table7[[#This Row],[Date]])&gt;=4,1,0)</f>
        <v>2028</v>
      </c>
      <c r="C1210" s="167">
        <f>YEAR(Table7[[#This Row],[Date]])</f>
        <v>2027</v>
      </c>
      <c r="D1210" s="168">
        <f t="shared" si="56"/>
        <v>46569</v>
      </c>
      <c r="AE1210" s="167">
        <f t="shared" si="57"/>
        <v>0</v>
      </c>
    </row>
    <row r="1211" spans="1:31">
      <c r="A1211" s="197">
        <f t="shared" si="58"/>
        <v>46591</v>
      </c>
      <c r="B1211" s="167">
        <f>YEAR(Table7[[#This Row],[Date]])+IF(MONTH(Table7[[#This Row],[Date]])&gt;=4,1,0)</f>
        <v>2028</v>
      </c>
      <c r="C1211" s="167">
        <f>YEAR(Table7[[#This Row],[Date]])</f>
        <v>2027</v>
      </c>
      <c r="D1211" s="168">
        <f t="shared" si="56"/>
        <v>46569</v>
      </c>
      <c r="AE1211" s="167">
        <f t="shared" si="57"/>
        <v>0</v>
      </c>
    </row>
    <row r="1212" spans="1:31">
      <c r="A1212" s="197">
        <f t="shared" si="58"/>
        <v>46592</v>
      </c>
      <c r="B1212" s="167">
        <f>YEAR(Table7[[#This Row],[Date]])+IF(MONTH(Table7[[#This Row],[Date]])&gt;=4,1,0)</f>
        <v>2028</v>
      </c>
      <c r="C1212" s="167">
        <f>YEAR(Table7[[#This Row],[Date]])</f>
        <v>2027</v>
      </c>
      <c r="D1212" s="168">
        <f t="shared" si="56"/>
        <v>46569</v>
      </c>
      <c r="AE1212" s="167">
        <f t="shared" si="57"/>
        <v>0</v>
      </c>
    </row>
    <row r="1213" spans="1:31">
      <c r="A1213" s="197">
        <f t="shared" si="58"/>
        <v>46593</v>
      </c>
      <c r="B1213" s="167">
        <f>YEAR(Table7[[#This Row],[Date]])+IF(MONTH(Table7[[#This Row],[Date]])&gt;=4,1,0)</f>
        <v>2028</v>
      </c>
      <c r="C1213" s="167">
        <f>YEAR(Table7[[#This Row],[Date]])</f>
        <v>2027</v>
      </c>
      <c r="D1213" s="168">
        <f t="shared" si="56"/>
        <v>46569</v>
      </c>
      <c r="AE1213" s="167">
        <f t="shared" si="57"/>
        <v>0</v>
      </c>
    </row>
    <row r="1214" spans="1:31">
      <c r="A1214" s="197">
        <f t="shared" si="58"/>
        <v>46594</v>
      </c>
      <c r="B1214" s="167">
        <f>YEAR(Table7[[#This Row],[Date]])+IF(MONTH(Table7[[#This Row],[Date]])&gt;=4,1,0)</f>
        <v>2028</v>
      </c>
      <c r="C1214" s="167">
        <f>YEAR(Table7[[#This Row],[Date]])</f>
        <v>2027</v>
      </c>
      <c r="D1214" s="168">
        <f t="shared" si="56"/>
        <v>46569</v>
      </c>
      <c r="AE1214" s="167">
        <f t="shared" si="57"/>
        <v>0</v>
      </c>
    </row>
    <row r="1215" spans="1:31">
      <c r="A1215" s="197">
        <f t="shared" si="58"/>
        <v>46595</v>
      </c>
      <c r="B1215" s="167">
        <f>YEAR(Table7[[#This Row],[Date]])+IF(MONTH(Table7[[#This Row],[Date]])&gt;=4,1,0)</f>
        <v>2028</v>
      </c>
      <c r="C1215" s="167">
        <f>YEAR(Table7[[#This Row],[Date]])</f>
        <v>2027</v>
      </c>
      <c r="D1215" s="168">
        <f t="shared" si="56"/>
        <v>46569</v>
      </c>
      <c r="AE1215" s="167">
        <f t="shared" si="57"/>
        <v>0</v>
      </c>
    </row>
    <row r="1216" spans="1:31">
      <c r="A1216" s="197">
        <f t="shared" si="58"/>
        <v>46596</v>
      </c>
      <c r="B1216" s="167">
        <f>YEAR(Table7[[#This Row],[Date]])+IF(MONTH(Table7[[#This Row],[Date]])&gt;=4,1,0)</f>
        <v>2028</v>
      </c>
      <c r="C1216" s="167">
        <f>YEAR(Table7[[#This Row],[Date]])</f>
        <v>2027</v>
      </c>
      <c r="D1216" s="168">
        <f t="shared" si="56"/>
        <v>46569</v>
      </c>
      <c r="AE1216" s="167">
        <f t="shared" si="57"/>
        <v>0</v>
      </c>
    </row>
    <row r="1217" spans="1:31">
      <c r="A1217" s="197">
        <f t="shared" si="58"/>
        <v>46597</v>
      </c>
      <c r="B1217" s="167">
        <f>YEAR(Table7[[#This Row],[Date]])+IF(MONTH(Table7[[#This Row],[Date]])&gt;=4,1,0)</f>
        <v>2028</v>
      </c>
      <c r="C1217" s="167">
        <f>YEAR(Table7[[#This Row],[Date]])</f>
        <v>2027</v>
      </c>
      <c r="D1217" s="168">
        <f t="shared" si="56"/>
        <v>46569</v>
      </c>
      <c r="AE1217" s="167">
        <f t="shared" si="57"/>
        <v>0</v>
      </c>
    </row>
    <row r="1218" spans="1:31">
      <c r="A1218" s="197">
        <f t="shared" si="58"/>
        <v>46598</v>
      </c>
      <c r="B1218" s="167">
        <f>YEAR(Table7[[#This Row],[Date]])+IF(MONTH(Table7[[#This Row],[Date]])&gt;=4,1,0)</f>
        <v>2028</v>
      </c>
      <c r="C1218" s="167">
        <f>YEAR(Table7[[#This Row],[Date]])</f>
        <v>2027</v>
      </c>
      <c r="D1218" s="168">
        <f t="shared" si="56"/>
        <v>46569</v>
      </c>
      <c r="AE1218" s="167">
        <f t="shared" si="57"/>
        <v>0</v>
      </c>
    </row>
    <row r="1219" spans="1:31">
      <c r="A1219" s="197">
        <f t="shared" si="58"/>
        <v>46599</v>
      </c>
      <c r="B1219" s="167">
        <f>YEAR(Table7[[#This Row],[Date]])+IF(MONTH(Table7[[#This Row],[Date]])&gt;=4,1,0)</f>
        <v>2028</v>
      </c>
      <c r="C1219" s="167">
        <f>YEAR(Table7[[#This Row],[Date]])</f>
        <v>2027</v>
      </c>
      <c r="D1219" s="168">
        <f t="shared" ref="D1219:D1282" si="59">A1219-DAY(A1219)+1</f>
        <v>46569</v>
      </c>
      <c r="AE1219" s="167">
        <f t="shared" ref="AE1219:AE1282" si="60">SUM(E1219:AD1219)</f>
        <v>0</v>
      </c>
    </row>
    <row r="1220" spans="1:31">
      <c r="A1220" s="197">
        <f t="shared" si="58"/>
        <v>46600</v>
      </c>
      <c r="B1220" s="167">
        <f>YEAR(Table7[[#This Row],[Date]])+IF(MONTH(Table7[[#This Row],[Date]])&gt;=4,1,0)</f>
        <v>2028</v>
      </c>
      <c r="C1220" s="167">
        <f>YEAR(Table7[[#This Row],[Date]])</f>
        <v>2027</v>
      </c>
      <c r="D1220" s="168">
        <f t="shared" si="59"/>
        <v>46600</v>
      </c>
      <c r="AE1220" s="167">
        <f t="shared" si="60"/>
        <v>0</v>
      </c>
    </row>
    <row r="1221" spans="1:31">
      <c r="A1221" s="197">
        <f t="shared" ref="A1221:A1284" si="61">A1220+1</f>
        <v>46601</v>
      </c>
      <c r="B1221" s="167">
        <f>YEAR(Table7[[#This Row],[Date]])+IF(MONTH(Table7[[#This Row],[Date]])&gt;=4,1,0)</f>
        <v>2028</v>
      </c>
      <c r="C1221" s="167">
        <f>YEAR(Table7[[#This Row],[Date]])</f>
        <v>2027</v>
      </c>
      <c r="D1221" s="168">
        <f t="shared" si="59"/>
        <v>46600</v>
      </c>
      <c r="AE1221" s="167">
        <f t="shared" si="60"/>
        <v>0</v>
      </c>
    </row>
    <row r="1222" spans="1:31">
      <c r="A1222" s="197">
        <f t="shared" si="61"/>
        <v>46602</v>
      </c>
      <c r="B1222" s="167">
        <f>YEAR(Table7[[#This Row],[Date]])+IF(MONTH(Table7[[#This Row],[Date]])&gt;=4,1,0)</f>
        <v>2028</v>
      </c>
      <c r="C1222" s="167">
        <f>YEAR(Table7[[#This Row],[Date]])</f>
        <v>2027</v>
      </c>
      <c r="D1222" s="168">
        <f t="shared" si="59"/>
        <v>46600</v>
      </c>
      <c r="AE1222" s="167">
        <f t="shared" si="60"/>
        <v>0</v>
      </c>
    </row>
    <row r="1223" spans="1:31">
      <c r="A1223" s="197">
        <f t="shared" si="61"/>
        <v>46603</v>
      </c>
      <c r="B1223" s="167">
        <f>YEAR(Table7[[#This Row],[Date]])+IF(MONTH(Table7[[#This Row],[Date]])&gt;=4,1,0)</f>
        <v>2028</v>
      </c>
      <c r="C1223" s="167">
        <f>YEAR(Table7[[#This Row],[Date]])</f>
        <v>2027</v>
      </c>
      <c r="D1223" s="168">
        <f t="shared" si="59"/>
        <v>46600</v>
      </c>
      <c r="AE1223" s="167">
        <f t="shared" si="60"/>
        <v>0</v>
      </c>
    </row>
    <row r="1224" spans="1:31">
      <c r="A1224" s="197">
        <f t="shared" si="61"/>
        <v>46604</v>
      </c>
      <c r="B1224" s="167">
        <f>YEAR(Table7[[#This Row],[Date]])+IF(MONTH(Table7[[#This Row],[Date]])&gt;=4,1,0)</f>
        <v>2028</v>
      </c>
      <c r="C1224" s="167">
        <f>YEAR(Table7[[#This Row],[Date]])</f>
        <v>2027</v>
      </c>
      <c r="D1224" s="168">
        <f t="shared" si="59"/>
        <v>46600</v>
      </c>
      <c r="AE1224" s="167">
        <f t="shared" si="60"/>
        <v>0</v>
      </c>
    </row>
    <row r="1225" spans="1:31">
      <c r="A1225" s="197">
        <f t="shared" si="61"/>
        <v>46605</v>
      </c>
      <c r="B1225" s="167">
        <f>YEAR(Table7[[#This Row],[Date]])+IF(MONTH(Table7[[#This Row],[Date]])&gt;=4,1,0)</f>
        <v>2028</v>
      </c>
      <c r="C1225" s="167">
        <f>YEAR(Table7[[#This Row],[Date]])</f>
        <v>2027</v>
      </c>
      <c r="D1225" s="168">
        <f t="shared" si="59"/>
        <v>46600</v>
      </c>
      <c r="AE1225" s="167">
        <f t="shared" si="60"/>
        <v>0</v>
      </c>
    </row>
    <row r="1226" spans="1:31">
      <c r="A1226" s="197">
        <f t="shared" si="61"/>
        <v>46606</v>
      </c>
      <c r="B1226" s="167">
        <f>YEAR(Table7[[#This Row],[Date]])+IF(MONTH(Table7[[#This Row],[Date]])&gt;=4,1,0)</f>
        <v>2028</v>
      </c>
      <c r="C1226" s="167">
        <f>YEAR(Table7[[#This Row],[Date]])</f>
        <v>2027</v>
      </c>
      <c r="D1226" s="168">
        <f t="shared" si="59"/>
        <v>46600</v>
      </c>
      <c r="AE1226" s="167">
        <f t="shared" si="60"/>
        <v>0</v>
      </c>
    </row>
    <row r="1227" spans="1:31">
      <c r="A1227" s="197">
        <f t="shared" si="61"/>
        <v>46607</v>
      </c>
      <c r="B1227" s="167">
        <f>YEAR(Table7[[#This Row],[Date]])+IF(MONTH(Table7[[#This Row],[Date]])&gt;=4,1,0)</f>
        <v>2028</v>
      </c>
      <c r="C1227" s="167">
        <f>YEAR(Table7[[#This Row],[Date]])</f>
        <v>2027</v>
      </c>
      <c r="D1227" s="168">
        <f t="shared" si="59"/>
        <v>46600</v>
      </c>
      <c r="AE1227" s="167">
        <f t="shared" si="60"/>
        <v>0</v>
      </c>
    </row>
    <row r="1228" spans="1:31">
      <c r="A1228" s="197">
        <f t="shared" si="61"/>
        <v>46608</v>
      </c>
      <c r="B1228" s="167">
        <f>YEAR(Table7[[#This Row],[Date]])+IF(MONTH(Table7[[#This Row],[Date]])&gt;=4,1,0)</f>
        <v>2028</v>
      </c>
      <c r="C1228" s="167">
        <f>YEAR(Table7[[#This Row],[Date]])</f>
        <v>2027</v>
      </c>
      <c r="D1228" s="168">
        <f t="shared" si="59"/>
        <v>46600</v>
      </c>
      <c r="AE1228" s="167">
        <f t="shared" si="60"/>
        <v>0</v>
      </c>
    </row>
    <row r="1229" spans="1:31">
      <c r="A1229" s="197">
        <f t="shared" si="61"/>
        <v>46609</v>
      </c>
      <c r="B1229" s="167">
        <f>YEAR(Table7[[#This Row],[Date]])+IF(MONTH(Table7[[#This Row],[Date]])&gt;=4,1,0)</f>
        <v>2028</v>
      </c>
      <c r="C1229" s="167">
        <f>YEAR(Table7[[#This Row],[Date]])</f>
        <v>2027</v>
      </c>
      <c r="D1229" s="168">
        <f t="shared" si="59"/>
        <v>46600</v>
      </c>
      <c r="AE1229" s="167">
        <f t="shared" si="60"/>
        <v>0</v>
      </c>
    </row>
    <row r="1230" spans="1:31">
      <c r="A1230" s="197">
        <f t="shared" si="61"/>
        <v>46610</v>
      </c>
      <c r="B1230" s="167">
        <f>YEAR(Table7[[#This Row],[Date]])+IF(MONTH(Table7[[#This Row],[Date]])&gt;=4,1,0)</f>
        <v>2028</v>
      </c>
      <c r="C1230" s="167">
        <f>YEAR(Table7[[#This Row],[Date]])</f>
        <v>2027</v>
      </c>
      <c r="D1230" s="168">
        <f t="shared" si="59"/>
        <v>46600</v>
      </c>
      <c r="AE1230" s="167">
        <f t="shared" si="60"/>
        <v>0</v>
      </c>
    </row>
    <row r="1231" spans="1:31">
      <c r="A1231" s="197">
        <f t="shared" si="61"/>
        <v>46611</v>
      </c>
      <c r="B1231" s="167">
        <f>YEAR(Table7[[#This Row],[Date]])+IF(MONTH(Table7[[#This Row],[Date]])&gt;=4,1,0)</f>
        <v>2028</v>
      </c>
      <c r="C1231" s="167">
        <f>YEAR(Table7[[#This Row],[Date]])</f>
        <v>2027</v>
      </c>
      <c r="D1231" s="168">
        <f t="shared" si="59"/>
        <v>46600</v>
      </c>
      <c r="AE1231" s="167">
        <f t="shared" si="60"/>
        <v>0</v>
      </c>
    </row>
    <row r="1232" spans="1:31">
      <c r="A1232" s="197">
        <f t="shared" si="61"/>
        <v>46612</v>
      </c>
      <c r="B1232" s="167">
        <f>YEAR(Table7[[#This Row],[Date]])+IF(MONTH(Table7[[#This Row],[Date]])&gt;=4,1,0)</f>
        <v>2028</v>
      </c>
      <c r="C1232" s="167">
        <f>YEAR(Table7[[#This Row],[Date]])</f>
        <v>2027</v>
      </c>
      <c r="D1232" s="168">
        <f t="shared" si="59"/>
        <v>46600</v>
      </c>
      <c r="AE1232" s="167">
        <f t="shared" si="60"/>
        <v>0</v>
      </c>
    </row>
    <row r="1233" spans="1:31">
      <c r="A1233" s="197">
        <f t="shared" si="61"/>
        <v>46613</v>
      </c>
      <c r="B1233" s="167">
        <f>YEAR(Table7[[#This Row],[Date]])+IF(MONTH(Table7[[#This Row],[Date]])&gt;=4,1,0)</f>
        <v>2028</v>
      </c>
      <c r="C1233" s="167">
        <f>YEAR(Table7[[#This Row],[Date]])</f>
        <v>2027</v>
      </c>
      <c r="D1233" s="168">
        <f t="shared" si="59"/>
        <v>46600</v>
      </c>
      <c r="AE1233" s="167">
        <f t="shared" si="60"/>
        <v>0</v>
      </c>
    </row>
    <row r="1234" spans="1:31">
      <c r="A1234" s="197">
        <f t="shared" si="61"/>
        <v>46614</v>
      </c>
      <c r="B1234" s="167">
        <f>YEAR(Table7[[#This Row],[Date]])+IF(MONTH(Table7[[#This Row],[Date]])&gt;=4,1,0)</f>
        <v>2028</v>
      </c>
      <c r="C1234" s="167">
        <f>YEAR(Table7[[#This Row],[Date]])</f>
        <v>2027</v>
      </c>
      <c r="D1234" s="168">
        <f t="shared" si="59"/>
        <v>46600</v>
      </c>
      <c r="AE1234" s="167">
        <f t="shared" si="60"/>
        <v>0</v>
      </c>
    </row>
    <row r="1235" spans="1:31">
      <c r="A1235" s="197">
        <f t="shared" si="61"/>
        <v>46615</v>
      </c>
      <c r="B1235" s="167">
        <f>YEAR(Table7[[#This Row],[Date]])+IF(MONTH(Table7[[#This Row],[Date]])&gt;=4,1,0)</f>
        <v>2028</v>
      </c>
      <c r="C1235" s="167">
        <f>YEAR(Table7[[#This Row],[Date]])</f>
        <v>2027</v>
      </c>
      <c r="D1235" s="168">
        <f t="shared" si="59"/>
        <v>46600</v>
      </c>
      <c r="AE1235" s="167">
        <f t="shared" si="60"/>
        <v>0</v>
      </c>
    </row>
    <row r="1236" spans="1:31">
      <c r="A1236" s="197">
        <f t="shared" si="61"/>
        <v>46616</v>
      </c>
      <c r="B1236" s="167">
        <f>YEAR(Table7[[#This Row],[Date]])+IF(MONTH(Table7[[#This Row],[Date]])&gt;=4,1,0)</f>
        <v>2028</v>
      </c>
      <c r="C1236" s="167">
        <f>YEAR(Table7[[#This Row],[Date]])</f>
        <v>2027</v>
      </c>
      <c r="D1236" s="168">
        <f t="shared" si="59"/>
        <v>46600</v>
      </c>
      <c r="AE1236" s="167">
        <f t="shared" si="60"/>
        <v>0</v>
      </c>
    </row>
    <row r="1237" spans="1:31">
      <c r="A1237" s="197">
        <f t="shared" si="61"/>
        <v>46617</v>
      </c>
      <c r="B1237" s="167">
        <f>YEAR(Table7[[#This Row],[Date]])+IF(MONTH(Table7[[#This Row],[Date]])&gt;=4,1,0)</f>
        <v>2028</v>
      </c>
      <c r="C1237" s="167">
        <f>YEAR(Table7[[#This Row],[Date]])</f>
        <v>2027</v>
      </c>
      <c r="D1237" s="168">
        <f t="shared" si="59"/>
        <v>46600</v>
      </c>
      <c r="AE1237" s="167">
        <f t="shared" si="60"/>
        <v>0</v>
      </c>
    </row>
    <row r="1238" spans="1:31">
      <c r="A1238" s="197">
        <f t="shared" si="61"/>
        <v>46618</v>
      </c>
      <c r="B1238" s="167">
        <f>YEAR(Table7[[#This Row],[Date]])+IF(MONTH(Table7[[#This Row],[Date]])&gt;=4,1,0)</f>
        <v>2028</v>
      </c>
      <c r="C1238" s="167">
        <f>YEAR(Table7[[#This Row],[Date]])</f>
        <v>2027</v>
      </c>
      <c r="D1238" s="168">
        <f t="shared" si="59"/>
        <v>46600</v>
      </c>
      <c r="AE1238" s="167">
        <f t="shared" si="60"/>
        <v>0</v>
      </c>
    </row>
    <row r="1239" spans="1:31">
      <c r="A1239" s="197">
        <f t="shared" si="61"/>
        <v>46619</v>
      </c>
      <c r="B1239" s="167">
        <f>YEAR(Table7[[#This Row],[Date]])+IF(MONTH(Table7[[#This Row],[Date]])&gt;=4,1,0)</f>
        <v>2028</v>
      </c>
      <c r="C1239" s="167">
        <f>YEAR(Table7[[#This Row],[Date]])</f>
        <v>2027</v>
      </c>
      <c r="D1239" s="168">
        <f t="shared" si="59"/>
        <v>46600</v>
      </c>
      <c r="AE1239" s="167">
        <f t="shared" si="60"/>
        <v>0</v>
      </c>
    </row>
    <row r="1240" spans="1:31">
      <c r="A1240" s="197">
        <f t="shared" si="61"/>
        <v>46620</v>
      </c>
      <c r="B1240" s="167">
        <f>YEAR(Table7[[#This Row],[Date]])+IF(MONTH(Table7[[#This Row],[Date]])&gt;=4,1,0)</f>
        <v>2028</v>
      </c>
      <c r="C1240" s="167">
        <f>YEAR(Table7[[#This Row],[Date]])</f>
        <v>2027</v>
      </c>
      <c r="D1240" s="168">
        <f t="shared" si="59"/>
        <v>46600</v>
      </c>
      <c r="AE1240" s="167">
        <f t="shared" si="60"/>
        <v>0</v>
      </c>
    </row>
    <row r="1241" spans="1:31">
      <c r="A1241" s="197">
        <f t="shared" si="61"/>
        <v>46621</v>
      </c>
      <c r="B1241" s="167">
        <f>YEAR(Table7[[#This Row],[Date]])+IF(MONTH(Table7[[#This Row],[Date]])&gt;=4,1,0)</f>
        <v>2028</v>
      </c>
      <c r="C1241" s="167">
        <f>YEAR(Table7[[#This Row],[Date]])</f>
        <v>2027</v>
      </c>
      <c r="D1241" s="168">
        <f t="shared" si="59"/>
        <v>46600</v>
      </c>
      <c r="AE1241" s="167">
        <f t="shared" si="60"/>
        <v>0</v>
      </c>
    </row>
    <row r="1242" spans="1:31">
      <c r="A1242" s="197">
        <f t="shared" si="61"/>
        <v>46622</v>
      </c>
      <c r="B1242" s="167">
        <f>YEAR(Table7[[#This Row],[Date]])+IF(MONTH(Table7[[#This Row],[Date]])&gt;=4,1,0)</f>
        <v>2028</v>
      </c>
      <c r="C1242" s="167">
        <f>YEAR(Table7[[#This Row],[Date]])</f>
        <v>2027</v>
      </c>
      <c r="D1242" s="168">
        <f t="shared" si="59"/>
        <v>46600</v>
      </c>
      <c r="AE1242" s="167">
        <f t="shared" si="60"/>
        <v>0</v>
      </c>
    </row>
    <row r="1243" spans="1:31">
      <c r="A1243" s="197">
        <f t="shared" si="61"/>
        <v>46623</v>
      </c>
      <c r="B1243" s="167">
        <f>YEAR(Table7[[#This Row],[Date]])+IF(MONTH(Table7[[#This Row],[Date]])&gt;=4,1,0)</f>
        <v>2028</v>
      </c>
      <c r="C1243" s="167">
        <f>YEAR(Table7[[#This Row],[Date]])</f>
        <v>2027</v>
      </c>
      <c r="D1243" s="168">
        <f t="shared" si="59"/>
        <v>46600</v>
      </c>
      <c r="AE1243" s="167">
        <f t="shared" si="60"/>
        <v>0</v>
      </c>
    </row>
    <row r="1244" spans="1:31">
      <c r="A1244" s="197">
        <f t="shared" si="61"/>
        <v>46624</v>
      </c>
      <c r="B1244" s="167">
        <f>YEAR(Table7[[#This Row],[Date]])+IF(MONTH(Table7[[#This Row],[Date]])&gt;=4,1,0)</f>
        <v>2028</v>
      </c>
      <c r="C1244" s="167">
        <f>YEAR(Table7[[#This Row],[Date]])</f>
        <v>2027</v>
      </c>
      <c r="D1244" s="168">
        <f t="shared" si="59"/>
        <v>46600</v>
      </c>
      <c r="AE1244" s="167">
        <f t="shared" si="60"/>
        <v>0</v>
      </c>
    </row>
    <row r="1245" spans="1:31">
      <c r="A1245" s="197">
        <f t="shared" si="61"/>
        <v>46625</v>
      </c>
      <c r="B1245" s="167">
        <f>YEAR(Table7[[#This Row],[Date]])+IF(MONTH(Table7[[#This Row],[Date]])&gt;=4,1,0)</f>
        <v>2028</v>
      </c>
      <c r="C1245" s="167">
        <f>YEAR(Table7[[#This Row],[Date]])</f>
        <v>2027</v>
      </c>
      <c r="D1245" s="168">
        <f t="shared" si="59"/>
        <v>46600</v>
      </c>
      <c r="AE1245" s="167">
        <f t="shared" si="60"/>
        <v>0</v>
      </c>
    </row>
    <row r="1246" spans="1:31">
      <c r="A1246" s="197">
        <f t="shared" si="61"/>
        <v>46626</v>
      </c>
      <c r="B1246" s="167">
        <f>YEAR(Table7[[#This Row],[Date]])+IF(MONTH(Table7[[#This Row],[Date]])&gt;=4,1,0)</f>
        <v>2028</v>
      </c>
      <c r="C1246" s="167">
        <f>YEAR(Table7[[#This Row],[Date]])</f>
        <v>2027</v>
      </c>
      <c r="D1246" s="168">
        <f t="shared" si="59"/>
        <v>46600</v>
      </c>
      <c r="AE1246" s="167">
        <f t="shared" si="60"/>
        <v>0</v>
      </c>
    </row>
    <row r="1247" spans="1:31">
      <c r="A1247" s="197">
        <f t="shared" si="61"/>
        <v>46627</v>
      </c>
      <c r="B1247" s="167">
        <f>YEAR(Table7[[#This Row],[Date]])+IF(MONTH(Table7[[#This Row],[Date]])&gt;=4,1,0)</f>
        <v>2028</v>
      </c>
      <c r="C1247" s="167">
        <f>YEAR(Table7[[#This Row],[Date]])</f>
        <v>2027</v>
      </c>
      <c r="D1247" s="168">
        <f t="shared" si="59"/>
        <v>46600</v>
      </c>
      <c r="AE1247" s="167">
        <f t="shared" si="60"/>
        <v>0</v>
      </c>
    </row>
    <row r="1248" spans="1:31">
      <c r="A1248" s="197">
        <f t="shared" si="61"/>
        <v>46628</v>
      </c>
      <c r="B1248" s="167">
        <f>YEAR(Table7[[#This Row],[Date]])+IF(MONTH(Table7[[#This Row],[Date]])&gt;=4,1,0)</f>
        <v>2028</v>
      </c>
      <c r="C1248" s="167">
        <f>YEAR(Table7[[#This Row],[Date]])</f>
        <v>2027</v>
      </c>
      <c r="D1248" s="168">
        <f t="shared" si="59"/>
        <v>46600</v>
      </c>
      <c r="AE1248" s="167">
        <f t="shared" si="60"/>
        <v>0</v>
      </c>
    </row>
    <row r="1249" spans="1:31">
      <c r="A1249" s="197">
        <f t="shared" si="61"/>
        <v>46629</v>
      </c>
      <c r="B1249" s="167">
        <f>YEAR(Table7[[#This Row],[Date]])+IF(MONTH(Table7[[#This Row],[Date]])&gt;=4,1,0)</f>
        <v>2028</v>
      </c>
      <c r="C1249" s="167">
        <f>YEAR(Table7[[#This Row],[Date]])</f>
        <v>2027</v>
      </c>
      <c r="D1249" s="168">
        <f t="shared" si="59"/>
        <v>46600</v>
      </c>
      <c r="AE1249" s="167">
        <f t="shared" si="60"/>
        <v>0</v>
      </c>
    </row>
    <row r="1250" spans="1:31">
      <c r="A1250" s="197">
        <f t="shared" si="61"/>
        <v>46630</v>
      </c>
      <c r="B1250" s="167">
        <f>YEAR(Table7[[#This Row],[Date]])+IF(MONTH(Table7[[#This Row],[Date]])&gt;=4,1,0)</f>
        <v>2028</v>
      </c>
      <c r="C1250" s="167">
        <f>YEAR(Table7[[#This Row],[Date]])</f>
        <v>2027</v>
      </c>
      <c r="D1250" s="168">
        <f t="shared" si="59"/>
        <v>46600</v>
      </c>
      <c r="AE1250" s="167">
        <f t="shared" si="60"/>
        <v>0</v>
      </c>
    </row>
    <row r="1251" spans="1:31">
      <c r="A1251" s="197">
        <f t="shared" si="61"/>
        <v>46631</v>
      </c>
      <c r="B1251" s="167">
        <f>YEAR(Table7[[#This Row],[Date]])+IF(MONTH(Table7[[#This Row],[Date]])&gt;=4,1,0)</f>
        <v>2028</v>
      </c>
      <c r="C1251" s="167">
        <f>YEAR(Table7[[#This Row],[Date]])</f>
        <v>2027</v>
      </c>
      <c r="D1251" s="168">
        <f t="shared" si="59"/>
        <v>46631</v>
      </c>
      <c r="AE1251" s="167">
        <f t="shared" si="60"/>
        <v>0</v>
      </c>
    </row>
    <row r="1252" spans="1:31">
      <c r="A1252" s="197">
        <f t="shared" si="61"/>
        <v>46632</v>
      </c>
      <c r="B1252" s="167">
        <f>YEAR(Table7[[#This Row],[Date]])+IF(MONTH(Table7[[#This Row],[Date]])&gt;=4,1,0)</f>
        <v>2028</v>
      </c>
      <c r="C1252" s="167">
        <f>YEAR(Table7[[#This Row],[Date]])</f>
        <v>2027</v>
      </c>
      <c r="D1252" s="168">
        <f t="shared" si="59"/>
        <v>46631</v>
      </c>
      <c r="AE1252" s="167">
        <f t="shared" si="60"/>
        <v>0</v>
      </c>
    </row>
    <row r="1253" spans="1:31">
      <c r="A1253" s="197">
        <f t="shared" si="61"/>
        <v>46633</v>
      </c>
      <c r="B1253" s="167">
        <f>YEAR(Table7[[#This Row],[Date]])+IF(MONTH(Table7[[#This Row],[Date]])&gt;=4,1,0)</f>
        <v>2028</v>
      </c>
      <c r="C1253" s="167">
        <f>YEAR(Table7[[#This Row],[Date]])</f>
        <v>2027</v>
      </c>
      <c r="D1253" s="168">
        <f t="shared" si="59"/>
        <v>46631</v>
      </c>
      <c r="AE1253" s="167">
        <f t="shared" si="60"/>
        <v>0</v>
      </c>
    </row>
    <row r="1254" spans="1:31">
      <c r="A1254" s="197">
        <f t="shared" si="61"/>
        <v>46634</v>
      </c>
      <c r="B1254" s="167">
        <f>YEAR(Table7[[#This Row],[Date]])+IF(MONTH(Table7[[#This Row],[Date]])&gt;=4,1,0)</f>
        <v>2028</v>
      </c>
      <c r="C1254" s="167">
        <f>YEAR(Table7[[#This Row],[Date]])</f>
        <v>2027</v>
      </c>
      <c r="D1254" s="168">
        <f t="shared" si="59"/>
        <v>46631</v>
      </c>
      <c r="AE1254" s="167">
        <f t="shared" si="60"/>
        <v>0</v>
      </c>
    </row>
    <row r="1255" spans="1:31">
      <c r="A1255" s="197">
        <f t="shared" si="61"/>
        <v>46635</v>
      </c>
      <c r="B1255" s="167">
        <f>YEAR(Table7[[#This Row],[Date]])+IF(MONTH(Table7[[#This Row],[Date]])&gt;=4,1,0)</f>
        <v>2028</v>
      </c>
      <c r="C1255" s="167">
        <f>YEAR(Table7[[#This Row],[Date]])</f>
        <v>2027</v>
      </c>
      <c r="D1255" s="168">
        <f t="shared" si="59"/>
        <v>46631</v>
      </c>
      <c r="AE1255" s="167">
        <f t="shared" si="60"/>
        <v>0</v>
      </c>
    </row>
    <row r="1256" spans="1:31">
      <c r="A1256" s="197">
        <f t="shared" si="61"/>
        <v>46636</v>
      </c>
      <c r="B1256" s="167">
        <f>YEAR(Table7[[#This Row],[Date]])+IF(MONTH(Table7[[#This Row],[Date]])&gt;=4,1,0)</f>
        <v>2028</v>
      </c>
      <c r="C1256" s="167">
        <f>YEAR(Table7[[#This Row],[Date]])</f>
        <v>2027</v>
      </c>
      <c r="D1256" s="168">
        <f t="shared" si="59"/>
        <v>46631</v>
      </c>
      <c r="AE1256" s="167">
        <f t="shared" si="60"/>
        <v>0</v>
      </c>
    </row>
    <row r="1257" spans="1:31">
      <c r="A1257" s="197">
        <f t="shared" si="61"/>
        <v>46637</v>
      </c>
      <c r="B1257" s="167">
        <f>YEAR(Table7[[#This Row],[Date]])+IF(MONTH(Table7[[#This Row],[Date]])&gt;=4,1,0)</f>
        <v>2028</v>
      </c>
      <c r="C1257" s="167">
        <f>YEAR(Table7[[#This Row],[Date]])</f>
        <v>2027</v>
      </c>
      <c r="D1257" s="168">
        <f t="shared" si="59"/>
        <v>46631</v>
      </c>
      <c r="AE1257" s="167">
        <f t="shared" si="60"/>
        <v>0</v>
      </c>
    </row>
    <row r="1258" spans="1:31">
      <c r="A1258" s="197">
        <f t="shared" si="61"/>
        <v>46638</v>
      </c>
      <c r="B1258" s="167">
        <f>YEAR(Table7[[#This Row],[Date]])+IF(MONTH(Table7[[#This Row],[Date]])&gt;=4,1,0)</f>
        <v>2028</v>
      </c>
      <c r="C1258" s="167">
        <f>YEAR(Table7[[#This Row],[Date]])</f>
        <v>2027</v>
      </c>
      <c r="D1258" s="168">
        <f t="shared" si="59"/>
        <v>46631</v>
      </c>
      <c r="AE1258" s="167">
        <f t="shared" si="60"/>
        <v>0</v>
      </c>
    </row>
    <row r="1259" spans="1:31">
      <c r="A1259" s="197">
        <f t="shared" si="61"/>
        <v>46639</v>
      </c>
      <c r="B1259" s="167">
        <f>YEAR(Table7[[#This Row],[Date]])+IF(MONTH(Table7[[#This Row],[Date]])&gt;=4,1,0)</f>
        <v>2028</v>
      </c>
      <c r="C1259" s="167">
        <f>YEAR(Table7[[#This Row],[Date]])</f>
        <v>2027</v>
      </c>
      <c r="D1259" s="168">
        <f t="shared" si="59"/>
        <v>46631</v>
      </c>
      <c r="AE1259" s="167">
        <f t="shared" si="60"/>
        <v>0</v>
      </c>
    </row>
    <row r="1260" spans="1:31">
      <c r="A1260" s="197">
        <f t="shared" si="61"/>
        <v>46640</v>
      </c>
      <c r="B1260" s="167">
        <f>YEAR(Table7[[#This Row],[Date]])+IF(MONTH(Table7[[#This Row],[Date]])&gt;=4,1,0)</f>
        <v>2028</v>
      </c>
      <c r="C1260" s="167">
        <f>YEAR(Table7[[#This Row],[Date]])</f>
        <v>2027</v>
      </c>
      <c r="D1260" s="168">
        <f t="shared" si="59"/>
        <v>46631</v>
      </c>
      <c r="AE1260" s="167">
        <f t="shared" si="60"/>
        <v>0</v>
      </c>
    </row>
    <row r="1261" spans="1:31">
      <c r="A1261" s="197">
        <f t="shared" si="61"/>
        <v>46641</v>
      </c>
      <c r="B1261" s="167">
        <f>YEAR(Table7[[#This Row],[Date]])+IF(MONTH(Table7[[#This Row],[Date]])&gt;=4,1,0)</f>
        <v>2028</v>
      </c>
      <c r="C1261" s="167">
        <f>YEAR(Table7[[#This Row],[Date]])</f>
        <v>2027</v>
      </c>
      <c r="D1261" s="168">
        <f t="shared" si="59"/>
        <v>46631</v>
      </c>
      <c r="AE1261" s="167">
        <f t="shared" si="60"/>
        <v>0</v>
      </c>
    </row>
    <row r="1262" spans="1:31">
      <c r="A1262" s="197">
        <f t="shared" si="61"/>
        <v>46642</v>
      </c>
      <c r="B1262" s="167">
        <f>YEAR(Table7[[#This Row],[Date]])+IF(MONTH(Table7[[#This Row],[Date]])&gt;=4,1,0)</f>
        <v>2028</v>
      </c>
      <c r="C1262" s="167">
        <f>YEAR(Table7[[#This Row],[Date]])</f>
        <v>2027</v>
      </c>
      <c r="D1262" s="168">
        <f t="shared" si="59"/>
        <v>46631</v>
      </c>
      <c r="AE1262" s="167">
        <f t="shared" si="60"/>
        <v>0</v>
      </c>
    </row>
    <row r="1263" spans="1:31">
      <c r="A1263" s="197">
        <f t="shared" si="61"/>
        <v>46643</v>
      </c>
      <c r="B1263" s="167">
        <f>YEAR(Table7[[#This Row],[Date]])+IF(MONTH(Table7[[#This Row],[Date]])&gt;=4,1,0)</f>
        <v>2028</v>
      </c>
      <c r="C1263" s="167">
        <f>YEAR(Table7[[#This Row],[Date]])</f>
        <v>2027</v>
      </c>
      <c r="D1263" s="168">
        <f t="shared" si="59"/>
        <v>46631</v>
      </c>
      <c r="AE1263" s="167">
        <f t="shared" si="60"/>
        <v>0</v>
      </c>
    </row>
    <row r="1264" spans="1:31">
      <c r="A1264" s="197">
        <f t="shared" si="61"/>
        <v>46644</v>
      </c>
      <c r="B1264" s="167">
        <f>YEAR(Table7[[#This Row],[Date]])+IF(MONTH(Table7[[#This Row],[Date]])&gt;=4,1,0)</f>
        <v>2028</v>
      </c>
      <c r="C1264" s="167">
        <f>YEAR(Table7[[#This Row],[Date]])</f>
        <v>2027</v>
      </c>
      <c r="D1264" s="168">
        <f t="shared" si="59"/>
        <v>46631</v>
      </c>
      <c r="AE1264" s="167">
        <f t="shared" si="60"/>
        <v>0</v>
      </c>
    </row>
    <row r="1265" spans="1:31">
      <c r="A1265" s="197">
        <f t="shared" si="61"/>
        <v>46645</v>
      </c>
      <c r="B1265" s="167">
        <f>YEAR(Table7[[#This Row],[Date]])+IF(MONTH(Table7[[#This Row],[Date]])&gt;=4,1,0)</f>
        <v>2028</v>
      </c>
      <c r="C1265" s="167">
        <f>YEAR(Table7[[#This Row],[Date]])</f>
        <v>2027</v>
      </c>
      <c r="D1265" s="168">
        <f t="shared" si="59"/>
        <v>46631</v>
      </c>
      <c r="AE1265" s="167">
        <f t="shared" si="60"/>
        <v>0</v>
      </c>
    </row>
    <row r="1266" spans="1:31">
      <c r="A1266" s="197">
        <f t="shared" si="61"/>
        <v>46646</v>
      </c>
      <c r="B1266" s="167">
        <f>YEAR(Table7[[#This Row],[Date]])+IF(MONTH(Table7[[#This Row],[Date]])&gt;=4,1,0)</f>
        <v>2028</v>
      </c>
      <c r="C1266" s="167">
        <f>YEAR(Table7[[#This Row],[Date]])</f>
        <v>2027</v>
      </c>
      <c r="D1266" s="168">
        <f t="shared" si="59"/>
        <v>46631</v>
      </c>
      <c r="AE1266" s="167">
        <f t="shared" si="60"/>
        <v>0</v>
      </c>
    </row>
    <row r="1267" spans="1:31">
      <c r="A1267" s="197">
        <f t="shared" si="61"/>
        <v>46647</v>
      </c>
      <c r="B1267" s="167">
        <f>YEAR(Table7[[#This Row],[Date]])+IF(MONTH(Table7[[#This Row],[Date]])&gt;=4,1,0)</f>
        <v>2028</v>
      </c>
      <c r="C1267" s="167">
        <f>YEAR(Table7[[#This Row],[Date]])</f>
        <v>2027</v>
      </c>
      <c r="D1267" s="168">
        <f t="shared" si="59"/>
        <v>46631</v>
      </c>
      <c r="AE1267" s="167">
        <f t="shared" si="60"/>
        <v>0</v>
      </c>
    </row>
    <row r="1268" spans="1:31">
      <c r="A1268" s="197">
        <f t="shared" si="61"/>
        <v>46648</v>
      </c>
      <c r="B1268" s="167">
        <f>YEAR(Table7[[#This Row],[Date]])+IF(MONTH(Table7[[#This Row],[Date]])&gt;=4,1,0)</f>
        <v>2028</v>
      </c>
      <c r="C1268" s="167">
        <f>YEAR(Table7[[#This Row],[Date]])</f>
        <v>2027</v>
      </c>
      <c r="D1268" s="168">
        <f t="shared" si="59"/>
        <v>46631</v>
      </c>
      <c r="AE1268" s="167">
        <f t="shared" si="60"/>
        <v>0</v>
      </c>
    </row>
    <row r="1269" spans="1:31">
      <c r="A1269" s="197">
        <f t="shared" si="61"/>
        <v>46649</v>
      </c>
      <c r="B1269" s="167">
        <f>YEAR(Table7[[#This Row],[Date]])+IF(MONTH(Table7[[#This Row],[Date]])&gt;=4,1,0)</f>
        <v>2028</v>
      </c>
      <c r="C1269" s="167">
        <f>YEAR(Table7[[#This Row],[Date]])</f>
        <v>2027</v>
      </c>
      <c r="D1269" s="168">
        <f t="shared" si="59"/>
        <v>46631</v>
      </c>
      <c r="AE1269" s="167">
        <f t="shared" si="60"/>
        <v>0</v>
      </c>
    </row>
    <row r="1270" spans="1:31">
      <c r="A1270" s="197">
        <f t="shared" si="61"/>
        <v>46650</v>
      </c>
      <c r="B1270" s="167">
        <f>YEAR(Table7[[#This Row],[Date]])+IF(MONTH(Table7[[#This Row],[Date]])&gt;=4,1,0)</f>
        <v>2028</v>
      </c>
      <c r="C1270" s="167">
        <f>YEAR(Table7[[#This Row],[Date]])</f>
        <v>2027</v>
      </c>
      <c r="D1270" s="168">
        <f t="shared" si="59"/>
        <v>46631</v>
      </c>
      <c r="AE1270" s="167">
        <f t="shared" si="60"/>
        <v>0</v>
      </c>
    </row>
    <row r="1271" spans="1:31">
      <c r="A1271" s="197">
        <f t="shared" si="61"/>
        <v>46651</v>
      </c>
      <c r="B1271" s="167">
        <f>YEAR(Table7[[#This Row],[Date]])+IF(MONTH(Table7[[#This Row],[Date]])&gt;=4,1,0)</f>
        <v>2028</v>
      </c>
      <c r="C1271" s="167">
        <f>YEAR(Table7[[#This Row],[Date]])</f>
        <v>2027</v>
      </c>
      <c r="D1271" s="168">
        <f t="shared" si="59"/>
        <v>46631</v>
      </c>
      <c r="AE1271" s="167">
        <f t="shared" si="60"/>
        <v>0</v>
      </c>
    </row>
    <row r="1272" spans="1:31">
      <c r="A1272" s="197">
        <f t="shared" si="61"/>
        <v>46652</v>
      </c>
      <c r="B1272" s="167">
        <f>YEAR(Table7[[#This Row],[Date]])+IF(MONTH(Table7[[#This Row],[Date]])&gt;=4,1,0)</f>
        <v>2028</v>
      </c>
      <c r="C1272" s="167">
        <f>YEAR(Table7[[#This Row],[Date]])</f>
        <v>2027</v>
      </c>
      <c r="D1272" s="168">
        <f t="shared" si="59"/>
        <v>46631</v>
      </c>
      <c r="AE1272" s="167">
        <f t="shared" si="60"/>
        <v>0</v>
      </c>
    </row>
    <row r="1273" spans="1:31">
      <c r="A1273" s="197">
        <f t="shared" si="61"/>
        <v>46653</v>
      </c>
      <c r="B1273" s="167">
        <f>YEAR(Table7[[#This Row],[Date]])+IF(MONTH(Table7[[#This Row],[Date]])&gt;=4,1,0)</f>
        <v>2028</v>
      </c>
      <c r="C1273" s="167">
        <f>YEAR(Table7[[#This Row],[Date]])</f>
        <v>2027</v>
      </c>
      <c r="D1273" s="168">
        <f t="shared" si="59"/>
        <v>46631</v>
      </c>
      <c r="AE1273" s="167">
        <f t="shared" si="60"/>
        <v>0</v>
      </c>
    </row>
    <row r="1274" spans="1:31">
      <c r="A1274" s="197">
        <f t="shared" si="61"/>
        <v>46654</v>
      </c>
      <c r="B1274" s="167">
        <f>YEAR(Table7[[#This Row],[Date]])+IF(MONTH(Table7[[#This Row],[Date]])&gt;=4,1,0)</f>
        <v>2028</v>
      </c>
      <c r="C1274" s="167">
        <f>YEAR(Table7[[#This Row],[Date]])</f>
        <v>2027</v>
      </c>
      <c r="D1274" s="168">
        <f t="shared" si="59"/>
        <v>46631</v>
      </c>
      <c r="AE1274" s="167">
        <f t="shared" si="60"/>
        <v>0</v>
      </c>
    </row>
    <row r="1275" spans="1:31">
      <c r="A1275" s="197">
        <f t="shared" si="61"/>
        <v>46655</v>
      </c>
      <c r="B1275" s="167">
        <f>YEAR(Table7[[#This Row],[Date]])+IF(MONTH(Table7[[#This Row],[Date]])&gt;=4,1,0)</f>
        <v>2028</v>
      </c>
      <c r="C1275" s="167">
        <f>YEAR(Table7[[#This Row],[Date]])</f>
        <v>2027</v>
      </c>
      <c r="D1275" s="168">
        <f t="shared" si="59"/>
        <v>46631</v>
      </c>
      <c r="AE1275" s="167">
        <f t="shared" si="60"/>
        <v>0</v>
      </c>
    </row>
    <row r="1276" spans="1:31">
      <c r="A1276" s="197">
        <f t="shared" si="61"/>
        <v>46656</v>
      </c>
      <c r="B1276" s="167">
        <f>YEAR(Table7[[#This Row],[Date]])+IF(MONTH(Table7[[#This Row],[Date]])&gt;=4,1,0)</f>
        <v>2028</v>
      </c>
      <c r="C1276" s="167">
        <f>YEAR(Table7[[#This Row],[Date]])</f>
        <v>2027</v>
      </c>
      <c r="D1276" s="168">
        <f t="shared" si="59"/>
        <v>46631</v>
      </c>
      <c r="AE1276" s="167">
        <f t="shared" si="60"/>
        <v>0</v>
      </c>
    </row>
    <row r="1277" spans="1:31">
      <c r="A1277" s="197">
        <f t="shared" si="61"/>
        <v>46657</v>
      </c>
      <c r="B1277" s="167">
        <f>YEAR(Table7[[#This Row],[Date]])+IF(MONTH(Table7[[#This Row],[Date]])&gt;=4,1,0)</f>
        <v>2028</v>
      </c>
      <c r="C1277" s="167">
        <f>YEAR(Table7[[#This Row],[Date]])</f>
        <v>2027</v>
      </c>
      <c r="D1277" s="168">
        <f t="shared" si="59"/>
        <v>46631</v>
      </c>
      <c r="AE1277" s="167">
        <f t="shared" si="60"/>
        <v>0</v>
      </c>
    </row>
    <row r="1278" spans="1:31">
      <c r="A1278" s="197">
        <f t="shared" si="61"/>
        <v>46658</v>
      </c>
      <c r="B1278" s="167">
        <f>YEAR(Table7[[#This Row],[Date]])+IF(MONTH(Table7[[#This Row],[Date]])&gt;=4,1,0)</f>
        <v>2028</v>
      </c>
      <c r="C1278" s="167">
        <f>YEAR(Table7[[#This Row],[Date]])</f>
        <v>2027</v>
      </c>
      <c r="D1278" s="168">
        <f t="shared" si="59"/>
        <v>46631</v>
      </c>
      <c r="AE1278" s="167">
        <f t="shared" si="60"/>
        <v>0</v>
      </c>
    </row>
    <row r="1279" spans="1:31">
      <c r="A1279" s="197">
        <f t="shared" si="61"/>
        <v>46659</v>
      </c>
      <c r="B1279" s="167">
        <f>YEAR(Table7[[#This Row],[Date]])+IF(MONTH(Table7[[#This Row],[Date]])&gt;=4,1,0)</f>
        <v>2028</v>
      </c>
      <c r="C1279" s="167">
        <f>YEAR(Table7[[#This Row],[Date]])</f>
        <v>2027</v>
      </c>
      <c r="D1279" s="168">
        <f t="shared" si="59"/>
        <v>46631</v>
      </c>
      <c r="AE1279" s="167">
        <f t="shared" si="60"/>
        <v>0</v>
      </c>
    </row>
    <row r="1280" spans="1:31">
      <c r="A1280" s="197">
        <f t="shared" si="61"/>
        <v>46660</v>
      </c>
      <c r="B1280" s="167">
        <f>YEAR(Table7[[#This Row],[Date]])+IF(MONTH(Table7[[#This Row],[Date]])&gt;=4,1,0)</f>
        <v>2028</v>
      </c>
      <c r="C1280" s="167">
        <f>YEAR(Table7[[#This Row],[Date]])</f>
        <v>2027</v>
      </c>
      <c r="D1280" s="168">
        <f t="shared" si="59"/>
        <v>46631</v>
      </c>
      <c r="AE1280" s="167">
        <f t="shared" si="60"/>
        <v>0</v>
      </c>
    </row>
    <row r="1281" spans="1:31">
      <c r="A1281" s="197">
        <f t="shared" si="61"/>
        <v>46661</v>
      </c>
      <c r="B1281" s="167">
        <f>YEAR(Table7[[#This Row],[Date]])+IF(MONTH(Table7[[#This Row],[Date]])&gt;=4,1,0)</f>
        <v>2028</v>
      </c>
      <c r="C1281" s="167">
        <f>YEAR(Table7[[#This Row],[Date]])</f>
        <v>2027</v>
      </c>
      <c r="D1281" s="168">
        <f t="shared" si="59"/>
        <v>46661</v>
      </c>
      <c r="AE1281" s="167">
        <f t="shared" si="60"/>
        <v>0</v>
      </c>
    </row>
    <row r="1282" spans="1:31">
      <c r="A1282" s="197">
        <f t="shared" si="61"/>
        <v>46662</v>
      </c>
      <c r="B1282" s="167">
        <f>YEAR(Table7[[#This Row],[Date]])+IF(MONTH(Table7[[#This Row],[Date]])&gt;=4,1,0)</f>
        <v>2028</v>
      </c>
      <c r="C1282" s="167">
        <f>YEAR(Table7[[#This Row],[Date]])</f>
        <v>2027</v>
      </c>
      <c r="D1282" s="168">
        <f t="shared" si="59"/>
        <v>46661</v>
      </c>
      <c r="AE1282" s="167">
        <f t="shared" si="60"/>
        <v>0</v>
      </c>
    </row>
    <row r="1283" spans="1:31">
      <c r="A1283" s="197">
        <f t="shared" si="61"/>
        <v>46663</v>
      </c>
      <c r="B1283" s="167">
        <f>YEAR(Table7[[#This Row],[Date]])+IF(MONTH(Table7[[#This Row],[Date]])&gt;=4,1,0)</f>
        <v>2028</v>
      </c>
      <c r="C1283" s="167">
        <f>YEAR(Table7[[#This Row],[Date]])</f>
        <v>2027</v>
      </c>
      <c r="D1283" s="168">
        <f t="shared" ref="D1283:D1346" si="62">A1283-DAY(A1283)+1</f>
        <v>46661</v>
      </c>
      <c r="AE1283" s="167">
        <f t="shared" ref="AE1283:AE1346" si="63">SUM(E1283:AD1283)</f>
        <v>0</v>
      </c>
    </row>
    <row r="1284" spans="1:31">
      <c r="A1284" s="197">
        <f t="shared" si="61"/>
        <v>46664</v>
      </c>
      <c r="B1284" s="167">
        <f>YEAR(Table7[[#This Row],[Date]])+IF(MONTH(Table7[[#This Row],[Date]])&gt;=4,1,0)</f>
        <v>2028</v>
      </c>
      <c r="C1284" s="167">
        <f>YEAR(Table7[[#This Row],[Date]])</f>
        <v>2027</v>
      </c>
      <c r="D1284" s="168">
        <f t="shared" si="62"/>
        <v>46661</v>
      </c>
      <c r="AE1284" s="167">
        <f t="shared" si="63"/>
        <v>0</v>
      </c>
    </row>
    <row r="1285" spans="1:31">
      <c r="A1285" s="197">
        <f t="shared" ref="A1285:A1348" si="64">A1284+1</f>
        <v>46665</v>
      </c>
      <c r="B1285" s="167">
        <f>YEAR(Table7[[#This Row],[Date]])+IF(MONTH(Table7[[#This Row],[Date]])&gt;=4,1,0)</f>
        <v>2028</v>
      </c>
      <c r="C1285" s="167">
        <f>YEAR(Table7[[#This Row],[Date]])</f>
        <v>2027</v>
      </c>
      <c r="D1285" s="168">
        <f t="shared" si="62"/>
        <v>46661</v>
      </c>
      <c r="AE1285" s="167">
        <f t="shared" si="63"/>
        <v>0</v>
      </c>
    </row>
    <row r="1286" spans="1:31">
      <c r="A1286" s="197">
        <f t="shared" si="64"/>
        <v>46666</v>
      </c>
      <c r="B1286" s="167">
        <f>YEAR(Table7[[#This Row],[Date]])+IF(MONTH(Table7[[#This Row],[Date]])&gt;=4,1,0)</f>
        <v>2028</v>
      </c>
      <c r="C1286" s="167">
        <f>YEAR(Table7[[#This Row],[Date]])</f>
        <v>2027</v>
      </c>
      <c r="D1286" s="168">
        <f t="shared" si="62"/>
        <v>46661</v>
      </c>
      <c r="AE1286" s="167">
        <f t="shared" si="63"/>
        <v>0</v>
      </c>
    </row>
    <row r="1287" spans="1:31">
      <c r="A1287" s="197">
        <f t="shared" si="64"/>
        <v>46667</v>
      </c>
      <c r="B1287" s="167">
        <f>YEAR(Table7[[#This Row],[Date]])+IF(MONTH(Table7[[#This Row],[Date]])&gt;=4,1,0)</f>
        <v>2028</v>
      </c>
      <c r="C1287" s="167">
        <f>YEAR(Table7[[#This Row],[Date]])</f>
        <v>2027</v>
      </c>
      <c r="D1287" s="168">
        <f t="shared" si="62"/>
        <v>46661</v>
      </c>
      <c r="AE1287" s="167">
        <f t="shared" si="63"/>
        <v>0</v>
      </c>
    </row>
    <row r="1288" spans="1:31">
      <c r="A1288" s="197">
        <f t="shared" si="64"/>
        <v>46668</v>
      </c>
      <c r="B1288" s="167">
        <f>YEAR(Table7[[#This Row],[Date]])+IF(MONTH(Table7[[#This Row],[Date]])&gt;=4,1,0)</f>
        <v>2028</v>
      </c>
      <c r="C1288" s="167">
        <f>YEAR(Table7[[#This Row],[Date]])</f>
        <v>2027</v>
      </c>
      <c r="D1288" s="168">
        <f t="shared" si="62"/>
        <v>46661</v>
      </c>
      <c r="AE1288" s="167">
        <f t="shared" si="63"/>
        <v>0</v>
      </c>
    </row>
    <row r="1289" spans="1:31">
      <c r="A1289" s="197">
        <f t="shared" si="64"/>
        <v>46669</v>
      </c>
      <c r="B1289" s="167">
        <f>YEAR(Table7[[#This Row],[Date]])+IF(MONTH(Table7[[#This Row],[Date]])&gt;=4,1,0)</f>
        <v>2028</v>
      </c>
      <c r="C1289" s="167">
        <f>YEAR(Table7[[#This Row],[Date]])</f>
        <v>2027</v>
      </c>
      <c r="D1289" s="168">
        <f t="shared" si="62"/>
        <v>46661</v>
      </c>
      <c r="AE1289" s="167">
        <f t="shared" si="63"/>
        <v>0</v>
      </c>
    </row>
    <row r="1290" spans="1:31">
      <c r="A1290" s="197">
        <f t="shared" si="64"/>
        <v>46670</v>
      </c>
      <c r="B1290" s="167">
        <f>YEAR(Table7[[#This Row],[Date]])+IF(MONTH(Table7[[#This Row],[Date]])&gt;=4,1,0)</f>
        <v>2028</v>
      </c>
      <c r="C1290" s="167">
        <f>YEAR(Table7[[#This Row],[Date]])</f>
        <v>2027</v>
      </c>
      <c r="D1290" s="168">
        <f t="shared" si="62"/>
        <v>46661</v>
      </c>
      <c r="AE1290" s="167">
        <f t="shared" si="63"/>
        <v>0</v>
      </c>
    </row>
    <row r="1291" spans="1:31">
      <c r="A1291" s="197">
        <f t="shared" si="64"/>
        <v>46671</v>
      </c>
      <c r="B1291" s="167">
        <f>YEAR(Table7[[#This Row],[Date]])+IF(MONTH(Table7[[#This Row],[Date]])&gt;=4,1,0)</f>
        <v>2028</v>
      </c>
      <c r="C1291" s="167">
        <f>YEAR(Table7[[#This Row],[Date]])</f>
        <v>2027</v>
      </c>
      <c r="D1291" s="168">
        <f t="shared" si="62"/>
        <v>46661</v>
      </c>
      <c r="AE1291" s="167">
        <f t="shared" si="63"/>
        <v>0</v>
      </c>
    </row>
    <row r="1292" spans="1:31">
      <c r="A1292" s="197">
        <f t="shared" si="64"/>
        <v>46672</v>
      </c>
      <c r="B1292" s="167">
        <f>YEAR(Table7[[#This Row],[Date]])+IF(MONTH(Table7[[#This Row],[Date]])&gt;=4,1,0)</f>
        <v>2028</v>
      </c>
      <c r="C1292" s="167">
        <f>YEAR(Table7[[#This Row],[Date]])</f>
        <v>2027</v>
      </c>
      <c r="D1292" s="168">
        <f t="shared" si="62"/>
        <v>46661</v>
      </c>
      <c r="AE1292" s="167">
        <f t="shared" si="63"/>
        <v>0</v>
      </c>
    </row>
    <row r="1293" spans="1:31">
      <c r="A1293" s="197">
        <f t="shared" si="64"/>
        <v>46673</v>
      </c>
      <c r="B1293" s="167">
        <f>YEAR(Table7[[#This Row],[Date]])+IF(MONTH(Table7[[#This Row],[Date]])&gt;=4,1,0)</f>
        <v>2028</v>
      </c>
      <c r="C1293" s="167">
        <f>YEAR(Table7[[#This Row],[Date]])</f>
        <v>2027</v>
      </c>
      <c r="D1293" s="168">
        <f t="shared" si="62"/>
        <v>46661</v>
      </c>
      <c r="AE1293" s="167">
        <f t="shared" si="63"/>
        <v>0</v>
      </c>
    </row>
    <row r="1294" spans="1:31">
      <c r="A1294" s="197">
        <f t="shared" si="64"/>
        <v>46674</v>
      </c>
      <c r="B1294" s="167">
        <f>YEAR(Table7[[#This Row],[Date]])+IF(MONTH(Table7[[#This Row],[Date]])&gt;=4,1,0)</f>
        <v>2028</v>
      </c>
      <c r="C1294" s="167">
        <f>YEAR(Table7[[#This Row],[Date]])</f>
        <v>2027</v>
      </c>
      <c r="D1294" s="168">
        <f t="shared" si="62"/>
        <v>46661</v>
      </c>
      <c r="AE1294" s="167">
        <f t="shared" si="63"/>
        <v>0</v>
      </c>
    </row>
    <row r="1295" spans="1:31">
      <c r="A1295" s="197">
        <f t="shared" si="64"/>
        <v>46675</v>
      </c>
      <c r="B1295" s="167">
        <f>YEAR(Table7[[#This Row],[Date]])+IF(MONTH(Table7[[#This Row],[Date]])&gt;=4,1,0)</f>
        <v>2028</v>
      </c>
      <c r="C1295" s="167">
        <f>YEAR(Table7[[#This Row],[Date]])</f>
        <v>2027</v>
      </c>
      <c r="D1295" s="168">
        <f t="shared" si="62"/>
        <v>46661</v>
      </c>
      <c r="AE1295" s="167">
        <f t="shared" si="63"/>
        <v>0</v>
      </c>
    </row>
    <row r="1296" spans="1:31">
      <c r="A1296" s="197">
        <f t="shared" si="64"/>
        <v>46676</v>
      </c>
      <c r="B1296" s="167">
        <f>YEAR(Table7[[#This Row],[Date]])+IF(MONTH(Table7[[#This Row],[Date]])&gt;=4,1,0)</f>
        <v>2028</v>
      </c>
      <c r="C1296" s="167">
        <f>YEAR(Table7[[#This Row],[Date]])</f>
        <v>2027</v>
      </c>
      <c r="D1296" s="168">
        <f t="shared" si="62"/>
        <v>46661</v>
      </c>
      <c r="AE1296" s="167">
        <f t="shared" si="63"/>
        <v>0</v>
      </c>
    </row>
    <row r="1297" spans="1:31">
      <c r="A1297" s="197">
        <f t="shared" si="64"/>
        <v>46677</v>
      </c>
      <c r="B1297" s="167">
        <f>YEAR(Table7[[#This Row],[Date]])+IF(MONTH(Table7[[#This Row],[Date]])&gt;=4,1,0)</f>
        <v>2028</v>
      </c>
      <c r="C1297" s="167">
        <f>YEAR(Table7[[#This Row],[Date]])</f>
        <v>2027</v>
      </c>
      <c r="D1297" s="168">
        <f t="shared" si="62"/>
        <v>46661</v>
      </c>
      <c r="AE1297" s="167">
        <f t="shared" si="63"/>
        <v>0</v>
      </c>
    </row>
    <row r="1298" spans="1:31">
      <c r="A1298" s="197">
        <f t="shared" si="64"/>
        <v>46678</v>
      </c>
      <c r="B1298" s="167">
        <f>YEAR(Table7[[#This Row],[Date]])+IF(MONTH(Table7[[#This Row],[Date]])&gt;=4,1,0)</f>
        <v>2028</v>
      </c>
      <c r="C1298" s="167">
        <f>YEAR(Table7[[#This Row],[Date]])</f>
        <v>2027</v>
      </c>
      <c r="D1298" s="168">
        <f t="shared" si="62"/>
        <v>46661</v>
      </c>
      <c r="AE1298" s="167">
        <f t="shared" si="63"/>
        <v>0</v>
      </c>
    </row>
    <row r="1299" spans="1:31">
      <c r="A1299" s="197">
        <f t="shared" si="64"/>
        <v>46679</v>
      </c>
      <c r="B1299" s="167">
        <f>YEAR(Table7[[#This Row],[Date]])+IF(MONTH(Table7[[#This Row],[Date]])&gt;=4,1,0)</f>
        <v>2028</v>
      </c>
      <c r="C1299" s="167">
        <f>YEAR(Table7[[#This Row],[Date]])</f>
        <v>2027</v>
      </c>
      <c r="D1299" s="168">
        <f t="shared" si="62"/>
        <v>46661</v>
      </c>
      <c r="AE1299" s="167">
        <f t="shared" si="63"/>
        <v>0</v>
      </c>
    </row>
    <row r="1300" spans="1:31">
      <c r="A1300" s="197">
        <f t="shared" si="64"/>
        <v>46680</v>
      </c>
      <c r="B1300" s="167">
        <f>YEAR(Table7[[#This Row],[Date]])+IF(MONTH(Table7[[#This Row],[Date]])&gt;=4,1,0)</f>
        <v>2028</v>
      </c>
      <c r="C1300" s="167">
        <f>YEAR(Table7[[#This Row],[Date]])</f>
        <v>2027</v>
      </c>
      <c r="D1300" s="168">
        <f t="shared" si="62"/>
        <v>46661</v>
      </c>
      <c r="AE1300" s="167">
        <f t="shared" si="63"/>
        <v>0</v>
      </c>
    </row>
    <row r="1301" spans="1:31">
      <c r="A1301" s="197">
        <f t="shared" si="64"/>
        <v>46681</v>
      </c>
      <c r="B1301" s="167">
        <f>YEAR(Table7[[#This Row],[Date]])+IF(MONTH(Table7[[#This Row],[Date]])&gt;=4,1,0)</f>
        <v>2028</v>
      </c>
      <c r="C1301" s="167">
        <f>YEAR(Table7[[#This Row],[Date]])</f>
        <v>2027</v>
      </c>
      <c r="D1301" s="168">
        <f t="shared" si="62"/>
        <v>46661</v>
      </c>
      <c r="AE1301" s="167">
        <f t="shared" si="63"/>
        <v>0</v>
      </c>
    </row>
    <row r="1302" spans="1:31">
      <c r="A1302" s="197">
        <f t="shared" si="64"/>
        <v>46682</v>
      </c>
      <c r="B1302" s="167">
        <f>YEAR(Table7[[#This Row],[Date]])+IF(MONTH(Table7[[#This Row],[Date]])&gt;=4,1,0)</f>
        <v>2028</v>
      </c>
      <c r="C1302" s="167">
        <f>YEAR(Table7[[#This Row],[Date]])</f>
        <v>2027</v>
      </c>
      <c r="D1302" s="168">
        <f t="shared" si="62"/>
        <v>46661</v>
      </c>
      <c r="AE1302" s="167">
        <f t="shared" si="63"/>
        <v>0</v>
      </c>
    </row>
    <row r="1303" spans="1:31">
      <c r="A1303" s="197">
        <f t="shared" si="64"/>
        <v>46683</v>
      </c>
      <c r="B1303" s="167">
        <f>YEAR(Table7[[#This Row],[Date]])+IF(MONTH(Table7[[#This Row],[Date]])&gt;=4,1,0)</f>
        <v>2028</v>
      </c>
      <c r="C1303" s="167">
        <f>YEAR(Table7[[#This Row],[Date]])</f>
        <v>2027</v>
      </c>
      <c r="D1303" s="168">
        <f t="shared" si="62"/>
        <v>46661</v>
      </c>
      <c r="AE1303" s="167">
        <f t="shared" si="63"/>
        <v>0</v>
      </c>
    </row>
    <row r="1304" spans="1:31">
      <c r="A1304" s="197">
        <f t="shared" si="64"/>
        <v>46684</v>
      </c>
      <c r="B1304" s="167">
        <f>YEAR(Table7[[#This Row],[Date]])+IF(MONTH(Table7[[#This Row],[Date]])&gt;=4,1,0)</f>
        <v>2028</v>
      </c>
      <c r="C1304" s="167">
        <f>YEAR(Table7[[#This Row],[Date]])</f>
        <v>2027</v>
      </c>
      <c r="D1304" s="168">
        <f t="shared" si="62"/>
        <v>46661</v>
      </c>
      <c r="AE1304" s="167">
        <f t="shared" si="63"/>
        <v>0</v>
      </c>
    </row>
    <row r="1305" spans="1:31">
      <c r="A1305" s="197">
        <f t="shared" si="64"/>
        <v>46685</v>
      </c>
      <c r="B1305" s="167">
        <f>YEAR(Table7[[#This Row],[Date]])+IF(MONTH(Table7[[#This Row],[Date]])&gt;=4,1,0)</f>
        <v>2028</v>
      </c>
      <c r="C1305" s="167">
        <f>YEAR(Table7[[#This Row],[Date]])</f>
        <v>2027</v>
      </c>
      <c r="D1305" s="168">
        <f t="shared" si="62"/>
        <v>46661</v>
      </c>
      <c r="AE1305" s="167">
        <f t="shared" si="63"/>
        <v>0</v>
      </c>
    </row>
    <row r="1306" spans="1:31">
      <c r="A1306" s="197">
        <f t="shared" si="64"/>
        <v>46686</v>
      </c>
      <c r="B1306" s="167">
        <f>YEAR(Table7[[#This Row],[Date]])+IF(MONTH(Table7[[#This Row],[Date]])&gt;=4,1,0)</f>
        <v>2028</v>
      </c>
      <c r="C1306" s="167">
        <f>YEAR(Table7[[#This Row],[Date]])</f>
        <v>2027</v>
      </c>
      <c r="D1306" s="168">
        <f t="shared" si="62"/>
        <v>46661</v>
      </c>
      <c r="AE1306" s="167">
        <f t="shared" si="63"/>
        <v>0</v>
      </c>
    </row>
    <row r="1307" spans="1:31">
      <c r="A1307" s="197">
        <f t="shared" si="64"/>
        <v>46687</v>
      </c>
      <c r="B1307" s="167">
        <f>YEAR(Table7[[#This Row],[Date]])+IF(MONTH(Table7[[#This Row],[Date]])&gt;=4,1,0)</f>
        <v>2028</v>
      </c>
      <c r="C1307" s="167">
        <f>YEAR(Table7[[#This Row],[Date]])</f>
        <v>2027</v>
      </c>
      <c r="D1307" s="168">
        <f t="shared" si="62"/>
        <v>46661</v>
      </c>
      <c r="AE1307" s="167">
        <f t="shared" si="63"/>
        <v>0</v>
      </c>
    </row>
    <row r="1308" spans="1:31">
      <c r="A1308" s="197">
        <f t="shared" si="64"/>
        <v>46688</v>
      </c>
      <c r="B1308" s="167">
        <f>YEAR(Table7[[#This Row],[Date]])+IF(MONTH(Table7[[#This Row],[Date]])&gt;=4,1,0)</f>
        <v>2028</v>
      </c>
      <c r="C1308" s="167">
        <f>YEAR(Table7[[#This Row],[Date]])</f>
        <v>2027</v>
      </c>
      <c r="D1308" s="168">
        <f t="shared" si="62"/>
        <v>46661</v>
      </c>
      <c r="AE1308" s="167">
        <f t="shared" si="63"/>
        <v>0</v>
      </c>
    </row>
    <row r="1309" spans="1:31">
      <c r="A1309" s="197">
        <f t="shared" si="64"/>
        <v>46689</v>
      </c>
      <c r="B1309" s="167">
        <f>YEAR(Table7[[#This Row],[Date]])+IF(MONTH(Table7[[#This Row],[Date]])&gt;=4,1,0)</f>
        <v>2028</v>
      </c>
      <c r="C1309" s="167">
        <f>YEAR(Table7[[#This Row],[Date]])</f>
        <v>2027</v>
      </c>
      <c r="D1309" s="168">
        <f t="shared" si="62"/>
        <v>46661</v>
      </c>
      <c r="AE1309" s="167">
        <f t="shared" si="63"/>
        <v>0</v>
      </c>
    </row>
    <row r="1310" spans="1:31">
      <c r="A1310" s="197">
        <f t="shared" si="64"/>
        <v>46690</v>
      </c>
      <c r="B1310" s="167">
        <f>YEAR(Table7[[#This Row],[Date]])+IF(MONTH(Table7[[#This Row],[Date]])&gt;=4,1,0)</f>
        <v>2028</v>
      </c>
      <c r="C1310" s="167">
        <f>YEAR(Table7[[#This Row],[Date]])</f>
        <v>2027</v>
      </c>
      <c r="D1310" s="168">
        <f t="shared" si="62"/>
        <v>46661</v>
      </c>
      <c r="AE1310" s="167">
        <f t="shared" si="63"/>
        <v>0</v>
      </c>
    </row>
    <row r="1311" spans="1:31">
      <c r="A1311" s="197">
        <f t="shared" si="64"/>
        <v>46691</v>
      </c>
      <c r="B1311" s="167">
        <f>YEAR(Table7[[#This Row],[Date]])+IF(MONTH(Table7[[#This Row],[Date]])&gt;=4,1,0)</f>
        <v>2028</v>
      </c>
      <c r="C1311" s="167">
        <f>YEAR(Table7[[#This Row],[Date]])</f>
        <v>2027</v>
      </c>
      <c r="D1311" s="168">
        <f t="shared" si="62"/>
        <v>46661</v>
      </c>
      <c r="AE1311" s="167">
        <f t="shared" si="63"/>
        <v>0</v>
      </c>
    </row>
    <row r="1312" spans="1:31">
      <c r="A1312" s="197">
        <f t="shared" si="64"/>
        <v>46692</v>
      </c>
      <c r="B1312" s="167">
        <f>YEAR(Table7[[#This Row],[Date]])+IF(MONTH(Table7[[#This Row],[Date]])&gt;=4,1,0)</f>
        <v>2028</v>
      </c>
      <c r="C1312" s="167">
        <f>YEAR(Table7[[#This Row],[Date]])</f>
        <v>2027</v>
      </c>
      <c r="D1312" s="168">
        <f t="shared" si="62"/>
        <v>46692</v>
      </c>
      <c r="AE1312" s="167">
        <f t="shared" si="63"/>
        <v>0</v>
      </c>
    </row>
    <row r="1313" spans="1:31">
      <c r="A1313" s="197">
        <f t="shared" si="64"/>
        <v>46693</v>
      </c>
      <c r="B1313" s="167">
        <f>YEAR(Table7[[#This Row],[Date]])+IF(MONTH(Table7[[#This Row],[Date]])&gt;=4,1,0)</f>
        <v>2028</v>
      </c>
      <c r="C1313" s="167">
        <f>YEAR(Table7[[#This Row],[Date]])</f>
        <v>2027</v>
      </c>
      <c r="D1313" s="168">
        <f t="shared" si="62"/>
        <v>46692</v>
      </c>
      <c r="AE1313" s="167">
        <f t="shared" si="63"/>
        <v>0</v>
      </c>
    </row>
    <row r="1314" spans="1:31">
      <c r="A1314" s="197">
        <f t="shared" si="64"/>
        <v>46694</v>
      </c>
      <c r="B1314" s="167">
        <f>YEAR(Table7[[#This Row],[Date]])+IF(MONTH(Table7[[#This Row],[Date]])&gt;=4,1,0)</f>
        <v>2028</v>
      </c>
      <c r="C1314" s="167">
        <f>YEAR(Table7[[#This Row],[Date]])</f>
        <v>2027</v>
      </c>
      <c r="D1314" s="168">
        <f t="shared" si="62"/>
        <v>46692</v>
      </c>
      <c r="AE1314" s="167">
        <f t="shared" si="63"/>
        <v>0</v>
      </c>
    </row>
    <row r="1315" spans="1:31">
      <c r="A1315" s="197">
        <f t="shared" si="64"/>
        <v>46695</v>
      </c>
      <c r="B1315" s="167">
        <f>YEAR(Table7[[#This Row],[Date]])+IF(MONTH(Table7[[#This Row],[Date]])&gt;=4,1,0)</f>
        <v>2028</v>
      </c>
      <c r="C1315" s="167">
        <f>YEAR(Table7[[#This Row],[Date]])</f>
        <v>2027</v>
      </c>
      <c r="D1315" s="168">
        <f t="shared" si="62"/>
        <v>46692</v>
      </c>
      <c r="AE1315" s="167">
        <f t="shared" si="63"/>
        <v>0</v>
      </c>
    </row>
    <row r="1316" spans="1:31">
      <c r="A1316" s="197">
        <f t="shared" si="64"/>
        <v>46696</v>
      </c>
      <c r="B1316" s="167">
        <f>YEAR(Table7[[#This Row],[Date]])+IF(MONTH(Table7[[#This Row],[Date]])&gt;=4,1,0)</f>
        <v>2028</v>
      </c>
      <c r="C1316" s="167">
        <f>YEAR(Table7[[#This Row],[Date]])</f>
        <v>2027</v>
      </c>
      <c r="D1316" s="168">
        <f t="shared" si="62"/>
        <v>46692</v>
      </c>
      <c r="AE1316" s="167">
        <f t="shared" si="63"/>
        <v>0</v>
      </c>
    </row>
    <row r="1317" spans="1:31">
      <c r="A1317" s="197">
        <f t="shared" si="64"/>
        <v>46697</v>
      </c>
      <c r="B1317" s="167">
        <f>YEAR(Table7[[#This Row],[Date]])+IF(MONTH(Table7[[#This Row],[Date]])&gt;=4,1,0)</f>
        <v>2028</v>
      </c>
      <c r="C1317" s="167">
        <f>YEAR(Table7[[#This Row],[Date]])</f>
        <v>2027</v>
      </c>
      <c r="D1317" s="168">
        <f t="shared" si="62"/>
        <v>46692</v>
      </c>
      <c r="AE1317" s="167">
        <f t="shared" si="63"/>
        <v>0</v>
      </c>
    </row>
    <row r="1318" spans="1:31">
      <c r="A1318" s="197">
        <f t="shared" si="64"/>
        <v>46698</v>
      </c>
      <c r="B1318" s="167">
        <f>YEAR(Table7[[#This Row],[Date]])+IF(MONTH(Table7[[#This Row],[Date]])&gt;=4,1,0)</f>
        <v>2028</v>
      </c>
      <c r="C1318" s="167">
        <f>YEAR(Table7[[#This Row],[Date]])</f>
        <v>2027</v>
      </c>
      <c r="D1318" s="168">
        <f t="shared" si="62"/>
        <v>46692</v>
      </c>
      <c r="AE1318" s="167">
        <f t="shared" si="63"/>
        <v>0</v>
      </c>
    </row>
    <row r="1319" spans="1:31">
      <c r="A1319" s="197">
        <f t="shared" si="64"/>
        <v>46699</v>
      </c>
      <c r="B1319" s="167">
        <f>YEAR(Table7[[#This Row],[Date]])+IF(MONTH(Table7[[#This Row],[Date]])&gt;=4,1,0)</f>
        <v>2028</v>
      </c>
      <c r="C1319" s="167">
        <f>YEAR(Table7[[#This Row],[Date]])</f>
        <v>2027</v>
      </c>
      <c r="D1319" s="168">
        <f t="shared" si="62"/>
        <v>46692</v>
      </c>
      <c r="AE1319" s="167">
        <f t="shared" si="63"/>
        <v>0</v>
      </c>
    </row>
    <row r="1320" spans="1:31">
      <c r="A1320" s="197">
        <f t="shared" si="64"/>
        <v>46700</v>
      </c>
      <c r="B1320" s="167">
        <f>YEAR(Table7[[#This Row],[Date]])+IF(MONTH(Table7[[#This Row],[Date]])&gt;=4,1,0)</f>
        <v>2028</v>
      </c>
      <c r="C1320" s="167">
        <f>YEAR(Table7[[#This Row],[Date]])</f>
        <v>2027</v>
      </c>
      <c r="D1320" s="168">
        <f t="shared" si="62"/>
        <v>46692</v>
      </c>
      <c r="AE1320" s="167">
        <f t="shared" si="63"/>
        <v>0</v>
      </c>
    </row>
    <row r="1321" spans="1:31">
      <c r="A1321" s="197">
        <f t="shared" si="64"/>
        <v>46701</v>
      </c>
      <c r="B1321" s="167">
        <f>YEAR(Table7[[#This Row],[Date]])+IF(MONTH(Table7[[#This Row],[Date]])&gt;=4,1,0)</f>
        <v>2028</v>
      </c>
      <c r="C1321" s="167">
        <f>YEAR(Table7[[#This Row],[Date]])</f>
        <v>2027</v>
      </c>
      <c r="D1321" s="168">
        <f t="shared" si="62"/>
        <v>46692</v>
      </c>
      <c r="AE1321" s="167">
        <f t="shared" si="63"/>
        <v>0</v>
      </c>
    </row>
    <row r="1322" spans="1:31">
      <c r="A1322" s="197">
        <f t="shared" si="64"/>
        <v>46702</v>
      </c>
      <c r="B1322" s="167">
        <f>YEAR(Table7[[#This Row],[Date]])+IF(MONTH(Table7[[#This Row],[Date]])&gt;=4,1,0)</f>
        <v>2028</v>
      </c>
      <c r="C1322" s="167">
        <f>YEAR(Table7[[#This Row],[Date]])</f>
        <v>2027</v>
      </c>
      <c r="D1322" s="168">
        <f t="shared" si="62"/>
        <v>46692</v>
      </c>
      <c r="AE1322" s="167">
        <f t="shared" si="63"/>
        <v>0</v>
      </c>
    </row>
    <row r="1323" spans="1:31">
      <c r="A1323" s="197">
        <f t="shared" si="64"/>
        <v>46703</v>
      </c>
      <c r="B1323" s="167">
        <f>YEAR(Table7[[#This Row],[Date]])+IF(MONTH(Table7[[#This Row],[Date]])&gt;=4,1,0)</f>
        <v>2028</v>
      </c>
      <c r="C1323" s="167">
        <f>YEAR(Table7[[#This Row],[Date]])</f>
        <v>2027</v>
      </c>
      <c r="D1323" s="168">
        <f t="shared" si="62"/>
        <v>46692</v>
      </c>
      <c r="AE1323" s="167">
        <f t="shared" si="63"/>
        <v>0</v>
      </c>
    </row>
    <row r="1324" spans="1:31">
      <c r="A1324" s="197">
        <f t="shared" si="64"/>
        <v>46704</v>
      </c>
      <c r="B1324" s="167">
        <f>YEAR(Table7[[#This Row],[Date]])+IF(MONTH(Table7[[#This Row],[Date]])&gt;=4,1,0)</f>
        <v>2028</v>
      </c>
      <c r="C1324" s="167">
        <f>YEAR(Table7[[#This Row],[Date]])</f>
        <v>2027</v>
      </c>
      <c r="D1324" s="168">
        <f t="shared" si="62"/>
        <v>46692</v>
      </c>
      <c r="AE1324" s="167">
        <f t="shared" si="63"/>
        <v>0</v>
      </c>
    </row>
    <row r="1325" spans="1:31">
      <c r="A1325" s="197">
        <f t="shared" si="64"/>
        <v>46705</v>
      </c>
      <c r="B1325" s="167">
        <f>YEAR(Table7[[#This Row],[Date]])+IF(MONTH(Table7[[#This Row],[Date]])&gt;=4,1,0)</f>
        <v>2028</v>
      </c>
      <c r="C1325" s="167">
        <f>YEAR(Table7[[#This Row],[Date]])</f>
        <v>2027</v>
      </c>
      <c r="D1325" s="168">
        <f t="shared" si="62"/>
        <v>46692</v>
      </c>
      <c r="AE1325" s="167">
        <f t="shared" si="63"/>
        <v>0</v>
      </c>
    </row>
    <row r="1326" spans="1:31">
      <c r="A1326" s="197">
        <f t="shared" si="64"/>
        <v>46706</v>
      </c>
      <c r="B1326" s="167">
        <f>YEAR(Table7[[#This Row],[Date]])+IF(MONTH(Table7[[#This Row],[Date]])&gt;=4,1,0)</f>
        <v>2028</v>
      </c>
      <c r="C1326" s="167">
        <f>YEAR(Table7[[#This Row],[Date]])</f>
        <v>2027</v>
      </c>
      <c r="D1326" s="168">
        <f t="shared" si="62"/>
        <v>46692</v>
      </c>
      <c r="AE1326" s="167">
        <f t="shared" si="63"/>
        <v>0</v>
      </c>
    </row>
    <row r="1327" spans="1:31">
      <c r="A1327" s="197">
        <f t="shared" si="64"/>
        <v>46707</v>
      </c>
      <c r="B1327" s="167">
        <f>YEAR(Table7[[#This Row],[Date]])+IF(MONTH(Table7[[#This Row],[Date]])&gt;=4,1,0)</f>
        <v>2028</v>
      </c>
      <c r="C1327" s="167">
        <f>YEAR(Table7[[#This Row],[Date]])</f>
        <v>2027</v>
      </c>
      <c r="D1327" s="168">
        <f t="shared" si="62"/>
        <v>46692</v>
      </c>
      <c r="AE1327" s="167">
        <f t="shared" si="63"/>
        <v>0</v>
      </c>
    </row>
    <row r="1328" spans="1:31">
      <c r="A1328" s="197">
        <f t="shared" si="64"/>
        <v>46708</v>
      </c>
      <c r="B1328" s="167">
        <f>YEAR(Table7[[#This Row],[Date]])+IF(MONTH(Table7[[#This Row],[Date]])&gt;=4,1,0)</f>
        <v>2028</v>
      </c>
      <c r="C1328" s="167">
        <f>YEAR(Table7[[#This Row],[Date]])</f>
        <v>2027</v>
      </c>
      <c r="D1328" s="168">
        <f t="shared" si="62"/>
        <v>46692</v>
      </c>
      <c r="AE1328" s="167">
        <f t="shared" si="63"/>
        <v>0</v>
      </c>
    </row>
    <row r="1329" spans="1:31">
      <c r="A1329" s="197">
        <f t="shared" si="64"/>
        <v>46709</v>
      </c>
      <c r="B1329" s="167">
        <f>YEAR(Table7[[#This Row],[Date]])+IF(MONTH(Table7[[#This Row],[Date]])&gt;=4,1,0)</f>
        <v>2028</v>
      </c>
      <c r="C1329" s="167">
        <f>YEAR(Table7[[#This Row],[Date]])</f>
        <v>2027</v>
      </c>
      <c r="D1329" s="168">
        <f t="shared" si="62"/>
        <v>46692</v>
      </c>
      <c r="AE1329" s="167">
        <f t="shared" si="63"/>
        <v>0</v>
      </c>
    </row>
    <row r="1330" spans="1:31">
      <c r="A1330" s="197">
        <f t="shared" si="64"/>
        <v>46710</v>
      </c>
      <c r="B1330" s="167">
        <f>YEAR(Table7[[#This Row],[Date]])+IF(MONTH(Table7[[#This Row],[Date]])&gt;=4,1,0)</f>
        <v>2028</v>
      </c>
      <c r="C1330" s="167">
        <f>YEAR(Table7[[#This Row],[Date]])</f>
        <v>2027</v>
      </c>
      <c r="D1330" s="168">
        <f t="shared" si="62"/>
        <v>46692</v>
      </c>
      <c r="AE1330" s="167">
        <f t="shared" si="63"/>
        <v>0</v>
      </c>
    </row>
    <row r="1331" spans="1:31">
      <c r="A1331" s="197">
        <f t="shared" si="64"/>
        <v>46711</v>
      </c>
      <c r="B1331" s="167">
        <f>YEAR(Table7[[#This Row],[Date]])+IF(MONTH(Table7[[#This Row],[Date]])&gt;=4,1,0)</f>
        <v>2028</v>
      </c>
      <c r="C1331" s="167">
        <f>YEAR(Table7[[#This Row],[Date]])</f>
        <v>2027</v>
      </c>
      <c r="D1331" s="168">
        <f t="shared" si="62"/>
        <v>46692</v>
      </c>
      <c r="AE1331" s="167">
        <f t="shared" si="63"/>
        <v>0</v>
      </c>
    </row>
    <row r="1332" spans="1:31">
      <c r="A1332" s="197">
        <f t="shared" si="64"/>
        <v>46712</v>
      </c>
      <c r="B1332" s="167">
        <f>YEAR(Table7[[#This Row],[Date]])+IF(MONTH(Table7[[#This Row],[Date]])&gt;=4,1,0)</f>
        <v>2028</v>
      </c>
      <c r="C1332" s="167">
        <f>YEAR(Table7[[#This Row],[Date]])</f>
        <v>2027</v>
      </c>
      <c r="D1332" s="168">
        <f t="shared" si="62"/>
        <v>46692</v>
      </c>
      <c r="AE1332" s="167">
        <f t="shared" si="63"/>
        <v>0</v>
      </c>
    </row>
    <row r="1333" spans="1:31">
      <c r="A1333" s="197">
        <f t="shared" si="64"/>
        <v>46713</v>
      </c>
      <c r="B1333" s="167">
        <f>YEAR(Table7[[#This Row],[Date]])+IF(MONTH(Table7[[#This Row],[Date]])&gt;=4,1,0)</f>
        <v>2028</v>
      </c>
      <c r="C1333" s="167">
        <f>YEAR(Table7[[#This Row],[Date]])</f>
        <v>2027</v>
      </c>
      <c r="D1333" s="168">
        <f t="shared" si="62"/>
        <v>46692</v>
      </c>
      <c r="AE1333" s="167">
        <f t="shared" si="63"/>
        <v>0</v>
      </c>
    </row>
    <row r="1334" spans="1:31">
      <c r="A1334" s="197">
        <f t="shared" si="64"/>
        <v>46714</v>
      </c>
      <c r="B1334" s="167">
        <f>YEAR(Table7[[#This Row],[Date]])+IF(MONTH(Table7[[#This Row],[Date]])&gt;=4,1,0)</f>
        <v>2028</v>
      </c>
      <c r="C1334" s="167">
        <f>YEAR(Table7[[#This Row],[Date]])</f>
        <v>2027</v>
      </c>
      <c r="D1334" s="168">
        <f t="shared" si="62"/>
        <v>46692</v>
      </c>
      <c r="AE1334" s="167">
        <f t="shared" si="63"/>
        <v>0</v>
      </c>
    </row>
    <row r="1335" spans="1:31">
      <c r="A1335" s="197">
        <f t="shared" si="64"/>
        <v>46715</v>
      </c>
      <c r="B1335" s="167">
        <f>YEAR(Table7[[#This Row],[Date]])+IF(MONTH(Table7[[#This Row],[Date]])&gt;=4,1,0)</f>
        <v>2028</v>
      </c>
      <c r="C1335" s="167">
        <f>YEAR(Table7[[#This Row],[Date]])</f>
        <v>2027</v>
      </c>
      <c r="D1335" s="168">
        <f t="shared" si="62"/>
        <v>46692</v>
      </c>
      <c r="AE1335" s="167">
        <f t="shared" si="63"/>
        <v>0</v>
      </c>
    </row>
    <row r="1336" spans="1:31">
      <c r="A1336" s="197">
        <f t="shared" si="64"/>
        <v>46716</v>
      </c>
      <c r="B1336" s="167">
        <f>YEAR(Table7[[#This Row],[Date]])+IF(MONTH(Table7[[#This Row],[Date]])&gt;=4,1,0)</f>
        <v>2028</v>
      </c>
      <c r="C1336" s="167">
        <f>YEAR(Table7[[#This Row],[Date]])</f>
        <v>2027</v>
      </c>
      <c r="D1336" s="168">
        <f t="shared" si="62"/>
        <v>46692</v>
      </c>
      <c r="AE1336" s="167">
        <f t="shared" si="63"/>
        <v>0</v>
      </c>
    </row>
    <row r="1337" spans="1:31">
      <c r="A1337" s="197">
        <f t="shared" si="64"/>
        <v>46717</v>
      </c>
      <c r="B1337" s="167">
        <f>YEAR(Table7[[#This Row],[Date]])+IF(MONTH(Table7[[#This Row],[Date]])&gt;=4,1,0)</f>
        <v>2028</v>
      </c>
      <c r="C1337" s="167">
        <f>YEAR(Table7[[#This Row],[Date]])</f>
        <v>2027</v>
      </c>
      <c r="D1337" s="168">
        <f t="shared" si="62"/>
        <v>46692</v>
      </c>
      <c r="AE1337" s="167">
        <f t="shared" si="63"/>
        <v>0</v>
      </c>
    </row>
    <row r="1338" spans="1:31">
      <c r="A1338" s="197">
        <f t="shared" si="64"/>
        <v>46718</v>
      </c>
      <c r="B1338" s="167">
        <f>YEAR(Table7[[#This Row],[Date]])+IF(MONTH(Table7[[#This Row],[Date]])&gt;=4,1,0)</f>
        <v>2028</v>
      </c>
      <c r="C1338" s="167">
        <f>YEAR(Table7[[#This Row],[Date]])</f>
        <v>2027</v>
      </c>
      <c r="D1338" s="168">
        <f t="shared" si="62"/>
        <v>46692</v>
      </c>
      <c r="AE1338" s="167">
        <f t="shared" si="63"/>
        <v>0</v>
      </c>
    </row>
    <row r="1339" spans="1:31">
      <c r="A1339" s="197">
        <f t="shared" si="64"/>
        <v>46719</v>
      </c>
      <c r="B1339" s="167">
        <f>YEAR(Table7[[#This Row],[Date]])+IF(MONTH(Table7[[#This Row],[Date]])&gt;=4,1,0)</f>
        <v>2028</v>
      </c>
      <c r="C1339" s="167">
        <f>YEAR(Table7[[#This Row],[Date]])</f>
        <v>2027</v>
      </c>
      <c r="D1339" s="168">
        <f t="shared" si="62"/>
        <v>46692</v>
      </c>
      <c r="AE1339" s="167">
        <f t="shared" si="63"/>
        <v>0</v>
      </c>
    </row>
    <row r="1340" spans="1:31">
      <c r="A1340" s="197">
        <f t="shared" si="64"/>
        <v>46720</v>
      </c>
      <c r="B1340" s="167">
        <f>YEAR(Table7[[#This Row],[Date]])+IF(MONTH(Table7[[#This Row],[Date]])&gt;=4,1,0)</f>
        <v>2028</v>
      </c>
      <c r="C1340" s="167">
        <f>YEAR(Table7[[#This Row],[Date]])</f>
        <v>2027</v>
      </c>
      <c r="D1340" s="168">
        <f t="shared" si="62"/>
        <v>46692</v>
      </c>
      <c r="AE1340" s="167">
        <f t="shared" si="63"/>
        <v>0</v>
      </c>
    </row>
    <row r="1341" spans="1:31">
      <c r="A1341" s="197">
        <f t="shared" si="64"/>
        <v>46721</v>
      </c>
      <c r="B1341" s="167">
        <f>YEAR(Table7[[#This Row],[Date]])+IF(MONTH(Table7[[#This Row],[Date]])&gt;=4,1,0)</f>
        <v>2028</v>
      </c>
      <c r="C1341" s="167">
        <f>YEAR(Table7[[#This Row],[Date]])</f>
        <v>2027</v>
      </c>
      <c r="D1341" s="168">
        <f t="shared" si="62"/>
        <v>46692</v>
      </c>
      <c r="AE1341" s="167">
        <f t="shared" si="63"/>
        <v>0</v>
      </c>
    </row>
    <row r="1342" spans="1:31">
      <c r="A1342" s="197">
        <f t="shared" si="64"/>
        <v>46722</v>
      </c>
      <c r="B1342" s="167">
        <f>YEAR(Table7[[#This Row],[Date]])+IF(MONTH(Table7[[#This Row],[Date]])&gt;=4,1,0)</f>
        <v>2028</v>
      </c>
      <c r="C1342" s="167">
        <f>YEAR(Table7[[#This Row],[Date]])</f>
        <v>2027</v>
      </c>
      <c r="D1342" s="168">
        <f t="shared" si="62"/>
        <v>46722</v>
      </c>
      <c r="AE1342" s="167">
        <f t="shared" si="63"/>
        <v>0</v>
      </c>
    </row>
    <row r="1343" spans="1:31">
      <c r="A1343" s="197">
        <f t="shared" si="64"/>
        <v>46723</v>
      </c>
      <c r="B1343" s="167">
        <f>YEAR(Table7[[#This Row],[Date]])+IF(MONTH(Table7[[#This Row],[Date]])&gt;=4,1,0)</f>
        <v>2028</v>
      </c>
      <c r="C1343" s="167">
        <f>YEAR(Table7[[#This Row],[Date]])</f>
        <v>2027</v>
      </c>
      <c r="D1343" s="168">
        <f t="shared" si="62"/>
        <v>46722</v>
      </c>
      <c r="AE1343" s="167">
        <f t="shared" si="63"/>
        <v>0</v>
      </c>
    </row>
    <row r="1344" spans="1:31">
      <c r="A1344" s="197">
        <f t="shared" si="64"/>
        <v>46724</v>
      </c>
      <c r="B1344" s="167">
        <f>YEAR(Table7[[#This Row],[Date]])+IF(MONTH(Table7[[#This Row],[Date]])&gt;=4,1,0)</f>
        <v>2028</v>
      </c>
      <c r="C1344" s="167">
        <f>YEAR(Table7[[#This Row],[Date]])</f>
        <v>2027</v>
      </c>
      <c r="D1344" s="168">
        <f t="shared" si="62"/>
        <v>46722</v>
      </c>
      <c r="AE1344" s="167">
        <f t="shared" si="63"/>
        <v>0</v>
      </c>
    </row>
    <row r="1345" spans="1:31">
      <c r="A1345" s="197">
        <f t="shared" si="64"/>
        <v>46725</v>
      </c>
      <c r="B1345" s="167">
        <f>YEAR(Table7[[#This Row],[Date]])+IF(MONTH(Table7[[#This Row],[Date]])&gt;=4,1,0)</f>
        <v>2028</v>
      </c>
      <c r="C1345" s="167">
        <f>YEAR(Table7[[#This Row],[Date]])</f>
        <v>2027</v>
      </c>
      <c r="D1345" s="168">
        <f t="shared" si="62"/>
        <v>46722</v>
      </c>
      <c r="AE1345" s="167">
        <f t="shared" si="63"/>
        <v>0</v>
      </c>
    </row>
    <row r="1346" spans="1:31">
      <c r="A1346" s="197">
        <f t="shared" si="64"/>
        <v>46726</v>
      </c>
      <c r="B1346" s="167">
        <f>YEAR(Table7[[#This Row],[Date]])+IF(MONTH(Table7[[#This Row],[Date]])&gt;=4,1,0)</f>
        <v>2028</v>
      </c>
      <c r="C1346" s="167">
        <f>YEAR(Table7[[#This Row],[Date]])</f>
        <v>2027</v>
      </c>
      <c r="D1346" s="168">
        <f t="shared" si="62"/>
        <v>46722</v>
      </c>
      <c r="AE1346" s="167">
        <f t="shared" si="63"/>
        <v>0</v>
      </c>
    </row>
    <row r="1347" spans="1:31">
      <c r="A1347" s="197">
        <f t="shared" si="64"/>
        <v>46727</v>
      </c>
      <c r="B1347" s="167">
        <f>YEAR(Table7[[#This Row],[Date]])+IF(MONTH(Table7[[#This Row],[Date]])&gt;=4,1,0)</f>
        <v>2028</v>
      </c>
      <c r="C1347" s="167">
        <f>YEAR(Table7[[#This Row],[Date]])</f>
        <v>2027</v>
      </c>
      <c r="D1347" s="168">
        <f t="shared" ref="D1347:D1410" si="65">A1347-DAY(A1347)+1</f>
        <v>46722</v>
      </c>
      <c r="AE1347" s="167">
        <f t="shared" ref="AE1347:AE1410" si="66">SUM(E1347:AD1347)</f>
        <v>0</v>
      </c>
    </row>
    <row r="1348" spans="1:31">
      <c r="A1348" s="197">
        <f t="shared" si="64"/>
        <v>46728</v>
      </c>
      <c r="B1348" s="167">
        <f>YEAR(Table7[[#This Row],[Date]])+IF(MONTH(Table7[[#This Row],[Date]])&gt;=4,1,0)</f>
        <v>2028</v>
      </c>
      <c r="C1348" s="167">
        <f>YEAR(Table7[[#This Row],[Date]])</f>
        <v>2027</v>
      </c>
      <c r="D1348" s="168">
        <f t="shared" si="65"/>
        <v>46722</v>
      </c>
      <c r="AE1348" s="167">
        <f t="shared" si="66"/>
        <v>0</v>
      </c>
    </row>
    <row r="1349" spans="1:31">
      <c r="A1349" s="197">
        <f t="shared" ref="A1349:A1412" si="67">A1348+1</f>
        <v>46729</v>
      </c>
      <c r="B1349" s="167">
        <f>YEAR(Table7[[#This Row],[Date]])+IF(MONTH(Table7[[#This Row],[Date]])&gt;=4,1,0)</f>
        <v>2028</v>
      </c>
      <c r="C1349" s="167">
        <f>YEAR(Table7[[#This Row],[Date]])</f>
        <v>2027</v>
      </c>
      <c r="D1349" s="168">
        <f t="shared" si="65"/>
        <v>46722</v>
      </c>
      <c r="AE1349" s="167">
        <f t="shared" si="66"/>
        <v>0</v>
      </c>
    </row>
    <row r="1350" spans="1:31">
      <c r="A1350" s="197">
        <f t="shared" si="67"/>
        <v>46730</v>
      </c>
      <c r="B1350" s="167">
        <f>YEAR(Table7[[#This Row],[Date]])+IF(MONTH(Table7[[#This Row],[Date]])&gt;=4,1,0)</f>
        <v>2028</v>
      </c>
      <c r="C1350" s="167">
        <f>YEAR(Table7[[#This Row],[Date]])</f>
        <v>2027</v>
      </c>
      <c r="D1350" s="168">
        <f t="shared" si="65"/>
        <v>46722</v>
      </c>
      <c r="AE1350" s="167">
        <f t="shared" si="66"/>
        <v>0</v>
      </c>
    </row>
    <row r="1351" spans="1:31">
      <c r="A1351" s="197">
        <f t="shared" si="67"/>
        <v>46731</v>
      </c>
      <c r="B1351" s="167">
        <f>YEAR(Table7[[#This Row],[Date]])+IF(MONTH(Table7[[#This Row],[Date]])&gt;=4,1,0)</f>
        <v>2028</v>
      </c>
      <c r="C1351" s="167">
        <f>YEAR(Table7[[#This Row],[Date]])</f>
        <v>2027</v>
      </c>
      <c r="D1351" s="168">
        <f t="shared" si="65"/>
        <v>46722</v>
      </c>
      <c r="AE1351" s="167">
        <f t="shared" si="66"/>
        <v>0</v>
      </c>
    </row>
    <row r="1352" spans="1:31">
      <c r="A1352" s="197">
        <f t="shared" si="67"/>
        <v>46732</v>
      </c>
      <c r="B1352" s="167">
        <f>YEAR(Table7[[#This Row],[Date]])+IF(MONTH(Table7[[#This Row],[Date]])&gt;=4,1,0)</f>
        <v>2028</v>
      </c>
      <c r="C1352" s="167">
        <f>YEAR(Table7[[#This Row],[Date]])</f>
        <v>2027</v>
      </c>
      <c r="D1352" s="168">
        <f t="shared" si="65"/>
        <v>46722</v>
      </c>
      <c r="AE1352" s="167">
        <f t="shared" si="66"/>
        <v>0</v>
      </c>
    </row>
    <row r="1353" spans="1:31">
      <c r="A1353" s="197">
        <f t="shared" si="67"/>
        <v>46733</v>
      </c>
      <c r="B1353" s="167">
        <f>YEAR(Table7[[#This Row],[Date]])+IF(MONTH(Table7[[#This Row],[Date]])&gt;=4,1,0)</f>
        <v>2028</v>
      </c>
      <c r="C1353" s="167">
        <f>YEAR(Table7[[#This Row],[Date]])</f>
        <v>2027</v>
      </c>
      <c r="D1353" s="168">
        <f t="shared" si="65"/>
        <v>46722</v>
      </c>
      <c r="AE1353" s="167">
        <f t="shared" si="66"/>
        <v>0</v>
      </c>
    </row>
    <row r="1354" spans="1:31">
      <c r="A1354" s="197">
        <f t="shared" si="67"/>
        <v>46734</v>
      </c>
      <c r="B1354" s="167">
        <f>YEAR(Table7[[#This Row],[Date]])+IF(MONTH(Table7[[#This Row],[Date]])&gt;=4,1,0)</f>
        <v>2028</v>
      </c>
      <c r="C1354" s="167">
        <f>YEAR(Table7[[#This Row],[Date]])</f>
        <v>2027</v>
      </c>
      <c r="D1354" s="168">
        <f t="shared" si="65"/>
        <v>46722</v>
      </c>
      <c r="AE1354" s="167">
        <f t="shared" si="66"/>
        <v>0</v>
      </c>
    </row>
    <row r="1355" spans="1:31">
      <c r="A1355" s="197">
        <f t="shared" si="67"/>
        <v>46735</v>
      </c>
      <c r="B1355" s="167">
        <f>YEAR(Table7[[#This Row],[Date]])+IF(MONTH(Table7[[#This Row],[Date]])&gt;=4,1,0)</f>
        <v>2028</v>
      </c>
      <c r="C1355" s="167">
        <f>YEAR(Table7[[#This Row],[Date]])</f>
        <v>2027</v>
      </c>
      <c r="D1355" s="168">
        <f t="shared" si="65"/>
        <v>46722</v>
      </c>
      <c r="AE1355" s="167">
        <f t="shared" si="66"/>
        <v>0</v>
      </c>
    </row>
    <row r="1356" spans="1:31">
      <c r="A1356" s="197">
        <f t="shared" si="67"/>
        <v>46736</v>
      </c>
      <c r="B1356" s="167">
        <f>YEAR(Table7[[#This Row],[Date]])+IF(MONTH(Table7[[#This Row],[Date]])&gt;=4,1,0)</f>
        <v>2028</v>
      </c>
      <c r="C1356" s="167">
        <f>YEAR(Table7[[#This Row],[Date]])</f>
        <v>2027</v>
      </c>
      <c r="D1356" s="168">
        <f t="shared" si="65"/>
        <v>46722</v>
      </c>
      <c r="AE1356" s="167">
        <f t="shared" si="66"/>
        <v>0</v>
      </c>
    </row>
    <row r="1357" spans="1:31">
      <c r="A1357" s="197">
        <f t="shared" si="67"/>
        <v>46737</v>
      </c>
      <c r="B1357" s="167">
        <f>YEAR(Table7[[#This Row],[Date]])+IF(MONTH(Table7[[#This Row],[Date]])&gt;=4,1,0)</f>
        <v>2028</v>
      </c>
      <c r="C1357" s="167">
        <f>YEAR(Table7[[#This Row],[Date]])</f>
        <v>2027</v>
      </c>
      <c r="D1357" s="168">
        <f t="shared" si="65"/>
        <v>46722</v>
      </c>
      <c r="AE1357" s="167">
        <f t="shared" si="66"/>
        <v>0</v>
      </c>
    </row>
    <row r="1358" spans="1:31">
      <c r="A1358" s="197">
        <f t="shared" si="67"/>
        <v>46738</v>
      </c>
      <c r="B1358" s="167">
        <f>YEAR(Table7[[#This Row],[Date]])+IF(MONTH(Table7[[#This Row],[Date]])&gt;=4,1,0)</f>
        <v>2028</v>
      </c>
      <c r="C1358" s="167">
        <f>YEAR(Table7[[#This Row],[Date]])</f>
        <v>2027</v>
      </c>
      <c r="D1358" s="168">
        <f t="shared" si="65"/>
        <v>46722</v>
      </c>
      <c r="AE1358" s="167">
        <f t="shared" si="66"/>
        <v>0</v>
      </c>
    </row>
    <row r="1359" spans="1:31">
      <c r="A1359" s="197">
        <f t="shared" si="67"/>
        <v>46739</v>
      </c>
      <c r="B1359" s="167">
        <f>YEAR(Table7[[#This Row],[Date]])+IF(MONTH(Table7[[#This Row],[Date]])&gt;=4,1,0)</f>
        <v>2028</v>
      </c>
      <c r="C1359" s="167">
        <f>YEAR(Table7[[#This Row],[Date]])</f>
        <v>2027</v>
      </c>
      <c r="D1359" s="168">
        <f t="shared" si="65"/>
        <v>46722</v>
      </c>
      <c r="AE1359" s="167">
        <f t="shared" si="66"/>
        <v>0</v>
      </c>
    </row>
    <row r="1360" spans="1:31">
      <c r="A1360" s="197">
        <f t="shared" si="67"/>
        <v>46740</v>
      </c>
      <c r="B1360" s="167">
        <f>YEAR(Table7[[#This Row],[Date]])+IF(MONTH(Table7[[#This Row],[Date]])&gt;=4,1,0)</f>
        <v>2028</v>
      </c>
      <c r="C1360" s="167">
        <f>YEAR(Table7[[#This Row],[Date]])</f>
        <v>2027</v>
      </c>
      <c r="D1360" s="168">
        <f t="shared" si="65"/>
        <v>46722</v>
      </c>
      <c r="AE1360" s="167">
        <f t="shared" si="66"/>
        <v>0</v>
      </c>
    </row>
    <row r="1361" spans="1:31">
      <c r="A1361" s="197">
        <f t="shared" si="67"/>
        <v>46741</v>
      </c>
      <c r="B1361" s="167">
        <f>YEAR(Table7[[#This Row],[Date]])+IF(MONTH(Table7[[#This Row],[Date]])&gt;=4,1,0)</f>
        <v>2028</v>
      </c>
      <c r="C1361" s="167">
        <f>YEAR(Table7[[#This Row],[Date]])</f>
        <v>2027</v>
      </c>
      <c r="D1361" s="168">
        <f t="shared" si="65"/>
        <v>46722</v>
      </c>
      <c r="AE1361" s="167">
        <f t="shared" si="66"/>
        <v>0</v>
      </c>
    </row>
    <row r="1362" spans="1:31">
      <c r="A1362" s="197">
        <f t="shared" si="67"/>
        <v>46742</v>
      </c>
      <c r="B1362" s="167">
        <f>YEAR(Table7[[#This Row],[Date]])+IF(MONTH(Table7[[#This Row],[Date]])&gt;=4,1,0)</f>
        <v>2028</v>
      </c>
      <c r="C1362" s="167">
        <f>YEAR(Table7[[#This Row],[Date]])</f>
        <v>2027</v>
      </c>
      <c r="D1362" s="168">
        <f t="shared" si="65"/>
        <v>46722</v>
      </c>
      <c r="AE1362" s="167">
        <f t="shared" si="66"/>
        <v>0</v>
      </c>
    </row>
    <row r="1363" spans="1:31">
      <c r="A1363" s="197">
        <f t="shared" si="67"/>
        <v>46743</v>
      </c>
      <c r="B1363" s="167">
        <f>YEAR(Table7[[#This Row],[Date]])+IF(MONTH(Table7[[#This Row],[Date]])&gt;=4,1,0)</f>
        <v>2028</v>
      </c>
      <c r="C1363" s="167">
        <f>YEAR(Table7[[#This Row],[Date]])</f>
        <v>2027</v>
      </c>
      <c r="D1363" s="168">
        <f t="shared" si="65"/>
        <v>46722</v>
      </c>
      <c r="AE1363" s="167">
        <f t="shared" si="66"/>
        <v>0</v>
      </c>
    </row>
    <row r="1364" spans="1:31">
      <c r="A1364" s="197">
        <f t="shared" si="67"/>
        <v>46744</v>
      </c>
      <c r="B1364" s="167">
        <f>YEAR(Table7[[#This Row],[Date]])+IF(MONTH(Table7[[#This Row],[Date]])&gt;=4,1,0)</f>
        <v>2028</v>
      </c>
      <c r="C1364" s="167">
        <f>YEAR(Table7[[#This Row],[Date]])</f>
        <v>2027</v>
      </c>
      <c r="D1364" s="168">
        <f t="shared" si="65"/>
        <v>46722</v>
      </c>
      <c r="AE1364" s="167">
        <f t="shared" si="66"/>
        <v>0</v>
      </c>
    </row>
    <row r="1365" spans="1:31">
      <c r="A1365" s="197">
        <f t="shared" si="67"/>
        <v>46745</v>
      </c>
      <c r="B1365" s="167">
        <f>YEAR(Table7[[#This Row],[Date]])+IF(MONTH(Table7[[#This Row],[Date]])&gt;=4,1,0)</f>
        <v>2028</v>
      </c>
      <c r="C1365" s="167">
        <f>YEAR(Table7[[#This Row],[Date]])</f>
        <v>2027</v>
      </c>
      <c r="D1365" s="168">
        <f t="shared" si="65"/>
        <v>46722</v>
      </c>
      <c r="AE1365" s="167">
        <f t="shared" si="66"/>
        <v>0</v>
      </c>
    </row>
    <row r="1366" spans="1:31">
      <c r="A1366" s="197">
        <f t="shared" si="67"/>
        <v>46746</v>
      </c>
      <c r="B1366" s="167">
        <f>YEAR(Table7[[#This Row],[Date]])+IF(MONTH(Table7[[#This Row],[Date]])&gt;=4,1,0)</f>
        <v>2028</v>
      </c>
      <c r="C1366" s="167">
        <f>YEAR(Table7[[#This Row],[Date]])</f>
        <v>2027</v>
      </c>
      <c r="D1366" s="168">
        <f t="shared" si="65"/>
        <v>46722</v>
      </c>
      <c r="AE1366" s="167">
        <f t="shared" si="66"/>
        <v>0</v>
      </c>
    </row>
    <row r="1367" spans="1:31">
      <c r="A1367" s="197">
        <f t="shared" si="67"/>
        <v>46747</v>
      </c>
      <c r="B1367" s="167">
        <f>YEAR(Table7[[#This Row],[Date]])+IF(MONTH(Table7[[#This Row],[Date]])&gt;=4,1,0)</f>
        <v>2028</v>
      </c>
      <c r="C1367" s="167">
        <f>YEAR(Table7[[#This Row],[Date]])</f>
        <v>2027</v>
      </c>
      <c r="D1367" s="168">
        <f t="shared" si="65"/>
        <v>46722</v>
      </c>
      <c r="AE1367" s="167">
        <f t="shared" si="66"/>
        <v>0</v>
      </c>
    </row>
    <row r="1368" spans="1:31">
      <c r="A1368" s="197">
        <f t="shared" si="67"/>
        <v>46748</v>
      </c>
      <c r="B1368" s="167">
        <f>YEAR(Table7[[#This Row],[Date]])+IF(MONTH(Table7[[#This Row],[Date]])&gt;=4,1,0)</f>
        <v>2028</v>
      </c>
      <c r="C1368" s="167">
        <f>YEAR(Table7[[#This Row],[Date]])</f>
        <v>2027</v>
      </c>
      <c r="D1368" s="168">
        <f t="shared" si="65"/>
        <v>46722</v>
      </c>
      <c r="AE1368" s="167">
        <f t="shared" si="66"/>
        <v>0</v>
      </c>
    </row>
    <row r="1369" spans="1:31">
      <c r="A1369" s="197">
        <f t="shared" si="67"/>
        <v>46749</v>
      </c>
      <c r="B1369" s="167">
        <f>YEAR(Table7[[#This Row],[Date]])+IF(MONTH(Table7[[#This Row],[Date]])&gt;=4,1,0)</f>
        <v>2028</v>
      </c>
      <c r="C1369" s="167">
        <f>YEAR(Table7[[#This Row],[Date]])</f>
        <v>2027</v>
      </c>
      <c r="D1369" s="168">
        <f t="shared" si="65"/>
        <v>46722</v>
      </c>
      <c r="AE1369" s="167">
        <f t="shared" si="66"/>
        <v>0</v>
      </c>
    </row>
    <row r="1370" spans="1:31">
      <c r="A1370" s="197">
        <f t="shared" si="67"/>
        <v>46750</v>
      </c>
      <c r="B1370" s="167">
        <f>YEAR(Table7[[#This Row],[Date]])+IF(MONTH(Table7[[#This Row],[Date]])&gt;=4,1,0)</f>
        <v>2028</v>
      </c>
      <c r="C1370" s="167">
        <f>YEAR(Table7[[#This Row],[Date]])</f>
        <v>2027</v>
      </c>
      <c r="D1370" s="168">
        <f t="shared" si="65"/>
        <v>46722</v>
      </c>
      <c r="AE1370" s="167">
        <f t="shared" si="66"/>
        <v>0</v>
      </c>
    </row>
    <row r="1371" spans="1:31">
      <c r="A1371" s="197">
        <f t="shared" si="67"/>
        <v>46751</v>
      </c>
      <c r="B1371" s="167">
        <f>YEAR(Table7[[#This Row],[Date]])+IF(MONTH(Table7[[#This Row],[Date]])&gt;=4,1,0)</f>
        <v>2028</v>
      </c>
      <c r="C1371" s="167">
        <f>YEAR(Table7[[#This Row],[Date]])</f>
        <v>2027</v>
      </c>
      <c r="D1371" s="168">
        <f t="shared" si="65"/>
        <v>46722</v>
      </c>
      <c r="AE1371" s="167">
        <f t="shared" si="66"/>
        <v>0</v>
      </c>
    </row>
    <row r="1372" spans="1:31">
      <c r="A1372" s="197">
        <f t="shared" si="67"/>
        <v>46752</v>
      </c>
      <c r="B1372" s="167">
        <f>YEAR(Table7[[#This Row],[Date]])+IF(MONTH(Table7[[#This Row],[Date]])&gt;=4,1,0)</f>
        <v>2028</v>
      </c>
      <c r="C1372" s="167">
        <f>YEAR(Table7[[#This Row],[Date]])</f>
        <v>2027</v>
      </c>
      <c r="D1372" s="168">
        <f t="shared" si="65"/>
        <v>46722</v>
      </c>
      <c r="AE1372" s="167">
        <f t="shared" si="66"/>
        <v>0</v>
      </c>
    </row>
    <row r="1373" spans="1:31">
      <c r="A1373" s="197">
        <f t="shared" si="67"/>
        <v>46753</v>
      </c>
      <c r="B1373" s="167">
        <f>YEAR(Table7[[#This Row],[Date]])+IF(MONTH(Table7[[#This Row],[Date]])&gt;=4,1,0)</f>
        <v>2028</v>
      </c>
      <c r="C1373" s="167">
        <f>YEAR(Table7[[#This Row],[Date]])</f>
        <v>2028</v>
      </c>
      <c r="D1373" s="168">
        <f t="shared" si="65"/>
        <v>46753</v>
      </c>
      <c r="AE1373" s="167">
        <f t="shared" si="66"/>
        <v>0</v>
      </c>
    </row>
    <row r="1374" spans="1:31">
      <c r="A1374" s="197">
        <f t="shared" si="67"/>
        <v>46754</v>
      </c>
      <c r="B1374" s="167">
        <f>YEAR(Table7[[#This Row],[Date]])+IF(MONTH(Table7[[#This Row],[Date]])&gt;=4,1,0)</f>
        <v>2028</v>
      </c>
      <c r="C1374" s="167">
        <f>YEAR(Table7[[#This Row],[Date]])</f>
        <v>2028</v>
      </c>
      <c r="D1374" s="168">
        <f t="shared" si="65"/>
        <v>46753</v>
      </c>
      <c r="AE1374" s="167">
        <f t="shared" si="66"/>
        <v>0</v>
      </c>
    </row>
    <row r="1375" spans="1:31">
      <c r="A1375" s="197">
        <f t="shared" si="67"/>
        <v>46755</v>
      </c>
      <c r="B1375" s="167">
        <f>YEAR(Table7[[#This Row],[Date]])+IF(MONTH(Table7[[#This Row],[Date]])&gt;=4,1,0)</f>
        <v>2028</v>
      </c>
      <c r="C1375" s="167">
        <f>YEAR(Table7[[#This Row],[Date]])</f>
        <v>2028</v>
      </c>
      <c r="D1375" s="168">
        <f t="shared" si="65"/>
        <v>46753</v>
      </c>
      <c r="AE1375" s="167">
        <f t="shared" si="66"/>
        <v>0</v>
      </c>
    </row>
    <row r="1376" spans="1:31">
      <c r="A1376" s="197">
        <f t="shared" si="67"/>
        <v>46756</v>
      </c>
      <c r="B1376" s="167">
        <f>YEAR(Table7[[#This Row],[Date]])+IF(MONTH(Table7[[#This Row],[Date]])&gt;=4,1,0)</f>
        <v>2028</v>
      </c>
      <c r="C1376" s="167">
        <f>YEAR(Table7[[#This Row],[Date]])</f>
        <v>2028</v>
      </c>
      <c r="D1376" s="168">
        <f t="shared" si="65"/>
        <v>46753</v>
      </c>
      <c r="AE1376" s="167">
        <f t="shared" si="66"/>
        <v>0</v>
      </c>
    </row>
    <row r="1377" spans="1:31">
      <c r="A1377" s="197">
        <f t="shared" si="67"/>
        <v>46757</v>
      </c>
      <c r="B1377" s="167">
        <f>YEAR(Table7[[#This Row],[Date]])+IF(MONTH(Table7[[#This Row],[Date]])&gt;=4,1,0)</f>
        <v>2028</v>
      </c>
      <c r="C1377" s="167">
        <f>YEAR(Table7[[#This Row],[Date]])</f>
        <v>2028</v>
      </c>
      <c r="D1377" s="168">
        <f t="shared" si="65"/>
        <v>46753</v>
      </c>
      <c r="AE1377" s="167">
        <f t="shared" si="66"/>
        <v>0</v>
      </c>
    </row>
    <row r="1378" spans="1:31">
      <c r="A1378" s="197">
        <f t="shared" si="67"/>
        <v>46758</v>
      </c>
      <c r="B1378" s="167">
        <f>YEAR(Table7[[#This Row],[Date]])+IF(MONTH(Table7[[#This Row],[Date]])&gt;=4,1,0)</f>
        <v>2028</v>
      </c>
      <c r="C1378" s="167">
        <f>YEAR(Table7[[#This Row],[Date]])</f>
        <v>2028</v>
      </c>
      <c r="D1378" s="168">
        <f t="shared" si="65"/>
        <v>46753</v>
      </c>
      <c r="AE1378" s="167">
        <f t="shared" si="66"/>
        <v>0</v>
      </c>
    </row>
    <row r="1379" spans="1:31">
      <c r="A1379" s="197">
        <f t="shared" si="67"/>
        <v>46759</v>
      </c>
      <c r="B1379" s="167">
        <f>YEAR(Table7[[#This Row],[Date]])+IF(MONTH(Table7[[#This Row],[Date]])&gt;=4,1,0)</f>
        <v>2028</v>
      </c>
      <c r="C1379" s="167">
        <f>YEAR(Table7[[#This Row],[Date]])</f>
        <v>2028</v>
      </c>
      <c r="D1379" s="168">
        <f t="shared" si="65"/>
        <v>46753</v>
      </c>
      <c r="AE1379" s="167">
        <f t="shared" si="66"/>
        <v>0</v>
      </c>
    </row>
    <row r="1380" spans="1:31">
      <c r="A1380" s="197">
        <f t="shared" si="67"/>
        <v>46760</v>
      </c>
      <c r="B1380" s="167">
        <f>YEAR(Table7[[#This Row],[Date]])+IF(MONTH(Table7[[#This Row],[Date]])&gt;=4,1,0)</f>
        <v>2028</v>
      </c>
      <c r="C1380" s="167">
        <f>YEAR(Table7[[#This Row],[Date]])</f>
        <v>2028</v>
      </c>
      <c r="D1380" s="168">
        <f t="shared" si="65"/>
        <v>46753</v>
      </c>
      <c r="AE1380" s="167">
        <f t="shared" si="66"/>
        <v>0</v>
      </c>
    </row>
    <row r="1381" spans="1:31">
      <c r="A1381" s="197">
        <f t="shared" si="67"/>
        <v>46761</v>
      </c>
      <c r="B1381" s="167">
        <f>YEAR(Table7[[#This Row],[Date]])+IF(MONTH(Table7[[#This Row],[Date]])&gt;=4,1,0)</f>
        <v>2028</v>
      </c>
      <c r="C1381" s="167">
        <f>YEAR(Table7[[#This Row],[Date]])</f>
        <v>2028</v>
      </c>
      <c r="D1381" s="168">
        <f t="shared" si="65"/>
        <v>46753</v>
      </c>
      <c r="AE1381" s="167">
        <f t="shared" si="66"/>
        <v>0</v>
      </c>
    </row>
    <row r="1382" spans="1:31">
      <c r="A1382" s="197">
        <f t="shared" si="67"/>
        <v>46762</v>
      </c>
      <c r="B1382" s="167">
        <f>YEAR(Table7[[#This Row],[Date]])+IF(MONTH(Table7[[#This Row],[Date]])&gt;=4,1,0)</f>
        <v>2028</v>
      </c>
      <c r="C1382" s="167">
        <f>YEAR(Table7[[#This Row],[Date]])</f>
        <v>2028</v>
      </c>
      <c r="D1382" s="168">
        <f t="shared" si="65"/>
        <v>46753</v>
      </c>
      <c r="AE1382" s="167">
        <f t="shared" si="66"/>
        <v>0</v>
      </c>
    </row>
    <row r="1383" spans="1:31">
      <c r="A1383" s="197">
        <f t="shared" si="67"/>
        <v>46763</v>
      </c>
      <c r="B1383" s="167">
        <f>YEAR(Table7[[#This Row],[Date]])+IF(MONTH(Table7[[#This Row],[Date]])&gt;=4,1,0)</f>
        <v>2028</v>
      </c>
      <c r="C1383" s="167">
        <f>YEAR(Table7[[#This Row],[Date]])</f>
        <v>2028</v>
      </c>
      <c r="D1383" s="168">
        <f t="shared" si="65"/>
        <v>46753</v>
      </c>
      <c r="AE1383" s="167">
        <f t="shared" si="66"/>
        <v>0</v>
      </c>
    </row>
    <row r="1384" spans="1:31">
      <c r="A1384" s="197">
        <f t="shared" si="67"/>
        <v>46764</v>
      </c>
      <c r="B1384" s="167">
        <f>YEAR(Table7[[#This Row],[Date]])+IF(MONTH(Table7[[#This Row],[Date]])&gt;=4,1,0)</f>
        <v>2028</v>
      </c>
      <c r="C1384" s="167">
        <f>YEAR(Table7[[#This Row],[Date]])</f>
        <v>2028</v>
      </c>
      <c r="D1384" s="168">
        <f t="shared" si="65"/>
        <v>46753</v>
      </c>
      <c r="AE1384" s="167">
        <f t="shared" si="66"/>
        <v>0</v>
      </c>
    </row>
    <row r="1385" spans="1:31">
      <c r="A1385" s="197">
        <f t="shared" si="67"/>
        <v>46765</v>
      </c>
      <c r="B1385" s="167">
        <f>YEAR(Table7[[#This Row],[Date]])+IF(MONTH(Table7[[#This Row],[Date]])&gt;=4,1,0)</f>
        <v>2028</v>
      </c>
      <c r="C1385" s="167">
        <f>YEAR(Table7[[#This Row],[Date]])</f>
        <v>2028</v>
      </c>
      <c r="D1385" s="168">
        <f t="shared" si="65"/>
        <v>46753</v>
      </c>
      <c r="AE1385" s="167">
        <f t="shared" si="66"/>
        <v>0</v>
      </c>
    </row>
    <row r="1386" spans="1:31">
      <c r="A1386" s="197">
        <f t="shared" si="67"/>
        <v>46766</v>
      </c>
      <c r="B1386" s="167">
        <f>YEAR(Table7[[#This Row],[Date]])+IF(MONTH(Table7[[#This Row],[Date]])&gt;=4,1,0)</f>
        <v>2028</v>
      </c>
      <c r="C1386" s="167">
        <f>YEAR(Table7[[#This Row],[Date]])</f>
        <v>2028</v>
      </c>
      <c r="D1386" s="168">
        <f t="shared" si="65"/>
        <v>46753</v>
      </c>
      <c r="AE1386" s="167">
        <f t="shared" si="66"/>
        <v>0</v>
      </c>
    </row>
    <row r="1387" spans="1:31">
      <c r="A1387" s="197">
        <f t="shared" si="67"/>
        <v>46767</v>
      </c>
      <c r="B1387" s="167">
        <f>YEAR(Table7[[#This Row],[Date]])+IF(MONTH(Table7[[#This Row],[Date]])&gt;=4,1,0)</f>
        <v>2028</v>
      </c>
      <c r="C1387" s="167">
        <f>YEAR(Table7[[#This Row],[Date]])</f>
        <v>2028</v>
      </c>
      <c r="D1387" s="168">
        <f t="shared" si="65"/>
        <v>46753</v>
      </c>
      <c r="AE1387" s="167">
        <f t="shared" si="66"/>
        <v>0</v>
      </c>
    </row>
    <row r="1388" spans="1:31">
      <c r="A1388" s="197">
        <f t="shared" si="67"/>
        <v>46768</v>
      </c>
      <c r="B1388" s="167">
        <f>YEAR(Table7[[#This Row],[Date]])+IF(MONTH(Table7[[#This Row],[Date]])&gt;=4,1,0)</f>
        <v>2028</v>
      </c>
      <c r="C1388" s="167">
        <f>YEAR(Table7[[#This Row],[Date]])</f>
        <v>2028</v>
      </c>
      <c r="D1388" s="168">
        <f t="shared" si="65"/>
        <v>46753</v>
      </c>
      <c r="AE1388" s="167">
        <f t="shared" si="66"/>
        <v>0</v>
      </c>
    </row>
    <row r="1389" spans="1:31">
      <c r="A1389" s="197">
        <f t="shared" si="67"/>
        <v>46769</v>
      </c>
      <c r="B1389" s="167">
        <f>YEAR(Table7[[#This Row],[Date]])+IF(MONTH(Table7[[#This Row],[Date]])&gt;=4,1,0)</f>
        <v>2028</v>
      </c>
      <c r="C1389" s="167">
        <f>YEAR(Table7[[#This Row],[Date]])</f>
        <v>2028</v>
      </c>
      <c r="D1389" s="168">
        <f t="shared" si="65"/>
        <v>46753</v>
      </c>
      <c r="AE1389" s="167">
        <f t="shared" si="66"/>
        <v>0</v>
      </c>
    </row>
    <row r="1390" spans="1:31">
      <c r="A1390" s="197">
        <f t="shared" si="67"/>
        <v>46770</v>
      </c>
      <c r="B1390" s="167">
        <f>YEAR(Table7[[#This Row],[Date]])+IF(MONTH(Table7[[#This Row],[Date]])&gt;=4,1,0)</f>
        <v>2028</v>
      </c>
      <c r="C1390" s="167">
        <f>YEAR(Table7[[#This Row],[Date]])</f>
        <v>2028</v>
      </c>
      <c r="D1390" s="168">
        <f t="shared" si="65"/>
        <v>46753</v>
      </c>
      <c r="AE1390" s="167">
        <f t="shared" si="66"/>
        <v>0</v>
      </c>
    </row>
    <row r="1391" spans="1:31">
      <c r="A1391" s="197">
        <f t="shared" si="67"/>
        <v>46771</v>
      </c>
      <c r="B1391" s="167">
        <f>YEAR(Table7[[#This Row],[Date]])+IF(MONTH(Table7[[#This Row],[Date]])&gt;=4,1,0)</f>
        <v>2028</v>
      </c>
      <c r="C1391" s="167">
        <f>YEAR(Table7[[#This Row],[Date]])</f>
        <v>2028</v>
      </c>
      <c r="D1391" s="168">
        <f t="shared" si="65"/>
        <v>46753</v>
      </c>
      <c r="AE1391" s="167">
        <f t="shared" si="66"/>
        <v>0</v>
      </c>
    </row>
    <row r="1392" spans="1:31">
      <c r="A1392" s="197">
        <f t="shared" si="67"/>
        <v>46772</v>
      </c>
      <c r="B1392" s="167">
        <f>YEAR(Table7[[#This Row],[Date]])+IF(MONTH(Table7[[#This Row],[Date]])&gt;=4,1,0)</f>
        <v>2028</v>
      </c>
      <c r="C1392" s="167">
        <f>YEAR(Table7[[#This Row],[Date]])</f>
        <v>2028</v>
      </c>
      <c r="D1392" s="168">
        <f t="shared" si="65"/>
        <v>46753</v>
      </c>
      <c r="AE1392" s="167">
        <f t="shared" si="66"/>
        <v>0</v>
      </c>
    </row>
    <row r="1393" spans="1:31">
      <c r="A1393" s="197">
        <f t="shared" si="67"/>
        <v>46773</v>
      </c>
      <c r="B1393" s="167">
        <f>YEAR(Table7[[#This Row],[Date]])+IF(MONTH(Table7[[#This Row],[Date]])&gt;=4,1,0)</f>
        <v>2028</v>
      </c>
      <c r="C1393" s="167">
        <f>YEAR(Table7[[#This Row],[Date]])</f>
        <v>2028</v>
      </c>
      <c r="D1393" s="168">
        <f t="shared" si="65"/>
        <v>46753</v>
      </c>
      <c r="AE1393" s="167">
        <f t="shared" si="66"/>
        <v>0</v>
      </c>
    </row>
    <row r="1394" spans="1:31">
      <c r="A1394" s="197">
        <f t="shared" si="67"/>
        <v>46774</v>
      </c>
      <c r="B1394" s="167">
        <f>YEAR(Table7[[#This Row],[Date]])+IF(MONTH(Table7[[#This Row],[Date]])&gt;=4,1,0)</f>
        <v>2028</v>
      </c>
      <c r="C1394" s="167">
        <f>YEAR(Table7[[#This Row],[Date]])</f>
        <v>2028</v>
      </c>
      <c r="D1394" s="168">
        <f t="shared" si="65"/>
        <v>46753</v>
      </c>
      <c r="AE1394" s="167">
        <f t="shared" si="66"/>
        <v>0</v>
      </c>
    </row>
    <row r="1395" spans="1:31">
      <c r="A1395" s="197">
        <f t="shared" si="67"/>
        <v>46775</v>
      </c>
      <c r="B1395" s="167">
        <f>YEAR(Table7[[#This Row],[Date]])+IF(MONTH(Table7[[#This Row],[Date]])&gt;=4,1,0)</f>
        <v>2028</v>
      </c>
      <c r="C1395" s="167">
        <f>YEAR(Table7[[#This Row],[Date]])</f>
        <v>2028</v>
      </c>
      <c r="D1395" s="168">
        <f t="shared" si="65"/>
        <v>46753</v>
      </c>
      <c r="AE1395" s="167">
        <f t="shared" si="66"/>
        <v>0</v>
      </c>
    </row>
    <row r="1396" spans="1:31">
      <c r="A1396" s="197">
        <f t="shared" si="67"/>
        <v>46776</v>
      </c>
      <c r="B1396" s="167">
        <f>YEAR(Table7[[#This Row],[Date]])+IF(MONTH(Table7[[#This Row],[Date]])&gt;=4,1,0)</f>
        <v>2028</v>
      </c>
      <c r="C1396" s="167">
        <f>YEAR(Table7[[#This Row],[Date]])</f>
        <v>2028</v>
      </c>
      <c r="D1396" s="168">
        <f t="shared" si="65"/>
        <v>46753</v>
      </c>
      <c r="AE1396" s="167">
        <f t="shared" si="66"/>
        <v>0</v>
      </c>
    </row>
    <row r="1397" spans="1:31">
      <c r="A1397" s="197">
        <f t="shared" si="67"/>
        <v>46777</v>
      </c>
      <c r="B1397" s="167">
        <f>YEAR(Table7[[#This Row],[Date]])+IF(MONTH(Table7[[#This Row],[Date]])&gt;=4,1,0)</f>
        <v>2028</v>
      </c>
      <c r="C1397" s="167">
        <f>YEAR(Table7[[#This Row],[Date]])</f>
        <v>2028</v>
      </c>
      <c r="D1397" s="168">
        <f t="shared" si="65"/>
        <v>46753</v>
      </c>
      <c r="AE1397" s="167">
        <f t="shared" si="66"/>
        <v>0</v>
      </c>
    </row>
    <row r="1398" spans="1:31">
      <c r="A1398" s="197">
        <f t="shared" si="67"/>
        <v>46778</v>
      </c>
      <c r="B1398" s="167">
        <f>YEAR(Table7[[#This Row],[Date]])+IF(MONTH(Table7[[#This Row],[Date]])&gt;=4,1,0)</f>
        <v>2028</v>
      </c>
      <c r="C1398" s="167">
        <f>YEAR(Table7[[#This Row],[Date]])</f>
        <v>2028</v>
      </c>
      <c r="D1398" s="168">
        <f t="shared" si="65"/>
        <v>46753</v>
      </c>
      <c r="AE1398" s="167">
        <f t="shared" si="66"/>
        <v>0</v>
      </c>
    </row>
    <row r="1399" spans="1:31">
      <c r="A1399" s="197">
        <f t="shared" si="67"/>
        <v>46779</v>
      </c>
      <c r="B1399" s="167">
        <f>YEAR(Table7[[#This Row],[Date]])+IF(MONTH(Table7[[#This Row],[Date]])&gt;=4,1,0)</f>
        <v>2028</v>
      </c>
      <c r="C1399" s="167">
        <f>YEAR(Table7[[#This Row],[Date]])</f>
        <v>2028</v>
      </c>
      <c r="D1399" s="168">
        <f t="shared" si="65"/>
        <v>46753</v>
      </c>
      <c r="AE1399" s="167">
        <f t="shared" si="66"/>
        <v>0</v>
      </c>
    </row>
    <row r="1400" spans="1:31">
      <c r="A1400" s="197">
        <f t="shared" si="67"/>
        <v>46780</v>
      </c>
      <c r="B1400" s="167">
        <f>YEAR(Table7[[#This Row],[Date]])+IF(MONTH(Table7[[#This Row],[Date]])&gt;=4,1,0)</f>
        <v>2028</v>
      </c>
      <c r="C1400" s="167">
        <f>YEAR(Table7[[#This Row],[Date]])</f>
        <v>2028</v>
      </c>
      <c r="D1400" s="168">
        <f t="shared" si="65"/>
        <v>46753</v>
      </c>
      <c r="AE1400" s="167">
        <f t="shared" si="66"/>
        <v>0</v>
      </c>
    </row>
    <row r="1401" spans="1:31">
      <c r="A1401" s="197">
        <f t="shared" si="67"/>
        <v>46781</v>
      </c>
      <c r="B1401" s="167">
        <f>YEAR(Table7[[#This Row],[Date]])+IF(MONTH(Table7[[#This Row],[Date]])&gt;=4,1,0)</f>
        <v>2028</v>
      </c>
      <c r="C1401" s="167">
        <f>YEAR(Table7[[#This Row],[Date]])</f>
        <v>2028</v>
      </c>
      <c r="D1401" s="168">
        <f t="shared" si="65"/>
        <v>46753</v>
      </c>
      <c r="AE1401" s="167">
        <f t="shared" si="66"/>
        <v>0</v>
      </c>
    </row>
    <row r="1402" spans="1:31">
      <c r="A1402" s="197">
        <f t="shared" si="67"/>
        <v>46782</v>
      </c>
      <c r="B1402" s="167">
        <f>YEAR(Table7[[#This Row],[Date]])+IF(MONTH(Table7[[#This Row],[Date]])&gt;=4,1,0)</f>
        <v>2028</v>
      </c>
      <c r="C1402" s="167">
        <f>YEAR(Table7[[#This Row],[Date]])</f>
        <v>2028</v>
      </c>
      <c r="D1402" s="168">
        <f t="shared" si="65"/>
        <v>46753</v>
      </c>
      <c r="AE1402" s="167">
        <f t="shared" si="66"/>
        <v>0</v>
      </c>
    </row>
    <row r="1403" spans="1:31">
      <c r="A1403" s="197">
        <f t="shared" si="67"/>
        <v>46783</v>
      </c>
      <c r="B1403" s="167">
        <f>YEAR(Table7[[#This Row],[Date]])+IF(MONTH(Table7[[#This Row],[Date]])&gt;=4,1,0)</f>
        <v>2028</v>
      </c>
      <c r="C1403" s="167">
        <f>YEAR(Table7[[#This Row],[Date]])</f>
        <v>2028</v>
      </c>
      <c r="D1403" s="168">
        <f t="shared" si="65"/>
        <v>46753</v>
      </c>
      <c r="AE1403" s="167">
        <f t="shared" si="66"/>
        <v>0</v>
      </c>
    </row>
    <row r="1404" spans="1:31">
      <c r="A1404" s="197">
        <f t="shared" si="67"/>
        <v>46784</v>
      </c>
      <c r="B1404" s="167">
        <f>YEAR(Table7[[#This Row],[Date]])+IF(MONTH(Table7[[#This Row],[Date]])&gt;=4,1,0)</f>
        <v>2028</v>
      </c>
      <c r="C1404" s="167">
        <f>YEAR(Table7[[#This Row],[Date]])</f>
        <v>2028</v>
      </c>
      <c r="D1404" s="168">
        <f t="shared" si="65"/>
        <v>46784</v>
      </c>
      <c r="AE1404" s="167">
        <f t="shared" si="66"/>
        <v>0</v>
      </c>
    </row>
    <row r="1405" spans="1:31">
      <c r="A1405" s="197">
        <f t="shared" si="67"/>
        <v>46785</v>
      </c>
      <c r="B1405" s="167">
        <f>YEAR(Table7[[#This Row],[Date]])+IF(MONTH(Table7[[#This Row],[Date]])&gt;=4,1,0)</f>
        <v>2028</v>
      </c>
      <c r="C1405" s="167">
        <f>YEAR(Table7[[#This Row],[Date]])</f>
        <v>2028</v>
      </c>
      <c r="D1405" s="168">
        <f t="shared" si="65"/>
        <v>46784</v>
      </c>
      <c r="AE1405" s="167">
        <f t="shared" si="66"/>
        <v>0</v>
      </c>
    </row>
    <row r="1406" spans="1:31">
      <c r="A1406" s="197">
        <f t="shared" si="67"/>
        <v>46786</v>
      </c>
      <c r="B1406" s="167">
        <f>YEAR(Table7[[#This Row],[Date]])+IF(MONTH(Table7[[#This Row],[Date]])&gt;=4,1,0)</f>
        <v>2028</v>
      </c>
      <c r="C1406" s="167">
        <f>YEAR(Table7[[#This Row],[Date]])</f>
        <v>2028</v>
      </c>
      <c r="D1406" s="168">
        <f t="shared" si="65"/>
        <v>46784</v>
      </c>
      <c r="AE1406" s="167">
        <f t="shared" si="66"/>
        <v>0</v>
      </c>
    </row>
    <row r="1407" spans="1:31">
      <c r="A1407" s="197">
        <f t="shared" si="67"/>
        <v>46787</v>
      </c>
      <c r="B1407" s="167">
        <f>YEAR(Table7[[#This Row],[Date]])+IF(MONTH(Table7[[#This Row],[Date]])&gt;=4,1,0)</f>
        <v>2028</v>
      </c>
      <c r="C1407" s="167">
        <f>YEAR(Table7[[#This Row],[Date]])</f>
        <v>2028</v>
      </c>
      <c r="D1407" s="168">
        <f t="shared" si="65"/>
        <v>46784</v>
      </c>
      <c r="AE1407" s="167">
        <f t="shared" si="66"/>
        <v>0</v>
      </c>
    </row>
    <row r="1408" spans="1:31">
      <c r="A1408" s="197">
        <f t="shared" si="67"/>
        <v>46788</v>
      </c>
      <c r="B1408" s="167">
        <f>YEAR(Table7[[#This Row],[Date]])+IF(MONTH(Table7[[#This Row],[Date]])&gt;=4,1,0)</f>
        <v>2028</v>
      </c>
      <c r="C1408" s="167">
        <f>YEAR(Table7[[#This Row],[Date]])</f>
        <v>2028</v>
      </c>
      <c r="D1408" s="168">
        <f t="shared" si="65"/>
        <v>46784</v>
      </c>
      <c r="AE1408" s="167">
        <f t="shared" si="66"/>
        <v>0</v>
      </c>
    </row>
    <row r="1409" spans="1:31">
      <c r="A1409" s="197">
        <f t="shared" si="67"/>
        <v>46789</v>
      </c>
      <c r="B1409" s="167">
        <f>YEAR(Table7[[#This Row],[Date]])+IF(MONTH(Table7[[#This Row],[Date]])&gt;=4,1,0)</f>
        <v>2028</v>
      </c>
      <c r="C1409" s="167">
        <f>YEAR(Table7[[#This Row],[Date]])</f>
        <v>2028</v>
      </c>
      <c r="D1409" s="168">
        <f t="shared" si="65"/>
        <v>46784</v>
      </c>
      <c r="AE1409" s="167">
        <f t="shared" si="66"/>
        <v>0</v>
      </c>
    </row>
    <row r="1410" spans="1:31">
      <c r="A1410" s="197">
        <f t="shared" si="67"/>
        <v>46790</v>
      </c>
      <c r="B1410" s="167">
        <f>YEAR(Table7[[#This Row],[Date]])+IF(MONTH(Table7[[#This Row],[Date]])&gt;=4,1,0)</f>
        <v>2028</v>
      </c>
      <c r="C1410" s="167">
        <f>YEAR(Table7[[#This Row],[Date]])</f>
        <v>2028</v>
      </c>
      <c r="D1410" s="168">
        <f t="shared" si="65"/>
        <v>46784</v>
      </c>
      <c r="AE1410" s="167">
        <f t="shared" si="66"/>
        <v>0</v>
      </c>
    </row>
    <row r="1411" spans="1:31">
      <c r="A1411" s="197">
        <f t="shared" si="67"/>
        <v>46791</v>
      </c>
      <c r="B1411" s="167">
        <f>YEAR(Table7[[#This Row],[Date]])+IF(MONTH(Table7[[#This Row],[Date]])&gt;=4,1,0)</f>
        <v>2028</v>
      </c>
      <c r="C1411" s="167">
        <f>YEAR(Table7[[#This Row],[Date]])</f>
        <v>2028</v>
      </c>
      <c r="D1411" s="168">
        <f t="shared" ref="D1411:D1463" si="68">A1411-DAY(A1411)+1</f>
        <v>46784</v>
      </c>
      <c r="AE1411" s="167">
        <f t="shared" ref="AE1411:AE1463" si="69">SUM(E1411:AD1411)</f>
        <v>0</v>
      </c>
    </row>
    <row r="1412" spans="1:31">
      <c r="A1412" s="197">
        <f t="shared" si="67"/>
        <v>46792</v>
      </c>
      <c r="B1412" s="167">
        <f>YEAR(Table7[[#This Row],[Date]])+IF(MONTH(Table7[[#This Row],[Date]])&gt;=4,1,0)</f>
        <v>2028</v>
      </c>
      <c r="C1412" s="167">
        <f>YEAR(Table7[[#This Row],[Date]])</f>
        <v>2028</v>
      </c>
      <c r="D1412" s="168">
        <f t="shared" si="68"/>
        <v>46784</v>
      </c>
      <c r="AE1412" s="167">
        <f t="shared" si="69"/>
        <v>0</v>
      </c>
    </row>
    <row r="1413" spans="1:31">
      <c r="A1413" s="197">
        <f t="shared" ref="A1413:A1463" si="70">A1412+1</f>
        <v>46793</v>
      </c>
      <c r="B1413" s="167">
        <f>YEAR(Table7[[#This Row],[Date]])+IF(MONTH(Table7[[#This Row],[Date]])&gt;=4,1,0)</f>
        <v>2028</v>
      </c>
      <c r="C1413" s="167">
        <f>YEAR(Table7[[#This Row],[Date]])</f>
        <v>2028</v>
      </c>
      <c r="D1413" s="168">
        <f t="shared" si="68"/>
        <v>46784</v>
      </c>
      <c r="AE1413" s="167">
        <f t="shared" si="69"/>
        <v>0</v>
      </c>
    </row>
    <row r="1414" spans="1:31">
      <c r="A1414" s="197">
        <f t="shared" si="70"/>
        <v>46794</v>
      </c>
      <c r="B1414" s="167">
        <f>YEAR(Table7[[#This Row],[Date]])+IF(MONTH(Table7[[#This Row],[Date]])&gt;=4,1,0)</f>
        <v>2028</v>
      </c>
      <c r="C1414" s="167">
        <f>YEAR(Table7[[#This Row],[Date]])</f>
        <v>2028</v>
      </c>
      <c r="D1414" s="168">
        <f t="shared" si="68"/>
        <v>46784</v>
      </c>
      <c r="AE1414" s="167">
        <f t="shared" si="69"/>
        <v>0</v>
      </c>
    </row>
    <row r="1415" spans="1:31">
      <c r="A1415" s="197">
        <f t="shared" si="70"/>
        <v>46795</v>
      </c>
      <c r="B1415" s="167">
        <f>YEAR(Table7[[#This Row],[Date]])+IF(MONTH(Table7[[#This Row],[Date]])&gt;=4,1,0)</f>
        <v>2028</v>
      </c>
      <c r="C1415" s="167">
        <f>YEAR(Table7[[#This Row],[Date]])</f>
        <v>2028</v>
      </c>
      <c r="D1415" s="168">
        <f t="shared" si="68"/>
        <v>46784</v>
      </c>
      <c r="AE1415" s="167">
        <f t="shared" si="69"/>
        <v>0</v>
      </c>
    </row>
    <row r="1416" spans="1:31">
      <c r="A1416" s="197">
        <f t="shared" si="70"/>
        <v>46796</v>
      </c>
      <c r="B1416" s="167">
        <f>YEAR(Table7[[#This Row],[Date]])+IF(MONTH(Table7[[#This Row],[Date]])&gt;=4,1,0)</f>
        <v>2028</v>
      </c>
      <c r="C1416" s="167">
        <f>YEAR(Table7[[#This Row],[Date]])</f>
        <v>2028</v>
      </c>
      <c r="D1416" s="168">
        <f t="shared" si="68"/>
        <v>46784</v>
      </c>
      <c r="AE1416" s="167">
        <f t="shared" si="69"/>
        <v>0</v>
      </c>
    </row>
    <row r="1417" spans="1:31">
      <c r="A1417" s="197">
        <f t="shared" si="70"/>
        <v>46797</v>
      </c>
      <c r="B1417" s="167">
        <f>YEAR(Table7[[#This Row],[Date]])+IF(MONTH(Table7[[#This Row],[Date]])&gt;=4,1,0)</f>
        <v>2028</v>
      </c>
      <c r="C1417" s="167">
        <f>YEAR(Table7[[#This Row],[Date]])</f>
        <v>2028</v>
      </c>
      <c r="D1417" s="168">
        <f t="shared" si="68"/>
        <v>46784</v>
      </c>
      <c r="AE1417" s="167">
        <f t="shared" si="69"/>
        <v>0</v>
      </c>
    </row>
    <row r="1418" spans="1:31">
      <c r="A1418" s="197">
        <f t="shared" si="70"/>
        <v>46798</v>
      </c>
      <c r="B1418" s="167">
        <f>YEAR(Table7[[#This Row],[Date]])+IF(MONTH(Table7[[#This Row],[Date]])&gt;=4,1,0)</f>
        <v>2028</v>
      </c>
      <c r="C1418" s="167">
        <f>YEAR(Table7[[#This Row],[Date]])</f>
        <v>2028</v>
      </c>
      <c r="D1418" s="168">
        <f t="shared" si="68"/>
        <v>46784</v>
      </c>
      <c r="AE1418" s="167">
        <f t="shared" si="69"/>
        <v>0</v>
      </c>
    </row>
    <row r="1419" spans="1:31">
      <c r="A1419" s="197">
        <f t="shared" si="70"/>
        <v>46799</v>
      </c>
      <c r="B1419" s="167">
        <f>YEAR(Table7[[#This Row],[Date]])+IF(MONTH(Table7[[#This Row],[Date]])&gt;=4,1,0)</f>
        <v>2028</v>
      </c>
      <c r="C1419" s="167">
        <f>YEAR(Table7[[#This Row],[Date]])</f>
        <v>2028</v>
      </c>
      <c r="D1419" s="168">
        <f t="shared" si="68"/>
        <v>46784</v>
      </c>
      <c r="AE1419" s="167">
        <f t="shared" si="69"/>
        <v>0</v>
      </c>
    </row>
    <row r="1420" spans="1:31">
      <c r="A1420" s="197">
        <f t="shared" si="70"/>
        <v>46800</v>
      </c>
      <c r="B1420" s="167">
        <f>YEAR(Table7[[#This Row],[Date]])+IF(MONTH(Table7[[#This Row],[Date]])&gt;=4,1,0)</f>
        <v>2028</v>
      </c>
      <c r="C1420" s="167">
        <f>YEAR(Table7[[#This Row],[Date]])</f>
        <v>2028</v>
      </c>
      <c r="D1420" s="168">
        <f t="shared" si="68"/>
        <v>46784</v>
      </c>
      <c r="AE1420" s="167">
        <f t="shared" si="69"/>
        <v>0</v>
      </c>
    </row>
    <row r="1421" spans="1:31">
      <c r="A1421" s="197">
        <f t="shared" si="70"/>
        <v>46801</v>
      </c>
      <c r="B1421" s="167">
        <f>YEAR(Table7[[#This Row],[Date]])+IF(MONTH(Table7[[#This Row],[Date]])&gt;=4,1,0)</f>
        <v>2028</v>
      </c>
      <c r="C1421" s="167">
        <f>YEAR(Table7[[#This Row],[Date]])</f>
        <v>2028</v>
      </c>
      <c r="D1421" s="168">
        <f t="shared" si="68"/>
        <v>46784</v>
      </c>
      <c r="AE1421" s="167">
        <f t="shared" si="69"/>
        <v>0</v>
      </c>
    </row>
    <row r="1422" spans="1:31">
      <c r="A1422" s="197">
        <f t="shared" si="70"/>
        <v>46802</v>
      </c>
      <c r="B1422" s="167">
        <f>YEAR(Table7[[#This Row],[Date]])+IF(MONTH(Table7[[#This Row],[Date]])&gt;=4,1,0)</f>
        <v>2028</v>
      </c>
      <c r="C1422" s="167">
        <f>YEAR(Table7[[#This Row],[Date]])</f>
        <v>2028</v>
      </c>
      <c r="D1422" s="168">
        <f t="shared" si="68"/>
        <v>46784</v>
      </c>
      <c r="AE1422" s="167">
        <f t="shared" si="69"/>
        <v>0</v>
      </c>
    </row>
    <row r="1423" spans="1:31">
      <c r="A1423" s="197">
        <f t="shared" si="70"/>
        <v>46803</v>
      </c>
      <c r="B1423" s="167">
        <f>YEAR(Table7[[#This Row],[Date]])+IF(MONTH(Table7[[#This Row],[Date]])&gt;=4,1,0)</f>
        <v>2028</v>
      </c>
      <c r="C1423" s="167">
        <f>YEAR(Table7[[#This Row],[Date]])</f>
        <v>2028</v>
      </c>
      <c r="D1423" s="168">
        <f t="shared" si="68"/>
        <v>46784</v>
      </c>
      <c r="AE1423" s="167">
        <f t="shared" si="69"/>
        <v>0</v>
      </c>
    </row>
    <row r="1424" spans="1:31">
      <c r="A1424" s="197">
        <f t="shared" si="70"/>
        <v>46804</v>
      </c>
      <c r="B1424" s="167">
        <f>YEAR(Table7[[#This Row],[Date]])+IF(MONTH(Table7[[#This Row],[Date]])&gt;=4,1,0)</f>
        <v>2028</v>
      </c>
      <c r="C1424" s="167">
        <f>YEAR(Table7[[#This Row],[Date]])</f>
        <v>2028</v>
      </c>
      <c r="D1424" s="168">
        <f t="shared" si="68"/>
        <v>46784</v>
      </c>
      <c r="AE1424" s="167">
        <f t="shared" si="69"/>
        <v>0</v>
      </c>
    </row>
    <row r="1425" spans="1:31">
      <c r="A1425" s="197">
        <f t="shared" si="70"/>
        <v>46805</v>
      </c>
      <c r="B1425" s="167">
        <f>YEAR(Table7[[#This Row],[Date]])+IF(MONTH(Table7[[#This Row],[Date]])&gt;=4,1,0)</f>
        <v>2028</v>
      </c>
      <c r="C1425" s="167">
        <f>YEAR(Table7[[#This Row],[Date]])</f>
        <v>2028</v>
      </c>
      <c r="D1425" s="168">
        <f t="shared" si="68"/>
        <v>46784</v>
      </c>
      <c r="AE1425" s="167">
        <f t="shared" si="69"/>
        <v>0</v>
      </c>
    </row>
    <row r="1426" spans="1:31">
      <c r="A1426" s="197">
        <f t="shared" si="70"/>
        <v>46806</v>
      </c>
      <c r="B1426" s="167">
        <f>YEAR(Table7[[#This Row],[Date]])+IF(MONTH(Table7[[#This Row],[Date]])&gt;=4,1,0)</f>
        <v>2028</v>
      </c>
      <c r="C1426" s="167">
        <f>YEAR(Table7[[#This Row],[Date]])</f>
        <v>2028</v>
      </c>
      <c r="D1426" s="168">
        <f t="shared" si="68"/>
        <v>46784</v>
      </c>
      <c r="AE1426" s="167">
        <f t="shared" si="69"/>
        <v>0</v>
      </c>
    </row>
    <row r="1427" spans="1:31">
      <c r="A1427" s="197">
        <f t="shared" si="70"/>
        <v>46807</v>
      </c>
      <c r="B1427" s="167">
        <f>YEAR(Table7[[#This Row],[Date]])+IF(MONTH(Table7[[#This Row],[Date]])&gt;=4,1,0)</f>
        <v>2028</v>
      </c>
      <c r="C1427" s="167">
        <f>YEAR(Table7[[#This Row],[Date]])</f>
        <v>2028</v>
      </c>
      <c r="D1427" s="168">
        <f t="shared" si="68"/>
        <v>46784</v>
      </c>
      <c r="AE1427" s="167">
        <f t="shared" si="69"/>
        <v>0</v>
      </c>
    </row>
    <row r="1428" spans="1:31">
      <c r="A1428" s="197">
        <f t="shared" si="70"/>
        <v>46808</v>
      </c>
      <c r="B1428" s="167">
        <f>YEAR(Table7[[#This Row],[Date]])+IF(MONTH(Table7[[#This Row],[Date]])&gt;=4,1,0)</f>
        <v>2028</v>
      </c>
      <c r="C1428" s="167">
        <f>YEAR(Table7[[#This Row],[Date]])</f>
        <v>2028</v>
      </c>
      <c r="D1428" s="168">
        <f t="shared" si="68"/>
        <v>46784</v>
      </c>
      <c r="AE1428" s="167">
        <f t="shared" si="69"/>
        <v>0</v>
      </c>
    </row>
    <row r="1429" spans="1:31">
      <c r="A1429" s="197">
        <f t="shared" si="70"/>
        <v>46809</v>
      </c>
      <c r="B1429" s="167">
        <f>YEAR(Table7[[#This Row],[Date]])+IF(MONTH(Table7[[#This Row],[Date]])&gt;=4,1,0)</f>
        <v>2028</v>
      </c>
      <c r="C1429" s="167">
        <f>YEAR(Table7[[#This Row],[Date]])</f>
        <v>2028</v>
      </c>
      <c r="D1429" s="168">
        <f t="shared" si="68"/>
        <v>46784</v>
      </c>
      <c r="AE1429" s="167">
        <f t="shared" si="69"/>
        <v>0</v>
      </c>
    </row>
    <row r="1430" spans="1:31">
      <c r="A1430" s="197">
        <f t="shared" si="70"/>
        <v>46810</v>
      </c>
      <c r="B1430" s="167">
        <f>YEAR(Table7[[#This Row],[Date]])+IF(MONTH(Table7[[#This Row],[Date]])&gt;=4,1,0)</f>
        <v>2028</v>
      </c>
      <c r="C1430" s="167">
        <f>YEAR(Table7[[#This Row],[Date]])</f>
        <v>2028</v>
      </c>
      <c r="D1430" s="168">
        <f t="shared" si="68"/>
        <v>46784</v>
      </c>
      <c r="AE1430" s="167">
        <f t="shared" si="69"/>
        <v>0</v>
      </c>
    </row>
    <row r="1431" spans="1:31">
      <c r="A1431" s="197">
        <f t="shared" si="70"/>
        <v>46811</v>
      </c>
      <c r="B1431" s="167">
        <f>YEAR(Table7[[#This Row],[Date]])+IF(MONTH(Table7[[#This Row],[Date]])&gt;=4,1,0)</f>
        <v>2028</v>
      </c>
      <c r="C1431" s="167">
        <f>YEAR(Table7[[#This Row],[Date]])</f>
        <v>2028</v>
      </c>
      <c r="D1431" s="168">
        <f t="shared" si="68"/>
        <v>46784</v>
      </c>
      <c r="AE1431" s="167">
        <f t="shared" si="69"/>
        <v>0</v>
      </c>
    </row>
    <row r="1432" spans="1:31">
      <c r="A1432" s="197">
        <f t="shared" si="70"/>
        <v>46812</v>
      </c>
      <c r="B1432" s="167">
        <f>YEAR(Table7[[#This Row],[Date]])+IF(MONTH(Table7[[#This Row],[Date]])&gt;=4,1,0)</f>
        <v>2028</v>
      </c>
      <c r="C1432" s="167">
        <f>YEAR(Table7[[#This Row],[Date]])</f>
        <v>2028</v>
      </c>
      <c r="D1432" s="168">
        <f t="shared" si="68"/>
        <v>46784</v>
      </c>
      <c r="AE1432" s="167">
        <f t="shared" si="69"/>
        <v>0</v>
      </c>
    </row>
    <row r="1433" spans="1:31">
      <c r="A1433" s="197">
        <f t="shared" si="70"/>
        <v>46813</v>
      </c>
      <c r="B1433" s="167">
        <f>YEAR(Table7[[#This Row],[Date]])+IF(MONTH(Table7[[#This Row],[Date]])&gt;=4,1,0)</f>
        <v>2028</v>
      </c>
      <c r="C1433" s="167">
        <f>YEAR(Table7[[#This Row],[Date]])</f>
        <v>2028</v>
      </c>
      <c r="D1433" s="168">
        <f t="shared" si="68"/>
        <v>46813</v>
      </c>
      <c r="AE1433" s="167">
        <f t="shared" si="69"/>
        <v>0</v>
      </c>
    </row>
    <row r="1434" spans="1:31">
      <c r="A1434" s="197">
        <f t="shared" si="70"/>
        <v>46814</v>
      </c>
      <c r="B1434" s="167">
        <f>YEAR(Table7[[#This Row],[Date]])+IF(MONTH(Table7[[#This Row],[Date]])&gt;=4,1,0)</f>
        <v>2028</v>
      </c>
      <c r="C1434" s="167">
        <f>YEAR(Table7[[#This Row],[Date]])</f>
        <v>2028</v>
      </c>
      <c r="D1434" s="168">
        <f t="shared" si="68"/>
        <v>46813</v>
      </c>
      <c r="AE1434" s="167">
        <f t="shared" si="69"/>
        <v>0</v>
      </c>
    </row>
    <row r="1435" spans="1:31">
      <c r="A1435" s="197">
        <f t="shared" si="70"/>
        <v>46815</v>
      </c>
      <c r="B1435" s="167">
        <f>YEAR(Table7[[#This Row],[Date]])+IF(MONTH(Table7[[#This Row],[Date]])&gt;=4,1,0)</f>
        <v>2028</v>
      </c>
      <c r="C1435" s="167">
        <f>YEAR(Table7[[#This Row],[Date]])</f>
        <v>2028</v>
      </c>
      <c r="D1435" s="168">
        <f t="shared" si="68"/>
        <v>46813</v>
      </c>
      <c r="AE1435" s="167">
        <f t="shared" si="69"/>
        <v>0</v>
      </c>
    </row>
    <row r="1436" spans="1:31">
      <c r="A1436" s="197">
        <f t="shared" si="70"/>
        <v>46816</v>
      </c>
      <c r="B1436" s="167">
        <f>YEAR(Table7[[#This Row],[Date]])+IF(MONTH(Table7[[#This Row],[Date]])&gt;=4,1,0)</f>
        <v>2028</v>
      </c>
      <c r="C1436" s="167">
        <f>YEAR(Table7[[#This Row],[Date]])</f>
        <v>2028</v>
      </c>
      <c r="D1436" s="168">
        <f t="shared" si="68"/>
        <v>46813</v>
      </c>
      <c r="AE1436" s="167">
        <f t="shared" si="69"/>
        <v>0</v>
      </c>
    </row>
    <row r="1437" spans="1:31">
      <c r="A1437" s="197">
        <f t="shared" si="70"/>
        <v>46817</v>
      </c>
      <c r="B1437" s="167">
        <f>YEAR(Table7[[#This Row],[Date]])+IF(MONTH(Table7[[#This Row],[Date]])&gt;=4,1,0)</f>
        <v>2028</v>
      </c>
      <c r="C1437" s="167">
        <f>YEAR(Table7[[#This Row],[Date]])</f>
        <v>2028</v>
      </c>
      <c r="D1437" s="168">
        <f t="shared" si="68"/>
        <v>46813</v>
      </c>
      <c r="AE1437" s="167">
        <f t="shared" si="69"/>
        <v>0</v>
      </c>
    </row>
    <row r="1438" spans="1:31">
      <c r="A1438" s="197">
        <f t="shared" si="70"/>
        <v>46818</v>
      </c>
      <c r="B1438" s="167">
        <f>YEAR(Table7[[#This Row],[Date]])+IF(MONTH(Table7[[#This Row],[Date]])&gt;=4,1,0)</f>
        <v>2028</v>
      </c>
      <c r="C1438" s="167">
        <f>YEAR(Table7[[#This Row],[Date]])</f>
        <v>2028</v>
      </c>
      <c r="D1438" s="168">
        <f t="shared" si="68"/>
        <v>46813</v>
      </c>
      <c r="AE1438" s="167">
        <f t="shared" si="69"/>
        <v>0</v>
      </c>
    </row>
    <row r="1439" spans="1:31">
      <c r="A1439" s="197">
        <f t="shared" si="70"/>
        <v>46819</v>
      </c>
      <c r="B1439" s="167">
        <f>YEAR(Table7[[#This Row],[Date]])+IF(MONTH(Table7[[#This Row],[Date]])&gt;=4,1,0)</f>
        <v>2028</v>
      </c>
      <c r="C1439" s="167">
        <f>YEAR(Table7[[#This Row],[Date]])</f>
        <v>2028</v>
      </c>
      <c r="D1439" s="168">
        <f t="shared" si="68"/>
        <v>46813</v>
      </c>
      <c r="AE1439" s="167">
        <f t="shared" si="69"/>
        <v>0</v>
      </c>
    </row>
    <row r="1440" spans="1:31">
      <c r="A1440" s="197">
        <f t="shared" si="70"/>
        <v>46820</v>
      </c>
      <c r="B1440" s="167">
        <f>YEAR(Table7[[#This Row],[Date]])+IF(MONTH(Table7[[#This Row],[Date]])&gt;=4,1,0)</f>
        <v>2028</v>
      </c>
      <c r="C1440" s="167">
        <f>YEAR(Table7[[#This Row],[Date]])</f>
        <v>2028</v>
      </c>
      <c r="D1440" s="168">
        <f t="shared" si="68"/>
        <v>46813</v>
      </c>
      <c r="AE1440" s="167">
        <f t="shared" si="69"/>
        <v>0</v>
      </c>
    </row>
    <row r="1441" spans="1:31">
      <c r="A1441" s="197">
        <f t="shared" si="70"/>
        <v>46821</v>
      </c>
      <c r="B1441" s="167">
        <f>YEAR(Table7[[#This Row],[Date]])+IF(MONTH(Table7[[#This Row],[Date]])&gt;=4,1,0)</f>
        <v>2028</v>
      </c>
      <c r="C1441" s="167">
        <f>YEAR(Table7[[#This Row],[Date]])</f>
        <v>2028</v>
      </c>
      <c r="D1441" s="168">
        <f t="shared" si="68"/>
        <v>46813</v>
      </c>
      <c r="AE1441" s="167">
        <f t="shared" si="69"/>
        <v>0</v>
      </c>
    </row>
    <row r="1442" spans="1:31">
      <c r="A1442" s="197">
        <f t="shared" si="70"/>
        <v>46822</v>
      </c>
      <c r="B1442" s="167">
        <f>YEAR(Table7[[#This Row],[Date]])+IF(MONTH(Table7[[#This Row],[Date]])&gt;=4,1,0)</f>
        <v>2028</v>
      </c>
      <c r="C1442" s="167">
        <f>YEAR(Table7[[#This Row],[Date]])</f>
        <v>2028</v>
      </c>
      <c r="D1442" s="168">
        <f t="shared" si="68"/>
        <v>46813</v>
      </c>
      <c r="AE1442" s="167">
        <f t="shared" si="69"/>
        <v>0</v>
      </c>
    </row>
    <row r="1443" spans="1:31">
      <c r="A1443" s="197">
        <f t="shared" si="70"/>
        <v>46823</v>
      </c>
      <c r="B1443" s="167">
        <f>YEAR(Table7[[#This Row],[Date]])+IF(MONTH(Table7[[#This Row],[Date]])&gt;=4,1,0)</f>
        <v>2028</v>
      </c>
      <c r="C1443" s="167">
        <f>YEAR(Table7[[#This Row],[Date]])</f>
        <v>2028</v>
      </c>
      <c r="D1443" s="168">
        <f t="shared" si="68"/>
        <v>46813</v>
      </c>
      <c r="AE1443" s="167">
        <f t="shared" si="69"/>
        <v>0</v>
      </c>
    </row>
    <row r="1444" spans="1:31">
      <c r="A1444" s="197">
        <f t="shared" si="70"/>
        <v>46824</v>
      </c>
      <c r="B1444" s="167">
        <f>YEAR(Table7[[#This Row],[Date]])+IF(MONTH(Table7[[#This Row],[Date]])&gt;=4,1,0)</f>
        <v>2028</v>
      </c>
      <c r="C1444" s="167">
        <f>YEAR(Table7[[#This Row],[Date]])</f>
        <v>2028</v>
      </c>
      <c r="D1444" s="168">
        <f t="shared" si="68"/>
        <v>46813</v>
      </c>
      <c r="AE1444" s="167">
        <f t="shared" si="69"/>
        <v>0</v>
      </c>
    </row>
    <row r="1445" spans="1:31">
      <c r="A1445" s="197">
        <f t="shared" si="70"/>
        <v>46825</v>
      </c>
      <c r="B1445" s="167">
        <f>YEAR(Table7[[#This Row],[Date]])+IF(MONTH(Table7[[#This Row],[Date]])&gt;=4,1,0)</f>
        <v>2028</v>
      </c>
      <c r="C1445" s="167">
        <f>YEAR(Table7[[#This Row],[Date]])</f>
        <v>2028</v>
      </c>
      <c r="D1445" s="168">
        <f t="shared" si="68"/>
        <v>46813</v>
      </c>
      <c r="AE1445" s="167">
        <f t="shared" si="69"/>
        <v>0</v>
      </c>
    </row>
    <row r="1446" spans="1:31">
      <c r="A1446" s="197">
        <f t="shared" si="70"/>
        <v>46826</v>
      </c>
      <c r="B1446" s="167">
        <f>YEAR(Table7[[#This Row],[Date]])+IF(MONTH(Table7[[#This Row],[Date]])&gt;=4,1,0)</f>
        <v>2028</v>
      </c>
      <c r="C1446" s="167">
        <f>YEAR(Table7[[#This Row],[Date]])</f>
        <v>2028</v>
      </c>
      <c r="D1446" s="168">
        <f t="shared" si="68"/>
        <v>46813</v>
      </c>
      <c r="AE1446" s="167">
        <f t="shared" si="69"/>
        <v>0</v>
      </c>
    </row>
    <row r="1447" spans="1:31">
      <c r="A1447" s="197">
        <f t="shared" si="70"/>
        <v>46827</v>
      </c>
      <c r="B1447" s="167">
        <f>YEAR(Table7[[#This Row],[Date]])+IF(MONTH(Table7[[#This Row],[Date]])&gt;=4,1,0)</f>
        <v>2028</v>
      </c>
      <c r="C1447" s="167">
        <f>YEAR(Table7[[#This Row],[Date]])</f>
        <v>2028</v>
      </c>
      <c r="D1447" s="168">
        <f t="shared" si="68"/>
        <v>46813</v>
      </c>
      <c r="AE1447" s="167">
        <f t="shared" si="69"/>
        <v>0</v>
      </c>
    </row>
    <row r="1448" spans="1:31">
      <c r="A1448" s="197">
        <f t="shared" si="70"/>
        <v>46828</v>
      </c>
      <c r="B1448" s="167">
        <f>YEAR(Table7[[#This Row],[Date]])+IF(MONTH(Table7[[#This Row],[Date]])&gt;=4,1,0)</f>
        <v>2028</v>
      </c>
      <c r="C1448" s="167">
        <f>YEAR(Table7[[#This Row],[Date]])</f>
        <v>2028</v>
      </c>
      <c r="D1448" s="168">
        <f t="shared" si="68"/>
        <v>46813</v>
      </c>
      <c r="AE1448" s="167">
        <f t="shared" si="69"/>
        <v>0</v>
      </c>
    </row>
    <row r="1449" spans="1:31">
      <c r="A1449" s="197">
        <f t="shared" si="70"/>
        <v>46829</v>
      </c>
      <c r="B1449" s="167">
        <f>YEAR(Table7[[#This Row],[Date]])+IF(MONTH(Table7[[#This Row],[Date]])&gt;=4,1,0)</f>
        <v>2028</v>
      </c>
      <c r="C1449" s="167">
        <f>YEAR(Table7[[#This Row],[Date]])</f>
        <v>2028</v>
      </c>
      <c r="D1449" s="168">
        <f t="shared" si="68"/>
        <v>46813</v>
      </c>
      <c r="AE1449" s="167">
        <f t="shared" si="69"/>
        <v>0</v>
      </c>
    </row>
    <row r="1450" spans="1:31">
      <c r="A1450" s="197">
        <f t="shared" si="70"/>
        <v>46830</v>
      </c>
      <c r="B1450" s="167">
        <f>YEAR(Table7[[#This Row],[Date]])+IF(MONTH(Table7[[#This Row],[Date]])&gt;=4,1,0)</f>
        <v>2028</v>
      </c>
      <c r="C1450" s="167">
        <f>YEAR(Table7[[#This Row],[Date]])</f>
        <v>2028</v>
      </c>
      <c r="D1450" s="168">
        <f t="shared" si="68"/>
        <v>46813</v>
      </c>
      <c r="AE1450" s="167">
        <f t="shared" si="69"/>
        <v>0</v>
      </c>
    </row>
    <row r="1451" spans="1:31">
      <c r="A1451" s="197">
        <f t="shared" si="70"/>
        <v>46831</v>
      </c>
      <c r="B1451" s="167">
        <f>YEAR(Table7[[#This Row],[Date]])+IF(MONTH(Table7[[#This Row],[Date]])&gt;=4,1,0)</f>
        <v>2028</v>
      </c>
      <c r="C1451" s="167">
        <f>YEAR(Table7[[#This Row],[Date]])</f>
        <v>2028</v>
      </c>
      <c r="D1451" s="168">
        <f t="shared" si="68"/>
        <v>46813</v>
      </c>
      <c r="AE1451" s="167">
        <f t="shared" si="69"/>
        <v>0</v>
      </c>
    </row>
    <row r="1452" spans="1:31">
      <c r="A1452" s="197">
        <f t="shared" si="70"/>
        <v>46832</v>
      </c>
      <c r="B1452" s="167">
        <f>YEAR(Table7[[#This Row],[Date]])+IF(MONTH(Table7[[#This Row],[Date]])&gt;=4,1,0)</f>
        <v>2028</v>
      </c>
      <c r="C1452" s="167">
        <f>YEAR(Table7[[#This Row],[Date]])</f>
        <v>2028</v>
      </c>
      <c r="D1452" s="168">
        <f t="shared" si="68"/>
        <v>46813</v>
      </c>
      <c r="AE1452" s="167">
        <f t="shared" si="69"/>
        <v>0</v>
      </c>
    </row>
    <row r="1453" spans="1:31">
      <c r="A1453" s="197">
        <f t="shared" si="70"/>
        <v>46833</v>
      </c>
      <c r="B1453" s="167">
        <f>YEAR(Table7[[#This Row],[Date]])+IF(MONTH(Table7[[#This Row],[Date]])&gt;=4,1,0)</f>
        <v>2028</v>
      </c>
      <c r="C1453" s="167">
        <f>YEAR(Table7[[#This Row],[Date]])</f>
        <v>2028</v>
      </c>
      <c r="D1453" s="168">
        <f t="shared" si="68"/>
        <v>46813</v>
      </c>
      <c r="AE1453" s="167">
        <f t="shared" si="69"/>
        <v>0</v>
      </c>
    </row>
    <row r="1454" spans="1:31">
      <c r="A1454" s="197">
        <f t="shared" si="70"/>
        <v>46834</v>
      </c>
      <c r="B1454" s="167">
        <f>YEAR(Table7[[#This Row],[Date]])+IF(MONTH(Table7[[#This Row],[Date]])&gt;=4,1,0)</f>
        <v>2028</v>
      </c>
      <c r="C1454" s="167">
        <f>YEAR(Table7[[#This Row],[Date]])</f>
        <v>2028</v>
      </c>
      <c r="D1454" s="168">
        <f t="shared" si="68"/>
        <v>46813</v>
      </c>
      <c r="AE1454" s="167">
        <f t="shared" si="69"/>
        <v>0</v>
      </c>
    </row>
    <row r="1455" spans="1:31">
      <c r="A1455" s="197">
        <f t="shared" si="70"/>
        <v>46835</v>
      </c>
      <c r="B1455" s="167">
        <f>YEAR(Table7[[#This Row],[Date]])+IF(MONTH(Table7[[#This Row],[Date]])&gt;=4,1,0)</f>
        <v>2028</v>
      </c>
      <c r="C1455" s="167">
        <f>YEAR(Table7[[#This Row],[Date]])</f>
        <v>2028</v>
      </c>
      <c r="D1455" s="168">
        <f t="shared" si="68"/>
        <v>46813</v>
      </c>
      <c r="AE1455" s="167">
        <f t="shared" si="69"/>
        <v>0</v>
      </c>
    </row>
    <row r="1456" spans="1:31">
      <c r="A1456" s="197">
        <f t="shared" si="70"/>
        <v>46836</v>
      </c>
      <c r="B1456" s="167">
        <f>YEAR(Table7[[#This Row],[Date]])+IF(MONTH(Table7[[#This Row],[Date]])&gt;=4,1,0)</f>
        <v>2028</v>
      </c>
      <c r="C1456" s="167">
        <f>YEAR(Table7[[#This Row],[Date]])</f>
        <v>2028</v>
      </c>
      <c r="D1456" s="168">
        <f t="shared" si="68"/>
        <v>46813</v>
      </c>
      <c r="AE1456" s="167">
        <f t="shared" si="69"/>
        <v>0</v>
      </c>
    </row>
    <row r="1457" spans="1:31">
      <c r="A1457" s="197">
        <f t="shared" si="70"/>
        <v>46837</v>
      </c>
      <c r="B1457" s="167">
        <f>YEAR(Table7[[#This Row],[Date]])+IF(MONTH(Table7[[#This Row],[Date]])&gt;=4,1,0)</f>
        <v>2028</v>
      </c>
      <c r="C1457" s="167">
        <f>YEAR(Table7[[#This Row],[Date]])</f>
        <v>2028</v>
      </c>
      <c r="D1457" s="168">
        <f t="shared" si="68"/>
        <v>46813</v>
      </c>
      <c r="AE1457" s="167">
        <f t="shared" si="69"/>
        <v>0</v>
      </c>
    </row>
    <row r="1458" spans="1:31">
      <c r="A1458" s="197">
        <f t="shared" si="70"/>
        <v>46838</v>
      </c>
      <c r="B1458" s="167">
        <f>YEAR(Table7[[#This Row],[Date]])+IF(MONTH(Table7[[#This Row],[Date]])&gt;=4,1,0)</f>
        <v>2028</v>
      </c>
      <c r="C1458" s="167">
        <f>YEAR(Table7[[#This Row],[Date]])</f>
        <v>2028</v>
      </c>
      <c r="D1458" s="168">
        <f t="shared" si="68"/>
        <v>46813</v>
      </c>
      <c r="AE1458" s="167">
        <f t="shared" si="69"/>
        <v>0</v>
      </c>
    </row>
    <row r="1459" spans="1:31">
      <c r="A1459" s="197">
        <f t="shared" si="70"/>
        <v>46839</v>
      </c>
      <c r="B1459" s="167">
        <f>YEAR(Table7[[#This Row],[Date]])+IF(MONTH(Table7[[#This Row],[Date]])&gt;=4,1,0)</f>
        <v>2028</v>
      </c>
      <c r="C1459" s="167">
        <f>YEAR(Table7[[#This Row],[Date]])</f>
        <v>2028</v>
      </c>
      <c r="D1459" s="168">
        <f t="shared" si="68"/>
        <v>46813</v>
      </c>
      <c r="AE1459" s="167">
        <f t="shared" si="69"/>
        <v>0</v>
      </c>
    </row>
    <row r="1460" spans="1:31">
      <c r="A1460" s="197">
        <f t="shared" si="70"/>
        <v>46840</v>
      </c>
      <c r="B1460" s="167">
        <f>YEAR(Table7[[#This Row],[Date]])+IF(MONTH(Table7[[#This Row],[Date]])&gt;=4,1,0)</f>
        <v>2028</v>
      </c>
      <c r="C1460" s="167">
        <f>YEAR(Table7[[#This Row],[Date]])</f>
        <v>2028</v>
      </c>
      <c r="D1460" s="168">
        <f t="shared" si="68"/>
        <v>46813</v>
      </c>
      <c r="AE1460" s="167">
        <f t="shared" si="69"/>
        <v>0</v>
      </c>
    </row>
    <row r="1461" spans="1:31">
      <c r="A1461" s="197">
        <f t="shared" si="70"/>
        <v>46841</v>
      </c>
      <c r="B1461" s="167">
        <f>YEAR(Table7[[#This Row],[Date]])+IF(MONTH(Table7[[#This Row],[Date]])&gt;=4,1,0)</f>
        <v>2028</v>
      </c>
      <c r="C1461" s="167">
        <f>YEAR(Table7[[#This Row],[Date]])</f>
        <v>2028</v>
      </c>
      <c r="D1461" s="168">
        <f t="shared" si="68"/>
        <v>46813</v>
      </c>
      <c r="AE1461" s="167">
        <f t="shared" si="69"/>
        <v>0</v>
      </c>
    </row>
    <row r="1462" spans="1:31">
      <c r="A1462" s="197">
        <f t="shared" si="70"/>
        <v>46842</v>
      </c>
      <c r="B1462" s="167">
        <f>YEAR(Table7[[#This Row],[Date]])+IF(MONTH(Table7[[#This Row],[Date]])&gt;=4,1,0)</f>
        <v>2028</v>
      </c>
      <c r="C1462" s="167">
        <f>YEAR(Table7[[#This Row],[Date]])</f>
        <v>2028</v>
      </c>
      <c r="D1462" s="168">
        <f t="shared" si="68"/>
        <v>46813</v>
      </c>
      <c r="AE1462" s="167">
        <f t="shared" si="69"/>
        <v>0</v>
      </c>
    </row>
    <row r="1463" spans="1:31">
      <c r="A1463" s="197">
        <f t="shared" si="70"/>
        <v>46843</v>
      </c>
      <c r="B1463" s="167">
        <f>YEAR(Table7[[#This Row],[Date]])+IF(MONTH(Table7[[#This Row],[Date]])&gt;=4,1,0)</f>
        <v>2028</v>
      </c>
      <c r="C1463" s="167">
        <f>YEAR(Table7[[#This Row],[Date]])</f>
        <v>2028</v>
      </c>
      <c r="D1463" s="168">
        <f t="shared" si="68"/>
        <v>46813</v>
      </c>
      <c r="E1463" s="166">
        <v>2411.4870499999997</v>
      </c>
      <c r="F1463" s="166">
        <v>891.6197333333331</v>
      </c>
      <c r="G1463" s="166">
        <v>1879.9699166666667</v>
      </c>
      <c r="H1463" s="166">
        <v>874.26264999999989</v>
      </c>
      <c r="I1463" s="166">
        <v>880.47126666666634</v>
      </c>
      <c r="J1463" s="166">
        <v>636.22654999999975</v>
      </c>
      <c r="K1463" s="166">
        <v>372.88330000000008</v>
      </c>
      <c r="L1463" s="166">
        <v>641.51903333333337</v>
      </c>
      <c r="M1463" s="166">
        <v>906.08874999999966</v>
      </c>
      <c r="N1463" s="166">
        <v>2260.3940000000007</v>
      </c>
      <c r="O1463" s="166">
        <v>383.09098333333333</v>
      </c>
      <c r="P1463" s="166">
        <v>377.68645000000021</v>
      </c>
      <c r="Q1463" s="166">
        <v>2175.7977833333325</v>
      </c>
      <c r="R1463" s="166">
        <v>1993.9216333333334</v>
      </c>
      <c r="S1463" s="166">
        <v>1758.4656500000006</v>
      </c>
      <c r="T1463" s="166">
        <v>2234.110716666667</v>
      </c>
      <c r="U1463" s="166">
        <v>1964.6706833333335</v>
      </c>
      <c r="V1463" s="166">
        <v>2190.6097833333329</v>
      </c>
      <c r="W1463" s="166">
        <v>441.97923333333341</v>
      </c>
      <c r="X1463" s="166">
        <v>670.5095333333328</v>
      </c>
      <c r="Y1463" s="166">
        <v>1570.8375833333334</v>
      </c>
      <c r="Z1463" s="166">
        <v>1180.1706999999994</v>
      </c>
      <c r="AA1463" s="166">
        <v>1761.4244000000006</v>
      </c>
      <c r="AB1463" s="166">
        <v>0</v>
      </c>
      <c r="AC1463" s="166">
        <v>999.70584999999994</v>
      </c>
      <c r="AD1463" s="166">
        <v>1757.0460333333331</v>
      </c>
      <c r="AE1463" s="166">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12"/>
  <sheetViews>
    <sheetView showGridLines="0" zoomScale="80" zoomScaleNormal="80" workbookViewId="0">
      <pane xSplit="1" ySplit="4" topLeftCell="AX91" activePane="bottomRight" state="frozen"/>
      <selection pane="topRight" activeCell="B5" sqref="B5"/>
      <selection pane="bottomLeft" activeCell="B5" sqref="B5"/>
      <selection pane="bottomRight" activeCell="BK114" sqref="BK114"/>
    </sheetView>
  </sheetViews>
  <sheetFormatPr defaultColWidth="8.44140625" defaultRowHeight="14.4"/>
  <cols>
    <col min="1" max="1" width="11.44140625" style="1" bestFit="1" customWidth="1"/>
    <col min="2" max="2" width="11.44140625" customWidth="1"/>
    <col min="3" max="3" width="12.44140625" customWidth="1"/>
    <col min="4" max="4" width="15.44140625" customWidth="1"/>
    <col min="7" max="7" width="10.44140625" bestFit="1" customWidth="1"/>
    <col min="14" max="14" width="8.44140625" customWidth="1"/>
    <col min="16" max="16" width="9.44140625" customWidth="1"/>
    <col min="17" max="17" width="11.44140625" bestFit="1" customWidth="1"/>
    <col min="58" max="58" width="12.44140625" customWidth="1"/>
    <col min="59" max="59" width="11.44140625" customWidth="1"/>
    <col min="60" max="60" width="12.5546875" customWidth="1"/>
    <col min="61" max="61" width="11.88671875" customWidth="1"/>
    <col min="62" max="62" width="15.44140625" style="1" customWidth="1"/>
    <col min="63" max="63" width="13.44140625" style="1" customWidth="1"/>
    <col min="64" max="64" width="11.44140625" style="1" customWidth="1"/>
    <col min="65" max="66" width="11.44140625" customWidth="1"/>
    <col min="67" max="67" width="19.44140625" style="2" customWidth="1"/>
    <col min="68" max="68" width="12.44140625" customWidth="1"/>
    <col min="69" max="69" width="18.44140625" style="110" customWidth="1"/>
    <col min="70" max="70" width="13.441406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223</v>
      </c>
      <c r="G3" s="3"/>
      <c r="H3" s="3"/>
      <c r="I3" s="3"/>
      <c r="J3" s="3"/>
      <c r="K3" s="3"/>
      <c r="L3" s="3"/>
      <c r="M3" s="3"/>
      <c r="N3" s="3"/>
      <c r="O3" s="3"/>
      <c r="P3" s="3"/>
      <c r="Q3" s="3"/>
      <c r="R3" s="3"/>
      <c r="S3" s="3"/>
      <c r="T3" s="3"/>
      <c r="U3" s="3"/>
      <c r="V3" s="3"/>
      <c r="W3" s="3"/>
      <c r="X3" s="3"/>
      <c r="Y3" s="3"/>
      <c r="Z3" s="3"/>
      <c r="AA3" s="3"/>
      <c r="AB3" s="3"/>
      <c r="AC3" s="3"/>
      <c r="AD3" s="3"/>
      <c r="AE3" s="3"/>
      <c r="AF3" s="4" t="s">
        <v>224</v>
      </c>
      <c r="AG3" s="4"/>
      <c r="AH3" s="4"/>
      <c r="AI3" s="4"/>
      <c r="AJ3" s="4"/>
      <c r="AK3" s="4"/>
      <c r="AL3" s="4"/>
      <c r="AM3" s="4"/>
      <c r="AN3" s="4"/>
      <c r="AO3" s="4"/>
      <c r="AP3" s="4"/>
      <c r="AQ3" s="4"/>
      <c r="AR3" s="4"/>
      <c r="AS3" s="4"/>
      <c r="AT3" s="4"/>
      <c r="AU3" s="4"/>
      <c r="AV3" s="4"/>
      <c r="AW3" s="4"/>
      <c r="AX3" s="4"/>
      <c r="AY3" s="4"/>
      <c r="AZ3" s="4"/>
      <c r="BA3" s="4"/>
      <c r="BB3" s="4"/>
      <c r="BC3" s="4"/>
      <c r="BD3" s="4"/>
      <c r="BE3" s="4"/>
      <c r="BJ3" s="6"/>
      <c r="BK3" s="5" t="s">
        <v>225</v>
      </c>
      <c r="BL3" s="5"/>
      <c r="BM3" s="5"/>
      <c r="BN3" s="5"/>
    </row>
    <row r="4" spans="1:70" ht="48">
      <c r="A4" s="7" t="s">
        <v>128</v>
      </c>
      <c r="B4" s="8" t="s">
        <v>120</v>
      </c>
      <c r="C4" s="8" t="s">
        <v>226</v>
      </c>
      <c r="D4" s="8" t="s">
        <v>130</v>
      </c>
      <c r="E4" s="8" t="s">
        <v>46</v>
      </c>
      <c r="F4" s="9" t="s">
        <v>74</v>
      </c>
      <c r="G4" s="9" t="s">
        <v>75</v>
      </c>
      <c r="H4" s="9" t="s">
        <v>76</v>
      </c>
      <c r="I4" s="9" t="s">
        <v>77</v>
      </c>
      <c r="J4" s="9" t="s">
        <v>78</v>
      </c>
      <c r="K4" s="9" t="s">
        <v>79</v>
      </c>
      <c r="L4" s="9" t="s">
        <v>80</v>
      </c>
      <c r="M4" s="97" t="s">
        <v>81</v>
      </c>
      <c r="N4" s="97" t="s">
        <v>82</v>
      </c>
      <c r="O4" s="97" t="s">
        <v>83</v>
      </c>
      <c r="P4" s="97" t="s">
        <v>84</v>
      </c>
      <c r="Q4" s="97" t="s">
        <v>85</v>
      </c>
      <c r="R4" s="97" t="s">
        <v>86</v>
      </c>
      <c r="S4" s="97" t="s">
        <v>87</v>
      </c>
      <c r="T4" s="97" t="s">
        <v>88</v>
      </c>
      <c r="U4" s="9" t="s">
        <v>89</v>
      </c>
      <c r="V4" s="9" t="s">
        <v>90</v>
      </c>
      <c r="W4" s="9" t="s">
        <v>91</v>
      </c>
      <c r="X4" s="9" t="s">
        <v>92</v>
      </c>
      <c r="Y4" s="9" t="s">
        <v>93</v>
      </c>
      <c r="Z4" s="9" t="s">
        <v>94</v>
      </c>
      <c r="AA4" s="9" t="s">
        <v>95</v>
      </c>
      <c r="AB4" s="9" t="s">
        <v>96</v>
      </c>
      <c r="AC4" s="9" t="s">
        <v>97</v>
      </c>
      <c r="AD4" s="9" t="s">
        <v>98</v>
      </c>
      <c r="AE4" s="9" t="s">
        <v>99</v>
      </c>
      <c r="AF4" s="9" t="s">
        <v>227</v>
      </c>
      <c r="AG4" s="9" t="s">
        <v>228</v>
      </c>
      <c r="AH4" s="9" t="s">
        <v>229</v>
      </c>
      <c r="AI4" s="9" t="s">
        <v>230</v>
      </c>
      <c r="AJ4" s="9" t="s">
        <v>231</v>
      </c>
      <c r="AK4" s="9" t="s">
        <v>232</v>
      </c>
      <c r="AL4" s="9" t="s">
        <v>233</v>
      </c>
      <c r="AM4" s="9" t="s">
        <v>234</v>
      </c>
      <c r="AN4" s="9" t="s">
        <v>235</v>
      </c>
      <c r="AO4" s="9" t="s">
        <v>236</v>
      </c>
      <c r="AP4" s="9" t="s">
        <v>237</v>
      </c>
      <c r="AQ4" s="9" t="s">
        <v>238</v>
      </c>
      <c r="AR4" s="9" t="s">
        <v>239</v>
      </c>
      <c r="AS4" s="9" t="s">
        <v>240</v>
      </c>
      <c r="AT4" s="9" t="s">
        <v>241</v>
      </c>
      <c r="AU4" s="9" t="s">
        <v>242</v>
      </c>
      <c r="AV4" s="9" t="s">
        <v>243</v>
      </c>
      <c r="AW4" s="9" t="s">
        <v>244</v>
      </c>
      <c r="AX4" s="9" t="s">
        <v>245</v>
      </c>
      <c r="AY4" s="9" t="s">
        <v>246</v>
      </c>
      <c r="AZ4" s="9" t="s">
        <v>247</v>
      </c>
      <c r="BA4" s="9" t="s">
        <v>248</v>
      </c>
      <c r="BB4" s="9" t="s">
        <v>249</v>
      </c>
      <c r="BC4" s="9" t="s">
        <v>250</v>
      </c>
      <c r="BD4" s="9" t="s">
        <v>251</v>
      </c>
      <c r="BE4" s="9" t="s">
        <v>252</v>
      </c>
      <c r="BF4" s="9" t="s">
        <v>253</v>
      </c>
      <c r="BG4" s="9" t="s">
        <v>254</v>
      </c>
      <c r="BH4" s="9" t="s">
        <v>255</v>
      </c>
      <c r="BI4" s="9" t="s">
        <v>256</v>
      </c>
      <c r="BJ4" s="9" t="s">
        <v>257</v>
      </c>
      <c r="BK4" s="9" t="s">
        <v>258</v>
      </c>
      <c r="BL4" s="9" t="s">
        <v>259</v>
      </c>
      <c r="BM4" s="10" t="s">
        <v>260</v>
      </c>
      <c r="BN4" s="10" t="s">
        <v>261</v>
      </c>
      <c r="BO4" s="87" t="s">
        <v>262</v>
      </c>
      <c r="BP4" s="88" t="s">
        <v>263</v>
      </c>
      <c r="BQ4" s="134" t="s">
        <v>264</v>
      </c>
      <c r="BR4" s="88" t="s">
        <v>265</v>
      </c>
    </row>
    <row r="5" spans="1:70" ht="15">
      <c r="A5" s="240">
        <v>45745</v>
      </c>
      <c r="B5" s="16">
        <f>YEAR(Input_Raw[[#This Row],[Date]])+IF(MONTH(Input_Raw[[#This Row],[Date]])&gt;=4,1,0)</f>
        <v>2025</v>
      </c>
      <c r="C5" s="16">
        <f>YEAR(Input_Raw[[#This Row],[Date]])</f>
        <v>2025</v>
      </c>
      <c r="D5" s="17">
        <f t="shared" ref="D5:D10" si="2">A5-DAY(A5)+1</f>
        <v>45717</v>
      </c>
      <c r="E5" s="16">
        <f>DAY(EOMONTH(Input_Raw[[#This Row],[Date]],0))</f>
        <v>31</v>
      </c>
      <c r="F5" s="147">
        <v>35421</v>
      </c>
      <c r="G5" s="147">
        <v>34841</v>
      </c>
      <c r="H5" s="147">
        <v>35623</v>
      </c>
      <c r="I5" s="147">
        <v>29136</v>
      </c>
      <c r="J5" s="147">
        <v>31321</v>
      </c>
      <c r="K5" s="147">
        <v>28804</v>
      </c>
      <c r="L5" s="147">
        <v>27095</v>
      </c>
      <c r="M5" s="147">
        <v>30989</v>
      </c>
      <c r="N5" s="147">
        <v>35332</v>
      </c>
      <c r="O5" s="147">
        <v>31185</v>
      </c>
      <c r="P5" s="147">
        <v>33050</v>
      </c>
      <c r="Q5" s="147">
        <v>33133</v>
      </c>
      <c r="R5" s="147">
        <v>20694</v>
      </c>
      <c r="S5" s="147">
        <v>19735</v>
      </c>
      <c r="T5" s="147">
        <v>33471</v>
      </c>
      <c r="U5" s="147">
        <v>31121</v>
      </c>
      <c r="V5" s="147">
        <v>21884</v>
      </c>
      <c r="W5" s="147">
        <v>33133</v>
      </c>
      <c r="X5" s="147">
        <v>29914</v>
      </c>
      <c r="Y5" s="147">
        <v>31123</v>
      </c>
      <c r="Z5" s="147">
        <v>29026</v>
      </c>
      <c r="AA5" s="147">
        <v>32797</v>
      </c>
      <c r="AB5" s="147">
        <v>33300</v>
      </c>
      <c r="AC5" s="18">
        <v>28578</v>
      </c>
      <c r="AD5" s="18">
        <v>35313</v>
      </c>
      <c r="AE5" s="18">
        <v>35647</v>
      </c>
      <c r="AF5" s="148">
        <v>7.41</v>
      </c>
      <c r="AG5" s="148">
        <v>7.32</v>
      </c>
      <c r="AH5" s="148">
        <v>7.37</v>
      </c>
      <c r="AI5" s="148">
        <v>6.86</v>
      </c>
      <c r="AJ5" s="148">
        <v>7.25</v>
      </c>
      <c r="AK5" s="148">
        <v>6.86</v>
      </c>
      <c r="AL5" s="148">
        <v>6.69</v>
      </c>
      <c r="AM5" s="148">
        <v>6.86</v>
      </c>
      <c r="AN5" s="148">
        <v>7.44</v>
      </c>
      <c r="AO5" s="148">
        <v>7.33</v>
      </c>
      <c r="AP5" s="148">
        <v>7.15</v>
      </c>
      <c r="AQ5" s="148">
        <v>7.16</v>
      </c>
      <c r="AR5" s="148">
        <v>6.95</v>
      </c>
      <c r="AS5" s="148">
        <v>7</v>
      </c>
      <c r="AT5" s="148">
        <v>7.29</v>
      </c>
      <c r="AU5" s="148">
        <v>7.15</v>
      </c>
      <c r="AV5" s="148">
        <v>7.16</v>
      </c>
      <c r="AW5" s="148">
        <v>7.14</v>
      </c>
      <c r="AX5" s="148">
        <v>6.93</v>
      </c>
      <c r="AY5" s="148">
        <v>7.09</v>
      </c>
      <c r="AZ5" s="148">
        <v>6.97</v>
      </c>
      <c r="BA5" s="148">
        <v>7.35</v>
      </c>
      <c r="BB5" s="148">
        <v>7.25</v>
      </c>
      <c r="BC5" s="90">
        <v>6.95</v>
      </c>
      <c r="BD5" s="90">
        <v>7.37</v>
      </c>
      <c r="BE5" s="90">
        <v>7.34</v>
      </c>
      <c r="BF5" s="149">
        <f>SUM(Input_Raw[[#This Row],[O2_01]:[O2_26]])</f>
        <v>801666</v>
      </c>
      <c r="BG5" s="150">
        <f>IFERROR(AVERAGE(Input_Raw[[#This Row],[WS_O2_01]:[WS_O2_26]]),"")</f>
        <v>7.1400000000000006</v>
      </c>
      <c r="BH5" s="151"/>
      <c r="BI5" s="151"/>
      <c r="BJ5" s="18">
        <v>771750</v>
      </c>
      <c r="BK5" s="18">
        <v>0</v>
      </c>
      <c r="BL5" s="91">
        <f>Input_Raw[[#This Row],[66 kV_Wind_F1_Export_reading]]-Input_Raw[[#This Row],[66 kV_Wind_F1_Import_reading]]</f>
        <v>771750</v>
      </c>
      <c r="BM5" s="152">
        <f>Input_Raw[[#This Row],[WTG Total Gneration (KWh)]]-Input_Raw[[#This Row],[66 kV_Wind_F1_Export_reading]]</f>
        <v>29916</v>
      </c>
      <c r="BN5" s="133">
        <f>(Input_Raw[[#This Row],[WTG Total Gneration (KWh)]]-Input_Raw[[#This Row],[66 kV_Wind_F1_Export_reading]])/Input_Raw[[#This Row],[WTG Total Gneration (KWh)]]</f>
        <v>3.7317286750342411E-2</v>
      </c>
      <c r="BO5" s="89">
        <v>70.2</v>
      </c>
      <c r="BP5" s="96">
        <v>10730.750250000001</v>
      </c>
      <c r="BQ5" s="136">
        <v>843.53353333333143</v>
      </c>
      <c r="BR5" s="207"/>
    </row>
    <row r="6" spans="1:70" ht="15">
      <c r="A6" s="240">
        <f>A5+1</f>
        <v>45746</v>
      </c>
      <c r="B6" s="16">
        <f>YEAR(Input_Raw[[#This Row],[Date]])+IF(MONTH(Input_Raw[[#This Row],[Date]])&gt;=4,1,0)</f>
        <v>2025</v>
      </c>
      <c r="C6" s="16">
        <f>YEAR(Input_Raw[[#This Row],[Date]])</f>
        <v>2025</v>
      </c>
      <c r="D6" s="17">
        <f t="shared" si="2"/>
        <v>45717</v>
      </c>
      <c r="E6" s="16">
        <f>DAY(EOMONTH(Input_Raw[[#This Row],[Date]],0))</f>
        <v>31</v>
      </c>
      <c r="F6" s="147">
        <v>27637</v>
      </c>
      <c r="G6" s="147">
        <v>20373</v>
      </c>
      <c r="H6" s="147">
        <v>26510</v>
      </c>
      <c r="I6" s="147">
        <v>19936</v>
      </c>
      <c r="J6" s="147">
        <v>22120</v>
      </c>
      <c r="K6" s="147">
        <v>15645</v>
      </c>
      <c r="L6" s="147">
        <v>16384</v>
      </c>
      <c r="M6" s="147">
        <v>20002</v>
      </c>
      <c r="N6" s="147">
        <v>27251</v>
      </c>
      <c r="O6" s="147">
        <v>25559</v>
      </c>
      <c r="P6" s="147">
        <v>24523</v>
      </c>
      <c r="Q6" s="147">
        <v>24046</v>
      </c>
      <c r="R6" s="147">
        <v>12208</v>
      </c>
      <c r="S6" s="147">
        <v>21400</v>
      </c>
      <c r="T6" s="147">
        <v>24316</v>
      </c>
      <c r="U6" s="147">
        <v>18394</v>
      </c>
      <c r="V6" s="147">
        <v>15794</v>
      </c>
      <c r="W6" s="147">
        <v>22717</v>
      </c>
      <c r="X6" s="147">
        <v>15830</v>
      </c>
      <c r="Y6" s="147">
        <v>20448</v>
      </c>
      <c r="Z6" s="147">
        <v>14824</v>
      </c>
      <c r="AA6" s="147">
        <v>17472</v>
      </c>
      <c r="AB6" s="147">
        <v>25808</v>
      </c>
      <c r="AC6" s="18">
        <v>23294</v>
      </c>
      <c r="AD6" s="18">
        <v>24269</v>
      </c>
      <c r="AE6" s="18">
        <v>25351</v>
      </c>
      <c r="AF6" s="148">
        <v>6.6009722145067276</v>
      </c>
      <c r="AG6" s="148">
        <v>5.7502777932418709</v>
      </c>
      <c r="AH6" s="148">
        <v>6.2931250085433303</v>
      </c>
      <c r="AI6" s="148">
        <v>5.8126389003462249</v>
      </c>
      <c r="AJ6" s="148">
        <v>6.0320833060476495</v>
      </c>
      <c r="AK6" s="148">
        <v>5.3652083360486555</v>
      </c>
      <c r="AL6" s="148">
        <v>5.4792361222207537</v>
      </c>
      <c r="AM6" s="148">
        <v>5.5715972218248542</v>
      </c>
      <c r="AN6" s="148">
        <v>6.4743055568800933</v>
      </c>
      <c r="AO6" s="148">
        <v>6.3618055639995426</v>
      </c>
      <c r="AP6" s="148">
        <v>6.1913194499082014</v>
      </c>
      <c r="AQ6" s="148">
        <v>6.20736111866103</v>
      </c>
      <c r="AR6" s="148">
        <v>5.5847222076521961</v>
      </c>
      <c r="AS6" s="148">
        <v>6.0429166903098412</v>
      </c>
      <c r="AT6" s="148">
        <v>6.2760416931576177</v>
      </c>
      <c r="AU6" s="148">
        <v>5.7388194352388373</v>
      </c>
      <c r="AV6" s="148">
        <v>5.3019444495439521</v>
      </c>
      <c r="AW6" s="148">
        <v>5.9562499887413436</v>
      </c>
      <c r="AX6" s="148">
        <v>5.3214583065774708</v>
      </c>
      <c r="AY6" s="148">
        <v>5.9622916579246512</v>
      </c>
      <c r="AZ6" s="148">
        <v>5.3554166720973111</v>
      </c>
      <c r="BA6" s="148">
        <v>5.6883333184652853</v>
      </c>
      <c r="BB6" s="148">
        <v>6.3963889016045412</v>
      </c>
      <c r="BC6" s="90">
        <v>6.2214583357175179</v>
      </c>
      <c r="BD6" s="90">
        <v>6.2854166544145968</v>
      </c>
      <c r="BE6" s="90">
        <v>6.2647222330172809</v>
      </c>
      <c r="BF6" s="149">
        <f>SUM(Input_Raw[[#This Row],[O2_01]:[O2_26]])</f>
        <v>552111</v>
      </c>
      <c r="BG6" s="150">
        <f>IFERROR(AVERAGE(Input_Raw[[#This Row],[WS_O2_01]:[WS_O2_26]]),"")</f>
        <v>5.9436965821804399</v>
      </c>
      <c r="BH6" s="151"/>
      <c r="BI6" s="151"/>
      <c r="BJ6" s="18">
        <v>535500</v>
      </c>
      <c r="BK6" s="18">
        <v>0</v>
      </c>
      <c r="BL6" s="91">
        <f>Input_Raw[[#This Row],[66 kV_Wind_F1_Export_reading]]-Input_Raw[[#This Row],[66 kV_Wind_F1_Import_reading]]</f>
        <v>535500</v>
      </c>
      <c r="BM6" s="152">
        <f>Input_Raw[[#This Row],[WTG Total Gneration (KWh)]]-Input_Raw[[#This Row],[66 kV_Wind_F1_Export_reading]]</f>
        <v>16611</v>
      </c>
      <c r="BN6" s="133">
        <f>(Input_Raw[[#This Row],[WTG Total Gneration (KWh)]]-Input_Raw[[#This Row],[66 kV_Wind_F1_Export_reading]])/Input_Raw[[#This Row],[WTG Total Gneration (KWh)]]</f>
        <v>3.0086341333536191E-2</v>
      </c>
      <c r="BO6" s="89">
        <v>70.2</v>
      </c>
      <c r="BP6" s="96">
        <v>10615.750000000002</v>
      </c>
      <c r="BQ6" s="136">
        <v>562.59158333333312</v>
      </c>
      <c r="BR6" s="207"/>
    </row>
    <row r="7" spans="1:70" ht="15">
      <c r="A7" s="240">
        <f t="shared" ref="A7:A70" si="3">A6+1</f>
        <v>45747</v>
      </c>
      <c r="B7" s="16">
        <f>YEAR(Input_Raw[[#This Row],[Date]])+IF(MONTH(Input_Raw[[#This Row],[Date]])&gt;=4,1,0)</f>
        <v>2025</v>
      </c>
      <c r="C7" s="16">
        <f>YEAR(Input_Raw[[#This Row],[Date]])</f>
        <v>2025</v>
      </c>
      <c r="D7" s="17">
        <f t="shared" si="2"/>
        <v>45717</v>
      </c>
      <c r="E7" s="16">
        <f>DAY(EOMONTH(Input_Raw[[#This Row],[Date]],0))</f>
        <v>31</v>
      </c>
      <c r="F7" s="147">
        <v>30792</v>
      </c>
      <c r="G7" s="147">
        <v>23793</v>
      </c>
      <c r="H7" s="147">
        <v>27249</v>
      </c>
      <c r="I7" s="147">
        <v>21898</v>
      </c>
      <c r="J7" s="147">
        <v>29803</v>
      </c>
      <c r="K7" s="147">
        <v>22412</v>
      </c>
      <c r="L7" s="147">
        <v>21150</v>
      </c>
      <c r="M7" s="147">
        <v>28036</v>
      </c>
      <c r="N7" s="147">
        <v>28127</v>
      </c>
      <c r="O7" s="147">
        <v>27563</v>
      </c>
      <c r="P7" s="147">
        <v>26632</v>
      </c>
      <c r="Q7" s="147">
        <v>27244</v>
      </c>
      <c r="R7" s="147">
        <v>16465</v>
      </c>
      <c r="S7" s="147">
        <v>23397</v>
      </c>
      <c r="T7" s="147">
        <v>27726</v>
      </c>
      <c r="U7" s="147">
        <v>24373</v>
      </c>
      <c r="V7" s="147">
        <v>27055</v>
      </c>
      <c r="W7" s="147">
        <v>25496</v>
      </c>
      <c r="X7" s="147">
        <v>21578</v>
      </c>
      <c r="Y7" s="147">
        <v>25148</v>
      </c>
      <c r="Z7" s="147">
        <v>21585</v>
      </c>
      <c r="AA7" s="147">
        <v>26561</v>
      </c>
      <c r="AB7" s="147">
        <v>26851</v>
      </c>
      <c r="AC7" s="18">
        <v>26200</v>
      </c>
      <c r="AD7" s="18">
        <v>31615</v>
      </c>
      <c r="AE7" s="18">
        <v>28973</v>
      </c>
      <c r="AF7" s="148">
        <v>6.9634722322225553</v>
      </c>
      <c r="AG7" s="148">
        <v>6.1958333419428913</v>
      </c>
      <c r="AH7" s="148">
        <v>6.6372916665342112</v>
      </c>
      <c r="AI7" s="148">
        <v>6.4454166773292743</v>
      </c>
      <c r="AJ7" s="148">
        <v>6.9128472407658883</v>
      </c>
      <c r="AK7" s="148">
        <v>6.25819446477625</v>
      </c>
      <c r="AL7" s="148">
        <v>6.1591666787862769</v>
      </c>
      <c r="AM7" s="148">
        <v>6.5843055413828946</v>
      </c>
      <c r="AN7" s="148">
        <v>6.745624992582532</v>
      </c>
      <c r="AO7" s="148">
        <v>6.7134028027455006</v>
      </c>
      <c r="AP7" s="148">
        <v>6.578125031458006</v>
      </c>
      <c r="AQ7" s="148">
        <v>6.5429861164755287</v>
      </c>
      <c r="AR7" s="148">
        <v>5.6846527606248856</v>
      </c>
      <c r="AS7" s="148">
        <v>6.3172222276528665</v>
      </c>
      <c r="AT7" s="148">
        <v>6.7261110908455315</v>
      </c>
      <c r="AU7" s="148">
        <v>6.4801388863060208</v>
      </c>
      <c r="AV7" s="148">
        <v>6.5284722331497393</v>
      </c>
      <c r="AW7" s="148">
        <v>6.3688888798157368</v>
      </c>
      <c r="AX7" s="148">
        <v>6.120277787248293</v>
      </c>
      <c r="AY7" s="148">
        <v>6.5565972228844949</v>
      </c>
      <c r="AZ7" s="148">
        <v>6.2088194373581134</v>
      </c>
      <c r="BA7" s="148">
        <v>6.6995833284325066</v>
      </c>
      <c r="BB7" s="148">
        <v>6.6097222318251916</v>
      </c>
      <c r="BC7" s="90">
        <v>6.5710416634877511</v>
      </c>
      <c r="BD7" s="90">
        <v>7.0081944101386595</v>
      </c>
      <c r="BE7" s="90">
        <v>6.7216666572623778</v>
      </c>
      <c r="BF7" s="149">
        <f>SUM(Input_Raw[[#This Row],[O2_01]:[O2_26]])</f>
        <v>667722</v>
      </c>
      <c r="BG7" s="150">
        <f>IFERROR(AVERAGE(Input_Raw[[#This Row],[WS_O2_01]:[WS_O2_26]]),"")</f>
        <v>6.5130021386166925</v>
      </c>
      <c r="BH7" s="151"/>
      <c r="BI7" s="151"/>
      <c r="BJ7" s="18">
        <v>646650</v>
      </c>
      <c r="BK7" s="18">
        <v>0</v>
      </c>
      <c r="BL7" s="91">
        <f>Input_Raw[[#This Row],[66 kV_Wind_F1_Export_reading]]-Input_Raw[[#This Row],[66 kV_Wind_F1_Import_reading]]</f>
        <v>646650</v>
      </c>
      <c r="BM7" s="152">
        <f>Input_Raw[[#This Row],[WTG Total Gneration (KWh)]]-Input_Raw[[#This Row],[66 kV_Wind_F1_Export_reading]]</f>
        <v>21072</v>
      </c>
      <c r="BN7" s="133">
        <f>(Input_Raw[[#This Row],[WTG Total Gneration (KWh)]]-Input_Raw[[#This Row],[66 kV_Wind_F1_Export_reading]])/Input_Raw[[#This Row],[WTG Total Gneration (KWh)]]</f>
        <v>3.1558043616954363E-2</v>
      </c>
      <c r="BO7" s="89">
        <v>70.2</v>
      </c>
      <c r="BP7" s="96">
        <v>6658.3755000000001</v>
      </c>
      <c r="BQ7" s="136">
        <v>675.40492499999823</v>
      </c>
      <c r="BR7" s="207"/>
    </row>
    <row r="8" spans="1:70" ht="15">
      <c r="A8" s="240">
        <f t="shared" si="3"/>
        <v>45748</v>
      </c>
      <c r="B8" s="11">
        <f>YEAR(Input_Raw[[#This Row],[Date]])+IF(MONTH(Input_Raw[[#This Row],[Date]])&gt;=4,1,0)</f>
        <v>2026</v>
      </c>
      <c r="C8" s="11">
        <f>YEAR(Input_Raw[[#This Row],[Date]])</f>
        <v>2025</v>
      </c>
      <c r="D8" s="12">
        <f t="shared" si="2"/>
        <v>45748</v>
      </c>
      <c r="E8" s="11">
        <f>DAY(EOMONTH(Input_Raw[[#This Row],[Date]],0))</f>
        <v>30</v>
      </c>
      <c r="F8" s="137">
        <v>24859</v>
      </c>
      <c r="G8" s="137">
        <v>17522</v>
      </c>
      <c r="H8" s="137">
        <v>22210</v>
      </c>
      <c r="I8" s="137">
        <v>18174</v>
      </c>
      <c r="J8" s="137">
        <v>24626</v>
      </c>
      <c r="K8" s="137">
        <v>19200</v>
      </c>
      <c r="L8" s="137">
        <v>16286</v>
      </c>
      <c r="M8" s="137">
        <v>23133</v>
      </c>
      <c r="N8" s="137">
        <v>22108</v>
      </c>
      <c r="O8" s="137">
        <v>18242</v>
      </c>
      <c r="P8" s="137">
        <v>21579</v>
      </c>
      <c r="Q8" s="137">
        <v>21528</v>
      </c>
      <c r="R8" s="137">
        <v>16565</v>
      </c>
      <c r="S8" s="137">
        <v>18906</v>
      </c>
      <c r="T8" s="137">
        <v>23343</v>
      </c>
      <c r="U8" s="137">
        <v>20048</v>
      </c>
      <c r="V8" s="137">
        <v>25148</v>
      </c>
      <c r="W8" s="137">
        <v>21049</v>
      </c>
      <c r="X8" s="137">
        <v>16398</v>
      </c>
      <c r="Y8" s="137">
        <v>20464</v>
      </c>
      <c r="Z8" s="137">
        <v>19206</v>
      </c>
      <c r="AA8" s="137">
        <v>22090</v>
      </c>
      <c r="AB8" s="137">
        <v>22657</v>
      </c>
      <c r="AC8" s="13">
        <v>20113</v>
      </c>
      <c r="AD8" s="13">
        <v>25900</v>
      </c>
      <c r="AE8" s="13">
        <v>22764</v>
      </c>
      <c r="AF8" s="138">
        <v>6.4824999918540307</v>
      </c>
      <c r="AG8" s="138">
        <v>5.6122222128841601</v>
      </c>
      <c r="AH8" s="138">
        <v>6.1156249857611122</v>
      </c>
      <c r="AI8" s="138">
        <v>5.7691666616333848</v>
      </c>
      <c r="AJ8" s="138">
        <v>6.36208332909478</v>
      </c>
      <c r="AK8" s="138">
        <v>5.8643749923341799</v>
      </c>
      <c r="AL8" s="138">
        <v>5.5517360957132444</v>
      </c>
      <c r="AM8" s="138">
        <v>6.1420833385652962</v>
      </c>
      <c r="AN8" s="138">
        <v>6.300416669911808</v>
      </c>
      <c r="AO8" s="138">
        <v>6.3971527831421948</v>
      </c>
      <c r="AP8" s="138">
        <v>6.1520833406183444</v>
      </c>
      <c r="AQ8" s="138">
        <v>6.038888891537983</v>
      </c>
      <c r="AR8" s="138">
        <v>5.5854860759443703</v>
      </c>
      <c r="AS8" s="138">
        <v>5.8668750143713417</v>
      </c>
      <c r="AT8" s="138">
        <v>6.2559027862217684</v>
      </c>
      <c r="AU8" s="138">
        <v>5.8794444431033392</v>
      </c>
      <c r="AV8" s="138">
        <v>6.1134722042414866</v>
      </c>
      <c r="AW8" s="138">
        <v>5.7825694195926189</v>
      </c>
      <c r="AX8" s="138">
        <v>5.474444444808694</v>
      </c>
      <c r="AY8" s="138">
        <v>6.0081249939070798</v>
      </c>
      <c r="AZ8" s="138">
        <v>5.9768055180708561</v>
      </c>
      <c r="BA8" s="138">
        <v>6.1609722214440499</v>
      </c>
      <c r="BB8" s="138">
        <v>6.2340277814202834</v>
      </c>
      <c r="BC8" s="14">
        <v>5.9270833391282283</v>
      </c>
      <c r="BD8" s="14">
        <v>6.468055546283721</v>
      </c>
      <c r="BE8" s="14">
        <v>6.1780555529726868</v>
      </c>
      <c r="BF8" s="139">
        <f>SUM(Input_Raw[[#This Row],[O2_01]:[O2_26]])</f>
        <v>544118</v>
      </c>
      <c r="BG8" s="140">
        <f>IFERROR(AVERAGE(Input_Raw[[#This Row],[WS_O2_01]:[WS_O2_26]]),"")</f>
        <v>6.0269097167138863</v>
      </c>
      <c r="BH8" s="141"/>
      <c r="BI8" s="141"/>
      <c r="BJ8" s="13">
        <v>525600</v>
      </c>
      <c r="BK8" s="13">
        <v>0</v>
      </c>
      <c r="BL8" s="15">
        <f>Input_Raw[[#This Row],[66 kV_Wind_F1_Export_reading]]-Input_Raw[[#This Row],[66 kV_Wind_F1_Import_reading]]</f>
        <v>525600</v>
      </c>
      <c r="BM8" s="142">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35">
        <v>664.42114166666602</v>
      </c>
      <c r="BR8" s="207"/>
    </row>
    <row r="9" spans="1:70" ht="15">
      <c r="A9" s="240">
        <f t="shared" si="3"/>
        <v>45749</v>
      </c>
      <c r="B9" s="11">
        <f>YEAR(Input_Raw[[#This Row],[Date]])+IF(MONTH(Input_Raw[[#This Row],[Date]])&gt;=4,1,0)</f>
        <v>2026</v>
      </c>
      <c r="C9" s="11">
        <f>YEAR(Input_Raw[[#This Row],[Date]])</f>
        <v>2025</v>
      </c>
      <c r="D9" s="12">
        <f t="shared" si="2"/>
        <v>45748</v>
      </c>
      <c r="E9" s="11">
        <f>DAY(EOMONTH(Input_Raw[[#This Row],[Date]],0))</f>
        <v>30</v>
      </c>
      <c r="F9" s="137">
        <v>15390</v>
      </c>
      <c r="G9" s="137">
        <v>9289</v>
      </c>
      <c r="H9" s="137">
        <v>11294</v>
      </c>
      <c r="I9" s="137">
        <v>9155</v>
      </c>
      <c r="J9" s="137">
        <v>12752</v>
      </c>
      <c r="K9" s="137">
        <v>10737</v>
      </c>
      <c r="L9" s="137">
        <v>7398</v>
      </c>
      <c r="M9" s="137">
        <v>13309</v>
      </c>
      <c r="N9" s="137">
        <v>13339</v>
      </c>
      <c r="O9" s="137">
        <v>9359</v>
      </c>
      <c r="P9" s="137">
        <v>12012</v>
      </c>
      <c r="Q9" s="137">
        <v>11497</v>
      </c>
      <c r="R9" s="137">
        <v>9164</v>
      </c>
      <c r="S9" s="137">
        <v>11079</v>
      </c>
      <c r="T9" s="137">
        <v>13298</v>
      </c>
      <c r="U9" s="137">
        <v>8978</v>
      </c>
      <c r="V9" s="137">
        <v>9302</v>
      </c>
      <c r="W9" s="137">
        <v>10617</v>
      </c>
      <c r="X9" s="137">
        <v>6666</v>
      </c>
      <c r="Y9" s="137">
        <v>10349</v>
      </c>
      <c r="Z9" s="137">
        <v>9694</v>
      </c>
      <c r="AA9" s="137">
        <v>9405</v>
      </c>
      <c r="AB9" s="137">
        <v>14168</v>
      </c>
      <c r="AC9" s="13">
        <v>10062</v>
      </c>
      <c r="AD9" s="13">
        <v>14691</v>
      </c>
      <c r="AE9" s="13">
        <v>12678</v>
      </c>
      <c r="AF9" s="138">
        <v>4.9065277634395486</v>
      </c>
      <c r="AG9" s="138">
        <v>4.2376388957103082</v>
      </c>
      <c r="AH9" s="138">
        <v>4.4292361131972733</v>
      </c>
      <c r="AI9" s="138">
        <v>4.1886111166742106</v>
      </c>
      <c r="AJ9" s="138">
        <v>4.6670138864881459</v>
      </c>
      <c r="AK9" s="138">
        <v>4.4214583399395142</v>
      </c>
      <c r="AL9" s="138">
        <v>4.0839583368764965</v>
      </c>
      <c r="AM9" s="138">
        <v>4.5752083203858795</v>
      </c>
      <c r="AN9" s="138">
        <v>4.6523611388272705</v>
      </c>
      <c r="AO9" s="138">
        <v>4.4830769138944726</v>
      </c>
      <c r="AP9" s="138">
        <v>4.5495139021012507</v>
      </c>
      <c r="AQ9" s="138">
        <v>4.4724305553568726</v>
      </c>
      <c r="AR9" s="138">
        <v>4.2004166597293473</v>
      </c>
      <c r="AS9" s="138">
        <v>4.4584722295403472</v>
      </c>
      <c r="AT9" s="138">
        <v>4.6362499999296327</v>
      </c>
      <c r="AU9" s="138">
        <v>4.3228472098708144</v>
      </c>
      <c r="AV9" s="138">
        <v>4.191319464395443</v>
      </c>
      <c r="AW9" s="138">
        <v>4.3113194536417714</v>
      </c>
      <c r="AX9" s="138">
        <v>3.8906944410668469</v>
      </c>
      <c r="AY9" s="138">
        <v>4.413680548469225</v>
      </c>
      <c r="AZ9" s="138">
        <v>4.3231249919368153</v>
      </c>
      <c r="BA9" s="138">
        <v>4.4097916773623886</v>
      </c>
      <c r="BB9" s="138">
        <v>4.6671527744167376</v>
      </c>
      <c r="BC9" s="14">
        <v>4.3510416576431847</v>
      </c>
      <c r="BD9" s="14">
        <v>4.9296527579426757</v>
      </c>
      <c r="BE9" s="14">
        <v>4.6202083292106781</v>
      </c>
      <c r="BF9" s="139">
        <f>SUM(Input_Raw[[#This Row],[O2_01]:[O2_26]])</f>
        <v>285682</v>
      </c>
      <c r="BG9" s="140">
        <f>IFERROR(AVERAGE(Input_Raw[[#This Row],[WS_O2_01]:[WS_O2_26]]),"")</f>
        <v>4.4381925953095074</v>
      </c>
      <c r="BH9" s="141"/>
      <c r="BI9" s="141"/>
      <c r="BJ9" s="13">
        <v>275850</v>
      </c>
      <c r="BK9" s="13">
        <v>0</v>
      </c>
      <c r="BL9" s="15">
        <f>Input_Raw[[#This Row],[66 kV_Wind_F1_Export_reading]]-Input_Raw[[#This Row],[66 kV_Wind_F1_Import_reading]]</f>
        <v>275850</v>
      </c>
      <c r="BM9" s="142">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35">
        <v>294.64035833333321</v>
      </c>
      <c r="BR9" s="207"/>
    </row>
    <row r="10" spans="1:70" ht="15">
      <c r="A10" s="240">
        <f t="shared" si="3"/>
        <v>45750</v>
      </c>
      <c r="B10" s="11">
        <f>YEAR(Input_Raw[[#This Row],[Date]])+IF(MONTH(Input_Raw[[#This Row],[Date]])&gt;=4,1,0)</f>
        <v>2026</v>
      </c>
      <c r="C10" s="11">
        <f>YEAR(Input_Raw[[#This Row],[Date]])</f>
        <v>2025</v>
      </c>
      <c r="D10" s="12">
        <f t="shared" si="2"/>
        <v>45748</v>
      </c>
      <c r="E10" s="11">
        <f>DAY(EOMONTH(Input_Raw[[#This Row],[Date]],0))</f>
        <v>30</v>
      </c>
      <c r="F10" s="137">
        <v>13383</v>
      </c>
      <c r="G10" s="137">
        <v>13133</v>
      </c>
      <c r="H10" s="137">
        <v>15729</v>
      </c>
      <c r="I10" s="137">
        <v>11906</v>
      </c>
      <c r="J10" s="137">
        <v>13760</v>
      </c>
      <c r="K10" s="137">
        <v>12347</v>
      </c>
      <c r="L10" s="137">
        <v>9696</v>
      </c>
      <c r="M10" s="137">
        <v>13829</v>
      </c>
      <c r="N10" s="137">
        <v>15125</v>
      </c>
      <c r="O10" s="137">
        <v>15768</v>
      </c>
      <c r="P10" s="137">
        <v>15119</v>
      </c>
      <c r="Q10" s="137">
        <v>14465</v>
      </c>
      <c r="R10" s="137">
        <v>12202</v>
      </c>
      <c r="S10" s="137">
        <v>13740</v>
      </c>
      <c r="T10" s="137">
        <v>16142</v>
      </c>
      <c r="U10" s="137">
        <v>12680</v>
      </c>
      <c r="V10" s="137">
        <v>14651</v>
      </c>
      <c r="W10" s="137">
        <v>15873</v>
      </c>
      <c r="X10" s="137">
        <v>10731</v>
      </c>
      <c r="Y10" s="137">
        <v>14473</v>
      </c>
      <c r="Z10" s="137">
        <v>11665</v>
      </c>
      <c r="AA10" s="137">
        <v>13581</v>
      </c>
      <c r="AB10" s="137">
        <v>15118</v>
      </c>
      <c r="AC10" s="13">
        <v>13382</v>
      </c>
      <c r="AD10" s="13">
        <v>15074</v>
      </c>
      <c r="AE10" s="13">
        <v>13667</v>
      </c>
      <c r="AF10" s="138">
        <v>5.0588194446431256</v>
      </c>
      <c r="AG10" s="138">
        <v>4.7379861093229714</v>
      </c>
      <c r="AH10" s="138">
        <v>4.9966666715012646</v>
      </c>
      <c r="AI10" s="138">
        <v>4.5331944367951813</v>
      </c>
      <c r="AJ10" s="138">
        <v>4.8686805665493003</v>
      </c>
      <c r="AK10" s="138">
        <v>4.7206944450736037</v>
      </c>
      <c r="AL10" s="138">
        <v>4.251874994072649</v>
      </c>
      <c r="AM10" s="138">
        <v>4.790833338267273</v>
      </c>
      <c r="AN10" s="138">
        <v>4.9429166677097474</v>
      </c>
      <c r="AO10" s="138">
        <v>5.1478873454559011</v>
      </c>
      <c r="AP10" s="138">
        <v>4.9330555614497928</v>
      </c>
      <c r="AQ10" s="138">
        <v>4.9057638810740567</v>
      </c>
      <c r="AR10" s="138">
        <v>4.6674305697282144</v>
      </c>
      <c r="AS10" s="138">
        <v>4.8718055532210398</v>
      </c>
      <c r="AT10" s="138">
        <v>5.1028472094072228</v>
      </c>
      <c r="AU10" s="138">
        <v>5.1621428567265708</v>
      </c>
      <c r="AV10" s="138">
        <v>4.8495138883590689</v>
      </c>
      <c r="AW10" s="138">
        <v>4.9915972182320214</v>
      </c>
      <c r="AX10" s="138">
        <v>4.2990972234143143</v>
      </c>
      <c r="AY10" s="138">
        <v>4.9842360905475083</v>
      </c>
      <c r="AZ10" s="138">
        <v>4.6977777861886549</v>
      </c>
      <c r="BA10" s="138">
        <v>4.9977777960399781</v>
      </c>
      <c r="BB10" s="138">
        <v>4.8995139040052882</v>
      </c>
      <c r="BC10" s="14">
        <v>4.8812499857611122</v>
      </c>
      <c r="BD10" s="14">
        <v>5.009861112468772</v>
      </c>
      <c r="BE10" s="14">
        <v>4.7497222315933962</v>
      </c>
      <c r="BF10" s="139">
        <f>SUM(Input_Raw[[#This Row],[O2_01]:[O2_26]])</f>
        <v>357239</v>
      </c>
      <c r="BG10" s="140">
        <f>IFERROR(AVERAGE(Input_Raw[[#This Row],[WS_O2_01]:[WS_O2_26]]),"")</f>
        <v>4.848190264908002</v>
      </c>
      <c r="BH10" s="141"/>
      <c r="BI10" s="141"/>
      <c r="BJ10" s="13">
        <v>346050</v>
      </c>
      <c r="BK10" s="13">
        <v>450</v>
      </c>
      <c r="BL10" s="15">
        <f>Input_Raw[[#This Row],[66 kV_Wind_F1_Export_reading]]-Input_Raw[[#This Row],[66 kV_Wind_F1_Import_reading]]</f>
        <v>345600</v>
      </c>
      <c r="BM10" s="142">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35">
        <v>371.21</v>
      </c>
      <c r="BR10" s="207"/>
    </row>
    <row r="11" spans="1:70" ht="15">
      <c r="A11" s="240">
        <f t="shared" si="3"/>
        <v>45751</v>
      </c>
      <c r="B11" s="11">
        <f>YEAR(Input_Raw[[#This Row],[Date]])+IF(MONTH(Input_Raw[[#This Row],[Date]])&gt;=4,1,0)</f>
        <v>2026</v>
      </c>
      <c r="C11" s="11">
        <f>YEAR(Input_Raw[[#This Row],[Date]])</f>
        <v>2025</v>
      </c>
      <c r="D11" s="12">
        <f t="shared" ref="D11:D16" si="4">A11-DAY(A11)+1</f>
        <v>45748</v>
      </c>
      <c r="E11" s="11">
        <f>DAY(EOMONTH(Input_Raw[[#This Row],[Date]],0))</f>
        <v>30</v>
      </c>
      <c r="F11" s="137">
        <v>9606</v>
      </c>
      <c r="G11" s="137">
        <v>13454</v>
      </c>
      <c r="H11" s="137">
        <v>10576</v>
      </c>
      <c r="I11" s="137">
        <v>13874</v>
      </c>
      <c r="J11" s="137">
        <v>12870</v>
      </c>
      <c r="K11" s="137">
        <v>10850</v>
      </c>
      <c r="L11" s="137">
        <v>10070</v>
      </c>
      <c r="M11" s="137">
        <v>5950</v>
      </c>
      <c r="N11" s="137">
        <v>9655</v>
      </c>
      <c r="O11" s="137">
        <v>9291</v>
      </c>
      <c r="P11" s="137">
        <v>10519</v>
      </c>
      <c r="Q11" s="137">
        <v>9596</v>
      </c>
      <c r="R11" s="137">
        <v>9913</v>
      </c>
      <c r="S11" s="137">
        <v>9746</v>
      </c>
      <c r="T11" s="137">
        <v>11533</v>
      </c>
      <c r="U11" s="137">
        <v>10880</v>
      </c>
      <c r="V11" s="137">
        <v>10328</v>
      </c>
      <c r="W11" s="137">
        <v>9755</v>
      </c>
      <c r="X11" s="137">
        <v>9910</v>
      </c>
      <c r="Y11" s="137">
        <v>10901</v>
      </c>
      <c r="Z11" s="137">
        <v>10715</v>
      </c>
      <c r="AA11" s="137">
        <v>11247</v>
      </c>
      <c r="AB11" s="137">
        <v>9751</v>
      </c>
      <c r="AC11" s="13">
        <v>9056</v>
      </c>
      <c r="AD11" s="13">
        <v>12074</v>
      </c>
      <c r="AE11" s="13">
        <v>7143</v>
      </c>
      <c r="AF11" s="138">
        <v>4.1074825249143405</v>
      </c>
      <c r="AG11" s="138">
        <v>4.4045833589302159</v>
      </c>
      <c r="AH11" s="138">
        <v>4.1697222271727181</v>
      </c>
      <c r="AI11" s="138">
        <v>4.5421527847647658</v>
      </c>
      <c r="AJ11" s="138">
        <v>4.4670833581023741</v>
      </c>
      <c r="AK11" s="138">
        <v>4.5188194422258272</v>
      </c>
      <c r="AL11" s="138">
        <v>4.2655555564496241</v>
      </c>
      <c r="AM11" s="138">
        <v>3.5977777846985384</v>
      </c>
      <c r="AN11" s="138">
        <v>4.0915277571313906</v>
      </c>
      <c r="AO11" s="138">
        <v>4.200208325352933</v>
      </c>
      <c r="AP11" s="138">
        <v>4.2414583493438025</v>
      </c>
      <c r="AQ11" s="138">
        <v>4.2454166635870925</v>
      </c>
      <c r="AR11" s="138">
        <v>4.2494444573918972</v>
      </c>
      <c r="AS11" s="138">
        <v>4.1895833392110129</v>
      </c>
      <c r="AT11" s="138">
        <v>4.4555555598603345</v>
      </c>
      <c r="AU11" s="138">
        <v>4.5643750023510714</v>
      </c>
      <c r="AV11" s="138">
        <v>4.4336111144059229</v>
      </c>
      <c r="AW11" s="138">
        <v>4.2047222082813569</v>
      </c>
      <c r="AX11" s="138">
        <v>4.284791673223177</v>
      </c>
      <c r="AY11" s="138">
        <v>4.4191666882899066</v>
      </c>
      <c r="AZ11" s="138">
        <v>4.551250017351574</v>
      </c>
      <c r="BA11" s="138">
        <v>4.6810416939357919</v>
      </c>
      <c r="BB11" s="138">
        <v>4.1091666664514266</v>
      </c>
      <c r="BC11" s="14">
        <v>4.5283333493603593</v>
      </c>
      <c r="BD11" s="14">
        <v>4.2424305408365193</v>
      </c>
      <c r="BE11" s="14">
        <v>3.6447222232818595</v>
      </c>
      <c r="BF11" s="139">
        <f>SUM(Input_Raw[[#This Row],[O2_01]:[O2_26]])</f>
        <v>269263</v>
      </c>
      <c r="BG11" s="140">
        <f>IFERROR(AVERAGE(Input_Raw[[#This Row],[WS_O2_01]:[WS_O2_26]]),"")</f>
        <v>4.2849993333425322</v>
      </c>
      <c r="BH11" s="141"/>
      <c r="BI11" s="141"/>
      <c r="BJ11" s="13">
        <v>257400</v>
      </c>
      <c r="BK11" s="13">
        <v>450</v>
      </c>
      <c r="BL11" s="15">
        <f>Input_Raw[[#This Row],[66 kV_Wind_F1_Export_reading]]-Input_Raw[[#This Row],[66 kV_Wind_F1_Import_reading]]</f>
        <v>256950</v>
      </c>
      <c r="BM11" s="142">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35">
        <v>281.07</v>
      </c>
      <c r="BR11" s="207"/>
    </row>
    <row r="12" spans="1:70" ht="15">
      <c r="A12" s="240">
        <f t="shared" si="3"/>
        <v>45752</v>
      </c>
      <c r="B12" s="11">
        <f>YEAR(Input_Raw[[#This Row],[Date]])+IF(MONTH(Input_Raw[[#This Row],[Date]])&gt;=4,1,0)</f>
        <v>2026</v>
      </c>
      <c r="C12" s="11">
        <f>YEAR(Input_Raw[[#This Row],[Date]])</f>
        <v>2025</v>
      </c>
      <c r="D12" s="12">
        <f t="shared" si="4"/>
        <v>45748</v>
      </c>
      <c r="E12" s="11">
        <f>DAY(EOMONTH(Input_Raw[[#This Row],[Date]],0))</f>
        <v>30</v>
      </c>
      <c r="F12" s="137">
        <v>10770</v>
      </c>
      <c r="G12" s="137">
        <v>12690</v>
      </c>
      <c r="H12" s="137">
        <v>8782</v>
      </c>
      <c r="I12" s="137">
        <v>9733</v>
      </c>
      <c r="J12" s="137">
        <v>12146</v>
      </c>
      <c r="K12" s="137">
        <v>6432</v>
      </c>
      <c r="L12" s="137">
        <v>7205</v>
      </c>
      <c r="M12" s="137">
        <v>8811</v>
      </c>
      <c r="N12" s="137">
        <v>10832</v>
      </c>
      <c r="O12" s="137">
        <v>8037</v>
      </c>
      <c r="P12" s="137">
        <v>9830</v>
      </c>
      <c r="Q12" s="137">
        <v>9113</v>
      </c>
      <c r="R12" s="137">
        <v>7542</v>
      </c>
      <c r="S12" s="137">
        <v>7556</v>
      </c>
      <c r="T12" s="137">
        <v>8812</v>
      </c>
      <c r="U12" s="137">
        <v>7842</v>
      </c>
      <c r="V12" s="137">
        <v>7381</v>
      </c>
      <c r="W12" s="137">
        <v>8147</v>
      </c>
      <c r="X12" s="137">
        <v>5738</v>
      </c>
      <c r="Y12" s="137">
        <v>7721</v>
      </c>
      <c r="Z12" s="137">
        <v>6752</v>
      </c>
      <c r="AA12" s="137">
        <v>7069</v>
      </c>
      <c r="AB12" s="137">
        <v>10055</v>
      </c>
      <c r="AC12" s="13">
        <v>3479</v>
      </c>
      <c r="AD12" s="13">
        <v>12113</v>
      </c>
      <c r="AE12" s="13">
        <v>8683</v>
      </c>
      <c r="AF12" s="138">
        <v>4.526267593175592</v>
      </c>
      <c r="AG12" s="138">
        <v>4.7994366019544454</v>
      </c>
      <c r="AH12" s="138">
        <v>4.7470503719590544</v>
      </c>
      <c r="AI12" s="138">
        <v>4.4607638857430878</v>
      </c>
      <c r="AJ12" s="138">
        <v>4.808309856434942</v>
      </c>
      <c r="AK12" s="138">
        <v>4.1983333304524413</v>
      </c>
      <c r="AL12" s="138">
        <v>4.1055555649929572</v>
      </c>
      <c r="AM12" s="138">
        <v>4.2778873212740445</v>
      </c>
      <c r="AN12" s="138">
        <v>4.6021830947466293</v>
      </c>
      <c r="AO12" s="138">
        <v>4.2916197306673283</v>
      </c>
      <c r="AP12" s="138">
        <v>4.4273943674396454</v>
      </c>
      <c r="AQ12" s="138">
        <v>4.3550000073204567</v>
      </c>
      <c r="AR12" s="138">
        <v>4.156126759841408</v>
      </c>
      <c r="AS12" s="138">
        <v>4.1405633801305788</v>
      </c>
      <c r="AT12" s="138">
        <v>4.3870422533700157</v>
      </c>
      <c r="AU12" s="138">
        <v>4.3794444700082131</v>
      </c>
      <c r="AV12" s="138">
        <v>4.1643750038411866</v>
      </c>
      <c r="AW12" s="138">
        <v>4.1691666659381639</v>
      </c>
      <c r="AX12" s="138">
        <v>3.7783333377705666</v>
      </c>
      <c r="AY12" s="138">
        <v>4.2716666741503602</v>
      </c>
      <c r="AZ12" s="138">
        <v>4.2271527854932662</v>
      </c>
      <c r="BA12" s="138">
        <v>4.3282638788223258</v>
      </c>
      <c r="BB12" s="138">
        <v>4.4027464868317168</v>
      </c>
      <c r="BC12" s="14">
        <v>4.5231468669184434</v>
      </c>
      <c r="BD12" s="14">
        <v>4.7241549210649136</v>
      </c>
      <c r="BE12" s="14">
        <v>4.2093007122720021</v>
      </c>
      <c r="BF12" s="139">
        <f>SUM(Input_Raw[[#This Row],[O2_01]:[O2_26]])</f>
        <v>223271</v>
      </c>
      <c r="BG12" s="140">
        <f>IFERROR(AVERAGE(Input_Raw[[#This Row],[WS_O2_01]:[WS_O2_26]]),"")</f>
        <v>4.3638956124082213</v>
      </c>
      <c r="BH12" s="141"/>
      <c r="BI12" s="141"/>
      <c r="BJ12" s="13">
        <v>214200</v>
      </c>
      <c r="BK12" s="13">
        <v>0</v>
      </c>
      <c r="BL12" s="15">
        <f>Input_Raw[[#This Row],[66 kV_Wind_F1_Export_reading]]-Input_Raw[[#This Row],[66 kV_Wind_F1_Import_reading]]</f>
        <v>214200</v>
      </c>
      <c r="BM12" s="142">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46">
        <v>230.95</v>
      </c>
      <c r="BR12" s="207"/>
    </row>
    <row r="13" spans="1:70" ht="15">
      <c r="A13" s="240">
        <f t="shared" si="3"/>
        <v>45753</v>
      </c>
      <c r="B13" s="11">
        <f>YEAR(Input_Raw[[#This Row],[Date]])+IF(MONTH(Input_Raw[[#This Row],[Date]])&gt;=4,1,0)</f>
        <v>2026</v>
      </c>
      <c r="C13" s="11">
        <f>YEAR(Input_Raw[[#This Row],[Date]])</f>
        <v>2025</v>
      </c>
      <c r="D13" s="12">
        <f t="shared" si="4"/>
        <v>45748</v>
      </c>
      <c r="E13" s="11">
        <f>DAY(EOMONTH(Input_Raw[[#This Row],[Date]],0))</f>
        <v>30</v>
      </c>
      <c r="F13" s="137">
        <v>21007</v>
      </c>
      <c r="G13" s="137">
        <v>29659</v>
      </c>
      <c r="H13" s="137">
        <v>17733</v>
      </c>
      <c r="I13" s="137">
        <v>28588</v>
      </c>
      <c r="J13" s="137">
        <v>27930</v>
      </c>
      <c r="K13" s="137">
        <v>24449</v>
      </c>
      <c r="L13" s="137">
        <v>27191</v>
      </c>
      <c r="M13" s="137">
        <v>18202</v>
      </c>
      <c r="N13" s="137">
        <v>19159</v>
      </c>
      <c r="O13" s="137">
        <v>21773</v>
      </c>
      <c r="P13" s="137">
        <v>21595</v>
      </c>
      <c r="Q13" s="137">
        <v>20692</v>
      </c>
      <c r="R13" s="137">
        <v>20944</v>
      </c>
      <c r="S13" s="137">
        <v>20710</v>
      </c>
      <c r="T13" s="137">
        <v>24021</v>
      </c>
      <c r="U13" s="137">
        <v>24525</v>
      </c>
      <c r="V13" s="137">
        <v>36389</v>
      </c>
      <c r="W13" s="137">
        <v>23303</v>
      </c>
      <c r="X13" s="137">
        <v>30908</v>
      </c>
      <c r="Y13" s="137">
        <v>21945</v>
      </c>
      <c r="Z13" s="137">
        <v>23865</v>
      </c>
      <c r="AA13" s="137">
        <v>29600</v>
      </c>
      <c r="AB13" s="137">
        <v>21012</v>
      </c>
      <c r="AC13" s="13">
        <v>24582</v>
      </c>
      <c r="AD13" s="13">
        <v>25647</v>
      </c>
      <c r="AE13" s="13">
        <v>14855</v>
      </c>
      <c r="AF13" s="138">
        <v>6.2017361182305537</v>
      </c>
      <c r="AG13" s="138">
        <v>6.8913888658086453</v>
      </c>
      <c r="AH13" s="138">
        <v>6.0690209898915297</v>
      </c>
      <c r="AI13" s="138">
        <v>6.9020138780275966</v>
      </c>
      <c r="AJ13" s="138">
        <v>6.87944445841842</v>
      </c>
      <c r="AK13" s="138">
        <v>6.585625011059971</v>
      </c>
      <c r="AL13" s="138">
        <v>6.8617360889911634</v>
      </c>
      <c r="AM13" s="138">
        <v>5.6898611105150643</v>
      </c>
      <c r="AN13" s="138">
        <v>5.9826388822661487</v>
      </c>
      <c r="AO13" s="138">
        <v>6.2821527587042896</v>
      </c>
      <c r="AP13" s="138">
        <v>6.2398611348536273</v>
      </c>
      <c r="AQ13" s="138">
        <v>6.1248610930310345</v>
      </c>
      <c r="AR13" s="138">
        <v>6.2118750073843518</v>
      </c>
      <c r="AS13" s="138">
        <v>6.1106249789396925</v>
      </c>
      <c r="AT13" s="138">
        <v>6.494930576119156</v>
      </c>
      <c r="AU13" s="138">
        <v>6.5378472076521952</v>
      </c>
      <c r="AV13" s="138">
        <v>7.2668055734700614</v>
      </c>
      <c r="AW13" s="138">
        <v>6.3951388845841075</v>
      </c>
      <c r="AX13" s="138">
        <v>6.8188888960414404</v>
      </c>
      <c r="AY13" s="138">
        <v>6.5507638901472074</v>
      </c>
      <c r="AZ13" s="138">
        <v>6.6309790161106132</v>
      </c>
      <c r="BA13" s="138">
        <v>7.1518750066558505</v>
      </c>
      <c r="BB13" s="138">
        <v>6.1025000057286674</v>
      </c>
      <c r="BC13" s="14">
        <v>6.6000000105963785</v>
      </c>
      <c r="BD13" s="14">
        <v>6.4892361520065185</v>
      </c>
      <c r="BE13" s="14">
        <v>5.3311805716819221</v>
      </c>
      <c r="BF13" s="139">
        <f>SUM(Input_Raw[[#This Row],[O2_01]:[O2_26]])</f>
        <v>620284</v>
      </c>
      <c r="BG13" s="140">
        <f>IFERROR(AVERAGE(Input_Raw[[#This Row],[WS_O2_01]:[WS_O2_26]]),"")</f>
        <v>6.43857639103524</v>
      </c>
      <c r="BH13" s="141"/>
      <c r="BI13" s="141"/>
      <c r="BJ13" s="13">
        <v>603000</v>
      </c>
      <c r="BK13" s="13">
        <v>0</v>
      </c>
      <c r="BL13" s="15">
        <f>Input_Raw[[#This Row],[66 kV_Wind_F1_Export_reading]]-Input_Raw[[#This Row],[66 kV_Wind_F1_Import_reading]]</f>
        <v>603000</v>
      </c>
      <c r="BM13" s="142">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35">
        <v>667.03</v>
      </c>
      <c r="BR13" s="207"/>
    </row>
    <row r="14" spans="1:70" ht="15">
      <c r="A14" s="240">
        <f t="shared" si="3"/>
        <v>45754</v>
      </c>
      <c r="B14" s="11">
        <f>YEAR(Input_Raw[[#This Row],[Date]])+IF(MONTH(Input_Raw[[#This Row],[Date]])&gt;=4,1,0)</f>
        <v>2026</v>
      </c>
      <c r="C14" s="11">
        <f>YEAR(Input_Raw[[#This Row],[Date]])</f>
        <v>2025</v>
      </c>
      <c r="D14" s="12">
        <f t="shared" si="4"/>
        <v>45748</v>
      </c>
      <c r="E14" s="11">
        <f>DAY(EOMONTH(Input_Raw[[#This Row],[Date]],0))</f>
        <v>30</v>
      </c>
      <c r="F14" s="137">
        <v>31048</v>
      </c>
      <c r="G14" s="137">
        <v>39935</v>
      </c>
      <c r="H14" s="137">
        <v>29201</v>
      </c>
      <c r="I14" s="137">
        <v>37264</v>
      </c>
      <c r="J14" s="137">
        <v>38160</v>
      </c>
      <c r="K14" s="137">
        <v>33948</v>
      </c>
      <c r="L14" s="137">
        <v>36306</v>
      </c>
      <c r="M14" s="137">
        <v>29713</v>
      </c>
      <c r="N14" s="137">
        <v>26172</v>
      </c>
      <c r="O14" s="137">
        <v>29496</v>
      </c>
      <c r="P14" s="137">
        <v>28893</v>
      </c>
      <c r="Q14" s="137">
        <v>29862</v>
      </c>
      <c r="R14" s="137">
        <v>17926</v>
      </c>
      <c r="S14" s="137">
        <v>24680</v>
      </c>
      <c r="T14" s="137">
        <v>30580</v>
      </c>
      <c r="U14" s="137">
        <v>35026</v>
      </c>
      <c r="V14" s="137">
        <v>42573</v>
      </c>
      <c r="W14" s="137">
        <v>32649</v>
      </c>
      <c r="X14" s="137">
        <v>33248</v>
      </c>
      <c r="Y14" s="137">
        <v>28989</v>
      </c>
      <c r="Z14" s="137">
        <v>35533</v>
      </c>
      <c r="AA14" s="137">
        <v>38083</v>
      </c>
      <c r="AB14" s="137">
        <v>29493</v>
      </c>
      <c r="AC14" s="13">
        <v>35825</v>
      </c>
      <c r="AD14" s="13">
        <v>32714</v>
      </c>
      <c r="AE14" s="13">
        <v>27406</v>
      </c>
      <c r="AF14" s="138">
        <v>6.849436631504914</v>
      </c>
      <c r="AG14" s="138">
        <v>7.692816900535357</v>
      </c>
      <c r="AH14" s="138">
        <v>6.7251408528274181</v>
      </c>
      <c r="AI14" s="138">
        <v>7.6072221886780431</v>
      </c>
      <c r="AJ14" s="138">
        <v>7.6880985926574255</v>
      </c>
      <c r="AK14" s="138">
        <v>7.1945833555526137</v>
      </c>
      <c r="AL14" s="138">
        <v>7.4768055578072774</v>
      </c>
      <c r="AM14" s="138">
        <v>6.818239433664667</v>
      </c>
      <c r="AN14" s="138">
        <v>6.777801413485343</v>
      </c>
      <c r="AO14" s="138">
        <v>6.8461267331116611</v>
      </c>
      <c r="AP14" s="138">
        <v>6.8253520743947611</v>
      </c>
      <c r="AQ14" s="138">
        <v>6.897323968544808</v>
      </c>
      <c r="AR14" s="138">
        <v>6.7829577372947165</v>
      </c>
      <c r="AS14" s="138">
        <v>6.9574648070503242</v>
      </c>
      <c r="AT14" s="138">
        <v>6.9857746463426373</v>
      </c>
      <c r="AU14" s="138">
        <v>7.4787500012251984</v>
      </c>
      <c r="AV14" s="138">
        <v>8.0268055357866661</v>
      </c>
      <c r="AW14" s="138">
        <v>6.9819444202714491</v>
      </c>
      <c r="AX14" s="138">
        <v>7.2324305673440188</v>
      </c>
      <c r="AY14" s="138">
        <v>7.2163194426231847</v>
      </c>
      <c r="AZ14" s="138">
        <v>7.4150000272525585</v>
      </c>
      <c r="BA14" s="138">
        <v>7.7591666587524815</v>
      </c>
      <c r="BB14" s="138">
        <v>6.8959154730111747</v>
      </c>
      <c r="BC14" s="14">
        <v>7.4988194356361975</v>
      </c>
      <c r="BD14" s="14">
        <v>7.4038297927125871</v>
      </c>
      <c r="BE14" s="14">
        <v>6.5010489458804352</v>
      </c>
      <c r="BF14" s="139">
        <f>SUM(Input_Raw[[#This Row],[O2_01]:[O2_26]])</f>
        <v>834723</v>
      </c>
      <c r="BG14" s="140">
        <f>IFERROR(AVERAGE(Input_Raw[[#This Row],[WS_O2_01]:[WS_O2_26]]),"")</f>
        <v>7.1744298151518429</v>
      </c>
      <c r="BH14" s="141"/>
      <c r="BI14" s="141"/>
      <c r="BJ14" s="13">
        <v>802800</v>
      </c>
      <c r="BK14" s="13">
        <v>0</v>
      </c>
      <c r="BL14" s="15">
        <f>Input_Raw[[#This Row],[66 kV_Wind_F1_Export_reading]]-Input_Raw[[#This Row],[66 kV_Wind_F1_Import_reading]]</f>
        <v>802800</v>
      </c>
      <c r="BM14" s="142">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35">
        <v>890.54</v>
      </c>
      <c r="BR14" s="207"/>
    </row>
    <row r="15" spans="1:70" ht="15">
      <c r="A15" s="240">
        <f t="shared" si="3"/>
        <v>45755</v>
      </c>
      <c r="B15" s="11">
        <f>YEAR(Input_Raw[[#This Row],[Date]])+IF(MONTH(Input_Raw[[#This Row],[Date]])&gt;=4,1,0)</f>
        <v>2026</v>
      </c>
      <c r="C15" s="11">
        <f>YEAR(Input_Raw[[#This Row],[Date]])</f>
        <v>2025</v>
      </c>
      <c r="D15" s="12">
        <f t="shared" si="4"/>
        <v>45748</v>
      </c>
      <c r="E15" s="11">
        <f>DAY(EOMONTH(Input_Raw[[#This Row],[Date]],0))</f>
        <v>30</v>
      </c>
      <c r="F15" s="137">
        <v>32931</v>
      </c>
      <c r="G15" s="137">
        <v>38913</v>
      </c>
      <c r="H15" s="137">
        <v>30523</v>
      </c>
      <c r="I15" s="137">
        <v>36527</v>
      </c>
      <c r="J15" s="137">
        <v>29686</v>
      </c>
      <c r="K15" s="137">
        <v>31629</v>
      </c>
      <c r="L15" s="137">
        <v>31884</v>
      </c>
      <c r="M15" s="137">
        <v>24450</v>
      </c>
      <c r="N15" s="137">
        <v>23145</v>
      </c>
      <c r="O15" s="137">
        <v>29213</v>
      </c>
      <c r="P15" s="137">
        <v>27130</v>
      </c>
      <c r="Q15" s="137">
        <v>32730</v>
      </c>
      <c r="R15" s="137">
        <v>23942</v>
      </c>
      <c r="S15" s="137">
        <v>30642</v>
      </c>
      <c r="T15" s="137">
        <v>33320</v>
      </c>
      <c r="U15" s="137">
        <v>35024</v>
      </c>
      <c r="V15" s="137">
        <v>41845</v>
      </c>
      <c r="W15" s="137">
        <v>29300</v>
      </c>
      <c r="X15" s="137">
        <v>35384</v>
      </c>
      <c r="Y15" s="137">
        <v>32867</v>
      </c>
      <c r="Z15" s="137">
        <v>32199</v>
      </c>
      <c r="AA15" s="137">
        <v>35456</v>
      </c>
      <c r="AB15" s="137">
        <v>31686</v>
      </c>
      <c r="AC15" s="13">
        <v>34444</v>
      </c>
      <c r="AD15" s="13">
        <v>34312</v>
      </c>
      <c r="AE15" s="13">
        <v>23956</v>
      </c>
      <c r="AF15" s="138">
        <v>7.0247222342424891</v>
      </c>
      <c r="AG15" s="138">
        <v>7.5029861132303779</v>
      </c>
      <c r="AH15" s="138">
        <v>6.8145138720671277</v>
      </c>
      <c r="AI15" s="138">
        <v>7.5483333294590222</v>
      </c>
      <c r="AJ15" s="138">
        <v>7.3111805866161923</v>
      </c>
      <c r="AK15" s="138">
        <v>6.9370138769348433</v>
      </c>
      <c r="AL15" s="138">
        <v>6.9895833507180161</v>
      </c>
      <c r="AM15" s="138">
        <v>6.4570833336975815</v>
      </c>
      <c r="AN15" s="138">
        <v>7.0618749948011468</v>
      </c>
      <c r="AO15" s="138">
        <v>6.8081944692465957</v>
      </c>
      <c r="AP15" s="138">
        <v>6.9609790298488532</v>
      </c>
      <c r="AQ15" s="138">
        <v>7.0232639047834553</v>
      </c>
      <c r="AR15" s="138">
        <v>6.8966666377252972</v>
      </c>
      <c r="AS15" s="138">
        <v>6.8706944427556431</v>
      </c>
      <c r="AT15" s="138">
        <v>7.169236097484819</v>
      </c>
      <c r="AU15" s="138">
        <v>7.4627777520153176</v>
      </c>
      <c r="AV15" s="138">
        <v>7.7798611066407473</v>
      </c>
      <c r="AW15" s="138">
        <v>6.6718055738343107</v>
      </c>
      <c r="AX15" s="138">
        <v>7.2649999902480067</v>
      </c>
      <c r="AY15" s="138">
        <v>7.1443055545290282</v>
      </c>
      <c r="AZ15" s="138">
        <v>7.1197182972666226</v>
      </c>
      <c r="BA15" s="138">
        <v>7.443472214043136</v>
      </c>
      <c r="BB15" s="138">
        <v>7.0236110803153737</v>
      </c>
      <c r="BC15" s="14">
        <v>7.2677777840031474</v>
      </c>
      <c r="BD15" s="14">
        <v>7.3631944606701456</v>
      </c>
      <c r="BE15" s="14">
        <v>6.13854166948133</v>
      </c>
      <c r="BF15" s="139">
        <f>SUM(Input_Raw[[#This Row],[O2_01]:[O2_26]])</f>
        <v>823138</v>
      </c>
      <c r="BG15" s="140">
        <f>IFERROR(AVERAGE(Input_Raw[[#This Row],[WS_O2_01]:[WS_O2_26]]),"")</f>
        <v>7.0790919906407161</v>
      </c>
      <c r="BH15" s="141"/>
      <c r="BI15" s="141"/>
      <c r="BJ15" s="13">
        <v>793800</v>
      </c>
      <c r="BK15" s="13">
        <v>450</v>
      </c>
      <c r="BL15" s="15">
        <f>Input_Raw[[#This Row],[66 kV_Wind_F1_Export_reading]]-Input_Raw[[#This Row],[66 kV_Wind_F1_Import_reading]]</f>
        <v>793350</v>
      </c>
      <c r="BM15" s="142">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35">
        <v>885.16</v>
      </c>
      <c r="BR15" s="207"/>
    </row>
    <row r="16" spans="1:70" ht="15">
      <c r="A16" s="240">
        <f t="shared" si="3"/>
        <v>45756</v>
      </c>
      <c r="B16" s="11">
        <f>YEAR(Input_Raw[[#This Row],[Date]])+IF(MONTH(Input_Raw[[#This Row],[Date]])&gt;=4,1,0)</f>
        <v>2026</v>
      </c>
      <c r="C16" s="11">
        <f>YEAR(Input_Raw[[#This Row],[Date]])</f>
        <v>2025</v>
      </c>
      <c r="D16" s="12">
        <f t="shared" si="4"/>
        <v>45748</v>
      </c>
      <c r="E16" s="11">
        <f>DAY(EOMONTH(Input_Raw[[#This Row],[Date]],0))</f>
        <v>30</v>
      </c>
      <c r="F16" s="137">
        <v>28683</v>
      </c>
      <c r="G16" s="137">
        <v>35985</v>
      </c>
      <c r="H16" s="137">
        <v>29958</v>
      </c>
      <c r="I16" s="137">
        <v>32935</v>
      </c>
      <c r="J16" s="137">
        <v>31490</v>
      </c>
      <c r="K16" s="137">
        <v>28574</v>
      </c>
      <c r="L16" s="137">
        <v>28440</v>
      </c>
      <c r="M16" s="137">
        <v>26245</v>
      </c>
      <c r="N16" s="137">
        <v>28445</v>
      </c>
      <c r="O16" s="137">
        <v>26608</v>
      </c>
      <c r="P16" s="137">
        <v>27370</v>
      </c>
      <c r="Q16" s="137">
        <v>29182</v>
      </c>
      <c r="R16" s="137">
        <v>27038</v>
      </c>
      <c r="S16" s="137">
        <v>28542</v>
      </c>
      <c r="T16" s="137">
        <v>28611</v>
      </c>
      <c r="U16" s="137">
        <v>31225</v>
      </c>
      <c r="V16" s="137">
        <v>36940</v>
      </c>
      <c r="W16" s="137">
        <v>29330</v>
      </c>
      <c r="X16" s="137">
        <v>28437</v>
      </c>
      <c r="Y16" s="137">
        <v>30708</v>
      </c>
      <c r="Z16" s="137">
        <v>28985</v>
      </c>
      <c r="AA16" s="137">
        <v>31056</v>
      </c>
      <c r="AB16" s="137">
        <v>23479</v>
      </c>
      <c r="AC16" s="13">
        <v>32143</v>
      </c>
      <c r="AD16" s="13">
        <v>32309</v>
      </c>
      <c r="AE16" s="13">
        <v>23560</v>
      </c>
      <c r="AF16" s="138">
        <v>7.0391666508383208</v>
      </c>
      <c r="AG16" s="138">
        <v>7.620486120382937</v>
      </c>
      <c r="AH16" s="138">
        <v>7.0383333381679307</v>
      </c>
      <c r="AI16" s="138">
        <v>7.3771527889702035</v>
      </c>
      <c r="AJ16" s="138">
        <v>7.6401408507790283</v>
      </c>
      <c r="AK16" s="138">
        <v>7.0161805782053186</v>
      </c>
      <c r="AL16" s="138">
        <v>6.9249305567807591</v>
      </c>
      <c r="AM16" s="138">
        <v>6.6475694245762291</v>
      </c>
      <c r="AN16" s="138">
        <v>7.0434722188446237</v>
      </c>
      <c r="AO16" s="138">
        <v>6.8212499899996635</v>
      </c>
      <c r="AP16" s="138">
        <v>6.9275694522592746</v>
      </c>
      <c r="AQ16" s="138">
        <v>6.9760416746139509</v>
      </c>
      <c r="AR16" s="138">
        <v>6.8413194715976706</v>
      </c>
      <c r="AS16" s="138">
        <v>6.9870833274390938</v>
      </c>
      <c r="AT16" s="138">
        <v>7.0288194186157646</v>
      </c>
      <c r="AU16" s="138">
        <v>7.2906249860922463</v>
      </c>
      <c r="AV16" s="138">
        <v>7.561597224738855</v>
      </c>
      <c r="AW16" s="138">
        <v>6.9318750037087327</v>
      </c>
      <c r="AX16" s="138">
        <v>6.7921528120835575</v>
      </c>
      <c r="AY16" s="138">
        <v>7.2261111156807987</v>
      </c>
      <c r="AZ16" s="138">
        <v>7.124027753869691</v>
      </c>
      <c r="BA16" s="138">
        <v>7.2808333237965872</v>
      </c>
      <c r="BB16" s="138">
        <v>7.1220138900809786</v>
      </c>
      <c r="BC16" s="14">
        <v>7.2890972114271557</v>
      </c>
      <c r="BD16" s="14">
        <v>7.4078472438785736</v>
      </c>
      <c r="BE16" s="14">
        <v>6.3832638826635133</v>
      </c>
      <c r="BF16" s="139">
        <f>SUM(Input_Raw[[#This Row],[O2_01]:[O2_26]])</f>
        <v>766278</v>
      </c>
      <c r="BG16" s="140">
        <f>IFERROR(AVERAGE(Input_Raw[[#This Row],[WS_O2_01]:[WS_O2_26]]),"")</f>
        <v>7.0899600119265944</v>
      </c>
      <c r="BH16" s="141"/>
      <c r="BI16" s="141"/>
      <c r="BJ16" s="13">
        <v>742500</v>
      </c>
      <c r="BK16" s="13">
        <v>0</v>
      </c>
      <c r="BL16" s="15">
        <f>Input_Raw[[#This Row],[66 kV_Wind_F1_Export_reading]]-Input_Raw[[#This Row],[66 kV_Wind_F1_Import_reading]]</f>
        <v>742500</v>
      </c>
      <c r="BM16" s="142">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35">
        <v>808</v>
      </c>
      <c r="BR16" s="207"/>
    </row>
    <row r="17" spans="1:70" ht="15">
      <c r="A17" s="240">
        <f t="shared" si="3"/>
        <v>45757</v>
      </c>
      <c r="B17" s="11">
        <f>YEAR(Input_Raw[[#This Row],[Date]])+IF(MONTH(Input_Raw[[#This Row],[Date]])&gt;=4,1,0)</f>
        <v>2026</v>
      </c>
      <c r="C17" s="11">
        <f>YEAR(Input_Raw[[#This Row],[Date]])</f>
        <v>2025</v>
      </c>
      <c r="D17" s="12">
        <f t="shared" ref="D17:D22" si="5">A17-DAY(A17)+1</f>
        <v>45748</v>
      </c>
      <c r="E17" s="11">
        <f>DAY(EOMONTH(Input_Raw[[#This Row],[Date]],0))</f>
        <v>30</v>
      </c>
      <c r="F17" s="137">
        <v>37826</v>
      </c>
      <c r="G17" s="137">
        <v>45183</v>
      </c>
      <c r="H17" s="137">
        <v>36893</v>
      </c>
      <c r="I17" s="137">
        <v>42701</v>
      </c>
      <c r="J17" s="137">
        <v>41567</v>
      </c>
      <c r="K17" s="137">
        <v>37890</v>
      </c>
      <c r="L17" s="137">
        <v>42698</v>
      </c>
      <c r="M17" s="137">
        <v>28587</v>
      </c>
      <c r="N17" s="137">
        <v>35022</v>
      </c>
      <c r="O17" s="137">
        <v>35686</v>
      </c>
      <c r="P17" s="137">
        <v>35407</v>
      </c>
      <c r="Q17" s="137">
        <v>38699</v>
      </c>
      <c r="R17" s="137">
        <v>34054</v>
      </c>
      <c r="S17" s="137">
        <v>36725</v>
      </c>
      <c r="T17" s="137">
        <v>33831</v>
      </c>
      <c r="U17" s="137">
        <v>40822</v>
      </c>
      <c r="V17" s="137">
        <v>53780</v>
      </c>
      <c r="W17" s="137">
        <v>33218</v>
      </c>
      <c r="X17" s="137">
        <v>46375</v>
      </c>
      <c r="Y17" s="137">
        <v>40773</v>
      </c>
      <c r="Z17" s="137">
        <v>39808</v>
      </c>
      <c r="AA17" s="137">
        <v>44573</v>
      </c>
      <c r="AB17" s="137">
        <v>30874</v>
      </c>
      <c r="AC17" s="13">
        <v>41245</v>
      </c>
      <c r="AD17" s="13">
        <v>41410</v>
      </c>
      <c r="AE17" s="13">
        <v>30495</v>
      </c>
      <c r="AF17" s="138">
        <v>7.9916666646798404</v>
      </c>
      <c r="AG17" s="138">
        <v>8.559374964899483</v>
      </c>
      <c r="AH17" s="138">
        <v>7.849375006225368</v>
      </c>
      <c r="AI17" s="138">
        <v>8.5015971859296116</v>
      </c>
      <c r="AJ17" s="138">
        <v>8.3636111054155542</v>
      </c>
      <c r="AK17" s="138">
        <v>8.1974305676089383</v>
      </c>
      <c r="AL17" s="138">
        <v>8.6050694849755942</v>
      </c>
      <c r="AM17" s="138">
        <v>7.697500013642836</v>
      </c>
      <c r="AN17" s="138">
        <v>7.7553472204340785</v>
      </c>
      <c r="AO17" s="138">
        <v>7.8514583574400962</v>
      </c>
      <c r="AP17" s="138">
        <v>7.9753472076521961</v>
      </c>
      <c r="AQ17" s="138">
        <v>8.105208353863814</v>
      </c>
      <c r="AR17" s="138">
        <v>7.7773611115084709</v>
      </c>
      <c r="AS17" s="138">
        <v>7.8892361438936627</v>
      </c>
      <c r="AT17" s="138">
        <v>8.1557639141877463</v>
      </c>
      <c r="AU17" s="138">
        <v>8.6734722587797322</v>
      </c>
      <c r="AV17" s="138">
        <v>9.326527771022576</v>
      </c>
      <c r="AW17" s="138">
        <v>7.8660416636202024</v>
      </c>
      <c r="AX17" s="138">
        <v>9.0910416245460439</v>
      </c>
      <c r="AY17" s="138">
        <v>8.3634722299045947</v>
      </c>
      <c r="AZ17" s="138">
        <v>8.3510416845480542</v>
      </c>
      <c r="BA17" s="138">
        <v>8.7168750067551901</v>
      </c>
      <c r="BB17" s="138">
        <v>8.1003472341431486</v>
      </c>
      <c r="BC17" s="14">
        <v>8.3698610928323465</v>
      </c>
      <c r="BD17" s="14">
        <v>8.2224305503898147</v>
      </c>
      <c r="BE17" s="14">
        <v>7.1973610884613413</v>
      </c>
      <c r="BF17" s="139">
        <f>SUM(Input_Raw[[#This Row],[O2_01]:[O2_26]])</f>
        <v>1006142</v>
      </c>
      <c r="BG17" s="140">
        <f>IFERROR(AVERAGE(Input_Raw[[#This Row],[WS_O2_01]:[WS_O2_26]]),"")</f>
        <v>8.2136084425907825</v>
      </c>
      <c r="BH17" s="141"/>
      <c r="BI17" s="141"/>
      <c r="BJ17" s="13">
        <v>974700</v>
      </c>
      <c r="BK17" s="13">
        <v>0</v>
      </c>
      <c r="BL17" s="15">
        <f>Input_Raw[[#This Row],[66 kV_Wind_F1_Export_reading]]-Input_Raw[[#This Row],[66 kV_Wind_F1_Import_reading]]</f>
        <v>974700</v>
      </c>
      <c r="BM17" s="142">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35">
        <v>1103.33</v>
      </c>
      <c r="BR17" s="207"/>
    </row>
    <row r="18" spans="1:70" ht="15">
      <c r="A18" s="240">
        <f t="shared" si="3"/>
        <v>45758</v>
      </c>
      <c r="B18" s="11">
        <f>YEAR(Input_Raw[[#This Row],[Date]])+IF(MONTH(Input_Raw[[#This Row],[Date]])&gt;=4,1,0)</f>
        <v>2026</v>
      </c>
      <c r="C18" s="11">
        <f>YEAR(Input_Raw[[#This Row],[Date]])</f>
        <v>2025</v>
      </c>
      <c r="D18" s="12">
        <f t="shared" si="5"/>
        <v>45748</v>
      </c>
      <c r="E18" s="11">
        <f>DAY(EOMONTH(Input_Raw[[#This Row],[Date]],0))</f>
        <v>30</v>
      </c>
      <c r="F18" s="137">
        <v>41447</v>
      </c>
      <c r="G18" s="137">
        <v>49347</v>
      </c>
      <c r="H18" s="137">
        <v>40931</v>
      </c>
      <c r="I18" s="137">
        <v>44979</v>
      </c>
      <c r="J18" s="137">
        <v>46056</v>
      </c>
      <c r="K18" s="137">
        <v>39764</v>
      </c>
      <c r="L18" s="137">
        <v>38038</v>
      </c>
      <c r="M18" s="137">
        <v>39635</v>
      </c>
      <c r="N18" s="137">
        <v>41407</v>
      </c>
      <c r="O18" s="137">
        <v>40631</v>
      </c>
      <c r="P18" s="137">
        <v>37304</v>
      </c>
      <c r="Q18" s="137">
        <v>42973</v>
      </c>
      <c r="R18" s="137">
        <v>36918</v>
      </c>
      <c r="S18" s="137">
        <v>3872</v>
      </c>
      <c r="T18" s="137">
        <v>40666</v>
      </c>
      <c r="U18" s="137">
        <v>40181</v>
      </c>
      <c r="V18" s="137">
        <v>44076</v>
      </c>
      <c r="W18" s="137">
        <v>39510</v>
      </c>
      <c r="X18" s="137">
        <v>42576</v>
      </c>
      <c r="Y18" s="137">
        <v>40190</v>
      </c>
      <c r="Z18" s="137">
        <v>40132</v>
      </c>
      <c r="AA18" s="137">
        <v>39622</v>
      </c>
      <c r="AB18" s="137">
        <v>41157</v>
      </c>
      <c r="AC18" s="13">
        <v>40939</v>
      </c>
      <c r="AD18" s="13">
        <v>47491</v>
      </c>
      <c r="AE18" s="13">
        <v>41874</v>
      </c>
      <c r="AF18" s="138">
        <v>8.356458326180773</v>
      </c>
      <c r="AG18" s="138">
        <v>8.9343750178813846</v>
      </c>
      <c r="AH18" s="138">
        <v>8.2200000000000006</v>
      </c>
      <c r="AI18" s="138">
        <v>8.6743055648273852</v>
      </c>
      <c r="AJ18" s="138">
        <v>8.8361538907031019</v>
      </c>
      <c r="AK18" s="138">
        <v>8.1363889177640267</v>
      </c>
      <c r="AL18" s="138">
        <v>8.0317361553510001</v>
      </c>
      <c r="AM18" s="138">
        <v>8.221111115482115</v>
      </c>
      <c r="AN18" s="138">
        <v>8.3112499912579807</v>
      </c>
      <c r="AO18" s="138">
        <v>8.1987500091393759</v>
      </c>
      <c r="AP18" s="138">
        <v>8.1662499970859947</v>
      </c>
      <c r="AQ18" s="138">
        <v>8.3396527700953982</v>
      </c>
      <c r="AR18" s="138">
        <v>7.9668055375417062</v>
      </c>
      <c r="AS18" s="138">
        <v>2.436250001990369</v>
      </c>
      <c r="AT18" s="138">
        <v>8.2474305298593276</v>
      </c>
      <c r="AU18" s="138">
        <v>8.3750694526566374</v>
      </c>
      <c r="AV18" s="138">
        <v>8.3534027768505918</v>
      </c>
      <c r="AW18" s="138">
        <v>8.1014583276377792</v>
      </c>
      <c r="AX18" s="138">
        <v>8.3620833158493006</v>
      </c>
      <c r="AY18" s="138">
        <v>8.2546528014871772</v>
      </c>
      <c r="AZ18" s="138">
        <v>8.284027794996895</v>
      </c>
      <c r="BA18" s="138">
        <v>8.1915971901681655</v>
      </c>
      <c r="BB18" s="138">
        <v>8.3780555658870224</v>
      </c>
      <c r="BC18" s="14">
        <v>8.2961111432976153</v>
      </c>
      <c r="BD18" s="14">
        <v>8.7860416836208746</v>
      </c>
      <c r="BE18" s="14">
        <v>8.3384028044011806</v>
      </c>
      <c r="BF18" s="139">
        <f>SUM(Input_Raw[[#This Row],[O2_01]:[O2_26]])</f>
        <v>1041716</v>
      </c>
      <c r="BG18" s="140">
        <f>IFERROR(AVERAGE(Input_Raw[[#This Row],[WS_O2_01]:[WS_O2_26]]),"")</f>
        <v>8.1076084877697365</v>
      </c>
      <c r="BH18" s="141"/>
      <c r="BI18" s="141"/>
      <c r="BJ18" s="13">
        <v>1004400</v>
      </c>
      <c r="BK18" s="13">
        <v>0</v>
      </c>
      <c r="BL18" s="15">
        <f>Input_Raw[[#This Row],[66 kV_Wind_F1_Export_reading]]-Input_Raw[[#This Row],[66 kV_Wind_F1_Import_reading]]</f>
        <v>1004400</v>
      </c>
      <c r="BM18" s="142">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35">
        <v>1083.02</v>
      </c>
      <c r="BR18" s="207"/>
    </row>
    <row r="19" spans="1:70" ht="15">
      <c r="A19" s="240">
        <f t="shared" si="3"/>
        <v>45759</v>
      </c>
      <c r="B19" s="16">
        <f>YEAR(Input_Raw[[#This Row],[Date]])+IF(MONTH(Input_Raw[[#This Row],[Date]])&gt;=4,1,0)</f>
        <v>2026</v>
      </c>
      <c r="C19" s="16">
        <f>YEAR(Input_Raw[[#This Row],[Date]])</f>
        <v>2025</v>
      </c>
      <c r="D19" s="17">
        <f t="shared" si="5"/>
        <v>45748</v>
      </c>
      <c r="E19" s="16">
        <f>DAY(EOMONTH(Input_Raw[[#This Row],[Date]],0))</f>
        <v>30</v>
      </c>
      <c r="F19" s="147">
        <v>7035</v>
      </c>
      <c r="G19" s="147">
        <v>8948</v>
      </c>
      <c r="H19" s="147">
        <v>7003</v>
      </c>
      <c r="I19" s="147">
        <v>6732</v>
      </c>
      <c r="J19" s="147">
        <v>9236</v>
      </c>
      <c r="K19" s="147">
        <v>6096</v>
      </c>
      <c r="L19" s="147">
        <v>5753</v>
      </c>
      <c r="M19" s="147">
        <v>7293</v>
      </c>
      <c r="N19" s="147">
        <v>7028</v>
      </c>
      <c r="O19" s="147">
        <v>7345</v>
      </c>
      <c r="P19" s="147">
        <v>6323</v>
      </c>
      <c r="Q19" s="147">
        <v>7785</v>
      </c>
      <c r="R19" s="147">
        <v>6299</v>
      </c>
      <c r="S19" s="147">
        <v>2021</v>
      </c>
      <c r="T19" s="147">
        <v>7154</v>
      </c>
      <c r="U19" s="147">
        <v>5854</v>
      </c>
      <c r="V19" s="147">
        <v>5199</v>
      </c>
      <c r="W19" s="147">
        <v>5776</v>
      </c>
      <c r="X19" s="147">
        <v>6293</v>
      </c>
      <c r="Y19" s="147">
        <v>5916</v>
      </c>
      <c r="Z19" s="147">
        <v>6933</v>
      </c>
      <c r="AA19" s="147">
        <v>5641</v>
      </c>
      <c r="AB19" s="147">
        <v>6923</v>
      </c>
      <c r="AC19" s="18">
        <v>7181</v>
      </c>
      <c r="AD19" s="18">
        <v>8783</v>
      </c>
      <c r="AE19" s="18">
        <v>7236</v>
      </c>
      <c r="AF19" s="148">
        <v>5.18</v>
      </c>
      <c r="AG19" s="148">
        <v>5.4</v>
      </c>
      <c r="AH19" s="148">
        <v>5.08</v>
      </c>
      <c r="AI19" s="148">
        <v>4.97</v>
      </c>
      <c r="AJ19" s="148">
        <v>5.52</v>
      </c>
      <c r="AK19" s="148">
        <v>4.93</v>
      </c>
      <c r="AL19" s="148">
        <v>4.75</v>
      </c>
      <c r="AM19" s="148">
        <v>5.13</v>
      </c>
      <c r="AN19" s="148">
        <v>5.5</v>
      </c>
      <c r="AO19" s="148">
        <v>5.1100000000000003</v>
      </c>
      <c r="AP19" s="148">
        <v>5.08</v>
      </c>
      <c r="AQ19" s="148">
        <v>5.22</v>
      </c>
      <c r="AR19" s="148">
        <v>4.93</v>
      </c>
      <c r="AS19" s="148">
        <v>3.35</v>
      </c>
      <c r="AT19" s="148">
        <v>5.0999999999999996</v>
      </c>
      <c r="AU19" s="148">
        <v>4.7</v>
      </c>
      <c r="AV19" s="148">
        <v>4.6500000000000004</v>
      </c>
      <c r="AW19" s="148">
        <v>4.7</v>
      </c>
      <c r="AX19" s="148">
        <v>4.8099999999999996</v>
      </c>
      <c r="AY19" s="148">
        <v>4.8600000000000003</v>
      </c>
      <c r="AZ19" s="148">
        <v>5.0599999999999996</v>
      </c>
      <c r="BA19" s="148">
        <v>4.74</v>
      </c>
      <c r="BB19" s="148">
        <v>5.15</v>
      </c>
      <c r="BC19" s="90">
        <v>5.05</v>
      </c>
      <c r="BD19" s="90">
        <v>5.52</v>
      </c>
      <c r="BE19" s="90">
        <v>5.07</v>
      </c>
      <c r="BF19" s="149">
        <f>SUM(Input_Raw[[#This Row],[O2_01]:[O2_26]])</f>
        <v>173786</v>
      </c>
      <c r="BG19" s="150">
        <f>IFERROR(AVERAGE(Input_Raw[[#This Row],[WS_O2_01]:[WS_O2_26]]),"")</f>
        <v>4.983076923076923</v>
      </c>
      <c r="BH19" s="151"/>
      <c r="BI19" s="151"/>
      <c r="BJ19" s="18">
        <v>164700</v>
      </c>
      <c r="BK19" s="18">
        <v>0</v>
      </c>
      <c r="BL19" s="91">
        <f>Input_Raw[[#This Row],[66 kV_Wind_F1_Export_reading]]-Input_Raw[[#This Row],[66 kV_Wind_F1_Import_reading]]</f>
        <v>164700</v>
      </c>
      <c r="BM19" s="152">
        <f>Input_Raw[[#This Row],[WTG Total Gneration (KWh)]]-Input_Raw[[#This Row],[66 kV_Wind_F1_Export_reading]]</f>
        <v>9086</v>
      </c>
      <c r="BN19" s="133">
        <f>(Input_Raw[[#This Row],[WTG Total Gneration (KWh)]]-Input_Raw[[#This Row],[66 kV_Wind_F1_Export_reading]])/Input_Raw[[#This Row],[WTG Total Gneration (KWh)]]</f>
        <v>5.2282692506876276E-2</v>
      </c>
      <c r="BO19" s="89">
        <v>70.2</v>
      </c>
      <c r="BP19" s="96"/>
      <c r="BQ19" s="136">
        <v>176.01</v>
      </c>
      <c r="BR19" s="207"/>
    </row>
    <row r="20" spans="1:70" ht="15">
      <c r="A20" s="240">
        <f t="shared" si="3"/>
        <v>45760</v>
      </c>
      <c r="B20" s="11">
        <f>YEAR(Input_Raw[[#This Row],[Date]])+IF(MONTH(Input_Raw[[#This Row],[Date]])&gt;=4,1,0)</f>
        <v>2026</v>
      </c>
      <c r="C20" s="11">
        <f>YEAR(Input_Raw[[#This Row],[Date]])</f>
        <v>2025</v>
      </c>
      <c r="D20" s="12">
        <f t="shared" si="5"/>
        <v>45748</v>
      </c>
      <c r="E20" s="11">
        <f>DAY(EOMONTH(Input_Raw[[#This Row],[Date]],0))</f>
        <v>30</v>
      </c>
      <c r="F20" s="137">
        <v>26489</v>
      </c>
      <c r="G20" s="137">
        <v>28616</v>
      </c>
      <c r="H20" s="137">
        <v>25705</v>
      </c>
      <c r="I20" s="137">
        <v>25328</v>
      </c>
      <c r="J20" s="137">
        <v>26101</v>
      </c>
      <c r="K20" s="137">
        <v>23521</v>
      </c>
      <c r="L20" s="137">
        <v>22036</v>
      </c>
      <c r="M20" s="137">
        <v>10825</v>
      </c>
      <c r="N20" s="137">
        <v>24188</v>
      </c>
      <c r="O20" s="137">
        <v>25909</v>
      </c>
      <c r="P20" s="137">
        <v>23698</v>
      </c>
      <c r="Q20" s="137">
        <v>25190</v>
      </c>
      <c r="R20" s="137">
        <v>10703</v>
      </c>
      <c r="S20" s="137">
        <v>23384</v>
      </c>
      <c r="T20" s="137">
        <v>20653</v>
      </c>
      <c r="U20" s="137">
        <v>24367</v>
      </c>
      <c r="V20" s="137">
        <v>23858</v>
      </c>
      <c r="W20" s="137">
        <v>22828</v>
      </c>
      <c r="X20" s="137">
        <v>21328</v>
      </c>
      <c r="Y20" s="137">
        <v>24441</v>
      </c>
      <c r="Z20" s="137">
        <v>23356</v>
      </c>
      <c r="AA20" s="137">
        <v>23878</v>
      </c>
      <c r="AB20" s="137">
        <v>25584</v>
      </c>
      <c r="AC20" s="13">
        <v>24224</v>
      </c>
      <c r="AD20" s="13">
        <v>26202</v>
      </c>
      <c r="AE20" s="13">
        <v>25025</v>
      </c>
      <c r="AF20" s="138">
        <v>7.8559803810774032</v>
      </c>
      <c r="AG20" s="138">
        <v>8.2075490484050562</v>
      </c>
      <c r="AH20" s="138">
        <v>7.5842156714084021</v>
      </c>
      <c r="AI20" s="138">
        <v>7.5783333310893797</v>
      </c>
      <c r="AJ20" s="138">
        <v>8.1324000024795389</v>
      </c>
      <c r="AK20" s="138">
        <v>7.4853921707938644</v>
      </c>
      <c r="AL20" s="138">
        <v>7.1723529404284827</v>
      </c>
      <c r="AM20" s="138">
        <v>7.7007842788509198</v>
      </c>
      <c r="AN20" s="138">
        <v>7.5091089140070446</v>
      </c>
      <c r="AO20" s="138">
        <v>7.9006862687129464</v>
      </c>
      <c r="AP20" s="138">
        <v>7.5850495253458945</v>
      </c>
      <c r="AQ20" s="138">
        <v>7.5129411991904682</v>
      </c>
      <c r="AR20" s="138">
        <v>7.3762745132633194</v>
      </c>
      <c r="AS20" s="138">
        <v>7.4539215447855831</v>
      </c>
      <c r="AT20" s="138">
        <v>8.1923529120052443</v>
      </c>
      <c r="AU20" s="138">
        <v>7.573627436862262</v>
      </c>
      <c r="AV20" s="138">
        <v>7.3921568767697057</v>
      </c>
      <c r="AW20" s="138">
        <v>7.5673529494042455</v>
      </c>
      <c r="AX20" s="138">
        <v>6.9815686251602873</v>
      </c>
      <c r="AY20" s="138">
        <v>7.5215686138938347</v>
      </c>
      <c r="AZ20" s="138">
        <v>7.6606999909877667</v>
      </c>
      <c r="BA20" s="138">
        <v>7.5939394127238797</v>
      </c>
      <c r="BB20" s="138">
        <v>7.6030392050743005</v>
      </c>
      <c r="BC20" s="14">
        <v>7.8745918468553029</v>
      </c>
      <c r="BD20" s="14">
        <v>8.1601960565529499</v>
      </c>
      <c r="BE20" s="14">
        <v>7.4845098081756971</v>
      </c>
      <c r="BF20" s="139">
        <f>SUM(Input_Raw[[#This Row],[O2_01]:[O2_26]])</f>
        <v>607437</v>
      </c>
      <c r="BG20" s="140">
        <f>IFERROR(AVERAGE(Input_Raw[[#This Row],[WS_O2_01]:[WS_O2_26]]),"")</f>
        <v>7.6407920586270697</v>
      </c>
      <c r="BH20" s="141"/>
      <c r="BI20" s="141"/>
      <c r="BJ20" s="13">
        <v>589950</v>
      </c>
      <c r="BK20" s="13">
        <v>0</v>
      </c>
      <c r="BL20" s="15">
        <f>Input_Raw[[#This Row],[66 kV_Wind_F1_Export_reading]]-Input_Raw[[#This Row],[66 kV_Wind_F1_Import_reading]]</f>
        <v>589950</v>
      </c>
      <c r="BM20" s="142">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35">
        <v>682.2</v>
      </c>
      <c r="BR20" s="207"/>
    </row>
    <row r="21" spans="1:70" ht="15">
      <c r="A21" s="240">
        <f t="shared" si="3"/>
        <v>45761</v>
      </c>
      <c r="B21" s="11">
        <f>YEAR(Input_Raw[[#This Row],[Date]])+IF(MONTH(Input_Raw[[#This Row],[Date]])&gt;=4,1,0)</f>
        <v>2026</v>
      </c>
      <c r="C21" s="11">
        <f>YEAR(Input_Raw[[#This Row],[Date]])</f>
        <v>2025</v>
      </c>
      <c r="D21" s="12">
        <f t="shared" si="5"/>
        <v>45748</v>
      </c>
      <c r="E21" s="11">
        <f>DAY(EOMONTH(Input_Raw[[#This Row],[Date]],0))</f>
        <v>30</v>
      </c>
      <c r="F21" s="137">
        <v>49494</v>
      </c>
      <c r="G21" s="137">
        <v>54587</v>
      </c>
      <c r="H21" s="137">
        <v>26547</v>
      </c>
      <c r="I21" s="137">
        <v>55152</v>
      </c>
      <c r="J21" s="137">
        <v>54526</v>
      </c>
      <c r="K21" s="137">
        <v>43979</v>
      </c>
      <c r="L21" s="137">
        <v>52855</v>
      </c>
      <c r="M21" s="137">
        <v>45219</v>
      </c>
      <c r="N21" s="137">
        <v>45058</v>
      </c>
      <c r="O21" s="137">
        <v>42261</v>
      </c>
      <c r="P21" s="137">
        <v>46926</v>
      </c>
      <c r="Q21" s="137">
        <v>44309</v>
      </c>
      <c r="R21" s="137">
        <v>32069</v>
      </c>
      <c r="S21" s="137">
        <v>41611</v>
      </c>
      <c r="T21" s="137">
        <v>35797</v>
      </c>
      <c r="U21" s="137">
        <v>46276</v>
      </c>
      <c r="V21" s="137">
        <v>48303</v>
      </c>
      <c r="W21" s="137">
        <v>42517</v>
      </c>
      <c r="X21" s="137">
        <v>48676</v>
      </c>
      <c r="Y21" s="137">
        <v>47867</v>
      </c>
      <c r="Z21" s="137">
        <v>43699</v>
      </c>
      <c r="AA21" s="137">
        <v>49144</v>
      </c>
      <c r="AB21" s="137">
        <v>47758</v>
      </c>
      <c r="AC21" s="13">
        <v>48527</v>
      </c>
      <c r="AD21" s="13">
        <v>34863</v>
      </c>
      <c r="AE21" s="13">
        <v>46555</v>
      </c>
      <c r="AF21" s="138">
        <v>9.1019444200727637</v>
      </c>
      <c r="AG21" s="138">
        <v>9.6511111127005584</v>
      </c>
      <c r="AH21" s="138">
        <v>8.1617361327840161</v>
      </c>
      <c r="AI21" s="138">
        <v>9.6954861813121269</v>
      </c>
      <c r="AJ21" s="138">
        <v>9.7077777352597892</v>
      </c>
      <c r="AK21" s="138">
        <v>8.5596527821487811</v>
      </c>
      <c r="AL21" s="138">
        <v>9.5654860933621624</v>
      </c>
      <c r="AM21" s="138">
        <v>8.9412500129805643</v>
      </c>
      <c r="AN21" s="138">
        <v>8.6055555178059393</v>
      </c>
      <c r="AO21" s="138">
        <v>8.3949305646949295</v>
      </c>
      <c r="AP21" s="138">
        <v>8.8494444257683185</v>
      </c>
      <c r="AQ21" s="138">
        <v>8.6868750121858316</v>
      </c>
      <c r="AR21" s="138">
        <v>8.6395833392937913</v>
      </c>
      <c r="AS21" s="138">
        <v>8.4447222318914115</v>
      </c>
      <c r="AT21" s="138">
        <v>8.5942656943848057</v>
      </c>
      <c r="AU21" s="138">
        <v>8.9832638998826297</v>
      </c>
      <c r="AV21" s="138">
        <v>9.573541692561566</v>
      </c>
      <c r="AW21" s="138">
        <v>8.3386111193233017</v>
      </c>
      <c r="AX21" s="138">
        <v>9.2368750174840226</v>
      </c>
      <c r="AY21" s="138">
        <v>8.9902777837382377</v>
      </c>
      <c r="AZ21" s="138">
        <v>8.6319444411330704</v>
      </c>
      <c r="BA21" s="138">
        <v>9.0699305699931223</v>
      </c>
      <c r="BB21" s="138">
        <v>8.8649999797344137</v>
      </c>
      <c r="BC21" s="14">
        <v>9.1472222440772484</v>
      </c>
      <c r="BD21" s="14">
        <v>9.547272702197084</v>
      </c>
      <c r="BE21" s="14">
        <v>8.7861805491977218</v>
      </c>
      <c r="BF21" s="139">
        <f>SUM(Input_Raw[[#This Row],[O2_01]:[O2_26]])</f>
        <v>1174575</v>
      </c>
      <c r="BG21" s="140">
        <f>IFERROR(AVERAGE(Input_Raw[[#This Row],[WS_O2_01]:[WS_O2_26]]),"")</f>
        <v>8.9526900483064686</v>
      </c>
      <c r="BH21" s="141"/>
      <c r="BI21" s="141"/>
      <c r="BJ21" s="13">
        <v>1131750</v>
      </c>
      <c r="BK21" s="13">
        <v>0</v>
      </c>
      <c r="BL21" s="15">
        <f>Input_Raw[[#This Row],[66 kV_Wind_F1_Export_reading]]-Input_Raw[[#This Row],[66 kV_Wind_F1_Import_reading]]</f>
        <v>1131750</v>
      </c>
      <c r="BM21" s="142">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35">
        <v>1310.71</v>
      </c>
      <c r="BR21" s="207"/>
    </row>
    <row r="22" spans="1:70" ht="15">
      <c r="A22" s="240">
        <f t="shared" si="3"/>
        <v>45762</v>
      </c>
      <c r="B22" s="11">
        <f>YEAR(Input_Raw[[#This Row],[Date]])+IF(MONTH(Input_Raw[[#This Row],[Date]])&gt;=4,1,0)</f>
        <v>2026</v>
      </c>
      <c r="C22" s="11">
        <f>YEAR(Input_Raw[[#This Row],[Date]])</f>
        <v>2025</v>
      </c>
      <c r="D22" s="12">
        <f t="shared" si="5"/>
        <v>45748</v>
      </c>
      <c r="E22" s="11">
        <f>DAY(EOMONTH(Input_Raw[[#This Row],[Date]],0))</f>
        <v>30</v>
      </c>
      <c r="F22" s="137">
        <v>46514</v>
      </c>
      <c r="G22" s="137">
        <v>48545</v>
      </c>
      <c r="H22" s="137">
        <v>39223</v>
      </c>
      <c r="I22" s="137">
        <v>47687</v>
      </c>
      <c r="J22" s="137">
        <v>30448</v>
      </c>
      <c r="K22" s="137">
        <v>45430</v>
      </c>
      <c r="L22" s="137">
        <v>44148</v>
      </c>
      <c r="M22" s="137">
        <v>45573</v>
      </c>
      <c r="N22" s="137">
        <v>29654</v>
      </c>
      <c r="O22" s="137">
        <v>39470</v>
      </c>
      <c r="P22" s="137">
        <v>43359</v>
      </c>
      <c r="Q22" s="137">
        <v>40662</v>
      </c>
      <c r="R22" s="137">
        <v>40685</v>
      </c>
      <c r="S22" s="137">
        <v>41368</v>
      </c>
      <c r="T22" s="137">
        <v>44736</v>
      </c>
      <c r="U22" s="137">
        <v>36838</v>
      </c>
      <c r="V22" s="137">
        <v>21163</v>
      </c>
      <c r="W22" s="137">
        <v>45796</v>
      </c>
      <c r="X22" s="137">
        <v>44525</v>
      </c>
      <c r="Y22" s="137">
        <v>47068</v>
      </c>
      <c r="Z22" s="137">
        <v>46010</v>
      </c>
      <c r="AA22" s="137">
        <v>50084</v>
      </c>
      <c r="AB22" s="137">
        <v>45181</v>
      </c>
      <c r="AC22" s="13">
        <v>45308</v>
      </c>
      <c r="AD22" s="13">
        <v>43881</v>
      </c>
      <c r="AE22" s="13">
        <v>45361</v>
      </c>
      <c r="AF22" s="138">
        <v>8.6084722379843281</v>
      </c>
      <c r="AG22" s="138">
        <v>9.1473610930972473</v>
      </c>
      <c r="AH22" s="138">
        <v>7.9454861051506462</v>
      </c>
      <c r="AI22" s="138">
        <v>9.1070833371745064</v>
      </c>
      <c r="AJ22" s="138">
        <v>9.1824305587344508</v>
      </c>
      <c r="AK22" s="138">
        <v>8.5748610860771564</v>
      </c>
      <c r="AL22" s="138">
        <v>8.7966666850778683</v>
      </c>
      <c r="AM22" s="138">
        <v>8.5249999827808676</v>
      </c>
      <c r="AN22" s="138">
        <v>8.4452083441946169</v>
      </c>
      <c r="AO22" s="138">
        <v>8.1390209531450566</v>
      </c>
      <c r="AP22" s="138">
        <v>8.3093749781449588</v>
      </c>
      <c r="AQ22" s="138">
        <v>8.1183333330684206</v>
      </c>
      <c r="AR22" s="138">
        <v>8.1345138814714151</v>
      </c>
      <c r="AS22" s="138">
        <v>8.2361805538336412</v>
      </c>
      <c r="AT22" s="138">
        <v>8.4832638601461987</v>
      </c>
      <c r="AU22" s="138">
        <v>9.1687412662105796</v>
      </c>
      <c r="AV22" s="138">
        <v>9.5176388654443826</v>
      </c>
      <c r="AW22" s="138">
        <v>8.4606249862246994</v>
      </c>
      <c r="AX22" s="138">
        <v>8.8021527859899553</v>
      </c>
      <c r="AY22" s="138">
        <v>8.8149305449591626</v>
      </c>
      <c r="AZ22" s="138">
        <v>8.7621527877118712</v>
      </c>
      <c r="BA22" s="138">
        <v>9.1504167053434475</v>
      </c>
      <c r="BB22" s="138">
        <v>8.4670138822661425</v>
      </c>
      <c r="BC22" s="14">
        <v>8.7845138443840725</v>
      </c>
      <c r="BD22" s="14">
        <v>8.7821527487701676</v>
      </c>
      <c r="BE22" s="14">
        <v>8.4726388951142546</v>
      </c>
      <c r="BF22" s="139">
        <f>SUM(Input_Raw[[#This Row],[O2_01]:[O2_26]])</f>
        <v>1098717</v>
      </c>
      <c r="BG22" s="140">
        <f>IFERROR(AVERAGE(Input_Raw[[#This Row],[WS_O2_01]:[WS_O2_26]]),"")</f>
        <v>8.6513936270192335</v>
      </c>
      <c r="BH22" s="141"/>
      <c r="BI22" s="141"/>
      <c r="BJ22" s="13">
        <v>1060200</v>
      </c>
      <c r="BK22" s="13">
        <v>0</v>
      </c>
      <c r="BL22" s="15">
        <f>Input_Raw[[#This Row],[66 kV_Wind_F1_Export_reading]]-Input_Raw[[#This Row],[66 kV_Wind_F1_Import_reading]]</f>
        <v>1060200</v>
      </c>
      <c r="BM22" s="142">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35">
        <v>1204.55</v>
      </c>
      <c r="BR22" s="207"/>
    </row>
    <row r="23" spans="1:70" ht="15">
      <c r="A23" s="240">
        <f t="shared" si="3"/>
        <v>45763</v>
      </c>
      <c r="B23" s="11">
        <f>YEAR(Input_Raw[[#This Row],[Date]])+IF(MONTH(Input_Raw[[#This Row],[Date]])&gt;=4,1,0)</f>
        <v>2026</v>
      </c>
      <c r="C23" s="11">
        <f>YEAR(Input_Raw[[#This Row],[Date]])</f>
        <v>2025</v>
      </c>
      <c r="D23" s="12">
        <f t="shared" ref="D23:D28" si="6">A23-DAY(A23)+1</f>
        <v>45748</v>
      </c>
      <c r="E23" s="11">
        <f>DAY(EOMONTH(Input_Raw[[#This Row],[Date]],0))</f>
        <v>30</v>
      </c>
      <c r="F23" s="137">
        <v>39687</v>
      </c>
      <c r="G23" s="137">
        <v>43551</v>
      </c>
      <c r="H23" s="137">
        <v>33252</v>
      </c>
      <c r="I23" s="137">
        <v>42754</v>
      </c>
      <c r="J23" s="137">
        <v>39116</v>
      </c>
      <c r="K23" s="137">
        <v>41952</v>
      </c>
      <c r="L23" s="137">
        <v>38923</v>
      </c>
      <c r="M23" s="137">
        <v>32217</v>
      </c>
      <c r="N23" s="137">
        <v>37241</v>
      </c>
      <c r="O23" s="137">
        <v>34029</v>
      </c>
      <c r="P23" s="137">
        <v>37090</v>
      </c>
      <c r="Q23" s="137">
        <v>34156</v>
      </c>
      <c r="R23" s="137">
        <v>33570</v>
      </c>
      <c r="S23" s="137">
        <v>30710</v>
      </c>
      <c r="T23" s="137">
        <v>38531</v>
      </c>
      <c r="U23" s="137">
        <v>37845</v>
      </c>
      <c r="V23" s="137">
        <v>5990</v>
      </c>
      <c r="W23" s="137">
        <v>33986</v>
      </c>
      <c r="X23" s="137">
        <v>39068</v>
      </c>
      <c r="Y23" s="137">
        <v>39760</v>
      </c>
      <c r="Z23" s="137">
        <v>41205</v>
      </c>
      <c r="AA23" s="137">
        <v>46060</v>
      </c>
      <c r="AB23" s="137">
        <v>38562</v>
      </c>
      <c r="AC23" s="13">
        <v>36943</v>
      </c>
      <c r="AD23" s="13">
        <v>33701</v>
      </c>
      <c r="AE23" s="13">
        <v>37850</v>
      </c>
      <c r="AF23" s="138">
        <v>7.8429166939523434</v>
      </c>
      <c r="AG23" s="138">
        <v>8.2334721965922135</v>
      </c>
      <c r="AH23" s="138">
        <v>7.3058333115445215</v>
      </c>
      <c r="AI23" s="138">
        <v>8.2092361185285654</v>
      </c>
      <c r="AJ23" s="138">
        <v>8.2520833346578648</v>
      </c>
      <c r="AK23" s="138">
        <v>8.1929166764020884</v>
      </c>
      <c r="AL23" s="138">
        <v>7.9234721875852898</v>
      </c>
      <c r="AM23" s="138">
        <v>7.8644755120043959</v>
      </c>
      <c r="AN23" s="138">
        <v>7.639305533634289</v>
      </c>
      <c r="AO23" s="138">
        <v>7.36930555105209</v>
      </c>
      <c r="AP23" s="138">
        <v>7.6580555687348015</v>
      </c>
      <c r="AQ23" s="138">
        <v>7.4222222417592958</v>
      </c>
      <c r="AR23" s="138">
        <v>7.3970138976971294</v>
      </c>
      <c r="AS23" s="138">
        <v>7.5143749945693514</v>
      </c>
      <c r="AT23" s="138">
        <v>7.7897222373220627</v>
      </c>
      <c r="AU23" s="138">
        <v>8.0988888740539444</v>
      </c>
      <c r="AV23" s="138">
        <v>8.6369444396760588</v>
      </c>
      <c r="AW23" s="138">
        <v>8.0579166958729402</v>
      </c>
      <c r="AX23" s="138">
        <v>7.9155555615822344</v>
      </c>
      <c r="AY23" s="138">
        <v>8.0107638869020565</v>
      </c>
      <c r="AZ23" s="138">
        <v>8.1520138747162232</v>
      </c>
      <c r="BA23" s="138">
        <v>8.6213194761011192</v>
      </c>
      <c r="BB23" s="138">
        <v>7.7801389131281029</v>
      </c>
      <c r="BC23" s="14">
        <v>7.8828472097714677</v>
      </c>
      <c r="BD23" s="14">
        <v>8.014513873391671</v>
      </c>
      <c r="BE23" s="14">
        <v>7.6637500226497606</v>
      </c>
      <c r="BF23" s="139">
        <f>SUM(Input_Raw[[#This Row],[O2_01]:[O2_26]])</f>
        <v>947749</v>
      </c>
      <c r="BG23" s="140">
        <f>IFERROR(AVERAGE(Input_Raw[[#This Row],[WS_O2_01]:[WS_O2_26]]),"")</f>
        <v>7.9018868801493038</v>
      </c>
      <c r="BH23" s="141"/>
      <c r="BI23" s="141"/>
      <c r="BJ23" s="13">
        <v>913950</v>
      </c>
      <c r="BK23" s="13">
        <v>0</v>
      </c>
      <c r="BL23" s="15">
        <f>Input_Raw[[#This Row],[66 kV_Wind_F1_Export_reading]]-Input_Raw[[#This Row],[66 kV_Wind_F1_Import_reading]]</f>
        <v>913950</v>
      </c>
      <c r="BM23" s="142">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35">
        <v>1042.18</v>
      </c>
      <c r="BR23" s="207"/>
    </row>
    <row r="24" spans="1:70" ht="15">
      <c r="A24" s="240">
        <f t="shared" si="3"/>
        <v>45764</v>
      </c>
      <c r="B24" s="11">
        <f>YEAR(Input_Raw[[#This Row],[Date]])+IF(MONTH(Input_Raw[[#This Row],[Date]])&gt;=4,1,0)</f>
        <v>2026</v>
      </c>
      <c r="C24" s="11">
        <f>YEAR(Input_Raw[[#This Row],[Date]])</f>
        <v>2025</v>
      </c>
      <c r="D24" s="12">
        <f t="shared" si="6"/>
        <v>45748</v>
      </c>
      <c r="E24" s="11">
        <f>DAY(EOMONTH(Input_Raw[[#This Row],[Date]],0))</f>
        <v>30</v>
      </c>
      <c r="F24" s="137">
        <v>36843</v>
      </c>
      <c r="G24" s="137">
        <v>37275</v>
      </c>
      <c r="H24" s="137">
        <v>31117</v>
      </c>
      <c r="I24" s="137">
        <v>40506</v>
      </c>
      <c r="J24" s="137">
        <v>38564</v>
      </c>
      <c r="K24" s="137">
        <v>34183</v>
      </c>
      <c r="L24" s="137">
        <v>36587</v>
      </c>
      <c r="M24" s="137">
        <v>34160</v>
      </c>
      <c r="N24" s="137">
        <v>34958</v>
      </c>
      <c r="O24" s="137">
        <v>25644</v>
      </c>
      <c r="P24" s="137">
        <v>32786</v>
      </c>
      <c r="Q24" s="137">
        <v>27764</v>
      </c>
      <c r="R24" s="137">
        <v>29488</v>
      </c>
      <c r="S24" s="137">
        <v>29808</v>
      </c>
      <c r="T24" s="137">
        <v>32423</v>
      </c>
      <c r="U24" s="137">
        <v>30737</v>
      </c>
      <c r="V24" s="137">
        <v>34358</v>
      </c>
      <c r="W24" s="137">
        <v>33701</v>
      </c>
      <c r="X24" s="137">
        <v>35632</v>
      </c>
      <c r="Y24" s="137">
        <v>33211</v>
      </c>
      <c r="Z24" s="137">
        <v>29664</v>
      </c>
      <c r="AA24" s="137">
        <v>37507</v>
      </c>
      <c r="AB24" s="137">
        <v>35381</v>
      </c>
      <c r="AC24" s="13">
        <v>32115</v>
      </c>
      <c r="AD24" s="13">
        <v>35469</v>
      </c>
      <c r="AE24" s="13">
        <v>36110</v>
      </c>
      <c r="AF24" s="138">
        <v>7.4666666769319043</v>
      </c>
      <c r="AG24" s="138">
        <v>7.8992307673800966</v>
      </c>
      <c r="AH24" s="138">
        <v>6.8693055328395589</v>
      </c>
      <c r="AI24" s="138">
        <v>7.7907638810574831</v>
      </c>
      <c r="AJ24" s="138">
        <v>7.9418749933441397</v>
      </c>
      <c r="AK24" s="138">
        <v>7.1636805666817516</v>
      </c>
      <c r="AL24" s="138">
        <v>7.5518750086840596</v>
      </c>
      <c r="AM24" s="138">
        <v>7.2331250293387246</v>
      </c>
      <c r="AN24" s="138">
        <v>7.2426389149493575</v>
      </c>
      <c r="AO24" s="138">
        <v>6.3554860966073132</v>
      </c>
      <c r="AP24" s="138">
        <v>7.1822222247719703</v>
      </c>
      <c r="AQ24" s="138">
        <v>7.0022222027182552</v>
      </c>
      <c r="AR24" s="138">
        <v>6.7729861167026666</v>
      </c>
      <c r="AS24" s="138">
        <v>6.8229861114588042</v>
      </c>
      <c r="AT24" s="138">
        <v>6.9756944303711244</v>
      </c>
      <c r="AU24" s="138">
        <v>7.0449305615491298</v>
      </c>
      <c r="AV24" s="138">
        <v>7.173402744862762</v>
      </c>
      <c r="AW24" s="138">
        <v>7.0145833219091074</v>
      </c>
      <c r="AX24" s="138">
        <v>7.2395833296080339</v>
      </c>
      <c r="AY24" s="138">
        <v>7.1526389117870046</v>
      </c>
      <c r="AZ24" s="138">
        <v>6.9462237533155839</v>
      </c>
      <c r="BA24" s="138">
        <v>7.5787412778480823</v>
      </c>
      <c r="BB24" s="138">
        <v>7.2679861262440619</v>
      </c>
      <c r="BC24" s="14">
        <v>7.1542361196544375</v>
      </c>
      <c r="BD24" s="14">
        <v>7.6755555665327346</v>
      </c>
      <c r="BE24" s="14">
        <v>7.2931249986092199</v>
      </c>
      <c r="BF24" s="139">
        <f>SUM(Input_Raw[[#This Row],[O2_01]:[O2_26]])</f>
        <v>875991</v>
      </c>
      <c r="BG24" s="140">
        <f>IFERROR(AVERAGE(Input_Raw[[#This Row],[WS_O2_01]:[WS_O2_26]]),"")</f>
        <v>7.2235294332983582</v>
      </c>
      <c r="BH24" s="141"/>
      <c r="BI24" s="141"/>
      <c r="BJ24" s="13">
        <v>845100</v>
      </c>
      <c r="BK24" s="13">
        <v>450</v>
      </c>
      <c r="BL24" s="15">
        <f>Input_Raw[[#This Row],[66 kV_Wind_F1_Export_reading]]-Input_Raw[[#This Row],[66 kV_Wind_F1_Import_reading]]</f>
        <v>844650</v>
      </c>
      <c r="BM24" s="142">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35">
        <v>924.98</v>
      </c>
      <c r="BR24" s="207"/>
    </row>
    <row r="25" spans="1:70" ht="15">
      <c r="A25" s="240">
        <f t="shared" si="3"/>
        <v>45765</v>
      </c>
      <c r="B25" s="11">
        <f>YEAR(Input_Raw[[#This Row],[Date]])+IF(MONTH(Input_Raw[[#This Row],[Date]])&gt;=4,1,0)</f>
        <v>2026</v>
      </c>
      <c r="C25" s="11">
        <f>YEAR(Input_Raw[[#This Row],[Date]])</f>
        <v>2025</v>
      </c>
      <c r="D25" s="12">
        <f t="shared" si="6"/>
        <v>45748</v>
      </c>
      <c r="E25" s="11">
        <f>DAY(EOMONTH(Input_Raw[[#This Row],[Date]],0))</f>
        <v>30</v>
      </c>
      <c r="F25" s="137">
        <v>34294</v>
      </c>
      <c r="G25" s="137">
        <v>34912</v>
      </c>
      <c r="H25" s="137">
        <v>27346</v>
      </c>
      <c r="I25" s="137">
        <v>45131</v>
      </c>
      <c r="J25" s="137">
        <v>34316</v>
      </c>
      <c r="K25" s="137">
        <v>28245</v>
      </c>
      <c r="L25" s="137">
        <v>45438</v>
      </c>
      <c r="M25" s="137">
        <v>32009</v>
      </c>
      <c r="N25" s="137">
        <v>31138</v>
      </c>
      <c r="O25" s="137">
        <v>26881</v>
      </c>
      <c r="P25" s="137">
        <v>28371</v>
      </c>
      <c r="Q25" s="137">
        <v>30866</v>
      </c>
      <c r="R25" s="137">
        <v>28163</v>
      </c>
      <c r="S25" s="137">
        <v>29384</v>
      </c>
      <c r="T25" s="137">
        <v>31417</v>
      </c>
      <c r="U25" s="137">
        <v>34039</v>
      </c>
      <c r="V25" s="137">
        <v>42599</v>
      </c>
      <c r="W25" s="137">
        <v>31599</v>
      </c>
      <c r="X25" s="137">
        <v>40021</v>
      </c>
      <c r="Y25" s="137">
        <v>34801</v>
      </c>
      <c r="Z25" s="137">
        <v>31662</v>
      </c>
      <c r="AA25" s="137">
        <v>36369</v>
      </c>
      <c r="AB25" s="137">
        <v>32033</v>
      </c>
      <c r="AC25" s="13">
        <v>31520</v>
      </c>
      <c r="AD25" s="13">
        <v>28659</v>
      </c>
      <c r="AE25" s="13">
        <v>32826</v>
      </c>
      <c r="AF25" s="138">
        <v>7.637847228182677</v>
      </c>
      <c r="AG25" s="138">
        <v>8.3981249961588063</v>
      </c>
      <c r="AH25" s="138">
        <v>6.868333338035475</v>
      </c>
      <c r="AI25" s="138">
        <v>8.6183333761162189</v>
      </c>
      <c r="AJ25" s="138">
        <v>8.4024999903307993</v>
      </c>
      <c r="AK25" s="138">
        <v>7.2827083439462683</v>
      </c>
      <c r="AL25" s="138">
        <v>8.6866666674613846</v>
      </c>
      <c r="AM25" s="138">
        <v>7.3904166420300754</v>
      </c>
      <c r="AN25" s="138">
        <v>7.2176388833257823</v>
      </c>
      <c r="AO25" s="138">
        <v>7.0017361144224788</v>
      </c>
      <c r="AP25" s="138">
        <v>7.2240277727444937</v>
      </c>
      <c r="AQ25" s="138">
        <v>7.2451389034589067</v>
      </c>
      <c r="AR25" s="138">
        <v>7.0875000059604609</v>
      </c>
      <c r="AS25" s="138">
        <v>7.1581249866220666</v>
      </c>
      <c r="AT25" s="138">
        <v>7.3379861017068198</v>
      </c>
      <c r="AU25" s="138">
        <v>7.7957638998826297</v>
      </c>
      <c r="AV25" s="138">
        <v>8.4906944268279521</v>
      </c>
      <c r="AW25" s="138">
        <v>7.2439583440621647</v>
      </c>
      <c r="AX25" s="138">
        <v>8.1028472416930661</v>
      </c>
      <c r="AY25" s="138">
        <v>7.7814583546585441</v>
      </c>
      <c r="AZ25" s="138">
        <v>7.5027777751286813</v>
      </c>
      <c r="BA25" s="138">
        <v>7.9106250173515713</v>
      </c>
      <c r="BB25" s="138">
        <v>7.3529166777928578</v>
      </c>
      <c r="BC25" s="14">
        <v>7.8791666958067106</v>
      </c>
      <c r="BD25" s="14">
        <v>8.1398611068725533</v>
      </c>
      <c r="BE25" s="14">
        <v>7.4213194549083648</v>
      </c>
      <c r="BF25" s="139">
        <f>SUM(Input_Raw[[#This Row],[O2_01]:[O2_26]])</f>
        <v>864039</v>
      </c>
      <c r="BG25" s="140">
        <f>IFERROR(AVERAGE(Input_Raw[[#This Row],[WS_O2_01]:[WS_O2_26]]),"")</f>
        <v>7.6607104748264545</v>
      </c>
      <c r="BH25" s="141"/>
      <c r="BI25" s="141"/>
      <c r="BJ25" s="13">
        <v>836550</v>
      </c>
      <c r="BK25" s="13">
        <v>0</v>
      </c>
      <c r="BL25" s="15">
        <f>Input_Raw[[#This Row],[66 kV_Wind_F1_Export_reading]]-Input_Raw[[#This Row],[66 kV_Wind_F1_Import_reading]]</f>
        <v>836550</v>
      </c>
      <c r="BM25" s="142">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35">
        <v>946.76</v>
      </c>
      <c r="BR25" s="207"/>
    </row>
    <row r="26" spans="1:70" ht="15">
      <c r="A26" s="240">
        <f t="shared" si="3"/>
        <v>45766</v>
      </c>
      <c r="B26" s="11">
        <f>YEAR(Input_Raw[[#This Row],[Date]])+IF(MONTH(Input_Raw[[#This Row],[Date]])&gt;=4,1,0)</f>
        <v>2026</v>
      </c>
      <c r="C26" s="11">
        <f>YEAR(Input_Raw[[#This Row],[Date]])</f>
        <v>2025</v>
      </c>
      <c r="D26" s="12">
        <f t="shared" si="6"/>
        <v>45748</v>
      </c>
      <c r="E26" s="11">
        <f>DAY(EOMONTH(Input_Raw[[#This Row],[Date]],0))</f>
        <v>30</v>
      </c>
      <c r="F26" s="137">
        <v>39027</v>
      </c>
      <c r="G26" s="137">
        <v>53626</v>
      </c>
      <c r="H26" s="137">
        <v>42200</v>
      </c>
      <c r="I26" s="137">
        <v>51178</v>
      </c>
      <c r="J26" s="137">
        <v>48525</v>
      </c>
      <c r="K26" s="137">
        <v>46454</v>
      </c>
      <c r="L26" s="137">
        <v>45064</v>
      </c>
      <c r="M26" s="137">
        <v>39407</v>
      </c>
      <c r="N26" s="137">
        <v>45465</v>
      </c>
      <c r="O26" s="137">
        <v>44515</v>
      </c>
      <c r="P26" s="137">
        <v>45528</v>
      </c>
      <c r="Q26" s="137">
        <v>44692</v>
      </c>
      <c r="R26" s="137">
        <v>38827</v>
      </c>
      <c r="S26" s="137">
        <v>42355</v>
      </c>
      <c r="T26" s="137">
        <v>46436</v>
      </c>
      <c r="U26" s="137">
        <v>44394</v>
      </c>
      <c r="V26" s="137">
        <v>46112</v>
      </c>
      <c r="W26" s="137">
        <v>32014</v>
      </c>
      <c r="X26" s="137">
        <v>49651</v>
      </c>
      <c r="Y26" s="137">
        <v>46167</v>
      </c>
      <c r="Z26" s="137">
        <v>45633</v>
      </c>
      <c r="AA26" s="137">
        <v>46701</v>
      </c>
      <c r="AB26" s="137">
        <v>45695</v>
      </c>
      <c r="AC26" s="13">
        <v>45796</v>
      </c>
      <c r="AD26" s="13">
        <v>37623</v>
      </c>
      <c r="AE26" s="13">
        <v>45701</v>
      </c>
      <c r="AF26" s="138">
        <v>8.9352083305517773</v>
      </c>
      <c r="AG26" s="138">
        <v>9.3668055733044877</v>
      </c>
      <c r="AH26" s="138">
        <v>8.5899305608537375</v>
      </c>
      <c r="AI26" s="138">
        <v>9.26263883709907</v>
      </c>
      <c r="AJ26" s="138">
        <v>9.2918055570787796</v>
      </c>
      <c r="AK26" s="138">
        <v>8.9084027376439749</v>
      </c>
      <c r="AL26" s="138">
        <v>8.7253472573227313</v>
      </c>
      <c r="AM26" s="138">
        <v>8.4040972325536885</v>
      </c>
      <c r="AN26" s="138">
        <v>8.7478471961286246</v>
      </c>
      <c r="AO26" s="138">
        <v>8.7139583362473321</v>
      </c>
      <c r="AP26" s="138">
        <v>8.8479166825612285</v>
      </c>
      <c r="AQ26" s="138">
        <v>8.7184028128782831</v>
      </c>
      <c r="AR26" s="138">
        <v>8.2669444183508531</v>
      </c>
      <c r="AS26" s="138">
        <v>8.6297916803095021</v>
      </c>
      <c r="AT26" s="138">
        <v>8.8724305861525963</v>
      </c>
      <c r="AU26" s="138">
        <v>9.0203472210301197</v>
      </c>
      <c r="AV26" s="138">
        <v>8.9456250071525485</v>
      </c>
      <c r="AW26" s="138">
        <v>9.3123611178662937</v>
      </c>
      <c r="AX26" s="138">
        <v>9.1511111226346689</v>
      </c>
      <c r="AY26" s="138">
        <v>9.0034722122881092</v>
      </c>
      <c r="AZ26" s="138">
        <v>8.9361805584695517</v>
      </c>
      <c r="BA26" s="138">
        <v>9.05374997523095</v>
      </c>
      <c r="BB26" s="138">
        <v>8.8845139079623685</v>
      </c>
      <c r="BC26" s="14">
        <v>8.9090277618831966</v>
      </c>
      <c r="BD26" s="14">
        <v>9.2600694563653665</v>
      </c>
      <c r="BE26" s="14">
        <v>8.7713889115386436</v>
      </c>
      <c r="BF26" s="139">
        <f>SUM(Input_Raw[[#This Row],[O2_01]:[O2_26]])</f>
        <v>1158786</v>
      </c>
      <c r="BG26" s="140">
        <f>IFERROR(AVERAGE(Input_Raw[[#This Row],[WS_O2_01]:[WS_O2_26]]),"")</f>
        <v>8.9049759635176322</v>
      </c>
      <c r="BH26" s="141"/>
      <c r="BI26" s="141"/>
      <c r="BJ26" s="13">
        <v>1118700</v>
      </c>
      <c r="BK26" s="13">
        <v>0</v>
      </c>
      <c r="BL26" s="15">
        <f>Input_Raw[[#This Row],[66 kV_Wind_F1_Export_reading]]-Input_Raw[[#This Row],[66 kV_Wind_F1_Import_reading]]</f>
        <v>1118700</v>
      </c>
      <c r="BM26" s="142">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35">
        <v>1285.97</v>
      </c>
      <c r="BR26" s="207"/>
    </row>
    <row r="27" spans="1:70" ht="15">
      <c r="A27" s="240">
        <f t="shared" si="3"/>
        <v>45767</v>
      </c>
      <c r="B27" s="11">
        <f>YEAR(Input_Raw[[#This Row],[Date]])+IF(MONTH(Input_Raw[[#This Row],[Date]])&gt;=4,1,0)</f>
        <v>2026</v>
      </c>
      <c r="C27" s="11">
        <f>YEAR(Input_Raw[[#This Row],[Date]])</f>
        <v>2025</v>
      </c>
      <c r="D27" s="12">
        <f t="shared" si="6"/>
        <v>45748</v>
      </c>
      <c r="E27" s="11">
        <f>DAY(EOMONTH(Input_Raw[[#This Row],[Date]],0))</f>
        <v>30</v>
      </c>
      <c r="F27" s="221">
        <v>24919</v>
      </c>
      <c r="G27" s="221">
        <v>30555</v>
      </c>
      <c r="H27" s="221">
        <v>22769</v>
      </c>
      <c r="I27" s="221">
        <v>30756</v>
      </c>
      <c r="J27" s="221">
        <v>30469</v>
      </c>
      <c r="K27" s="221">
        <v>30187</v>
      </c>
      <c r="L27" s="221">
        <v>26515</v>
      </c>
      <c r="M27" s="221">
        <v>23102</v>
      </c>
      <c r="N27" s="221">
        <v>24698</v>
      </c>
      <c r="O27" s="221">
        <v>25632</v>
      </c>
      <c r="P27" s="221">
        <v>27364</v>
      </c>
      <c r="Q27" s="221">
        <v>27081</v>
      </c>
      <c r="R27" s="221">
        <v>22181</v>
      </c>
      <c r="S27" s="221">
        <v>25432</v>
      </c>
      <c r="T27" s="221">
        <v>28875</v>
      </c>
      <c r="U27" s="221">
        <v>27432</v>
      </c>
      <c r="V27" s="221">
        <v>31607</v>
      </c>
      <c r="W27" s="221">
        <v>26006</v>
      </c>
      <c r="X27" s="221">
        <v>30730</v>
      </c>
      <c r="Y27" s="221">
        <v>28383</v>
      </c>
      <c r="Z27" s="221">
        <v>29926</v>
      </c>
      <c r="AA27" s="221">
        <v>28894</v>
      </c>
      <c r="AB27" s="221">
        <v>26129</v>
      </c>
      <c r="AC27" s="222">
        <v>26522</v>
      </c>
      <c r="AD27" s="222">
        <v>30437</v>
      </c>
      <c r="AE27" s="222">
        <v>22337</v>
      </c>
      <c r="AF27" s="223">
        <v>6.8325694534513675</v>
      </c>
      <c r="AG27" s="223">
        <v>7.0727083186308537</v>
      </c>
      <c r="AH27" s="223">
        <v>6.3584027654594841</v>
      </c>
      <c r="AI27" s="223">
        <v>7.1445138802130987</v>
      </c>
      <c r="AJ27" s="223">
        <v>7.1428472151358893</v>
      </c>
      <c r="AK27" s="223">
        <v>7.1264583269755031</v>
      </c>
      <c r="AL27" s="223">
        <v>6.7780555652247525</v>
      </c>
      <c r="AM27" s="223">
        <v>6.4126389159096604</v>
      </c>
      <c r="AN27" s="223">
        <v>6.6050694402721186</v>
      </c>
      <c r="AO27" s="223">
        <v>6.5861111217074919</v>
      </c>
      <c r="AP27" s="223">
        <v>6.837222236726018</v>
      </c>
      <c r="AQ27" s="223">
        <v>6.7897901918504617</v>
      </c>
      <c r="AR27" s="223">
        <v>6.4397202605134112</v>
      </c>
      <c r="AS27" s="223">
        <v>6.6311805488334752</v>
      </c>
      <c r="AT27" s="223">
        <v>6.9379860775338269</v>
      </c>
      <c r="AU27" s="223">
        <v>7.0153147023874549</v>
      </c>
      <c r="AV27" s="223">
        <v>7.2005555362751057</v>
      </c>
      <c r="AW27" s="223">
        <v>7.068181836521708</v>
      </c>
      <c r="AX27" s="223">
        <v>7.0188194364309284</v>
      </c>
      <c r="AY27" s="223">
        <v>7.0671527849303351</v>
      </c>
      <c r="AZ27" s="223">
        <v>7.1595833450555784</v>
      </c>
      <c r="BA27" s="223">
        <v>7.1419444249735919</v>
      </c>
      <c r="BB27" s="223">
        <v>6.7000000029802314</v>
      </c>
      <c r="BC27" s="224">
        <v>6.8062499728467722</v>
      </c>
      <c r="BD27" s="224">
        <v>7.0358333455191708</v>
      </c>
      <c r="BE27" s="224">
        <v>6.3571527782413684</v>
      </c>
      <c r="BF27" s="225">
        <f>SUM(Input_Raw[[#This Row],[O2_01]:[O2_26]])</f>
        <v>708938</v>
      </c>
      <c r="BG27" s="226">
        <f>IFERROR(AVERAGE(Input_Raw[[#This Row],[WS_O2_01]:[WS_O2_26]]),"")</f>
        <v>6.856387018638447</v>
      </c>
      <c r="BH27" s="227"/>
      <c r="BI27" s="227"/>
      <c r="BJ27" s="222">
        <v>687150</v>
      </c>
      <c r="BK27" s="222">
        <v>0</v>
      </c>
      <c r="BL27" s="228">
        <f>Input_Raw[[#This Row],[66 kV_Wind_F1_Export_reading]]-Input_Raw[[#This Row],[66 kV_Wind_F1_Import_reading]]</f>
        <v>687150</v>
      </c>
      <c r="BM27" s="229">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230">
        <v>742.63</v>
      </c>
      <c r="BR27" s="231"/>
    </row>
    <row r="28" spans="1:70" ht="15">
      <c r="A28" s="240">
        <f t="shared" si="3"/>
        <v>45768</v>
      </c>
      <c r="B28" s="11">
        <f>YEAR(Input_Raw[[#This Row],[Date]])+IF(MONTH(Input_Raw[[#This Row],[Date]])&gt;=4,1,0)</f>
        <v>2026</v>
      </c>
      <c r="C28" s="11">
        <f>YEAR(Input_Raw[[#This Row],[Date]])</f>
        <v>2025</v>
      </c>
      <c r="D28" s="12">
        <f t="shared" si="6"/>
        <v>45748</v>
      </c>
      <c r="E28" s="11">
        <f>DAY(EOMONTH(Input_Raw[[#This Row],[Date]],0))</f>
        <v>30</v>
      </c>
      <c r="F28" s="137">
        <v>9337</v>
      </c>
      <c r="G28" s="137">
        <v>9782</v>
      </c>
      <c r="H28" s="137">
        <v>9730</v>
      </c>
      <c r="I28" s="137">
        <v>15664</v>
      </c>
      <c r="J28" s="137">
        <v>12194</v>
      </c>
      <c r="K28" s="137">
        <v>11266</v>
      </c>
      <c r="L28" s="137">
        <v>14994</v>
      </c>
      <c r="M28" s="137">
        <v>7248</v>
      </c>
      <c r="N28" s="137">
        <v>11238</v>
      </c>
      <c r="O28" s="137">
        <v>8551</v>
      </c>
      <c r="P28" s="137">
        <v>6599</v>
      </c>
      <c r="Q28" s="137">
        <v>9575</v>
      </c>
      <c r="R28" s="137">
        <v>9644</v>
      </c>
      <c r="S28" s="137">
        <v>9107</v>
      </c>
      <c r="T28" s="137">
        <v>9913</v>
      </c>
      <c r="U28" s="137">
        <v>9599</v>
      </c>
      <c r="V28" s="137">
        <v>13528</v>
      </c>
      <c r="W28" s="137">
        <v>11087</v>
      </c>
      <c r="X28" s="137">
        <v>12704</v>
      </c>
      <c r="Y28" s="137">
        <v>11274</v>
      </c>
      <c r="Z28" s="137">
        <v>9310</v>
      </c>
      <c r="AA28" s="137">
        <v>12120</v>
      </c>
      <c r="AB28" s="137">
        <v>11189</v>
      </c>
      <c r="AC28" s="13">
        <v>11760</v>
      </c>
      <c r="AD28" s="13">
        <v>11595</v>
      </c>
      <c r="AE28" s="13">
        <v>7446</v>
      </c>
      <c r="AF28" s="138">
        <v>5.6225609866584207</v>
      </c>
      <c r="AG28" s="138">
        <v>5.7542168756565406</v>
      </c>
      <c r="AH28" s="138">
        <v>4.5597080253336539</v>
      </c>
      <c r="AI28" s="138">
        <v>5.2229861087269249</v>
      </c>
      <c r="AJ28" s="138">
        <v>6.1470731591306071</v>
      </c>
      <c r="AK28" s="138">
        <v>4.8551388863060199</v>
      </c>
      <c r="AL28" s="138">
        <v>5.1047222452859078</v>
      </c>
      <c r="AM28" s="138">
        <v>5.0915853192166569</v>
      </c>
      <c r="AN28" s="138">
        <v>4.8306569635432997</v>
      </c>
      <c r="AO28" s="138">
        <v>4.3584671559995094</v>
      </c>
      <c r="AP28" s="138">
        <v>4.728014722466467</v>
      </c>
      <c r="AQ28" s="138">
        <v>4.6615217397178421</v>
      </c>
      <c r="AR28" s="138">
        <v>4.5958695636279323</v>
      </c>
      <c r="AS28" s="138">
        <v>4.5662773734461632</v>
      </c>
      <c r="AT28" s="138">
        <v>4.6028467120915426</v>
      </c>
      <c r="AU28" s="138">
        <v>5.0521527706748905</v>
      </c>
      <c r="AV28" s="138">
        <v>4.9259027780758</v>
      </c>
      <c r="AW28" s="138">
        <v>4.6639583524730464</v>
      </c>
      <c r="AX28" s="138">
        <v>4.8502083271741858</v>
      </c>
      <c r="AY28" s="138">
        <v>4.8540278052290269</v>
      </c>
      <c r="AZ28" s="138">
        <v>4.4858333327704001</v>
      </c>
      <c r="BA28" s="138">
        <v>4.9747916749782028</v>
      </c>
      <c r="BB28" s="138">
        <v>4.8434306722487834</v>
      </c>
      <c r="BC28" s="14">
        <v>4.9052083450886927</v>
      </c>
      <c r="BD28" s="14">
        <v>6.0381707200189911</v>
      </c>
      <c r="BE28" s="14">
        <v>5.062771099159515</v>
      </c>
      <c r="BF28" s="139">
        <f>SUM(Input_Raw[[#This Row],[O2_01]:[O2_26]])</f>
        <v>276454</v>
      </c>
      <c r="BG28" s="140">
        <f>IFERROR(AVERAGE(Input_Raw[[#This Row],[WS_O2_01]:[WS_O2_26]]),"")</f>
        <v>4.9753116044268859</v>
      </c>
      <c r="BH28" s="141"/>
      <c r="BI28" s="141"/>
      <c r="BJ28" s="13">
        <v>267300</v>
      </c>
      <c r="BK28" s="13">
        <v>0</v>
      </c>
      <c r="BL28" s="15">
        <f>Input_Raw[[#This Row],[66 kV_Wind_F1_Export_reading]]-Input_Raw[[#This Row],[66 kV_Wind_F1_Import_reading]]</f>
        <v>267300</v>
      </c>
      <c r="BM28" s="142">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35">
        <v>287.24</v>
      </c>
      <c r="BR28" s="207"/>
    </row>
    <row r="29" spans="1:70" ht="15">
      <c r="A29" s="240">
        <f t="shared" si="3"/>
        <v>45769</v>
      </c>
      <c r="B29" s="11">
        <f>YEAR(Input_Raw[[#This Row],[Date]])+IF(MONTH(Input_Raw[[#This Row],[Date]])&gt;=4,1,0)</f>
        <v>2026</v>
      </c>
      <c r="C29" s="11">
        <f>YEAR(Input_Raw[[#This Row],[Date]])</f>
        <v>2025</v>
      </c>
      <c r="D29" s="12">
        <f t="shared" ref="D29:D34" si="7">A29-DAY(A29)+1</f>
        <v>45748</v>
      </c>
      <c r="E29" s="11">
        <f>DAY(EOMONTH(Input_Raw[[#This Row],[Date]],0))</f>
        <v>30</v>
      </c>
      <c r="F29" s="137">
        <v>13330</v>
      </c>
      <c r="G29" s="137">
        <v>17425</v>
      </c>
      <c r="H29" s="137">
        <v>13108</v>
      </c>
      <c r="I29" s="137">
        <v>17013</v>
      </c>
      <c r="J29" s="137">
        <v>17905</v>
      </c>
      <c r="K29" s="137">
        <v>10599</v>
      </c>
      <c r="L29" s="137">
        <v>11872</v>
      </c>
      <c r="M29" s="137">
        <v>11512</v>
      </c>
      <c r="N29" s="137">
        <v>13364</v>
      </c>
      <c r="O29" s="137">
        <v>12763</v>
      </c>
      <c r="P29" s="137">
        <v>1075</v>
      </c>
      <c r="Q29" s="137">
        <v>12585</v>
      </c>
      <c r="R29" s="137">
        <v>11275</v>
      </c>
      <c r="S29" s="137">
        <v>13494</v>
      </c>
      <c r="T29" s="137">
        <v>14815</v>
      </c>
      <c r="U29" s="137">
        <v>13908</v>
      </c>
      <c r="V29" s="137">
        <v>17560</v>
      </c>
      <c r="W29" s="137">
        <v>12546</v>
      </c>
      <c r="X29" s="137">
        <v>13070</v>
      </c>
      <c r="Y29" s="137">
        <v>12585</v>
      </c>
      <c r="Z29" s="137">
        <v>9979</v>
      </c>
      <c r="AA29" s="137">
        <v>12902</v>
      </c>
      <c r="AB29" s="137">
        <v>13128</v>
      </c>
      <c r="AC29" s="13">
        <v>14134</v>
      </c>
      <c r="AD29" s="13">
        <v>17975</v>
      </c>
      <c r="AE29" s="13">
        <v>12251</v>
      </c>
      <c r="AF29" s="138">
        <v>5.3520567467872127</v>
      </c>
      <c r="AG29" s="138">
        <v>5.4820138795508271</v>
      </c>
      <c r="AH29" s="138">
        <v>5.0576389067702818</v>
      </c>
      <c r="AI29" s="138">
        <v>5.8486290324118819</v>
      </c>
      <c r="AJ29" s="138">
        <v>5.6060416648785267</v>
      </c>
      <c r="AK29" s="138">
        <v>4.8199290755792701</v>
      </c>
      <c r="AL29" s="138">
        <v>5.1763492264444855</v>
      </c>
      <c r="AM29" s="138">
        <v>4.8684027964870129</v>
      </c>
      <c r="AN29" s="138">
        <v>5.1595138998495198</v>
      </c>
      <c r="AO29" s="138">
        <v>5.1080555435683976</v>
      </c>
      <c r="AP29" s="138">
        <v>5.3994405572335191</v>
      </c>
      <c r="AQ29" s="138">
        <v>5.0492361187934858</v>
      </c>
      <c r="AR29" s="138">
        <v>4.9237500056624404</v>
      </c>
      <c r="AS29" s="138">
        <v>5.1631944461001282</v>
      </c>
      <c r="AT29" s="138">
        <v>5.3535416622956582</v>
      </c>
      <c r="AU29" s="138">
        <v>5.3234042478791359</v>
      </c>
      <c r="AV29" s="138">
        <v>5.5097872323178221</v>
      </c>
      <c r="AW29" s="138">
        <v>4.9448936120838134</v>
      </c>
      <c r="AX29" s="138">
        <v>5.219274215159877</v>
      </c>
      <c r="AY29" s="138">
        <v>5.1947517936111334</v>
      </c>
      <c r="AZ29" s="138">
        <v>4.7258155937735902</v>
      </c>
      <c r="BA29" s="138">
        <v>5.207304975665207</v>
      </c>
      <c r="BB29" s="138">
        <v>5.1302083482344933</v>
      </c>
      <c r="BC29" s="14">
        <v>5.2644680789176448</v>
      </c>
      <c r="BD29" s="14">
        <v>5.6368750019205933</v>
      </c>
      <c r="BE29" s="14">
        <v>4.9868055383364354</v>
      </c>
      <c r="BF29" s="139">
        <f>SUM(Input_Raw[[#This Row],[O2_01]:[O2_26]])</f>
        <v>342173</v>
      </c>
      <c r="BG29" s="140">
        <f>IFERROR(AVERAGE(Input_Raw[[#This Row],[WS_O2_01]:[WS_O2_26]]),"")</f>
        <v>5.2119762384735528</v>
      </c>
      <c r="BH29" s="141"/>
      <c r="BI29" s="141"/>
      <c r="BJ29" s="13">
        <v>332100</v>
      </c>
      <c r="BK29" s="13">
        <v>0</v>
      </c>
      <c r="BL29" s="15">
        <f>Input_Raw[[#This Row],[66 kV_Wind_F1_Export_reading]]-Input_Raw[[#This Row],[66 kV_Wind_F1_Import_reading]]</f>
        <v>332100</v>
      </c>
      <c r="BM29" s="142">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35">
        <v>353.11</v>
      </c>
      <c r="BR29" s="207"/>
    </row>
    <row r="30" spans="1:70" ht="15">
      <c r="A30" s="240">
        <f t="shared" si="3"/>
        <v>45770</v>
      </c>
      <c r="B30" s="11">
        <f>YEAR(Input_Raw[[#This Row],[Date]])+IF(MONTH(Input_Raw[[#This Row],[Date]])&gt;=4,1,0)</f>
        <v>2026</v>
      </c>
      <c r="C30" s="11">
        <f>YEAR(Input_Raw[[#This Row],[Date]])</f>
        <v>2025</v>
      </c>
      <c r="D30" s="12">
        <f t="shared" si="7"/>
        <v>45748</v>
      </c>
      <c r="E30" s="11">
        <f>DAY(EOMONTH(Input_Raw[[#This Row],[Date]],0))</f>
        <v>30</v>
      </c>
      <c r="F30" s="254">
        <v>16960</v>
      </c>
      <c r="G30" s="254">
        <v>21906</v>
      </c>
      <c r="H30" s="254">
        <v>18529</v>
      </c>
      <c r="I30" s="254">
        <v>21315</v>
      </c>
      <c r="J30" s="254">
        <v>22924</v>
      </c>
      <c r="K30" s="254">
        <v>18174</v>
      </c>
      <c r="L30" s="254">
        <v>18316</v>
      </c>
      <c r="M30" s="254">
        <v>12455</v>
      </c>
      <c r="N30" s="254">
        <v>18013</v>
      </c>
      <c r="O30" s="254">
        <v>16676</v>
      </c>
      <c r="P30" s="254">
        <v>10518</v>
      </c>
      <c r="Q30" s="254">
        <v>18749</v>
      </c>
      <c r="R30" s="254">
        <v>17915</v>
      </c>
      <c r="S30" s="254">
        <v>18765</v>
      </c>
      <c r="T30" s="254">
        <v>20642</v>
      </c>
      <c r="U30" s="254">
        <v>20193</v>
      </c>
      <c r="V30" s="254">
        <v>25074</v>
      </c>
      <c r="W30" s="254">
        <v>14474</v>
      </c>
      <c r="X30" s="254">
        <v>20286</v>
      </c>
      <c r="Y30" s="254">
        <v>18572</v>
      </c>
      <c r="Z30" s="254">
        <v>16989</v>
      </c>
      <c r="AA30" s="254">
        <v>19787</v>
      </c>
      <c r="AB30" s="254">
        <v>19115</v>
      </c>
      <c r="AC30" s="255">
        <v>20098</v>
      </c>
      <c r="AD30" s="255">
        <v>20542</v>
      </c>
      <c r="AE30" s="255">
        <v>13113</v>
      </c>
      <c r="AF30" s="256">
        <v>5.46652778238058</v>
      </c>
      <c r="AG30" s="256">
        <v>5.7305555749270649</v>
      </c>
      <c r="AH30" s="256">
        <v>5.6083333326710587</v>
      </c>
      <c r="AI30" s="256">
        <v>5.7503472210632411</v>
      </c>
      <c r="AJ30" s="256">
        <v>5.9512500125500862</v>
      </c>
      <c r="AK30" s="256">
        <v>5.6327083127366162</v>
      </c>
      <c r="AL30" s="256">
        <v>5.4509722168246872</v>
      </c>
      <c r="AM30" s="256">
        <v>4.8827083342605162</v>
      </c>
      <c r="AN30" s="256">
        <v>5.6152083426713935</v>
      </c>
      <c r="AO30" s="256">
        <v>5.4491666770643654</v>
      </c>
      <c r="AP30" s="256">
        <v>6.0307746479209028</v>
      </c>
      <c r="AQ30" s="256">
        <v>5.7333333359824277</v>
      </c>
      <c r="AR30" s="256">
        <v>5.6360416834553071</v>
      </c>
      <c r="AS30" s="256">
        <v>5.7172916440500146</v>
      </c>
      <c r="AT30" s="256">
        <v>5.8374999993377257</v>
      </c>
      <c r="AU30" s="256">
        <v>5.8208333485656309</v>
      </c>
      <c r="AV30" s="256">
        <v>6.1107639140552932</v>
      </c>
      <c r="AW30" s="256">
        <v>5.522361119588215</v>
      </c>
      <c r="AX30" s="256">
        <v>5.4928472364942227</v>
      </c>
      <c r="AY30" s="256">
        <v>5.731736096243063</v>
      </c>
      <c r="AZ30" s="256">
        <v>5.6434027916855278</v>
      </c>
      <c r="BA30" s="256">
        <v>5.8226389065384856</v>
      </c>
      <c r="BB30" s="256">
        <v>5.7935416681898957</v>
      </c>
      <c r="BC30" s="257">
        <v>5.8375000208616248</v>
      </c>
      <c r="BD30" s="257">
        <v>5.6965972433487568</v>
      </c>
      <c r="BE30" s="257">
        <v>4.9991666467653371</v>
      </c>
      <c r="BF30" s="258">
        <f>SUM(Input_Raw[[#This Row],[O2_01]:[O2_26]])</f>
        <v>480100</v>
      </c>
      <c r="BG30" s="259">
        <f>IFERROR(AVERAGE(Input_Raw[[#This Row],[WS_O2_01]:[WS_O2_26]]),"")</f>
        <v>5.6524656965473854</v>
      </c>
      <c r="BH30" s="260"/>
      <c r="BI30" s="260"/>
      <c r="BJ30" s="255">
        <v>464400</v>
      </c>
      <c r="BK30" s="255">
        <v>0</v>
      </c>
      <c r="BL30" s="261">
        <f>Input_Raw[[#This Row],[66 kV_Wind_F1_Export_reading]]-Input_Raw[[#This Row],[66 kV_Wind_F1_Import_reading]]</f>
        <v>464400</v>
      </c>
      <c r="BM30" s="262">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263">
        <v>502.87</v>
      </c>
      <c r="BR30" s="264"/>
    </row>
    <row r="31" spans="1:70" ht="15">
      <c r="A31" s="240">
        <f t="shared" si="3"/>
        <v>45771</v>
      </c>
      <c r="B31" s="11">
        <f>YEAR(Input_Raw[[#This Row],[Date]])+IF(MONTH(Input_Raw[[#This Row],[Date]])&gt;=4,1,0)</f>
        <v>2026</v>
      </c>
      <c r="C31" s="11">
        <f>YEAR(Input_Raw[[#This Row],[Date]])</f>
        <v>2025</v>
      </c>
      <c r="D31" s="12">
        <f t="shared" si="7"/>
        <v>45748</v>
      </c>
      <c r="E31" s="11">
        <f>DAY(EOMONTH(Input_Raw[[#This Row],[Date]],0))</f>
        <v>30</v>
      </c>
      <c r="F31" s="137">
        <v>19242</v>
      </c>
      <c r="G31" s="137">
        <v>25780</v>
      </c>
      <c r="H31" s="137">
        <v>15669</v>
      </c>
      <c r="I31" s="137">
        <v>26930</v>
      </c>
      <c r="J31" s="137">
        <v>25923</v>
      </c>
      <c r="K31" s="137">
        <v>18405</v>
      </c>
      <c r="L31" s="137">
        <v>22688</v>
      </c>
      <c r="M31" s="137">
        <v>18517</v>
      </c>
      <c r="N31" s="137">
        <v>17720</v>
      </c>
      <c r="O31" s="137">
        <v>14637</v>
      </c>
      <c r="P31" s="137">
        <v>16559</v>
      </c>
      <c r="Q31" s="137">
        <v>17908</v>
      </c>
      <c r="R31" s="137">
        <v>15286</v>
      </c>
      <c r="S31" s="137">
        <v>15295</v>
      </c>
      <c r="T31" s="137">
        <v>16927</v>
      </c>
      <c r="U31" s="137">
        <v>20003</v>
      </c>
      <c r="V31" s="137">
        <v>22418</v>
      </c>
      <c r="W31" s="137">
        <v>15157</v>
      </c>
      <c r="X31" s="137">
        <v>19991</v>
      </c>
      <c r="Y31" s="137">
        <v>18458</v>
      </c>
      <c r="Z31" s="137">
        <v>18477</v>
      </c>
      <c r="AA31" s="137">
        <v>20201</v>
      </c>
      <c r="AB31" s="137">
        <v>18383</v>
      </c>
      <c r="AC31" s="13">
        <v>19838</v>
      </c>
      <c r="AD31" s="13">
        <v>23888</v>
      </c>
      <c r="AE31" s="13">
        <v>18406</v>
      </c>
      <c r="AF31" s="138">
        <v>5.8055555588669243</v>
      </c>
      <c r="AG31" s="138">
        <v>6.2621527951624651</v>
      </c>
      <c r="AH31" s="138">
        <v>5.429652775327364</v>
      </c>
      <c r="AI31" s="138">
        <v>6.5065972407658883</v>
      </c>
      <c r="AJ31" s="138">
        <v>6.3698611226346751</v>
      </c>
      <c r="AK31" s="138">
        <v>5.7963194532526856</v>
      </c>
      <c r="AL31" s="138">
        <v>6.215763881802558</v>
      </c>
      <c r="AM31" s="138">
        <v>5.7027083271079588</v>
      </c>
      <c r="AN31" s="138">
        <v>5.688750008742014</v>
      </c>
      <c r="AO31" s="138">
        <v>5.3343750039736424</v>
      </c>
      <c r="AP31" s="138">
        <v>5.6219444374243412</v>
      </c>
      <c r="AQ31" s="138">
        <v>5.7265972445408488</v>
      </c>
      <c r="AR31" s="138">
        <v>5.4586805734369479</v>
      </c>
      <c r="AS31" s="138">
        <v>5.4043055474758139</v>
      </c>
      <c r="AT31" s="138">
        <v>5.5900694388482286</v>
      </c>
      <c r="AU31" s="138">
        <v>5.9982638789547806</v>
      </c>
      <c r="AV31" s="138">
        <v>6.4048610942231274</v>
      </c>
      <c r="AW31" s="138">
        <v>5.7536111142900248</v>
      </c>
      <c r="AX31" s="138">
        <v>5.716111130184597</v>
      </c>
      <c r="AY31" s="138">
        <v>5.8345833569765082</v>
      </c>
      <c r="AZ31" s="138">
        <v>5.8631250080135127</v>
      </c>
      <c r="BA31" s="138">
        <v>5.981111110912428</v>
      </c>
      <c r="BB31" s="138">
        <v>5.7443055452571965</v>
      </c>
      <c r="BC31" s="14">
        <v>5.9727083328697406</v>
      </c>
      <c r="BD31" s="14">
        <v>6.1442361126343403</v>
      </c>
      <c r="BE31" s="14">
        <v>5.7595138864384747</v>
      </c>
      <c r="BF31" s="139">
        <f>SUM(Input_Raw[[#This Row],[O2_01]:[O2_26]])</f>
        <v>502706</v>
      </c>
      <c r="BG31" s="140">
        <f>IFERROR(AVERAGE(Input_Raw[[#This Row],[WS_O2_01]:[WS_O2_26]]),"")</f>
        <v>5.8494524607737333</v>
      </c>
      <c r="BH31" s="141"/>
      <c r="BI31" s="141"/>
      <c r="BJ31" s="13">
        <v>488700</v>
      </c>
      <c r="BK31" s="13">
        <v>0</v>
      </c>
      <c r="BL31" s="15">
        <f>Input_Raw[[#This Row],[66 kV_Wind_F1_Export_reading]]-Input_Raw[[#This Row],[66 kV_Wind_F1_Import_reading]]</f>
        <v>488700</v>
      </c>
      <c r="BM31" s="142">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35">
        <v>510</v>
      </c>
      <c r="BR31" s="207"/>
    </row>
    <row r="32" spans="1:70" ht="15">
      <c r="A32" s="240">
        <f t="shared" si="3"/>
        <v>45772</v>
      </c>
      <c r="B32" s="11">
        <f>YEAR(Input_Raw[[#This Row],[Date]])+IF(MONTH(Input_Raw[[#This Row],[Date]])&gt;=4,1,0)</f>
        <v>2026</v>
      </c>
      <c r="C32" s="11">
        <f>YEAR(Input_Raw[[#This Row],[Date]])</f>
        <v>2025</v>
      </c>
      <c r="D32" s="12">
        <f t="shared" si="7"/>
        <v>45748</v>
      </c>
      <c r="E32" s="11">
        <f>DAY(EOMONTH(Input_Raw[[#This Row],[Date]],0))</f>
        <v>30</v>
      </c>
      <c r="F32" s="137">
        <v>25182</v>
      </c>
      <c r="G32" s="137">
        <v>30384</v>
      </c>
      <c r="H32" s="137">
        <v>18648</v>
      </c>
      <c r="I32" s="137">
        <v>19463</v>
      </c>
      <c r="J32" s="137">
        <v>24911</v>
      </c>
      <c r="K32" s="137">
        <v>24475</v>
      </c>
      <c r="L32" s="137">
        <v>25522</v>
      </c>
      <c r="M32" s="137">
        <v>21799</v>
      </c>
      <c r="N32" s="137">
        <v>23355</v>
      </c>
      <c r="O32" s="137">
        <v>18318</v>
      </c>
      <c r="P32" s="137">
        <v>20809</v>
      </c>
      <c r="Q32" s="137">
        <v>19079</v>
      </c>
      <c r="R32" s="137">
        <v>18888</v>
      </c>
      <c r="S32" s="137">
        <v>19630</v>
      </c>
      <c r="T32" s="137">
        <v>22699</v>
      </c>
      <c r="U32" s="137">
        <v>24574</v>
      </c>
      <c r="V32" s="137">
        <v>27533</v>
      </c>
      <c r="W32" s="137">
        <v>17366</v>
      </c>
      <c r="X32" s="137">
        <v>29263</v>
      </c>
      <c r="Y32" s="137">
        <v>19709</v>
      </c>
      <c r="Z32" s="137">
        <v>19854</v>
      </c>
      <c r="AA32" s="137">
        <v>23524</v>
      </c>
      <c r="AB32" s="137">
        <v>20988</v>
      </c>
      <c r="AC32" s="13">
        <v>22510</v>
      </c>
      <c r="AD32" s="13">
        <v>29620</v>
      </c>
      <c r="AE32" s="13">
        <v>24404</v>
      </c>
      <c r="AF32" s="138">
        <v>6.280694444560341</v>
      </c>
      <c r="AG32" s="138">
        <v>6.6538194393118202</v>
      </c>
      <c r="AH32" s="138">
        <v>5.8173611039916668</v>
      </c>
      <c r="AI32" s="138">
        <v>6.6102778058912994</v>
      </c>
      <c r="AJ32" s="138">
        <v>6.5820279646586686</v>
      </c>
      <c r="AK32" s="138">
        <v>6.2723611402842714</v>
      </c>
      <c r="AL32" s="138">
        <v>6.3304861187934867</v>
      </c>
      <c r="AM32" s="138">
        <v>5.957986097368928</v>
      </c>
      <c r="AN32" s="138">
        <v>6.106319450669818</v>
      </c>
      <c r="AO32" s="138">
        <v>5.5884722024202338</v>
      </c>
      <c r="AP32" s="138">
        <v>5.9245138714710848</v>
      </c>
      <c r="AQ32" s="138">
        <v>5.8795138953460571</v>
      </c>
      <c r="AR32" s="138">
        <v>5.7398611141575691</v>
      </c>
      <c r="AS32" s="138">
        <v>5.8197916729582673</v>
      </c>
      <c r="AT32" s="138">
        <v>6.039722238977749</v>
      </c>
      <c r="AU32" s="138">
        <v>6.3218749811251946</v>
      </c>
      <c r="AV32" s="138">
        <v>6.467847234672969</v>
      </c>
      <c r="AW32" s="138">
        <v>6.1920138647158929</v>
      </c>
      <c r="AX32" s="138">
        <v>6.616250029040704</v>
      </c>
      <c r="AY32" s="138">
        <v>6.3277777863873368</v>
      </c>
      <c r="AZ32" s="138">
        <v>5.8688888930612118</v>
      </c>
      <c r="BA32" s="138">
        <v>6.2653472224871294</v>
      </c>
      <c r="BB32" s="138">
        <v>5.9163194381528426</v>
      </c>
      <c r="BC32" s="14">
        <v>6.1279861198531229</v>
      </c>
      <c r="BD32" s="14">
        <v>6.5909722455673734</v>
      </c>
      <c r="BE32" s="14">
        <v>6.194583337340088</v>
      </c>
      <c r="BF32" s="139">
        <f>SUM(Input_Raw[[#This Row],[O2_01]:[O2_26]])</f>
        <v>592507</v>
      </c>
      <c r="BG32" s="140">
        <f>IFERROR(AVERAGE(Input_Raw[[#This Row],[WS_O2_01]:[WS_O2_26]]),"")</f>
        <v>6.1728103735871196</v>
      </c>
      <c r="BH32" s="141"/>
      <c r="BI32" s="141"/>
      <c r="BJ32" s="13">
        <v>573300</v>
      </c>
      <c r="BK32" s="13">
        <v>0</v>
      </c>
      <c r="BL32" s="15">
        <f>Input_Raw[[#This Row],[66 kV_Wind_F1_Export_reading]]-Input_Raw[[#This Row],[66 kV_Wind_F1_Import_reading]]</f>
        <v>573300</v>
      </c>
      <c r="BM32" s="142">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35">
        <v>628.86</v>
      </c>
      <c r="BR32" s="207"/>
    </row>
    <row r="33" spans="1:70" ht="15">
      <c r="A33" s="240">
        <f t="shared" si="3"/>
        <v>45773</v>
      </c>
      <c r="B33" s="11">
        <f>YEAR(Input_Raw[[#This Row],[Date]])+IF(MONTH(Input_Raw[[#This Row],[Date]])&gt;=4,1,0)</f>
        <v>2026</v>
      </c>
      <c r="C33" s="11">
        <f>YEAR(Input_Raw[[#This Row],[Date]])</f>
        <v>2025</v>
      </c>
      <c r="D33" s="12">
        <f t="shared" si="7"/>
        <v>45748</v>
      </c>
      <c r="E33" s="11">
        <f>DAY(EOMONTH(Input_Raw[[#This Row],[Date]],0))</f>
        <v>30</v>
      </c>
      <c r="F33" s="265">
        <v>23625</v>
      </c>
      <c r="G33" s="265">
        <v>30087</v>
      </c>
      <c r="H33" s="265">
        <v>18188</v>
      </c>
      <c r="I33" s="265">
        <v>32299</v>
      </c>
      <c r="J33" s="265">
        <v>21016</v>
      </c>
      <c r="K33" s="265">
        <v>25979</v>
      </c>
      <c r="L33" s="265">
        <v>32148</v>
      </c>
      <c r="M33" s="265">
        <v>22049</v>
      </c>
      <c r="N33" s="265">
        <v>21341</v>
      </c>
      <c r="O33" s="265">
        <v>18454</v>
      </c>
      <c r="P33" s="265">
        <v>20631</v>
      </c>
      <c r="Q33" s="265">
        <v>21342</v>
      </c>
      <c r="R33" s="265">
        <v>18941</v>
      </c>
      <c r="S33" s="265">
        <v>19393</v>
      </c>
      <c r="T33" s="265">
        <v>21293</v>
      </c>
      <c r="U33" s="265">
        <v>26007</v>
      </c>
      <c r="V33" s="265">
        <v>30680</v>
      </c>
      <c r="W33" s="265">
        <v>22536</v>
      </c>
      <c r="X33" s="265">
        <v>26408</v>
      </c>
      <c r="Y33" s="265">
        <v>20947</v>
      </c>
      <c r="Z33" s="265">
        <v>22561</v>
      </c>
      <c r="AA33" s="265">
        <v>28932</v>
      </c>
      <c r="AB33" s="265">
        <v>21099</v>
      </c>
      <c r="AC33" s="266">
        <v>23190</v>
      </c>
      <c r="AD33" s="266">
        <v>21022</v>
      </c>
      <c r="AE33" s="266">
        <v>23193</v>
      </c>
      <c r="AF33" s="267">
        <v>6.1047916917337268</v>
      </c>
      <c r="AG33" s="267">
        <v>6.6689583352870363</v>
      </c>
      <c r="AH33" s="267">
        <v>5.5809027743008377</v>
      </c>
      <c r="AI33" s="267">
        <v>7.020208329790159</v>
      </c>
      <c r="AJ33" s="267">
        <v>6.7056944403383421</v>
      </c>
      <c r="AK33" s="267">
        <v>6.3908333472079679</v>
      </c>
      <c r="AL33" s="267">
        <v>7.0044444559348875</v>
      </c>
      <c r="AM33" s="267">
        <v>5.8493749681446268</v>
      </c>
      <c r="AN33" s="267">
        <v>5.8084027783738215</v>
      </c>
      <c r="AO33" s="267">
        <v>5.7264583342605135</v>
      </c>
      <c r="AP33" s="267">
        <v>5.8411111119720651</v>
      </c>
      <c r="AQ33" s="267">
        <v>5.8868055277400533</v>
      </c>
      <c r="AR33" s="267">
        <v>5.6961111004153864</v>
      </c>
      <c r="AS33" s="267">
        <v>5.6830555482043117</v>
      </c>
      <c r="AT33" s="267">
        <v>5.8809722405340903</v>
      </c>
      <c r="AU33" s="267">
        <v>6.3784027968843704</v>
      </c>
      <c r="AV33" s="267">
        <v>6.8856944607363708</v>
      </c>
      <c r="AW33" s="267">
        <v>6.0894444593124852</v>
      </c>
      <c r="AX33" s="267">
        <v>6.6792361169225583</v>
      </c>
      <c r="AY33" s="267">
        <v>6.0615277795327991</v>
      </c>
      <c r="AZ33" s="267">
        <v>6.1051389012071775</v>
      </c>
      <c r="BA33" s="267">
        <v>6.7019444190793518</v>
      </c>
      <c r="BB33" s="267">
        <v>5.8595138746831115</v>
      </c>
      <c r="BC33" s="268">
        <v>6.1435416696800065</v>
      </c>
      <c r="BD33" s="268">
        <v>6.7364583487311958</v>
      </c>
      <c r="BE33" s="268">
        <v>6.0562500100996717</v>
      </c>
      <c r="BF33" s="269">
        <f>SUM(Input_Raw[[#This Row],[O2_01]:[O2_26]])</f>
        <v>613361</v>
      </c>
      <c r="BG33" s="270">
        <f>IFERROR(AVERAGE(Input_Raw[[#This Row],[WS_O2_01]:[WS_O2_26]]),"")</f>
        <v>6.2132799161964192</v>
      </c>
      <c r="BH33" s="271"/>
      <c r="BI33" s="271"/>
      <c r="BJ33" s="266">
        <v>591750</v>
      </c>
      <c r="BK33" s="266">
        <v>0</v>
      </c>
      <c r="BL33" s="272">
        <f>Input_Raw[[#This Row],[66 kV_Wind_F1_Export_reading]]-Input_Raw[[#This Row],[66 kV_Wind_F1_Import_reading]]</f>
        <v>591750</v>
      </c>
      <c r="BM33" s="273">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274">
        <v>645.69000000000005</v>
      </c>
      <c r="BR33" s="275"/>
    </row>
    <row r="34" spans="1:70" ht="15">
      <c r="A34" s="240">
        <f t="shared" si="3"/>
        <v>45774</v>
      </c>
      <c r="B34" s="11">
        <f>YEAR(Input_Raw[[#This Row],[Date]])+IF(MONTH(Input_Raw[[#This Row],[Date]])&gt;=4,1,0)</f>
        <v>2026</v>
      </c>
      <c r="C34" s="11">
        <f>YEAR(Input_Raw[[#This Row],[Date]])</f>
        <v>2025</v>
      </c>
      <c r="D34" s="12">
        <f t="shared" si="7"/>
        <v>45748</v>
      </c>
      <c r="E34" s="11">
        <f>DAY(EOMONTH(Input_Raw[[#This Row],[Date]],0))</f>
        <v>30</v>
      </c>
      <c r="F34" s="137">
        <v>21657</v>
      </c>
      <c r="G34" s="137">
        <v>27721</v>
      </c>
      <c r="H34" s="137">
        <v>15919</v>
      </c>
      <c r="I34" s="137">
        <v>25863</v>
      </c>
      <c r="J34" s="137">
        <v>25391</v>
      </c>
      <c r="K34" s="137">
        <v>21983</v>
      </c>
      <c r="L34" s="137">
        <v>23298</v>
      </c>
      <c r="M34" s="137">
        <v>18429</v>
      </c>
      <c r="N34" s="137">
        <v>17843</v>
      </c>
      <c r="O34" s="137">
        <v>16452</v>
      </c>
      <c r="P34" s="137">
        <v>18496</v>
      </c>
      <c r="Q34" s="137">
        <v>19386</v>
      </c>
      <c r="R34" s="137">
        <v>18292</v>
      </c>
      <c r="S34" s="137">
        <v>17831</v>
      </c>
      <c r="T34" s="137">
        <v>19004</v>
      </c>
      <c r="U34" s="137">
        <v>20954</v>
      </c>
      <c r="V34" s="137">
        <v>22543</v>
      </c>
      <c r="W34" s="137">
        <v>21921</v>
      </c>
      <c r="X34" s="137">
        <v>7065</v>
      </c>
      <c r="Y34" s="137">
        <v>20943</v>
      </c>
      <c r="Z34" s="137">
        <v>17092</v>
      </c>
      <c r="AA34" s="137">
        <v>24160</v>
      </c>
      <c r="AB34" s="137">
        <v>18865</v>
      </c>
      <c r="AC34" s="13">
        <v>20722</v>
      </c>
      <c r="AD34" s="13">
        <v>24769</v>
      </c>
      <c r="AE34" s="13">
        <v>19397</v>
      </c>
      <c r="AF34" s="138">
        <v>5.747222212453682</v>
      </c>
      <c r="AG34" s="138">
        <v>6.159236087981192</v>
      </c>
      <c r="AH34" s="138">
        <v>5.1196527754267045</v>
      </c>
      <c r="AI34" s="138">
        <v>6.0952083186970789</v>
      </c>
      <c r="AJ34" s="138">
        <v>6.1183333430025284</v>
      </c>
      <c r="AK34" s="138">
        <v>5.889861077898078</v>
      </c>
      <c r="AL34" s="138">
        <v>5.8612500271863395</v>
      </c>
      <c r="AM34" s="138">
        <v>5.3437500062088166</v>
      </c>
      <c r="AN34" s="138">
        <v>5.3545833155512801</v>
      </c>
      <c r="AO34" s="138">
        <v>5.317916670607195</v>
      </c>
      <c r="AP34" s="138">
        <v>5.4116666619148512</v>
      </c>
      <c r="AQ34" s="138">
        <v>5.496319438434309</v>
      </c>
      <c r="AR34" s="138">
        <v>5.468819446861743</v>
      </c>
      <c r="AS34" s="138">
        <v>5.3865277692675573</v>
      </c>
      <c r="AT34" s="138">
        <v>5.5786111056804648</v>
      </c>
      <c r="AU34" s="138">
        <v>5.6499999935428287</v>
      </c>
      <c r="AV34" s="138">
        <v>5.8973611280735989</v>
      </c>
      <c r="AW34" s="138">
        <v>5.7474305546945983</v>
      </c>
      <c r="AX34" s="138">
        <v>5.991592938393616</v>
      </c>
      <c r="AY34" s="138">
        <v>5.6646527734895535</v>
      </c>
      <c r="AZ34" s="138">
        <v>5.3840277762048769</v>
      </c>
      <c r="BA34" s="138">
        <v>6.1233333245747623</v>
      </c>
      <c r="BB34" s="138">
        <v>5.4082638865543728</v>
      </c>
      <c r="BC34" s="14">
        <v>5.6394444592297077</v>
      </c>
      <c r="BD34" s="14">
        <v>5.9616666684548054</v>
      </c>
      <c r="BE34" s="14">
        <v>5.551250009487072</v>
      </c>
      <c r="BF34" s="139">
        <f>SUM(Input_Raw[[#This Row],[O2_01]:[O2_26]])</f>
        <v>525996</v>
      </c>
      <c r="BG34" s="140">
        <f>IFERROR(AVERAGE(Input_Raw[[#This Row],[WS_O2_01]:[WS_O2_26]]),"")</f>
        <v>5.6679992988412149</v>
      </c>
      <c r="BH34" s="141"/>
      <c r="BI34" s="141"/>
      <c r="BJ34" s="13">
        <v>507150</v>
      </c>
      <c r="BK34" s="13">
        <v>450</v>
      </c>
      <c r="BL34" s="15">
        <f>Input_Raw[[#This Row],[66 kV_Wind_F1_Export_reading]]-Input_Raw[[#This Row],[66 kV_Wind_F1_Import_reading]]</f>
        <v>506700</v>
      </c>
      <c r="BM34" s="142">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35">
        <v>546.95000000000005</v>
      </c>
      <c r="BR34" s="207"/>
    </row>
    <row r="35" spans="1:70" ht="15">
      <c r="A35" s="240">
        <f t="shared" si="3"/>
        <v>45775</v>
      </c>
      <c r="B35" s="11">
        <f>YEAR(Input_Raw[[#This Row],[Date]])+IF(MONTH(Input_Raw[[#This Row],[Date]])&gt;=4,1,0)</f>
        <v>2026</v>
      </c>
      <c r="C35" s="11">
        <f>YEAR(Input_Raw[[#This Row],[Date]])</f>
        <v>2025</v>
      </c>
      <c r="D35" s="12">
        <f t="shared" ref="D35:D40" si="8">A35-DAY(A35)+1</f>
        <v>45748</v>
      </c>
      <c r="E35" s="11">
        <f>DAY(EOMONTH(Input_Raw[[#This Row],[Date]],0))</f>
        <v>30</v>
      </c>
      <c r="F35" s="277">
        <v>25969</v>
      </c>
      <c r="G35" s="277">
        <v>33725</v>
      </c>
      <c r="H35" s="277">
        <v>20195</v>
      </c>
      <c r="I35" s="277">
        <v>35034</v>
      </c>
      <c r="J35" s="277">
        <v>28941</v>
      </c>
      <c r="K35" s="277">
        <v>18752</v>
      </c>
      <c r="L35" s="277">
        <v>34349</v>
      </c>
      <c r="M35" s="277">
        <v>25046</v>
      </c>
      <c r="N35" s="277">
        <v>23663</v>
      </c>
      <c r="O35" s="277">
        <v>17565</v>
      </c>
      <c r="P35" s="277">
        <v>22680</v>
      </c>
      <c r="Q35" s="277">
        <v>16866</v>
      </c>
      <c r="R35" s="277">
        <v>21105</v>
      </c>
      <c r="S35" s="277">
        <v>20172</v>
      </c>
      <c r="T35" s="277">
        <v>22472</v>
      </c>
      <c r="U35" s="277">
        <v>26758</v>
      </c>
      <c r="V35" s="277">
        <v>30758</v>
      </c>
      <c r="W35" s="277">
        <v>24323</v>
      </c>
      <c r="X35" s="277">
        <v>33584</v>
      </c>
      <c r="Y35" s="277">
        <v>24463</v>
      </c>
      <c r="Z35" s="277">
        <v>21721</v>
      </c>
      <c r="AA35" s="277">
        <v>28665</v>
      </c>
      <c r="AB35" s="277">
        <v>23637</v>
      </c>
      <c r="AC35" s="278">
        <v>25311</v>
      </c>
      <c r="AD35" s="278">
        <v>30829</v>
      </c>
      <c r="AE35" s="278">
        <v>22931</v>
      </c>
      <c r="AF35" s="279">
        <v>6.5059440544435203</v>
      </c>
      <c r="AG35" s="279">
        <v>7.2239860304585655</v>
      </c>
      <c r="AH35" s="279">
        <v>5.9941258726420079</v>
      </c>
      <c r="AI35" s="279">
        <v>7.3876388768354992</v>
      </c>
      <c r="AJ35" s="279">
        <v>7.4201398662753757</v>
      </c>
      <c r="AK35" s="279">
        <v>6.5766666465335399</v>
      </c>
      <c r="AL35" s="279">
        <v>7.4234722306330934</v>
      </c>
      <c r="AM35" s="279">
        <v>6.4560139912825285</v>
      </c>
      <c r="AN35" s="279">
        <v>6.2309091257882239</v>
      </c>
      <c r="AO35" s="279">
        <v>5.8613986068672226</v>
      </c>
      <c r="AP35" s="279">
        <v>6.3037062941731241</v>
      </c>
      <c r="AQ35" s="279">
        <v>6.2456643281283073</v>
      </c>
      <c r="AR35" s="279">
        <v>6.1618181758827211</v>
      </c>
      <c r="AS35" s="279">
        <v>6.1025362040685529</v>
      </c>
      <c r="AT35" s="279">
        <v>6.2818881164897542</v>
      </c>
      <c r="AU35" s="279">
        <v>6.7829166584544689</v>
      </c>
      <c r="AV35" s="279">
        <v>7.3135416847136252</v>
      </c>
      <c r="AW35" s="279">
        <v>6.2672916551430973</v>
      </c>
      <c r="AX35" s="279">
        <v>7.0571527654925914</v>
      </c>
      <c r="AY35" s="279">
        <v>6.4876389056444133</v>
      </c>
      <c r="AZ35" s="279">
        <v>6.3334027843342859</v>
      </c>
      <c r="BA35" s="279">
        <v>6.8922916503830054</v>
      </c>
      <c r="BB35" s="279">
        <v>6.3926760378018193</v>
      </c>
      <c r="BC35" s="280">
        <v>6.6690277987056268</v>
      </c>
      <c r="BD35" s="280">
        <v>7.1105594418265543</v>
      </c>
      <c r="BE35" s="280">
        <v>6.3776388838887188</v>
      </c>
      <c r="BF35" s="281">
        <f>SUM(Input_Raw[[#This Row],[O2_01]:[O2_26]])</f>
        <v>659514</v>
      </c>
      <c r="BG35" s="282">
        <f>IFERROR(AVERAGE(Input_Raw[[#This Row],[WS_O2_01]:[WS_O2_26]]),"")</f>
        <v>6.610001795649624</v>
      </c>
      <c r="BH35" s="283"/>
      <c r="BI35" s="283"/>
      <c r="BJ35" s="278">
        <v>638550</v>
      </c>
      <c r="BK35" s="278">
        <v>0</v>
      </c>
      <c r="BL35" s="284">
        <f>Input_Raw[[#This Row],[66 kV_Wind_F1_Export_reading]]-Input_Raw[[#This Row],[66 kV_Wind_F1_Import_reading]]</f>
        <v>638550</v>
      </c>
      <c r="BM35" s="285">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286">
        <v>695.35</v>
      </c>
      <c r="BR35" s="287"/>
    </row>
    <row r="36" spans="1:70" ht="15">
      <c r="A36" s="240">
        <f t="shared" si="3"/>
        <v>45776</v>
      </c>
      <c r="B36" s="11">
        <f>YEAR(Input_Raw[[#This Row],[Date]])+IF(MONTH(Input_Raw[[#This Row],[Date]])&gt;=4,1,0)</f>
        <v>2026</v>
      </c>
      <c r="C36" s="11">
        <f>YEAR(Input_Raw[[#This Row],[Date]])</f>
        <v>2025</v>
      </c>
      <c r="D36" s="12">
        <f t="shared" si="8"/>
        <v>45748</v>
      </c>
      <c r="E36" s="11">
        <f>DAY(EOMONTH(Input_Raw[[#This Row],[Date]],0))</f>
        <v>30</v>
      </c>
      <c r="F36" s="277">
        <v>39002</v>
      </c>
      <c r="G36" s="277">
        <v>46987</v>
      </c>
      <c r="H36" s="277">
        <v>27484</v>
      </c>
      <c r="I36" s="277">
        <v>47661</v>
      </c>
      <c r="J36" s="277">
        <v>37871</v>
      </c>
      <c r="K36" s="277">
        <v>30203</v>
      </c>
      <c r="L36" s="277">
        <v>47322</v>
      </c>
      <c r="M36" s="277">
        <v>39218</v>
      </c>
      <c r="N36" s="277">
        <v>40871</v>
      </c>
      <c r="O36" s="277">
        <v>33673</v>
      </c>
      <c r="P36" s="277">
        <v>38381</v>
      </c>
      <c r="Q36" s="277">
        <v>36596</v>
      </c>
      <c r="R36" s="277">
        <v>34720</v>
      </c>
      <c r="S36" s="277">
        <v>36243</v>
      </c>
      <c r="T36" s="277">
        <v>40415</v>
      </c>
      <c r="U36" s="277">
        <v>41729</v>
      </c>
      <c r="V36" s="277">
        <v>48820</v>
      </c>
      <c r="W36" s="277">
        <v>43095</v>
      </c>
      <c r="X36" s="277">
        <v>45273</v>
      </c>
      <c r="Y36" s="277">
        <v>41925</v>
      </c>
      <c r="Z36" s="277">
        <v>35807</v>
      </c>
      <c r="AA36" s="277">
        <v>41434</v>
      </c>
      <c r="AB36" s="277">
        <v>38719</v>
      </c>
      <c r="AC36" s="278">
        <v>40826</v>
      </c>
      <c r="AD36" s="278">
        <v>27193</v>
      </c>
      <c r="AE36" s="278">
        <v>40476</v>
      </c>
      <c r="AF36" s="279">
        <v>8.2575362557950154</v>
      </c>
      <c r="AG36" s="279">
        <v>8.9462499684757599</v>
      </c>
      <c r="AH36" s="279">
        <v>7.7197916607061972</v>
      </c>
      <c r="AI36" s="279">
        <v>9.1398611432976153</v>
      </c>
      <c r="AJ36" s="279">
        <v>9.0705555578072801</v>
      </c>
      <c r="AK36" s="279">
        <v>8.4181944661670247</v>
      </c>
      <c r="AL36" s="279">
        <v>9.349166678057772</v>
      </c>
      <c r="AM36" s="279">
        <v>8.2625000046359158</v>
      </c>
      <c r="AN36" s="279">
        <v>8.1900000274181295</v>
      </c>
      <c r="AO36" s="279">
        <v>7.5788194520605892</v>
      </c>
      <c r="AP36" s="279">
        <v>8.0100694364971545</v>
      </c>
      <c r="AQ36" s="279">
        <v>8.0178472333484159</v>
      </c>
      <c r="AR36" s="279">
        <v>7.8329166703753952</v>
      </c>
      <c r="AS36" s="279">
        <v>7.8897222578525499</v>
      </c>
      <c r="AT36" s="279">
        <v>8.2663889030615447</v>
      </c>
      <c r="AU36" s="279">
        <v>8.5734265234086866</v>
      </c>
      <c r="AV36" s="279">
        <v>9.0420833362473338</v>
      </c>
      <c r="AW36" s="279">
        <v>8.2504166596465573</v>
      </c>
      <c r="AX36" s="279">
        <v>8.9582638641198447</v>
      </c>
      <c r="AY36" s="279">
        <v>8.3747916387187047</v>
      </c>
      <c r="AZ36" s="279">
        <v>7.9308333430025204</v>
      </c>
      <c r="BA36" s="279">
        <v>8.5792360968059924</v>
      </c>
      <c r="BB36" s="279">
        <v>8.180902765856839</v>
      </c>
      <c r="BC36" s="280">
        <v>8.381666630506512</v>
      </c>
      <c r="BD36" s="280">
        <v>8.7623611589272752</v>
      </c>
      <c r="BE36" s="280">
        <v>8.3297916418976214</v>
      </c>
      <c r="BF36" s="281">
        <f>SUM(Input_Raw[[#This Row],[O2_01]:[O2_26]])</f>
        <v>1021944</v>
      </c>
      <c r="BG36" s="282">
        <f>IFERROR(AVERAGE(Input_Raw[[#This Row],[WS_O2_01]:[WS_O2_26]]),"")</f>
        <v>8.3966689759497797</v>
      </c>
      <c r="BH36" s="283"/>
      <c r="BI36" s="283"/>
      <c r="BJ36" s="278">
        <v>988650</v>
      </c>
      <c r="BK36" s="278">
        <v>0</v>
      </c>
      <c r="BL36" s="284">
        <f>Input_Raw[[#This Row],[66 kV_Wind_F1_Export_reading]]-Input_Raw[[#This Row],[66 kV_Wind_F1_Import_reading]]</f>
        <v>988650</v>
      </c>
      <c r="BM36" s="285">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286">
        <v>1133.8399999999999</v>
      </c>
      <c r="BR36" s="287"/>
    </row>
    <row r="37" spans="1:70" ht="15">
      <c r="A37" s="240">
        <f t="shared" si="3"/>
        <v>45777</v>
      </c>
      <c r="B37" s="11">
        <f>YEAR(Input_Raw[[#This Row],[Date]])+IF(MONTH(Input_Raw[[#This Row],[Date]])&gt;=4,1,0)</f>
        <v>2026</v>
      </c>
      <c r="C37" s="11">
        <f>YEAR(Input_Raw[[#This Row],[Date]])</f>
        <v>2025</v>
      </c>
      <c r="D37" s="12">
        <f t="shared" si="8"/>
        <v>45748</v>
      </c>
      <c r="E37" s="11">
        <f>DAY(EOMONTH(Input_Raw[[#This Row],[Date]],0))</f>
        <v>30</v>
      </c>
      <c r="F37" s="137">
        <v>30766</v>
      </c>
      <c r="G37" s="137">
        <v>46976</v>
      </c>
      <c r="H37" s="137">
        <v>35656</v>
      </c>
      <c r="I37" s="137">
        <v>44874</v>
      </c>
      <c r="J37" s="137">
        <v>37428</v>
      </c>
      <c r="K37" s="137">
        <v>40195</v>
      </c>
      <c r="L37" s="137">
        <v>43595</v>
      </c>
      <c r="M37" s="137">
        <v>31504</v>
      </c>
      <c r="N37" s="137">
        <v>39102</v>
      </c>
      <c r="O37" s="137">
        <v>33815</v>
      </c>
      <c r="P37" s="137">
        <v>39981</v>
      </c>
      <c r="Q37" s="137">
        <v>32408</v>
      </c>
      <c r="R37" s="137">
        <v>36204</v>
      </c>
      <c r="S37" s="137">
        <v>35100</v>
      </c>
      <c r="T37" s="137">
        <v>39028</v>
      </c>
      <c r="U37" s="137">
        <v>40390</v>
      </c>
      <c r="V37" s="137">
        <v>47298</v>
      </c>
      <c r="W37" s="137">
        <v>40243</v>
      </c>
      <c r="X37" s="137">
        <v>41700</v>
      </c>
      <c r="Y37" s="137">
        <v>39680</v>
      </c>
      <c r="Z37" s="137">
        <v>34897</v>
      </c>
      <c r="AA37" s="137">
        <v>40527</v>
      </c>
      <c r="AB37" s="137">
        <v>40076</v>
      </c>
      <c r="AC37" s="13">
        <v>39729</v>
      </c>
      <c r="AD37" s="13">
        <v>39918</v>
      </c>
      <c r="AE37" s="13">
        <v>38333</v>
      </c>
      <c r="AF37" s="138">
        <v>8.1939682355002699</v>
      </c>
      <c r="AG37" s="138">
        <v>8.6500000125831971</v>
      </c>
      <c r="AH37" s="138">
        <v>7.6236111157470265</v>
      </c>
      <c r="AI37" s="138">
        <v>8.8324999842378773</v>
      </c>
      <c r="AJ37" s="138">
        <v>8.8410416460699448</v>
      </c>
      <c r="AK37" s="138">
        <v>8.0704861183961238</v>
      </c>
      <c r="AL37" s="138">
        <v>8.646458311213383</v>
      </c>
      <c r="AM37" s="138">
        <v>8.07763889100816</v>
      </c>
      <c r="AN37" s="138">
        <v>8.035624987549248</v>
      </c>
      <c r="AO37" s="138">
        <v>7.6161111162768425</v>
      </c>
      <c r="AP37" s="138">
        <v>8.0497222277853187</v>
      </c>
      <c r="AQ37" s="138">
        <v>7.843402749962272</v>
      </c>
      <c r="AR37" s="138">
        <v>7.8399305476082679</v>
      </c>
      <c r="AS37" s="138">
        <v>7.7304861048857321</v>
      </c>
      <c r="AT37" s="138">
        <v>8.0103472140100216</v>
      </c>
      <c r="AU37" s="138">
        <v>8.2764583362473338</v>
      </c>
      <c r="AV37" s="138">
        <v>8.6798611150847513</v>
      </c>
      <c r="AW37" s="138">
        <v>7.9735664587754433</v>
      </c>
      <c r="AX37" s="138">
        <v>8.4427083399560683</v>
      </c>
      <c r="AY37" s="138">
        <v>8.1253472202353976</v>
      </c>
      <c r="AZ37" s="138">
        <v>7.8634027871820615</v>
      </c>
      <c r="BA37" s="138">
        <v>8.3184722496403545</v>
      </c>
      <c r="BB37" s="138">
        <v>8.1649305588669208</v>
      </c>
      <c r="BC37" s="14">
        <v>8.2602083053853743</v>
      </c>
      <c r="BD37" s="14">
        <v>8.5588889022668155</v>
      </c>
      <c r="BE37" s="14">
        <v>7.9543055560853713</v>
      </c>
      <c r="BF37" s="139">
        <f>SUM(Input_Raw[[#This Row],[O2_01]:[O2_26]])</f>
        <v>1009423</v>
      </c>
      <c r="BG37" s="140">
        <f>IFERROR(AVERAGE(Input_Raw[[#This Row],[WS_O2_01]:[WS_O2_26]]),"")</f>
        <v>8.1799799650984433</v>
      </c>
      <c r="BH37" s="141"/>
      <c r="BI37" s="141"/>
      <c r="BJ37" s="13">
        <v>975600</v>
      </c>
      <c r="BK37" s="13">
        <v>0</v>
      </c>
      <c r="BL37" s="15">
        <f>Input_Raw[[#This Row],[66 kV_Wind_F1_Export_reading]]-Input_Raw[[#This Row],[66 kV_Wind_F1_Import_reading]]</f>
        <v>975600</v>
      </c>
      <c r="BM37" s="142">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35">
        <v>1088.32</v>
      </c>
      <c r="BR37" s="207"/>
    </row>
    <row r="38" spans="1:70" ht="15">
      <c r="A38" s="240">
        <f t="shared" si="3"/>
        <v>45778</v>
      </c>
      <c r="B38" s="11">
        <f>YEAR(Input_Raw[[#This Row],[Date]])+IF(MONTH(Input_Raw[[#This Row],[Date]])&gt;=4,1,0)</f>
        <v>2026</v>
      </c>
      <c r="C38" s="11">
        <f>YEAR(Input_Raw[[#This Row],[Date]])</f>
        <v>2025</v>
      </c>
      <c r="D38" s="12">
        <f t="shared" si="8"/>
        <v>45778</v>
      </c>
      <c r="E38" s="11">
        <f>DAY(EOMONTH(Input_Raw[[#This Row],[Date]],0))</f>
        <v>31</v>
      </c>
      <c r="F38" s="137">
        <v>44015</v>
      </c>
      <c r="G38" s="137">
        <v>49670</v>
      </c>
      <c r="H38" s="137">
        <v>35787</v>
      </c>
      <c r="I38" s="137">
        <v>49041</v>
      </c>
      <c r="J38" s="137">
        <v>47609</v>
      </c>
      <c r="K38" s="137">
        <v>46547</v>
      </c>
      <c r="L38" s="137">
        <v>45834</v>
      </c>
      <c r="M38" s="137">
        <v>40949</v>
      </c>
      <c r="N38" s="137">
        <v>42067</v>
      </c>
      <c r="O38" s="137">
        <v>34234</v>
      </c>
      <c r="P38" s="137">
        <v>40516</v>
      </c>
      <c r="Q38" s="137">
        <v>37980</v>
      </c>
      <c r="R38" s="137">
        <v>36887</v>
      </c>
      <c r="S38" s="137">
        <v>38537</v>
      </c>
      <c r="T38" s="137">
        <v>42682</v>
      </c>
      <c r="U38" s="137">
        <v>45078</v>
      </c>
      <c r="V38" s="137">
        <v>48276</v>
      </c>
      <c r="W38" s="137">
        <v>46077</v>
      </c>
      <c r="X38" s="137">
        <v>47537</v>
      </c>
      <c r="Y38" s="137">
        <v>43931</v>
      </c>
      <c r="Z38" s="137">
        <v>38412</v>
      </c>
      <c r="AA38" s="137">
        <v>47524</v>
      </c>
      <c r="AB38" s="137">
        <v>41723</v>
      </c>
      <c r="AC38" s="13">
        <v>41385</v>
      </c>
      <c r="AD38" s="13">
        <v>45723</v>
      </c>
      <c r="AE38" s="13">
        <v>44674</v>
      </c>
      <c r="AF38" s="138">
        <v>8.4306249784098721</v>
      </c>
      <c r="AG38" s="138">
        <v>8.8270833624733722</v>
      </c>
      <c r="AH38" s="138">
        <v>7.7422222296396876</v>
      </c>
      <c r="AI38" s="138">
        <v>9.0086111393239658</v>
      </c>
      <c r="AJ38" s="138">
        <v>8.9182638823985965</v>
      </c>
      <c r="AK38" s="138">
        <v>8.6306250260935862</v>
      </c>
      <c r="AL38" s="138">
        <v>8.9895139303472149</v>
      </c>
      <c r="AM38" s="138">
        <v>8.3081944286823255</v>
      </c>
      <c r="AN38" s="138">
        <v>8.2972222665945683</v>
      </c>
      <c r="AO38" s="138">
        <v>7.6025000313917763</v>
      </c>
      <c r="AP38" s="138">
        <v>8.079374962382845</v>
      </c>
      <c r="AQ38" s="138">
        <v>8.0581250356303311</v>
      </c>
      <c r="AR38" s="138">
        <v>7.9119444555706435</v>
      </c>
      <c r="AS38" s="138">
        <v>7.9995833006170045</v>
      </c>
      <c r="AT38" s="138">
        <v>8.2834027641349337</v>
      </c>
      <c r="AU38" s="138">
        <v>8.7056250307295038</v>
      </c>
      <c r="AV38" s="138">
        <v>8.7573611223035268</v>
      </c>
      <c r="AW38" s="138">
        <v>8.5745833350552427</v>
      </c>
      <c r="AX38" s="138">
        <v>9.1474999818536791</v>
      </c>
      <c r="AY38" s="138">
        <v>8.5126388900809822</v>
      </c>
      <c r="AZ38" s="138">
        <v>8.1459722022215502</v>
      </c>
      <c r="BA38" s="138">
        <v>8.9811805221769472</v>
      </c>
      <c r="BB38" s="138">
        <v>8.2779166731569482</v>
      </c>
      <c r="BC38" s="14">
        <v>8.5275694628556558</v>
      </c>
      <c r="BD38" s="14">
        <v>8.4943055775430452</v>
      </c>
      <c r="BE38" s="14">
        <v>8.4674305584695571</v>
      </c>
      <c r="BF38" s="139">
        <f>SUM(Input_Raw[[#This Row],[O2_01]:[O2_26]])</f>
        <v>1122695</v>
      </c>
      <c r="BG38" s="140">
        <f>IFERROR(AVERAGE(Input_Raw[[#This Row],[WS_O2_01]:[WS_O2_26]]),"")</f>
        <v>8.4492067365437453</v>
      </c>
      <c r="BH38" s="141"/>
      <c r="BI38" s="141"/>
      <c r="BJ38" s="13">
        <v>1082700</v>
      </c>
      <c r="BK38" s="13">
        <v>0</v>
      </c>
      <c r="BL38" s="15">
        <f>Input_Raw[[#This Row],[66 kV_Wind_F1_Export_reading]]-Input_Raw[[#This Row],[66 kV_Wind_F1_Import_reading]]</f>
        <v>1082700</v>
      </c>
      <c r="BM38" s="142">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35">
        <v>1190.71</v>
      </c>
      <c r="BR38" s="207"/>
    </row>
    <row r="39" spans="1:70" ht="15">
      <c r="A39" s="240">
        <f t="shared" si="3"/>
        <v>45779</v>
      </c>
      <c r="B39" s="11">
        <f>YEAR(Input_Raw[[#This Row],[Date]])+IF(MONTH(Input_Raw[[#This Row],[Date]])&gt;=4,1,0)</f>
        <v>2026</v>
      </c>
      <c r="C39" s="11">
        <f>YEAR(Input_Raw[[#This Row],[Date]])</f>
        <v>2025</v>
      </c>
      <c r="D39" s="12">
        <f t="shared" si="8"/>
        <v>45778</v>
      </c>
      <c r="E39" s="11">
        <f>DAY(EOMONTH(Input_Raw[[#This Row],[Date]],0))</f>
        <v>31</v>
      </c>
      <c r="F39" s="137">
        <v>29702</v>
      </c>
      <c r="G39" s="137">
        <v>32978</v>
      </c>
      <c r="H39" s="137">
        <v>24447</v>
      </c>
      <c r="I39" s="137">
        <v>31464</v>
      </c>
      <c r="J39" s="137">
        <v>33306</v>
      </c>
      <c r="K39" s="137">
        <v>29048</v>
      </c>
      <c r="L39" s="137">
        <v>26581</v>
      </c>
      <c r="M39" s="137">
        <v>23768</v>
      </c>
      <c r="N39" s="137">
        <v>27074</v>
      </c>
      <c r="O39" s="137">
        <v>27547</v>
      </c>
      <c r="P39" s="137">
        <v>26607</v>
      </c>
      <c r="Q39" s="137">
        <v>25954</v>
      </c>
      <c r="R39" s="137">
        <v>22606</v>
      </c>
      <c r="S39" s="137">
        <v>25514</v>
      </c>
      <c r="T39" s="137">
        <v>27055</v>
      </c>
      <c r="U39" s="137">
        <v>29106</v>
      </c>
      <c r="V39" s="137">
        <v>34884</v>
      </c>
      <c r="W39" s="137">
        <v>32010</v>
      </c>
      <c r="X39" s="137">
        <v>27520</v>
      </c>
      <c r="Y39" s="137">
        <v>27553</v>
      </c>
      <c r="Z39" s="137">
        <v>23738</v>
      </c>
      <c r="AA39" s="137">
        <v>28813</v>
      </c>
      <c r="AB39" s="137">
        <v>28402</v>
      </c>
      <c r="AC39" s="13">
        <v>27823</v>
      </c>
      <c r="AD39" s="13">
        <v>33472</v>
      </c>
      <c r="AE39" s="13">
        <v>25628</v>
      </c>
      <c r="AF39" s="138">
        <v>6.9220139119360171</v>
      </c>
      <c r="AG39" s="138">
        <v>7.1905555443631259</v>
      </c>
      <c r="AH39" s="138">
        <v>6.3538888725969525</v>
      </c>
      <c r="AI39" s="138">
        <v>7.1813194321261493</v>
      </c>
      <c r="AJ39" s="138">
        <v>7.2627777970499432</v>
      </c>
      <c r="AK39" s="138">
        <v>6.8560416648785258</v>
      </c>
      <c r="AL39" s="138">
        <v>6.7724305540323249</v>
      </c>
      <c r="AM39" s="138">
        <v>6.3505555503070346</v>
      </c>
      <c r="AN39" s="138">
        <v>6.6204860889249382</v>
      </c>
      <c r="AO39" s="138">
        <v>6.6927778025468179</v>
      </c>
      <c r="AP39" s="138">
        <v>6.5622222117251816</v>
      </c>
      <c r="AQ39" s="138">
        <v>6.507777787744998</v>
      </c>
      <c r="AR39" s="138">
        <v>6.2274305812186661</v>
      </c>
      <c r="AS39" s="138">
        <v>6.4797916561365119</v>
      </c>
      <c r="AT39" s="138">
        <v>6.6525694628556558</v>
      </c>
      <c r="AU39" s="138">
        <v>6.9530555614166785</v>
      </c>
      <c r="AV39" s="138">
        <v>7.4079861160781588</v>
      </c>
      <c r="AW39" s="138">
        <v>7.0755555729071284</v>
      </c>
      <c r="AX39" s="138">
        <v>6.668611110912428</v>
      </c>
      <c r="AY39" s="138">
        <v>6.7271527879767943</v>
      </c>
      <c r="AZ39" s="138">
        <v>7.2083333101537477</v>
      </c>
      <c r="BA39" s="138">
        <v>7.0423611170715734</v>
      </c>
      <c r="BB39" s="138">
        <v>6.7050694467292882</v>
      </c>
      <c r="BC39" s="14">
        <v>6.73458331823349</v>
      </c>
      <c r="BD39" s="14">
        <v>7.2115277697642632</v>
      </c>
      <c r="BE39" s="14">
        <v>6.4763889130618839</v>
      </c>
      <c r="BF39" s="139">
        <f>SUM(Input_Raw[[#This Row],[O2_01]:[O2_26]])</f>
        <v>732600</v>
      </c>
      <c r="BG39" s="140">
        <f>IFERROR(AVERAGE(Input_Raw[[#This Row],[WS_O2_01]:[WS_O2_26]]),"")</f>
        <v>6.8016639977980118</v>
      </c>
      <c r="BH39" s="141"/>
      <c r="BI39" s="141"/>
      <c r="BJ39" s="13">
        <v>681750</v>
      </c>
      <c r="BK39" s="13">
        <v>0</v>
      </c>
      <c r="BL39" s="15">
        <f>Input_Raw[[#This Row],[66 kV_Wind_F1_Export_reading]]-Input_Raw[[#This Row],[66 kV_Wind_F1_Import_reading]]</f>
        <v>681750</v>
      </c>
      <c r="BM39" s="142">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35">
        <v>781.68</v>
      </c>
      <c r="BR39" s="207"/>
    </row>
    <row r="40" spans="1:70" ht="15">
      <c r="A40" s="240">
        <f t="shared" si="3"/>
        <v>45780</v>
      </c>
      <c r="B40" s="11">
        <f>YEAR(Input_Raw[[#This Row],[Date]])+IF(MONTH(Input_Raw[[#This Row],[Date]])&gt;=4,1,0)</f>
        <v>2026</v>
      </c>
      <c r="C40" s="11">
        <f>YEAR(Input_Raw[[#This Row],[Date]])</f>
        <v>2025</v>
      </c>
      <c r="D40" s="12">
        <f t="shared" si="8"/>
        <v>45778</v>
      </c>
      <c r="E40" s="11">
        <f>DAY(EOMONTH(Input_Raw[[#This Row],[Date]],0))</f>
        <v>31</v>
      </c>
      <c r="F40" s="137">
        <v>29084</v>
      </c>
      <c r="G40" s="137">
        <v>50749</v>
      </c>
      <c r="H40" s="137">
        <v>38653</v>
      </c>
      <c r="I40" s="137">
        <v>45482</v>
      </c>
      <c r="J40" s="137">
        <v>50589</v>
      </c>
      <c r="K40" s="137">
        <v>39457</v>
      </c>
      <c r="L40" s="137">
        <v>42306</v>
      </c>
      <c r="M40" s="137">
        <v>24327</v>
      </c>
      <c r="N40" s="137">
        <v>40568</v>
      </c>
      <c r="O40" s="137">
        <v>43941</v>
      </c>
      <c r="P40" s="137">
        <v>41617</v>
      </c>
      <c r="Q40" s="137">
        <v>43049</v>
      </c>
      <c r="R40" s="137">
        <v>33999</v>
      </c>
      <c r="S40" s="137">
        <v>39854</v>
      </c>
      <c r="T40" s="137">
        <v>42149</v>
      </c>
      <c r="U40" s="137">
        <v>47857</v>
      </c>
      <c r="V40" s="137">
        <v>52503</v>
      </c>
      <c r="W40" s="137">
        <v>42004</v>
      </c>
      <c r="X40" s="137">
        <v>45398</v>
      </c>
      <c r="Y40" s="137">
        <v>44438</v>
      </c>
      <c r="Z40" s="137">
        <v>47180</v>
      </c>
      <c r="AA40" s="137">
        <v>46189</v>
      </c>
      <c r="AB40" s="137">
        <v>43594</v>
      </c>
      <c r="AC40" s="13">
        <v>20716</v>
      </c>
      <c r="AD40" s="13">
        <v>45983</v>
      </c>
      <c r="AE40" s="13">
        <v>43445</v>
      </c>
      <c r="AF40" s="138">
        <v>8.512900752875634</v>
      </c>
      <c r="AG40" s="138">
        <v>9.0660416450765311</v>
      </c>
      <c r="AH40" s="138">
        <v>8.0985416538185486</v>
      </c>
      <c r="AI40" s="138">
        <v>8.8031944334506935</v>
      </c>
      <c r="AJ40" s="138">
        <v>9.138125009006913</v>
      </c>
      <c r="AK40" s="138">
        <v>8.6613888972335324</v>
      </c>
      <c r="AL40" s="138">
        <v>8.4251388609409243</v>
      </c>
      <c r="AM40" s="138">
        <v>8.1320138971010731</v>
      </c>
      <c r="AN40" s="138">
        <v>8.3518750038411795</v>
      </c>
      <c r="AO40" s="138">
        <v>8.6157638728618551</v>
      </c>
      <c r="AP40" s="138">
        <v>8.3834722075197377</v>
      </c>
      <c r="AQ40" s="138">
        <v>8.4734027816189581</v>
      </c>
      <c r="AR40" s="138">
        <v>7.8183333377043329</v>
      </c>
      <c r="AS40" s="138">
        <v>8.2896527614858329</v>
      </c>
      <c r="AT40" s="138">
        <v>8.4081249998675318</v>
      </c>
      <c r="AU40" s="138">
        <v>9.0143749912579771</v>
      </c>
      <c r="AV40" s="138">
        <v>9.3542360994550826</v>
      </c>
      <c r="AW40" s="138">
        <v>8.900138888094153</v>
      </c>
      <c r="AX40" s="138">
        <v>8.8602778050634488</v>
      </c>
      <c r="AY40" s="138">
        <v>8.6981250147024731</v>
      </c>
      <c r="AZ40" s="138">
        <v>8.9399305582046438</v>
      </c>
      <c r="BA40" s="138">
        <v>8.9670139087570941</v>
      </c>
      <c r="BB40" s="138">
        <v>8.6198611391915136</v>
      </c>
      <c r="BC40" s="14">
        <v>9.0588811027420117</v>
      </c>
      <c r="BD40" s="14">
        <v>8.9480555256207719</v>
      </c>
      <c r="BE40" s="14">
        <v>8.5371527440018031</v>
      </c>
      <c r="BF40" s="139">
        <f>SUM(Input_Raw[[#This Row],[O2_01]:[O2_26]])</f>
        <v>1085131</v>
      </c>
      <c r="BG40" s="140">
        <f>IFERROR(AVERAGE(Input_Raw[[#This Row],[WS_O2_01]:[WS_O2_26]]),"")</f>
        <v>8.656769918903624</v>
      </c>
      <c r="BH40" s="141"/>
      <c r="BI40" s="141"/>
      <c r="BJ40" s="13">
        <v>1074150</v>
      </c>
      <c r="BK40" s="13">
        <v>0</v>
      </c>
      <c r="BL40" s="15">
        <f>Input_Raw[[#This Row],[66 kV_Wind_F1_Export_reading]]-Input_Raw[[#This Row],[66 kV_Wind_F1_Import_reading]]</f>
        <v>1074150</v>
      </c>
      <c r="BM40" s="142">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35">
        <v>1224.47</v>
      </c>
      <c r="BR40" s="207"/>
    </row>
    <row r="41" spans="1:70" ht="15">
      <c r="A41" s="240">
        <f t="shared" si="3"/>
        <v>45781</v>
      </c>
      <c r="B41" s="11">
        <f>YEAR(Input_Raw[[#This Row],[Date]])+IF(MONTH(Input_Raw[[#This Row],[Date]])&gt;=4,1,0)</f>
        <v>2026</v>
      </c>
      <c r="C41" s="11">
        <f>YEAR(Input_Raw[[#This Row],[Date]])</f>
        <v>2025</v>
      </c>
      <c r="D41" s="12">
        <f t="shared" ref="D41:D46" si="9">A41-DAY(A41)+1</f>
        <v>45778</v>
      </c>
      <c r="E41" s="11">
        <f>DAY(EOMONTH(Input_Raw[[#This Row],[Date]],0))</f>
        <v>31</v>
      </c>
      <c r="F41" s="288">
        <v>17974</v>
      </c>
      <c r="G41" s="288">
        <v>29174</v>
      </c>
      <c r="H41" s="288">
        <v>25699</v>
      </c>
      <c r="I41" s="288">
        <v>27656</v>
      </c>
      <c r="J41" s="288">
        <v>29142</v>
      </c>
      <c r="K41" s="288">
        <v>28832</v>
      </c>
      <c r="L41" s="288">
        <v>23702</v>
      </c>
      <c r="M41" s="288">
        <v>17190</v>
      </c>
      <c r="N41" s="288">
        <v>28449</v>
      </c>
      <c r="O41" s="288">
        <v>29343</v>
      </c>
      <c r="P41" s="288">
        <v>28037</v>
      </c>
      <c r="Q41" s="288">
        <v>29548</v>
      </c>
      <c r="R41" s="288">
        <v>25159</v>
      </c>
      <c r="S41" s="288">
        <v>26738</v>
      </c>
      <c r="T41" s="288">
        <v>27808</v>
      </c>
      <c r="U41" s="288">
        <v>28968</v>
      </c>
      <c r="V41" s="288">
        <v>30672</v>
      </c>
      <c r="W41" s="288">
        <v>30284</v>
      </c>
      <c r="X41" s="288">
        <v>28628</v>
      </c>
      <c r="Y41" s="288">
        <v>26654</v>
      </c>
      <c r="Z41" s="288">
        <v>30867</v>
      </c>
      <c r="AA41" s="288">
        <v>28077</v>
      </c>
      <c r="AB41" s="288">
        <v>29011</v>
      </c>
      <c r="AC41" s="289">
        <v>28077</v>
      </c>
      <c r="AD41" s="289">
        <v>25433</v>
      </c>
      <c r="AE41" s="289">
        <v>30825</v>
      </c>
      <c r="AF41" s="290">
        <v>6.6283333823084725</v>
      </c>
      <c r="AG41" s="290">
        <v>6.7306944347090134</v>
      </c>
      <c r="AH41" s="290">
        <v>6.555486115316544</v>
      </c>
      <c r="AI41" s="290">
        <v>6.7367361138264261</v>
      </c>
      <c r="AJ41" s="290">
        <v>6.8492361216081461</v>
      </c>
      <c r="AK41" s="290">
        <v>6.7620833247072092</v>
      </c>
      <c r="AL41" s="290">
        <v>6.2467361030479234</v>
      </c>
      <c r="AM41" s="290">
        <v>6.5400000371866707</v>
      </c>
      <c r="AN41" s="290">
        <v>6.7583333386315161</v>
      </c>
      <c r="AO41" s="290">
        <v>6.9047916821307567</v>
      </c>
      <c r="AP41" s="290">
        <v>6.8123611062765059</v>
      </c>
      <c r="AQ41" s="290">
        <v>6.877708334889669</v>
      </c>
      <c r="AR41" s="290">
        <v>6.532847223182511</v>
      </c>
      <c r="AS41" s="290">
        <v>6.6881250060266852</v>
      </c>
      <c r="AT41" s="290">
        <v>6.7800694488816742</v>
      </c>
      <c r="AU41" s="290">
        <v>7.0406569403181463</v>
      </c>
      <c r="AV41" s="290">
        <v>7.0868055737680802</v>
      </c>
      <c r="AW41" s="290">
        <v>6.8567361268732201</v>
      </c>
      <c r="AX41" s="290">
        <v>6.820000018510548</v>
      </c>
      <c r="AY41" s="290">
        <v>6.5916666504409527</v>
      </c>
      <c r="AZ41" s="290">
        <v>6.9837500196364104</v>
      </c>
      <c r="BA41" s="290">
        <v>6.7583333286974074</v>
      </c>
      <c r="BB41" s="290">
        <v>6.8652777688370774</v>
      </c>
      <c r="BC41" s="291">
        <v>6.6847222256991508</v>
      </c>
      <c r="BD41" s="291">
        <v>6.8663380498617403</v>
      </c>
      <c r="BE41" s="291">
        <v>6.9373611037929761</v>
      </c>
      <c r="BF41" s="292">
        <f>SUM(Input_Raw[[#This Row],[O2_01]:[O2_26]])</f>
        <v>711947</v>
      </c>
      <c r="BG41" s="293">
        <f>IFERROR(AVERAGE(Input_Raw[[#This Row],[WS_O2_01]:[WS_O2_26]]),"")</f>
        <v>6.7651995991986684</v>
      </c>
      <c r="BH41" s="294"/>
      <c r="BI41" s="294"/>
      <c r="BJ41" s="289">
        <v>685800</v>
      </c>
      <c r="BK41" s="289">
        <v>450</v>
      </c>
      <c r="BL41" s="295">
        <f>Input_Raw[[#This Row],[66 kV_Wind_F1_Export_reading]]-Input_Raw[[#This Row],[66 kV_Wind_F1_Import_reading]]</f>
        <v>685350</v>
      </c>
      <c r="BM41" s="296">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297">
        <v>773.86</v>
      </c>
      <c r="BR41" s="298"/>
    </row>
    <row r="42" spans="1:70" ht="15">
      <c r="A42" s="240">
        <f t="shared" si="3"/>
        <v>45782</v>
      </c>
      <c r="B42" s="11">
        <f>YEAR(Input_Raw[[#This Row],[Date]])+IF(MONTH(Input_Raw[[#This Row],[Date]])&gt;=4,1,0)</f>
        <v>2026</v>
      </c>
      <c r="C42" s="11">
        <f>YEAR(Input_Raw[[#This Row],[Date]])</f>
        <v>2025</v>
      </c>
      <c r="D42" s="12">
        <f t="shared" si="9"/>
        <v>45778</v>
      </c>
      <c r="E42" s="11">
        <f>DAY(EOMONTH(Input_Raw[[#This Row],[Date]],0))</f>
        <v>31</v>
      </c>
      <c r="F42" s="137">
        <v>18835</v>
      </c>
      <c r="G42" s="137">
        <v>31559</v>
      </c>
      <c r="H42" s="137">
        <v>29715</v>
      </c>
      <c r="I42" s="137">
        <v>30722</v>
      </c>
      <c r="J42" s="137">
        <v>30948</v>
      </c>
      <c r="K42" s="137">
        <v>30904</v>
      </c>
      <c r="L42" s="137">
        <v>28268</v>
      </c>
      <c r="M42" s="137">
        <v>27202</v>
      </c>
      <c r="N42" s="137">
        <v>31886</v>
      </c>
      <c r="O42" s="137">
        <v>31922</v>
      </c>
      <c r="P42" s="137">
        <v>20276</v>
      </c>
      <c r="Q42" s="137">
        <v>31332</v>
      </c>
      <c r="R42" s="137">
        <v>28547</v>
      </c>
      <c r="S42" s="137">
        <v>29701</v>
      </c>
      <c r="T42" s="137">
        <v>31905</v>
      </c>
      <c r="U42" s="137">
        <v>30318</v>
      </c>
      <c r="V42" s="137">
        <v>28089</v>
      </c>
      <c r="W42" s="137">
        <v>33937</v>
      </c>
      <c r="X42" s="137">
        <v>30708</v>
      </c>
      <c r="Y42" s="137">
        <v>29830</v>
      </c>
      <c r="Z42" s="137">
        <v>31289</v>
      </c>
      <c r="AA42" s="137">
        <v>25892</v>
      </c>
      <c r="AB42" s="137">
        <v>32518</v>
      </c>
      <c r="AC42" s="13">
        <v>30515</v>
      </c>
      <c r="AD42" s="13">
        <v>29760</v>
      </c>
      <c r="AE42" s="13">
        <v>31214</v>
      </c>
      <c r="AF42" s="138">
        <v>7.3474999682770736</v>
      </c>
      <c r="AG42" s="138">
        <v>7.3098611103163726</v>
      </c>
      <c r="AH42" s="138">
        <v>7.1845833278364513</v>
      </c>
      <c r="AI42" s="138">
        <v>7.2252777831421895</v>
      </c>
      <c r="AJ42" s="138">
        <v>7.3093055569463257</v>
      </c>
      <c r="AK42" s="138">
        <v>7.2811111261447179</v>
      </c>
      <c r="AL42" s="138">
        <v>6.972152822547482</v>
      </c>
      <c r="AM42" s="138">
        <v>7.1834027535385481</v>
      </c>
      <c r="AN42" s="138">
        <v>7.4029861026339994</v>
      </c>
      <c r="AO42" s="138">
        <v>7.4420139094193694</v>
      </c>
      <c r="AP42" s="138">
        <v>7.3673611167404296</v>
      </c>
      <c r="AQ42" s="138">
        <v>7.3700000080797299</v>
      </c>
      <c r="AR42" s="138">
        <v>7.1775694373581054</v>
      </c>
      <c r="AS42" s="138">
        <v>7.246944470538021</v>
      </c>
      <c r="AT42" s="138">
        <v>7.3884722126854747</v>
      </c>
      <c r="AU42" s="138">
        <v>7.349791662560559</v>
      </c>
      <c r="AV42" s="138">
        <v>7.2903471903668411</v>
      </c>
      <c r="AW42" s="138">
        <v>7.529791674680169</v>
      </c>
      <c r="AX42" s="138">
        <v>7.2361805389324747</v>
      </c>
      <c r="AY42" s="138">
        <v>7.2921527706914384</v>
      </c>
      <c r="AZ42" s="138">
        <v>7.3963888949817989</v>
      </c>
      <c r="BA42" s="138">
        <v>6.8902777781089064</v>
      </c>
      <c r="BB42" s="138">
        <v>7.4494444512658573</v>
      </c>
      <c r="BC42" s="14">
        <v>7.2443749888075608</v>
      </c>
      <c r="BD42" s="14">
        <v>7.150347231162911</v>
      </c>
      <c r="BE42" s="14">
        <v>7.3709722045395019</v>
      </c>
      <c r="BF42" s="139">
        <f>SUM(Input_Raw[[#This Row],[O2_01]:[O2_26]])</f>
        <v>767792</v>
      </c>
      <c r="BG42" s="140">
        <f>IFERROR(AVERAGE(Input_Raw[[#This Row],[WS_O2_01]:[WS_O2_26]]),"")</f>
        <v>7.2849465804731652</v>
      </c>
      <c r="BH42" s="141"/>
      <c r="BI42" s="141"/>
      <c r="BJ42" s="13">
        <v>741600</v>
      </c>
      <c r="BK42" s="13">
        <v>0</v>
      </c>
      <c r="BL42" s="15">
        <f>Input_Raw[[#This Row],[66 kV_Wind_F1_Export_reading]]-Input_Raw[[#This Row],[66 kV_Wind_F1_Import_reading]]</f>
        <v>741600</v>
      </c>
      <c r="BM42" s="142">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35">
        <v>837.33</v>
      </c>
      <c r="BR42" s="207"/>
    </row>
    <row r="43" spans="1:70" ht="15">
      <c r="A43" s="240">
        <f t="shared" si="3"/>
        <v>45783</v>
      </c>
      <c r="B43" s="11">
        <f>YEAR(Input_Raw[[#This Row],[Date]])+IF(MONTH(Input_Raw[[#This Row],[Date]])&gt;=4,1,0)</f>
        <v>2026</v>
      </c>
      <c r="C43" s="11">
        <f>YEAR(Input_Raw[[#This Row],[Date]])</f>
        <v>2025</v>
      </c>
      <c r="D43" s="12">
        <f t="shared" si="9"/>
        <v>45778</v>
      </c>
      <c r="E43" s="11">
        <f>DAY(EOMONTH(Input_Raw[[#This Row],[Date]],0))</f>
        <v>31</v>
      </c>
      <c r="F43" s="301">
        <v>10165</v>
      </c>
      <c r="G43" s="301">
        <v>15091</v>
      </c>
      <c r="H43" s="301">
        <v>15302</v>
      </c>
      <c r="I43" s="301">
        <v>15082</v>
      </c>
      <c r="J43" s="301">
        <v>14339</v>
      </c>
      <c r="K43" s="301">
        <v>23291</v>
      </c>
      <c r="L43" s="301">
        <v>18793</v>
      </c>
      <c r="M43" s="301">
        <v>11190</v>
      </c>
      <c r="N43" s="301">
        <v>15245</v>
      </c>
      <c r="O43" s="301">
        <v>18504</v>
      </c>
      <c r="P43" s="301">
        <v>16459</v>
      </c>
      <c r="Q43" s="301">
        <v>15671</v>
      </c>
      <c r="R43" s="301">
        <v>14458</v>
      </c>
      <c r="S43" s="301">
        <v>16788</v>
      </c>
      <c r="T43" s="301">
        <v>17961</v>
      </c>
      <c r="U43" s="301">
        <v>177</v>
      </c>
      <c r="V43" s="301">
        <v>24296</v>
      </c>
      <c r="W43" s="301">
        <v>25931</v>
      </c>
      <c r="X43" s="301">
        <v>26460</v>
      </c>
      <c r="Y43" s="301">
        <v>24540</v>
      </c>
      <c r="Z43" s="301">
        <v>23651</v>
      </c>
      <c r="AA43" s="301">
        <v>21281</v>
      </c>
      <c r="AB43" s="301">
        <v>15228</v>
      </c>
      <c r="AC43" s="302">
        <v>87</v>
      </c>
      <c r="AD43" s="302">
        <v>14231</v>
      </c>
      <c r="AE43" s="302">
        <v>10926</v>
      </c>
      <c r="AF43" s="303">
        <v>7.0833333301544128</v>
      </c>
      <c r="AG43" s="303">
        <v>6.633473677384222</v>
      </c>
      <c r="AH43" s="303">
        <v>6.8706315887601717</v>
      </c>
      <c r="AI43" s="303">
        <v>6.3598425228764661</v>
      </c>
      <c r="AJ43" s="303">
        <v>6.7275257712786924</v>
      </c>
      <c r="AK43" s="303">
        <v>6.9846456820570557</v>
      </c>
      <c r="AL43" s="303">
        <v>6.177559055446638</v>
      </c>
      <c r="AM43" s="303">
        <v>6.7677895012654705</v>
      </c>
      <c r="AN43" s="303">
        <v>6.8908421240354789</v>
      </c>
      <c r="AO43" s="303">
        <v>7.1290526358704769</v>
      </c>
      <c r="AP43" s="303">
        <v>6.996526287731367</v>
      </c>
      <c r="AQ43" s="303">
        <v>6.9836841972250667</v>
      </c>
      <c r="AR43" s="303">
        <v>6.851263171748105</v>
      </c>
      <c r="AS43" s="303">
        <v>6.9905262796502328</v>
      </c>
      <c r="AT43" s="303">
        <v>7.1088421118886824</v>
      </c>
      <c r="AU43" s="303">
        <v>7.1131868228152495</v>
      </c>
      <c r="AV43" s="303">
        <v>7.266614180380901</v>
      </c>
      <c r="AW43" s="303">
        <v>7.1201575065222293</v>
      </c>
      <c r="AX43" s="303">
        <v>6.9016535317334595</v>
      </c>
      <c r="AY43" s="303">
        <v>6.8773228042707659</v>
      </c>
      <c r="AZ43" s="303">
        <v>6.9615872805080681</v>
      </c>
      <c r="BA43" s="303">
        <v>6.8491269842026705</v>
      </c>
      <c r="BB43" s="303">
        <v>6.8997894883155784</v>
      </c>
      <c r="BC43" s="304">
        <v>7.1285483708545057</v>
      </c>
      <c r="BD43" s="304">
        <v>6.4670212890239451</v>
      </c>
      <c r="BE43" s="304">
        <v>6.9038947400293802</v>
      </c>
      <c r="BF43" s="305">
        <f>SUM(Input_Raw[[#This Row],[O2_01]:[O2_26]])</f>
        <v>425147</v>
      </c>
      <c r="BG43" s="306">
        <f>IFERROR(AVERAGE(Input_Raw[[#This Row],[WS_O2_01]:[WS_O2_26]]),"")</f>
        <v>6.8863246513857428</v>
      </c>
      <c r="BH43" s="307"/>
      <c r="BI43" s="307"/>
      <c r="BJ43" s="302">
        <v>412650</v>
      </c>
      <c r="BK43" s="302">
        <v>0</v>
      </c>
      <c r="BL43" s="308">
        <f>Input_Raw[[#This Row],[66 kV_Wind_F1_Export_reading]]-Input_Raw[[#This Row],[66 kV_Wind_F1_Import_reading]]</f>
        <v>412650</v>
      </c>
      <c r="BM43" s="309">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310">
        <v>541.99</v>
      </c>
      <c r="BR43" s="311"/>
    </row>
    <row r="44" spans="1:70" ht="15">
      <c r="A44" s="240">
        <f t="shared" si="3"/>
        <v>45784</v>
      </c>
      <c r="B44" s="11">
        <f>YEAR(Input_Raw[[#This Row],[Date]])+IF(MONTH(Input_Raw[[#This Row],[Date]])&gt;=4,1,0)</f>
        <v>2026</v>
      </c>
      <c r="C44" s="11">
        <f>YEAR(Input_Raw[[#This Row],[Date]])</f>
        <v>2025</v>
      </c>
      <c r="D44" s="12">
        <f t="shared" si="9"/>
        <v>45778</v>
      </c>
      <c r="E44" s="11">
        <f>DAY(EOMONTH(Input_Raw[[#This Row],[Date]],0))</f>
        <v>31</v>
      </c>
      <c r="F44" s="301">
        <v>11319</v>
      </c>
      <c r="G44" s="301">
        <v>16965</v>
      </c>
      <c r="H44" s="301">
        <v>1852</v>
      </c>
      <c r="I44" s="301">
        <v>19556</v>
      </c>
      <c r="J44" s="301">
        <v>16886</v>
      </c>
      <c r="K44" s="301">
        <v>19918</v>
      </c>
      <c r="L44" s="301">
        <v>16111</v>
      </c>
      <c r="M44" s="301">
        <v>11676</v>
      </c>
      <c r="N44" s="301">
        <v>15126</v>
      </c>
      <c r="O44" s="301">
        <v>14677</v>
      </c>
      <c r="P44" s="301">
        <v>14545</v>
      </c>
      <c r="Q44" s="301">
        <v>11445</v>
      </c>
      <c r="R44" s="301">
        <v>15086</v>
      </c>
      <c r="S44" s="301">
        <v>14856</v>
      </c>
      <c r="T44" s="301">
        <v>14641</v>
      </c>
      <c r="U44" s="301">
        <v>1279</v>
      </c>
      <c r="V44" s="301">
        <v>19367</v>
      </c>
      <c r="W44" s="301">
        <v>21456</v>
      </c>
      <c r="X44" s="301">
        <v>20272</v>
      </c>
      <c r="Y44" s="301">
        <v>19397</v>
      </c>
      <c r="Z44" s="301">
        <v>21725</v>
      </c>
      <c r="AA44" s="301">
        <v>19485</v>
      </c>
      <c r="AB44" s="301">
        <v>12584</v>
      </c>
      <c r="AC44" s="302">
        <v>10416</v>
      </c>
      <c r="AD44" s="302">
        <v>15407</v>
      </c>
      <c r="AE44" s="302">
        <v>15166</v>
      </c>
      <c r="AF44" s="303">
        <v>5.7431746153604379</v>
      </c>
      <c r="AG44" s="303">
        <v>5.8574400138854941</v>
      </c>
      <c r="AH44" s="303">
        <v>5.5644628060750687</v>
      </c>
      <c r="AI44" s="303">
        <v>5.6082638866371539</v>
      </c>
      <c r="AJ44" s="303">
        <v>5.9282399761676734</v>
      </c>
      <c r="AK44" s="303">
        <v>6.0339583332339899</v>
      </c>
      <c r="AL44" s="303">
        <v>5.3851388750804761</v>
      </c>
      <c r="AM44" s="303">
        <v>5.6519200096130326</v>
      </c>
      <c r="AN44" s="303">
        <v>5.6112698453759347</v>
      </c>
      <c r="AO44" s="303">
        <v>5.6850793636773505</v>
      </c>
      <c r="AP44" s="303">
        <v>5.7726190563971285</v>
      </c>
      <c r="AQ44" s="303">
        <v>5.8937301455095135</v>
      </c>
      <c r="AR44" s="303">
        <v>5.800880002498622</v>
      </c>
      <c r="AS44" s="303">
        <v>5.7049206317003236</v>
      </c>
      <c r="AT44" s="303">
        <v>5.6931967223063058</v>
      </c>
      <c r="AU44" s="303">
        <v>5.7809243668027266</v>
      </c>
      <c r="AV44" s="303">
        <v>6.1783333114451802</v>
      </c>
      <c r="AW44" s="303">
        <v>6.1342360915409149</v>
      </c>
      <c r="AX44" s="303">
        <v>5.7728472294078905</v>
      </c>
      <c r="AY44" s="303">
        <v>6.1546808472761843</v>
      </c>
      <c r="AZ44" s="303">
        <v>6.0544444616470052</v>
      </c>
      <c r="BA44" s="303">
        <v>5.9904861185285743</v>
      </c>
      <c r="BB44" s="303">
        <v>5.7900000253160053</v>
      </c>
      <c r="BC44" s="304">
        <v>6.1613194454047395</v>
      </c>
      <c r="BD44" s="304">
        <v>6.000416666346907</v>
      </c>
      <c r="BE44" s="304">
        <v>5.7176190587056244</v>
      </c>
      <c r="BF44" s="305">
        <f>SUM(Input_Raw[[#This Row],[O2_01]:[O2_26]])</f>
        <v>391213</v>
      </c>
      <c r="BG44" s="306">
        <f>IFERROR(AVERAGE(Input_Raw[[#This Row],[WS_O2_01]:[WS_O2_26]]),"")</f>
        <v>5.8334462271515468</v>
      </c>
      <c r="BH44" s="307"/>
      <c r="BI44" s="307"/>
      <c r="BJ44" s="302">
        <v>377100</v>
      </c>
      <c r="BK44" s="302">
        <v>0</v>
      </c>
      <c r="BL44" s="308">
        <f>Input_Raw[[#This Row],[66 kV_Wind_F1_Export_reading]]-Input_Raw[[#This Row],[66 kV_Wind_F1_Import_reading]]</f>
        <v>377100</v>
      </c>
      <c r="BM44" s="309">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310">
        <v>371.67</v>
      </c>
      <c r="BR44" s="311"/>
    </row>
    <row r="45" spans="1:70" ht="15">
      <c r="A45" s="240">
        <f t="shared" si="3"/>
        <v>45785</v>
      </c>
      <c r="B45" s="11">
        <f>YEAR(Input_Raw[[#This Row],[Date]])+IF(MONTH(Input_Raw[[#This Row],[Date]])&gt;=4,1,0)</f>
        <v>2026</v>
      </c>
      <c r="C45" s="11">
        <f>YEAR(Input_Raw[[#This Row],[Date]])</f>
        <v>2025</v>
      </c>
      <c r="D45" s="12">
        <f t="shared" si="9"/>
        <v>45778</v>
      </c>
      <c r="E45" s="11">
        <f>DAY(EOMONTH(Input_Raw[[#This Row],[Date]],0))</f>
        <v>31</v>
      </c>
      <c r="F45" s="137">
        <v>7575</v>
      </c>
      <c r="G45" s="137">
        <v>10183</v>
      </c>
      <c r="H45" s="137">
        <v>6151</v>
      </c>
      <c r="I45" s="137">
        <v>9882</v>
      </c>
      <c r="J45" s="137">
        <v>9278</v>
      </c>
      <c r="K45" s="137">
        <v>7917</v>
      </c>
      <c r="L45" s="137">
        <v>7381</v>
      </c>
      <c r="M45" s="137">
        <v>6257</v>
      </c>
      <c r="N45" s="137">
        <v>6464</v>
      </c>
      <c r="O45" s="137">
        <v>6233</v>
      </c>
      <c r="P45" s="137">
        <v>7094</v>
      </c>
      <c r="Q45" s="137">
        <v>6716</v>
      </c>
      <c r="R45" s="137">
        <v>6390</v>
      </c>
      <c r="S45" s="137">
        <v>6051</v>
      </c>
      <c r="T45" s="137">
        <v>7149</v>
      </c>
      <c r="U45" s="137">
        <v>7733</v>
      </c>
      <c r="V45" s="137">
        <v>7908</v>
      </c>
      <c r="W45" s="137">
        <v>8265</v>
      </c>
      <c r="X45" s="137">
        <v>8140</v>
      </c>
      <c r="Y45" s="137">
        <v>6207</v>
      </c>
      <c r="Z45" s="137">
        <v>7764</v>
      </c>
      <c r="AA45" s="137">
        <v>7733</v>
      </c>
      <c r="AB45" s="137">
        <v>5173</v>
      </c>
      <c r="AC45" s="13">
        <v>9370</v>
      </c>
      <c r="AD45" s="13">
        <v>8720</v>
      </c>
      <c r="AE45" s="13">
        <v>6869</v>
      </c>
      <c r="AF45" s="138">
        <v>4.2821126748138738</v>
      </c>
      <c r="AG45" s="138">
        <v>4.4326056174828947</v>
      </c>
      <c r="AH45" s="138">
        <v>3.9808450886900988</v>
      </c>
      <c r="AI45" s="138">
        <v>4.3881944525572969</v>
      </c>
      <c r="AJ45" s="138">
        <v>4.4838028155582039</v>
      </c>
      <c r="AK45" s="138">
        <v>4.2509722279177762</v>
      </c>
      <c r="AL45" s="138">
        <v>4.077430562012724</v>
      </c>
      <c r="AM45" s="138">
        <v>3.857394362839174</v>
      </c>
      <c r="AN45" s="138">
        <v>3.9505633611074629</v>
      </c>
      <c r="AO45" s="138">
        <v>4.0057042148751263</v>
      </c>
      <c r="AP45" s="138">
        <v>4.1706337987537108</v>
      </c>
      <c r="AQ45" s="138">
        <v>4.0231690322849101</v>
      </c>
      <c r="AR45" s="138">
        <v>3.9823943594811659</v>
      </c>
      <c r="AS45" s="138">
        <v>3.9163120545394023</v>
      </c>
      <c r="AT45" s="138">
        <v>4.0493661971159378</v>
      </c>
      <c r="AU45" s="138">
        <v>4.1438028283522135</v>
      </c>
      <c r="AV45" s="138">
        <v>4.2415972120232048</v>
      </c>
      <c r="AW45" s="138">
        <v>4.1926388823323775</v>
      </c>
      <c r="AX45" s="138">
        <v>4.1281944455371953</v>
      </c>
      <c r="AY45" s="138">
        <v>4.3725757513082364</v>
      </c>
      <c r="AZ45" s="138">
        <v>4.025833336843383</v>
      </c>
      <c r="BA45" s="138">
        <v>4.1731944291128036</v>
      </c>
      <c r="BB45" s="138">
        <v>3.9137323809341638</v>
      </c>
      <c r="BC45" s="14">
        <v>4.3361805354555436</v>
      </c>
      <c r="BD45" s="14">
        <v>4.3219718379034111</v>
      </c>
      <c r="BE45" s="14">
        <v>4.0434265632729423</v>
      </c>
      <c r="BF45" s="139">
        <f>SUM(Input_Raw[[#This Row],[O2_01]:[O2_26]])</f>
        <v>194603</v>
      </c>
      <c r="BG45" s="140">
        <f>IFERROR(AVERAGE(Input_Raw[[#This Row],[WS_O2_01]:[WS_O2_26]]),"")</f>
        <v>4.1440249624271237</v>
      </c>
      <c r="BH45" s="141"/>
      <c r="BI45" s="141"/>
      <c r="BJ45" s="13">
        <v>187200</v>
      </c>
      <c r="BK45" s="13">
        <v>450</v>
      </c>
      <c r="BL45" s="15">
        <f>Input_Raw[[#This Row],[66 kV_Wind_F1_Export_reading]]-Input_Raw[[#This Row],[66 kV_Wind_F1_Import_reading]]</f>
        <v>186750</v>
      </c>
      <c r="BM45" s="142">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35">
        <v>194.40299999999999</v>
      </c>
      <c r="BR45" s="207"/>
    </row>
    <row r="46" spans="1:70" ht="15">
      <c r="A46" s="240">
        <f t="shared" si="3"/>
        <v>45786</v>
      </c>
      <c r="B46" s="11">
        <f>YEAR(Input_Raw[[#This Row],[Date]])+IF(MONTH(Input_Raw[[#This Row],[Date]])&gt;=4,1,0)</f>
        <v>2026</v>
      </c>
      <c r="C46" s="11">
        <f>YEAR(Input_Raw[[#This Row],[Date]])</f>
        <v>2025</v>
      </c>
      <c r="D46" s="12">
        <f t="shared" si="9"/>
        <v>45778</v>
      </c>
      <c r="E46" s="11">
        <f>DAY(EOMONTH(Input_Raw[[#This Row],[Date]],0))</f>
        <v>31</v>
      </c>
      <c r="F46" s="137">
        <v>9128</v>
      </c>
      <c r="G46" s="137">
        <v>12509</v>
      </c>
      <c r="H46" s="137">
        <v>9207</v>
      </c>
      <c r="I46" s="137">
        <v>5316</v>
      </c>
      <c r="J46" s="137">
        <v>11663</v>
      </c>
      <c r="K46" s="137">
        <v>6891</v>
      </c>
      <c r="L46" s="137">
        <v>4777</v>
      </c>
      <c r="M46" s="137">
        <v>9913</v>
      </c>
      <c r="N46" s="137">
        <v>8780</v>
      </c>
      <c r="O46" s="137">
        <v>9374</v>
      </c>
      <c r="P46" s="137">
        <v>9372</v>
      </c>
      <c r="Q46" s="137">
        <v>10322</v>
      </c>
      <c r="R46" s="137">
        <v>10508</v>
      </c>
      <c r="S46" s="137">
        <v>10289</v>
      </c>
      <c r="T46" s="137">
        <v>10040</v>
      </c>
      <c r="U46" s="137">
        <v>6386</v>
      </c>
      <c r="V46" s="137">
        <v>6518</v>
      </c>
      <c r="W46" s="137">
        <v>6914</v>
      </c>
      <c r="X46" s="137">
        <v>4077</v>
      </c>
      <c r="Y46" s="137">
        <v>6597</v>
      </c>
      <c r="Z46" s="137">
        <v>5387</v>
      </c>
      <c r="AA46" s="137">
        <v>7622</v>
      </c>
      <c r="AB46" s="137">
        <v>9232</v>
      </c>
      <c r="AC46" s="13">
        <v>7052</v>
      </c>
      <c r="AD46" s="13">
        <v>11182</v>
      </c>
      <c r="AE46" s="13">
        <v>9743</v>
      </c>
      <c r="AF46" s="138">
        <v>4.3499999999999996</v>
      </c>
      <c r="AG46" s="138">
        <v>4.66</v>
      </c>
      <c r="AH46" s="138">
        <v>4.13</v>
      </c>
      <c r="AI46" s="138">
        <v>4</v>
      </c>
      <c r="AJ46" s="138">
        <v>4.67</v>
      </c>
      <c r="AK46" s="138">
        <v>4.13</v>
      </c>
      <c r="AL46" s="138">
        <v>3.94</v>
      </c>
      <c r="AM46" s="138">
        <v>4.25</v>
      </c>
      <c r="AN46" s="138">
        <v>4.1399999999999997</v>
      </c>
      <c r="AO46" s="138">
        <v>4.17</v>
      </c>
      <c r="AP46" s="138">
        <v>4.3099999999999996</v>
      </c>
      <c r="AQ46" s="138">
        <v>4.34</v>
      </c>
      <c r="AR46" s="138">
        <v>4.3099999999999996</v>
      </c>
      <c r="AS46" s="138">
        <v>4.3600000000000003</v>
      </c>
      <c r="AT46" s="138">
        <v>4.29</v>
      </c>
      <c r="AU46" s="138">
        <v>4.0599999999999996</v>
      </c>
      <c r="AV46" s="138">
        <v>4.33</v>
      </c>
      <c r="AW46" s="138">
        <v>3.93</v>
      </c>
      <c r="AX46" s="138">
        <v>3.79</v>
      </c>
      <c r="AY46" s="138">
        <v>4.0999999999999996</v>
      </c>
      <c r="AZ46" s="138">
        <v>3.76</v>
      </c>
      <c r="BA46" s="138">
        <v>4.26</v>
      </c>
      <c r="BB46" s="138">
        <v>4.26</v>
      </c>
      <c r="BC46" s="14">
        <v>4.1399999999999997</v>
      </c>
      <c r="BD46" s="14">
        <v>4.55</v>
      </c>
      <c r="BE46" s="14">
        <v>4.29</v>
      </c>
      <c r="BF46" s="139">
        <f>SUM(Input_Raw[[#This Row],[O2_01]:[O2_26]])</f>
        <v>218799</v>
      </c>
      <c r="BG46" s="140">
        <f>IFERROR(AVERAGE(Input_Raw[[#This Row],[WS_O2_01]:[WS_O2_26]]),"")</f>
        <v>4.2123076923076939</v>
      </c>
      <c r="BH46" s="141"/>
      <c r="BI46" s="141"/>
      <c r="BJ46" s="13">
        <v>210150</v>
      </c>
      <c r="BK46" s="13">
        <v>0</v>
      </c>
      <c r="BL46" s="15">
        <f>Input_Raw[[#This Row],[66 kV_Wind_F1_Export_reading]]-Input_Raw[[#This Row],[66 kV_Wind_F1_Import_reading]]</f>
        <v>210150</v>
      </c>
      <c r="BM46" s="142">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35">
        <v>215.78</v>
      </c>
      <c r="BR46" s="207"/>
    </row>
    <row r="47" spans="1:70" ht="15">
      <c r="A47" s="240">
        <f t="shared" si="3"/>
        <v>45787</v>
      </c>
      <c r="B47" s="11">
        <f>YEAR(Input_Raw[[#This Row],[Date]])+IF(MONTH(Input_Raw[[#This Row],[Date]])&gt;=4,1,0)</f>
        <v>2026</v>
      </c>
      <c r="C47" s="11">
        <f>YEAR(Input_Raw[[#This Row],[Date]])</f>
        <v>2025</v>
      </c>
      <c r="D47" s="12">
        <f t="shared" ref="D47:D52" si="10">A47-DAY(A47)+1</f>
        <v>45778</v>
      </c>
      <c r="E47" s="11">
        <f>DAY(EOMONTH(Input_Raw[[#This Row],[Date]],0))</f>
        <v>31</v>
      </c>
      <c r="F47" s="137">
        <v>14837</v>
      </c>
      <c r="G47" s="137">
        <v>21132</v>
      </c>
      <c r="H47" s="137">
        <v>12290</v>
      </c>
      <c r="I47" s="137">
        <v>17359</v>
      </c>
      <c r="J47" s="137">
        <v>19838</v>
      </c>
      <c r="K47" s="137">
        <v>12904</v>
      </c>
      <c r="L47" s="137">
        <v>13014</v>
      </c>
      <c r="M47" s="137">
        <v>12886</v>
      </c>
      <c r="N47" s="137">
        <v>13132</v>
      </c>
      <c r="O47" s="137">
        <v>11294</v>
      </c>
      <c r="P47" s="137">
        <v>13194</v>
      </c>
      <c r="Q47" s="137">
        <v>13400</v>
      </c>
      <c r="R47" s="137">
        <v>12510</v>
      </c>
      <c r="S47" s="137">
        <v>12935</v>
      </c>
      <c r="T47" s="137">
        <v>13423</v>
      </c>
      <c r="U47" s="137">
        <v>13663</v>
      </c>
      <c r="V47" s="137">
        <v>15113</v>
      </c>
      <c r="W47" s="137">
        <v>11997</v>
      </c>
      <c r="X47" s="137">
        <v>0</v>
      </c>
      <c r="Y47" s="137">
        <v>12177</v>
      </c>
      <c r="Z47" s="137">
        <v>11514</v>
      </c>
      <c r="AA47" s="137">
        <v>15068</v>
      </c>
      <c r="AB47" s="137">
        <v>11818</v>
      </c>
      <c r="AC47" s="13">
        <v>12570</v>
      </c>
      <c r="AD47" s="13">
        <v>20756</v>
      </c>
      <c r="AE47" s="13">
        <v>14169</v>
      </c>
      <c r="AF47" s="138">
        <v>5.0740277839617587</v>
      </c>
      <c r="AG47" s="138">
        <v>5.6715277752114659</v>
      </c>
      <c r="AH47" s="138">
        <v>4.8212500152488538</v>
      </c>
      <c r="AI47" s="138">
        <v>5.5293129815911968</v>
      </c>
      <c r="AJ47" s="138">
        <v>5.6067361065910912</v>
      </c>
      <c r="AK47" s="138">
        <v>5.1671641771473098</v>
      </c>
      <c r="AL47" s="138">
        <v>4.9638636312306375</v>
      </c>
      <c r="AM47" s="138">
        <v>5.0511188813439611</v>
      </c>
      <c r="AN47" s="138">
        <v>4.8700694603224584</v>
      </c>
      <c r="AO47" s="138">
        <v>4.7189583198891727</v>
      </c>
      <c r="AP47" s="138">
        <v>4.9155555533038235</v>
      </c>
      <c r="AQ47" s="138">
        <v>4.999861116210619</v>
      </c>
      <c r="AR47" s="138">
        <v>4.8692361145383778</v>
      </c>
      <c r="AS47" s="138">
        <v>4.976527770774231</v>
      </c>
      <c r="AT47" s="138">
        <v>4.9661805613173371</v>
      </c>
      <c r="AU47" s="138">
        <v>5.2099999974467854</v>
      </c>
      <c r="AV47" s="138">
        <v>5.9096694258618925</v>
      </c>
      <c r="AW47" s="138">
        <v>4.9218656614200382</v>
      </c>
      <c r="AX47" s="138">
        <v>0</v>
      </c>
      <c r="AY47" s="138">
        <v>5.0039552217210401</v>
      </c>
      <c r="AZ47" s="138">
        <v>4.856015048080816</v>
      </c>
      <c r="BA47" s="138">
        <v>5.7399166618784259</v>
      </c>
      <c r="BB47" s="138">
        <v>4.913472226924366</v>
      </c>
      <c r="BC47" s="14">
        <v>4.9544776122627852</v>
      </c>
      <c r="BD47" s="14">
        <v>5.5285416657312041</v>
      </c>
      <c r="BE47" s="14">
        <v>4.9138194500572148</v>
      </c>
      <c r="BF47" s="139">
        <f>SUM(Input_Raw[[#This Row],[O2_01]:[O2_26]])</f>
        <v>352993</v>
      </c>
      <c r="BG47" s="140">
        <f>IFERROR(AVERAGE(Input_Raw[[#This Row],[WS_O2_01]:[WS_O2_26]]),"")</f>
        <v>4.9289662776948795</v>
      </c>
      <c r="BH47" s="141"/>
      <c r="BI47" s="141"/>
      <c r="BJ47" s="13">
        <v>341550</v>
      </c>
      <c r="BK47" s="13">
        <v>900</v>
      </c>
      <c r="BL47" s="15">
        <f>Input_Raw[[#This Row],[66 kV_Wind_F1_Export_reading]]-Input_Raw[[#This Row],[66 kV_Wind_F1_Import_reading]]</f>
        <v>340650</v>
      </c>
      <c r="BM47" s="142">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35">
        <v>361.29</v>
      </c>
      <c r="BR47" s="207"/>
    </row>
    <row r="48" spans="1:70" ht="15">
      <c r="A48" s="240">
        <f t="shared" si="3"/>
        <v>45788</v>
      </c>
      <c r="B48" s="11">
        <f>YEAR(Input_Raw[[#This Row],[Date]])+IF(MONTH(Input_Raw[[#This Row],[Date]])&gt;=4,1,0)</f>
        <v>2026</v>
      </c>
      <c r="C48" s="11">
        <f>YEAR(Input_Raw[[#This Row],[Date]])</f>
        <v>2025</v>
      </c>
      <c r="D48" s="12">
        <f t="shared" si="10"/>
        <v>45778</v>
      </c>
      <c r="E48" s="11">
        <f>DAY(EOMONTH(Input_Raw[[#This Row],[Date]],0))</f>
        <v>31</v>
      </c>
      <c r="F48" s="312">
        <v>11784</v>
      </c>
      <c r="G48" s="312">
        <v>18152</v>
      </c>
      <c r="H48" s="312">
        <v>10710</v>
      </c>
      <c r="I48" s="312">
        <v>14944</v>
      </c>
      <c r="J48" s="312">
        <v>16638</v>
      </c>
      <c r="K48" s="312">
        <v>12050</v>
      </c>
      <c r="L48" s="312">
        <v>12314</v>
      </c>
      <c r="M48" s="312">
        <v>12976</v>
      </c>
      <c r="N48" s="312">
        <v>11136</v>
      </c>
      <c r="O48" s="312">
        <v>9042</v>
      </c>
      <c r="P48" s="312">
        <v>10160</v>
      </c>
      <c r="Q48" s="312">
        <v>7229</v>
      </c>
      <c r="R48" s="312">
        <v>10619</v>
      </c>
      <c r="S48" s="312">
        <v>10415</v>
      </c>
      <c r="T48" s="312">
        <v>11894</v>
      </c>
      <c r="U48" s="312">
        <v>10970</v>
      </c>
      <c r="V48" s="312">
        <v>13086</v>
      </c>
      <c r="W48" s="312">
        <v>10907</v>
      </c>
      <c r="X48" s="312">
        <v>9508</v>
      </c>
      <c r="Y48" s="312">
        <v>9816</v>
      </c>
      <c r="Z48" s="312">
        <v>9404</v>
      </c>
      <c r="AA48" s="312">
        <v>13232</v>
      </c>
      <c r="AB48" s="312">
        <v>10858</v>
      </c>
      <c r="AC48" s="313">
        <v>10039</v>
      </c>
      <c r="AD48" s="313">
        <v>17651</v>
      </c>
      <c r="AE48" s="313">
        <v>10027</v>
      </c>
      <c r="AF48" s="314">
        <v>4.9400000000000004</v>
      </c>
      <c r="AG48" s="314">
        <v>5.32</v>
      </c>
      <c r="AH48" s="314">
        <v>4.51</v>
      </c>
      <c r="AI48" s="314">
        <v>5.05</v>
      </c>
      <c r="AJ48" s="314">
        <v>5.31</v>
      </c>
      <c r="AK48" s="314">
        <v>4.9000000000000004</v>
      </c>
      <c r="AL48" s="314">
        <v>4.6500000000000004</v>
      </c>
      <c r="AM48" s="314">
        <v>4.7699999999999996</v>
      </c>
      <c r="AN48" s="314">
        <v>4.58</v>
      </c>
      <c r="AO48" s="314">
        <v>4.33</v>
      </c>
      <c r="AP48" s="314">
        <v>4.5</v>
      </c>
      <c r="AQ48" s="314">
        <v>4.53</v>
      </c>
      <c r="AR48" s="314">
        <v>4.5</v>
      </c>
      <c r="AS48" s="314">
        <v>4.54</v>
      </c>
      <c r="AT48" s="314">
        <v>4.7</v>
      </c>
      <c r="AU48" s="314">
        <v>4.5999999999999996</v>
      </c>
      <c r="AV48" s="314">
        <v>5.08</v>
      </c>
      <c r="AW48" s="314">
        <v>4.5999999999999996</v>
      </c>
      <c r="AX48" s="314">
        <v>4.58</v>
      </c>
      <c r="AY48" s="314">
        <v>4.5</v>
      </c>
      <c r="AZ48" s="314">
        <v>4.3499999999999996</v>
      </c>
      <c r="BA48" s="314">
        <v>5.04</v>
      </c>
      <c r="BB48" s="314">
        <v>4.55</v>
      </c>
      <c r="BC48" s="315">
        <v>4.46</v>
      </c>
      <c r="BD48" s="315">
        <v>5.37</v>
      </c>
      <c r="BE48" s="315">
        <v>4.62</v>
      </c>
      <c r="BF48" s="316">
        <f>SUM(Input_Raw[[#This Row],[O2_01]:[O2_26]])</f>
        <v>305561</v>
      </c>
      <c r="BG48" s="317">
        <f>IFERROR(AVERAGE(Input_Raw[[#This Row],[WS_O2_01]:[WS_O2_26]]),"")</f>
        <v>4.7261538461538457</v>
      </c>
      <c r="BH48" s="318"/>
      <c r="BI48" s="318"/>
      <c r="BJ48" s="313">
        <v>296550</v>
      </c>
      <c r="BK48" s="313">
        <v>450</v>
      </c>
      <c r="BL48" s="319">
        <f>Input_Raw[[#This Row],[66 kV_Wind_F1_Export_reading]]-Input_Raw[[#This Row],[66 kV_Wind_F1_Import_reading]]</f>
        <v>296100</v>
      </c>
      <c r="BM48" s="320">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321">
        <v>313.27999999999997</v>
      </c>
      <c r="BR48" s="322"/>
    </row>
    <row r="49" spans="1:70" ht="15">
      <c r="A49" s="240">
        <f t="shared" si="3"/>
        <v>45789</v>
      </c>
      <c r="B49" s="11">
        <f>YEAR(Input_Raw[[#This Row],[Date]])+IF(MONTH(Input_Raw[[#This Row],[Date]])&gt;=4,1,0)</f>
        <v>2026</v>
      </c>
      <c r="C49" s="11">
        <f>YEAR(Input_Raw[[#This Row],[Date]])</f>
        <v>2025</v>
      </c>
      <c r="D49" s="12">
        <f t="shared" si="10"/>
        <v>45778</v>
      </c>
      <c r="E49" s="11">
        <f>DAY(EOMONTH(Input_Raw[[#This Row],[Date]],0))</f>
        <v>31</v>
      </c>
      <c r="F49" s="323">
        <v>13179</v>
      </c>
      <c r="G49" s="323">
        <v>18885</v>
      </c>
      <c r="H49" s="323">
        <v>12004</v>
      </c>
      <c r="I49" s="323">
        <v>15005</v>
      </c>
      <c r="J49" s="323">
        <v>16569</v>
      </c>
      <c r="K49" s="323">
        <v>11228</v>
      </c>
      <c r="L49" s="323">
        <v>10674</v>
      </c>
      <c r="M49" s="323">
        <v>12686</v>
      </c>
      <c r="N49" s="323">
        <v>12783</v>
      </c>
      <c r="O49" s="323">
        <v>10350</v>
      </c>
      <c r="P49" s="323">
        <v>11071</v>
      </c>
      <c r="Q49" s="323">
        <v>9535</v>
      </c>
      <c r="R49" s="323">
        <v>10103</v>
      </c>
      <c r="S49" s="323">
        <v>11238</v>
      </c>
      <c r="T49" s="323">
        <v>11575</v>
      </c>
      <c r="U49" s="323">
        <v>10406</v>
      </c>
      <c r="V49" s="323">
        <v>12451</v>
      </c>
      <c r="W49" s="323">
        <v>11034</v>
      </c>
      <c r="X49" s="323">
        <v>9396</v>
      </c>
      <c r="Y49" s="323">
        <v>9383</v>
      </c>
      <c r="Z49" s="323">
        <v>9631</v>
      </c>
      <c r="AA49" s="323">
        <v>11832</v>
      </c>
      <c r="AB49" s="323">
        <v>12422</v>
      </c>
      <c r="AC49" s="324">
        <v>10435</v>
      </c>
      <c r="AD49" s="324">
        <v>17749</v>
      </c>
      <c r="AE49" s="324">
        <v>13322</v>
      </c>
      <c r="AF49" s="325">
        <v>5.2</v>
      </c>
      <c r="AG49" s="325">
        <v>5.56</v>
      </c>
      <c r="AH49" s="325">
        <v>4.87</v>
      </c>
      <c r="AI49" s="325">
        <v>5.29</v>
      </c>
      <c r="AJ49" s="325">
        <v>5.43</v>
      </c>
      <c r="AK49" s="325">
        <v>5.14</v>
      </c>
      <c r="AL49" s="325">
        <v>4.58</v>
      </c>
      <c r="AM49" s="325">
        <v>4.9000000000000004</v>
      </c>
      <c r="AN49" s="325">
        <v>4.99</v>
      </c>
      <c r="AO49" s="325">
        <v>4.59</v>
      </c>
      <c r="AP49" s="325">
        <v>4.8</v>
      </c>
      <c r="AQ49" s="325">
        <v>4.76</v>
      </c>
      <c r="AR49" s="325">
        <v>4.6100000000000003</v>
      </c>
      <c r="AS49" s="325">
        <v>4.79</v>
      </c>
      <c r="AT49" s="325">
        <v>4.8099999999999996</v>
      </c>
      <c r="AU49" s="325">
        <v>4.7300000000000004</v>
      </c>
      <c r="AV49" s="325">
        <v>5.14</v>
      </c>
      <c r="AW49" s="325">
        <v>4.8099999999999996</v>
      </c>
      <c r="AX49" s="325">
        <v>4.66</v>
      </c>
      <c r="AY49" s="325">
        <v>4.5599999999999996</v>
      </c>
      <c r="AZ49" s="325">
        <v>4.5999999999999996</v>
      </c>
      <c r="BA49" s="325">
        <v>5.18</v>
      </c>
      <c r="BB49" s="325">
        <v>4.91</v>
      </c>
      <c r="BC49" s="326">
        <v>4.6500000000000004</v>
      </c>
      <c r="BD49" s="326">
        <v>5.62</v>
      </c>
      <c r="BE49" s="326">
        <v>5</v>
      </c>
      <c r="BF49" s="327">
        <f>SUM(Input_Raw[[#This Row],[O2_01]:[O2_26]])</f>
        <v>314946</v>
      </c>
      <c r="BG49" s="328">
        <f>IFERROR(AVERAGE(Input_Raw[[#This Row],[WS_O2_01]:[WS_O2_26]]),"")</f>
        <v>4.9300000000000006</v>
      </c>
      <c r="BH49" s="329"/>
      <c r="BI49" s="329"/>
      <c r="BJ49" s="324">
        <v>306000</v>
      </c>
      <c r="BK49" s="324">
        <v>0</v>
      </c>
      <c r="BL49" s="330">
        <f>Input_Raw[[#This Row],[66 kV_Wind_F1_Export_reading]]-Input_Raw[[#This Row],[66 kV_Wind_F1_Import_reading]]</f>
        <v>306000</v>
      </c>
      <c r="BM49" s="33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332">
        <v>314.91000000000003</v>
      </c>
      <c r="BR49" s="333"/>
    </row>
    <row r="50" spans="1:70" ht="15">
      <c r="A50" s="240">
        <f t="shared" si="3"/>
        <v>45790</v>
      </c>
      <c r="B50" s="11">
        <f>YEAR(Input_Raw[[#This Row],[Date]])+IF(MONTH(Input_Raw[[#This Row],[Date]])&gt;=4,1,0)</f>
        <v>2026</v>
      </c>
      <c r="C50" s="11">
        <f>YEAR(Input_Raw[[#This Row],[Date]])</f>
        <v>2025</v>
      </c>
      <c r="D50" s="12">
        <f t="shared" si="10"/>
        <v>45778</v>
      </c>
      <c r="E50" s="11">
        <f>DAY(EOMONTH(Input_Raw[[#This Row],[Date]],0))</f>
        <v>31</v>
      </c>
      <c r="F50" s="137">
        <v>15857</v>
      </c>
      <c r="G50" s="137">
        <v>18876</v>
      </c>
      <c r="H50" s="137">
        <v>15776</v>
      </c>
      <c r="I50" s="137">
        <v>17095</v>
      </c>
      <c r="J50" s="137">
        <v>17236</v>
      </c>
      <c r="K50" s="137">
        <v>17663</v>
      </c>
      <c r="L50" s="137">
        <v>12778</v>
      </c>
      <c r="M50" s="137">
        <v>15814</v>
      </c>
      <c r="N50" s="137">
        <v>16473</v>
      </c>
      <c r="O50" s="137">
        <v>13813</v>
      </c>
      <c r="P50" s="137">
        <v>14778</v>
      </c>
      <c r="Q50" s="137">
        <v>15300</v>
      </c>
      <c r="R50" s="137">
        <v>13332</v>
      </c>
      <c r="S50" s="137">
        <v>15553</v>
      </c>
      <c r="T50" s="137">
        <v>14487</v>
      </c>
      <c r="U50" s="137">
        <v>14790</v>
      </c>
      <c r="V50" s="137">
        <v>16970</v>
      </c>
      <c r="W50" s="137">
        <v>17995</v>
      </c>
      <c r="X50" s="137">
        <v>15025</v>
      </c>
      <c r="Y50" s="137">
        <v>15229</v>
      </c>
      <c r="Z50" s="137">
        <v>16195</v>
      </c>
      <c r="AA50" s="137">
        <v>18584</v>
      </c>
      <c r="AB50" s="137">
        <v>16842</v>
      </c>
      <c r="AC50" s="13">
        <v>15551</v>
      </c>
      <c r="AD50" s="13">
        <v>17764</v>
      </c>
      <c r="AE50" s="13">
        <v>15898</v>
      </c>
      <c r="AF50" s="138">
        <v>5.4114285839455469</v>
      </c>
      <c r="AG50" s="138">
        <v>5.4338888832264471</v>
      </c>
      <c r="AH50" s="138">
        <v>5.0700694703393507</v>
      </c>
      <c r="AI50" s="138">
        <v>5.3211805497606592</v>
      </c>
      <c r="AJ50" s="138">
        <v>5.3029166700111485</v>
      </c>
      <c r="AK50" s="138">
        <v>5.6258333341942883</v>
      </c>
      <c r="AL50" s="138">
        <v>4.8813333246442996</v>
      </c>
      <c r="AM50" s="138">
        <v>5.102499997450245</v>
      </c>
      <c r="AN50" s="138">
        <v>5.1879861114753609</v>
      </c>
      <c r="AO50" s="138">
        <v>4.8715277827448302</v>
      </c>
      <c r="AP50" s="138">
        <v>5.0689583246906587</v>
      </c>
      <c r="AQ50" s="138">
        <v>5.0838194646769086</v>
      </c>
      <c r="AR50" s="138">
        <v>4.9721527728769503</v>
      </c>
      <c r="AS50" s="138">
        <v>5.1481249862247038</v>
      </c>
      <c r="AT50" s="138">
        <v>5.0596527887715235</v>
      </c>
      <c r="AU50" s="138">
        <v>5.1416666756073619</v>
      </c>
      <c r="AV50" s="138">
        <v>5.5261110903488255</v>
      </c>
      <c r="AW50" s="138">
        <v>5.3896527803606453</v>
      </c>
      <c r="AX50" s="138">
        <v>5.0405555491646128</v>
      </c>
      <c r="AY50" s="138">
        <v>5.1537499932779198</v>
      </c>
      <c r="AZ50" s="138">
        <v>5.1898611320389625</v>
      </c>
      <c r="BA50" s="138">
        <v>5.8051389066709405</v>
      </c>
      <c r="BB50" s="138">
        <v>5.2140972134139787</v>
      </c>
      <c r="BC50" s="14">
        <v>5.1443750096691971</v>
      </c>
      <c r="BD50" s="14">
        <v>5.4789583616786528</v>
      </c>
      <c r="BE50" s="14">
        <v>5.1698611097203351</v>
      </c>
      <c r="BF50" s="139">
        <f>SUM(Input_Raw[[#This Row],[O2_01]:[O2_26]])</f>
        <v>415674</v>
      </c>
      <c r="BG50" s="140">
        <f>IFERROR(AVERAGE(Input_Raw[[#This Row],[WS_O2_01]:[WS_O2_26]]),"")</f>
        <v>5.2229000333455513</v>
      </c>
      <c r="BH50" s="141"/>
      <c r="BI50" s="141"/>
      <c r="BJ50" s="13">
        <v>400950</v>
      </c>
      <c r="BK50" s="13">
        <v>0</v>
      </c>
      <c r="BL50" s="15">
        <f>Input_Raw[[#This Row],[66 kV_Wind_F1_Export_reading]]-Input_Raw[[#This Row],[66 kV_Wind_F1_Import_reading]]</f>
        <v>400950</v>
      </c>
      <c r="BM50" s="142">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35">
        <v>410.17</v>
      </c>
      <c r="BR50" s="207"/>
    </row>
    <row r="51" spans="1:70" ht="15">
      <c r="A51" s="240">
        <f t="shared" si="3"/>
        <v>45791</v>
      </c>
      <c r="B51" s="11">
        <f>YEAR(Input_Raw[[#This Row],[Date]])+IF(MONTH(Input_Raw[[#This Row],[Date]])&gt;=4,1,0)</f>
        <v>2026</v>
      </c>
      <c r="C51" s="11">
        <f>YEAR(Input_Raw[[#This Row],[Date]])</f>
        <v>2025</v>
      </c>
      <c r="D51" s="12">
        <f t="shared" si="10"/>
        <v>45778</v>
      </c>
      <c r="E51" s="11">
        <f>DAY(EOMONTH(Input_Raw[[#This Row],[Date]],0))</f>
        <v>31</v>
      </c>
      <c r="F51" s="334">
        <v>16319</v>
      </c>
      <c r="G51" s="334">
        <v>18583</v>
      </c>
      <c r="H51" s="334">
        <v>14080</v>
      </c>
      <c r="I51" s="334">
        <v>17417</v>
      </c>
      <c r="J51" s="334">
        <v>15099</v>
      </c>
      <c r="K51" s="334">
        <v>17720</v>
      </c>
      <c r="L51" s="334">
        <v>11697</v>
      </c>
      <c r="M51" s="334">
        <v>15283</v>
      </c>
      <c r="N51" s="334">
        <v>15322</v>
      </c>
      <c r="O51" s="334">
        <v>15415</v>
      </c>
      <c r="P51" s="334">
        <v>14181</v>
      </c>
      <c r="Q51" s="334">
        <v>15302</v>
      </c>
      <c r="R51" s="334">
        <v>13452</v>
      </c>
      <c r="S51" s="334">
        <v>14700</v>
      </c>
      <c r="T51" s="334">
        <v>15173</v>
      </c>
      <c r="U51" s="334">
        <v>15303</v>
      </c>
      <c r="V51" s="334">
        <v>18475</v>
      </c>
      <c r="W51" s="334">
        <v>17089</v>
      </c>
      <c r="X51" s="334">
        <v>16326</v>
      </c>
      <c r="Y51" s="334">
        <v>15624</v>
      </c>
      <c r="Z51" s="334">
        <v>16085</v>
      </c>
      <c r="AA51" s="334">
        <v>19544</v>
      </c>
      <c r="AB51" s="334">
        <v>14410</v>
      </c>
      <c r="AC51" s="335">
        <v>16242</v>
      </c>
      <c r="AD51" s="335">
        <v>16100</v>
      </c>
      <c r="AE51" s="335">
        <v>15454</v>
      </c>
      <c r="AF51" s="336">
        <v>5.0697222265104447</v>
      </c>
      <c r="AG51" s="336">
        <v>5.2796527701947404</v>
      </c>
      <c r="AH51" s="336">
        <v>5.0058333228031771</v>
      </c>
      <c r="AI51" s="336">
        <v>5.2352083424727116</v>
      </c>
      <c r="AJ51" s="336">
        <v>5.3366666841838075</v>
      </c>
      <c r="AK51" s="336">
        <v>5.4969444332851287</v>
      </c>
      <c r="AL51" s="336">
        <v>4.6087407412352377</v>
      </c>
      <c r="AM51" s="336">
        <v>4.9868055598603336</v>
      </c>
      <c r="AN51" s="336">
        <v>5.0220833408335821</v>
      </c>
      <c r="AO51" s="336">
        <v>5.1212499849498263</v>
      </c>
      <c r="AP51" s="336">
        <v>4.9609722122549984</v>
      </c>
      <c r="AQ51" s="336">
        <v>5.0131250172853434</v>
      </c>
      <c r="AR51" s="336">
        <v>4.8337500062253715</v>
      </c>
      <c r="AS51" s="336">
        <v>5.0288194426231909</v>
      </c>
      <c r="AT51" s="336">
        <v>5.0727777878443394</v>
      </c>
      <c r="AU51" s="336">
        <v>5.1334722331828528</v>
      </c>
      <c r="AV51" s="336">
        <v>5.5704861175682785</v>
      </c>
      <c r="AW51" s="336">
        <v>5.2768750050001643</v>
      </c>
      <c r="AX51" s="336">
        <v>5.0336805486844645</v>
      </c>
      <c r="AY51" s="336">
        <v>5.0945138848490181</v>
      </c>
      <c r="AZ51" s="336">
        <v>5.1834722244077245</v>
      </c>
      <c r="BA51" s="336">
        <v>5.7272222141424809</v>
      </c>
      <c r="BB51" s="336">
        <v>5.0188732184994356</v>
      </c>
      <c r="BC51" s="337">
        <v>5.0988194222251568</v>
      </c>
      <c r="BD51" s="337">
        <v>5.3312499945362397</v>
      </c>
      <c r="BE51" s="337">
        <v>5.0004861218233891</v>
      </c>
      <c r="BF51" s="338">
        <f>SUM(Input_Raw[[#This Row],[O2_01]:[O2_26]])</f>
        <v>410395</v>
      </c>
      <c r="BG51" s="339">
        <f>IFERROR(AVERAGE(Input_Raw[[#This Row],[WS_O2_01]:[WS_O2_26]]),"")</f>
        <v>5.1362116483646725</v>
      </c>
      <c r="BH51" s="340"/>
      <c r="BI51" s="340"/>
      <c r="BJ51" s="335">
        <v>396450</v>
      </c>
      <c r="BK51" s="335">
        <v>450</v>
      </c>
      <c r="BL51" s="341">
        <f>Input_Raw[[#This Row],[66 kV_Wind_F1_Export_reading]]-Input_Raw[[#This Row],[66 kV_Wind_F1_Import_reading]]</f>
        <v>396000</v>
      </c>
      <c r="BM51" s="342">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343">
        <v>415.16</v>
      </c>
      <c r="BR51" s="344"/>
    </row>
    <row r="52" spans="1:70" ht="15">
      <c r="A52" s="240">
        <f t="shared" si="3"/>
        <v>45792</v>
      </c>
      <c r="B52" s="11">
        <f>YEAR(Input_Raw[[#This Row],[Date]])+IF(MONTH(Input_Raw[[#This Row],[Date]])&gt;=4,1,0)</f>
        <v>2026</v>
      </c>
      <c r="C52" s="11">
        <f>YEAR(Input_Raw[[#This Row],[Date]])</f>
        <v>2025</v>
      </c>
      <c r="D52" s="12">
        <f t="shared" si="10"/>
        <v>45778</v>
      </c>
      <c r="E52" s="11">
        <f>DAY(EOMONTH(Input_Raw[[#This Row],[Date]],0))</f>
        <v>31</v>
      </c>
      <c r="F52" s="137">
        <v>10977</v>
      </c>
      <c r="G52" s="137">
        <v>13755</v>
      </c>
      <c r="H52" s="137">
        <v>10870</v>
      </c>
      <c r="I52" s="137">
        <v>10727</v>
      </c>
      <c r="J52" s="137">
        <v>12109</v>
      </c>
      <c r="K52" s="137">
        <v>10080</v>
      </c>
      <c r="L52" s="137">
        <v>3143</v>
      </c>
      <c r="M52" s="137">
        <v>9579</v>
      </c>
      <c r="N52" s="137">
        <v>10970</v>
      </c>
      <c r="O52" s="137">
        <v>9261</v>
      </c>
      <c r="P52" s="137">
        <v>9679</v>
      </c>
      <c r="Q52" s="137">
        <v>10295</v>
      </c>
      <c r="R52" s="137">
        <v>9066</v>
      </c>
      <c r="S52" s="137">
        <v>10110</v>
      </c>
      <c r="T52" s="137">
        <v>10258</v>
      </c>
      <c r="U52" s="137">
        <v>9560</v>
      </c>
      <c r="V52" s="137">
        <v>7809</v>
      </c>
      <c r="W52" s="137">
        <v>9672</v>
      </c>
      <c r="X52" s="137">
        <v>9583</v>
      </c>
      <c r="Y52" s="137">
        <v>8813</v>
      </c>
      <c r="Z52" s="137">
        <v>8783</v>
      </c>
      <c r="AA52" s="137">
        <v>9938</v>
      </c>
      <c r="AB52" s="137">
        <v>8838</v>
      </c>
      <c r="AC52" s="13">
        <v>9045</v>
      </c>
      <c r="AD52" s="13">
        <v>14292</v>
      </c>
      <c r="AE52" s="13">
        <v>11056</v>
      </c>
      <c r="AF52" s="138">
        <v>4.6133333262470027</v>
      </c>
      <c r="AG52" s="138">
        <v>4.6856944494777251</v>
      </c>
      <c r="AH52" s="138">
        <v>4.575069420039652</v>
      </c>
      <c r="AI52" s="138">
        <v>4.4538405839947677</v>
      </c>
      <c r="AJ52" s="138">
        <v>4.758741268328019</v>
      </c>
      <c r="AK52" s="138">
        <v>4.681071439811161</v>
      </c>
      <c r="AL52" s="138">
        <v>4.0415872974055143</v>
      </c>
      <c r="AM52" s="138">
        <v>4.3451388722492581</v>
      </c>
      <c r="AN52" s="138">
        <v>4.6019444349739276</v>
      </c>
      <c r="AO52" s="138">
        <v>4.4359027635720034</v>
      </c>
      <c r="AP52" s="138">
        <v>4.4327083354194947</v>
      </c>
      <c r="AQ52" s="138">
        <v>4.5008333217766534</v>
      </c>
      <c r="AR52" s="138">
        <v>4.2769444460670147</v>
      </c>
      <c r="AS52" s="138">
        <v>4.5787500060266915</v>
      </c>
      <c r="AT52" s="138">
        <v>4.5176388869682933</v>
      </c>
      <c r="AU52" s="138">
        <v>4.4710000216960895</v>
      </c>
      <c r="AV52" s="138">
        <v>4.5254918043730683</v>
      </c>
      <c r="AW52" s="138">
        <v>4.4989130306934948</v>
      </c>
      <c r="AX52" s="138">
        <v>4.3185507391673923</v>
      </c>
      <c r="AY52" s="138">
        <v>4.4651428380182807</v>
      </c>
      <c r="AZ52" s="138">
        <v>4.3517985651604558</v>
      </c>
      <c r="BA52" s="138">
        <v>4.825619827617297</v>
      </c>
      <c r="BB52" s="138">
        <v>4.4763889051973802</v>
      </c>
      <c r="BC52" s="14">
        <v>4.3887142905167167</v>
      </c>
      <c r="BD52" s="14">
        <v>4.8763194456696484</v>
      </c>
      <c r="BE52" s="14">
        <v>4.4815972298383704</v>
      </c>
      <c r="BF52" s="139">
        <f>SUM(Input_Raw[[#This Row],[O2_01]:[O2_26]])</f>
        <v>258268</v>
      </c>
      <c r="BG52" s="140">
        <f>IFERROR(AVERAGE(Input_Raw[[#This Row],[WS_O2_01]:[WS_O2_26]]),"")</f>
        <v>4.5068744442425146</v>
      </c>
      <c r="BH52" s="141"/>
      <c r="BI52" s="141"/>
      <c r="BJ52" s="13">
        <v>248850</v>
      </c>
      <c r="BK52" s="13">
        <v>450</v>
      </c>
      <c r="BL52" s="15">
        <f>Input_Raw[[#This Row],[66 kV_Wind_F1_Export_reading]]-Input_Raw[[#This Row],[66 kV_Wind_F1_Import_reading]]</f>
        <v>248400</v>
      </c>
      <c r="BM52" s="142">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35">
        <v>270.48</v>
      </c>
      <c r="BR52" s="207"/>
    </row>
    <row r="53" spans="1:70" ht="15">
      <c r="A53" s="240">
        <f t="shared" si="3"/>
        <v>45793</v>
      </c>
      <c r="B53" s="11">
        <f>YEAR(Input_Raw[[#This Row],[Date]])+IF(MONTH(Input_Raw[[#This Row],[Date]])&gt;=4,1,0)</f>
        <v>2026</v>
      </c>
      <c r="C53" s="11">
        <f>YEAR(Input_Raw[[#This Row],[Date]])</f>
        <v>2025</v>
      </c>
      <c r="D53" s="12">
        <f t="shared" ref="D53:D58" si="11">A53-DAY(A53)+1</f>
        <v>45778</v>
      </c>
      <c r="E53" s="11">
        <f>DAY(EOMONTH(Input_Raw[[#This Row],[Date]],0))</f>
        <v>31</v>
      </c>
      <c r="F53" s="137">
        <v>15323</v>
      </c>
      <c r="G53" s="137">
        <v>18473</v>
      </c>
      <c r="H53" s="137">
        <v>17202</v>
      </c>
      <c r="I53" s="137">
        <v>13328</v>
      </c>
      <c r="J53" s="137">
        <v>17636</v>
      </c>
      <c r="K53" s="137">
        <v>15436</v>
      </c>
      <c r="L53" s="137">
        <v>0</v>
      </c>
      <c r="M53" s="137">
        <v>17474</v>
      </c>
      <c r="N53" s="137">
        <v>4818</v>
      </c>
      <c r="O53" s="137">
        <v>15439</v>
      </c>
      <c r="P53" s="137">
        <v>17201</v>
      </c>
      <c r="Q53" s="137">
        <v>16669</v>
      </c>
      <c r="R53" s="137">
        <v>15204</v>
      </c>
      <c r="S53" s="137">
        <v>17755</v>
      </c>
      <c r="T53" s="137">
        <v>16720</v>
      </c>
      <c r="U53" s="137">
        <v>13381</v>
      </c>
      <c r="V53" s="137">
        <v>17700</v>
      </c>
      <c r="W53" s="137">
        <v>16087</v>
      </c>
      <c r="X53" s="137">
        <v>17687</v>
      </c>
      <c r="Y53" s="137">
        <v>13373</v>
      </c>
      <c r="Z53" s="137">
        <v>16523</v>
      </c>
      <c r="AA53" s="137">
        <v>14989</v>
      </c>
      <c r="AB53" s="137">
        <v>15167</v>
      </c>
      <c r="AC53" s="13">
        <v>15031</v>
      </c>
      <c r="AD53" s="13">
        <v>17672</v>
      </c>
      <c r="AE53" s="13">
        <v>17902</v>
      </c>
      <c r="AF53" s="138">
        <v>5.5061111102501537</v>
      </c>
      <c r="AG53" s="138">
        <v>5.6145138815045348</v>
      </c>
      <c r="AH53" s="138">
        <v>5.4803472177849839</v>
      </c>
      <c r="AI53" s="138">
        <v>5.2666406128555527</v>
      </c>
      <c r="AJ53" s="138">
        <v>5.6365972277190934</v>
      </c>
      <c r="AK53" s="138">
        <v>5.5566911697387686</v>
      </c>
      <c r="AL53" s="138">
        <v>5.2728571460715354</v>
      </c>
      <c r="AM53" s="138">
        <v>5.519027789433796</v>
      </c>
      <c r="AN53" s="138">
        <v>5.3178472311960316</v>
      </c>
      <c r="AO53" s="138">
        <v>5.2530555592642871</v>
      </c>
      <c r="AP53" s="138">
        <v>5.5726388767361623</v>
      </c>
      <c r="AQ53" s="138">
        <v>5.5027083307504645</v>
      </c>
      <c r="AR53" s="138">
        <v>5.3639583455191691</v>
      </c>
      <c r="AS53" s="138">
        <v>5.5334027922815743</v>
      </c>
      <c r="AT53" s="138">
        <v>5.3434722009632312</v>
      </c>
      <c r="AU53" s="138">
        <v>5.2425735154572637</v>
      </c>
      <c r="AV53" s="138">
        <v>5.9712307975842398</v>
      </c>
      <c r="AW53" s="138">
        <v>5.4458955206088158</v>
      </c>
      <c r="AX53" s="138">
        <v>5.6101562511175862</v>
      </c>
      <c r="AY53" s="138">
        <v>5.2697761241179784</v>
      </c>
      <c r="AZ53" s="138">
        <v>5.4585925691657584</v>
      </c>
      <c r="BA53" s="138">
        <v>5.5387692180390529</v>
      </c>
      <c r="BB53" s="138">
        <v>5.2906249827808791</v>
      </c>
      <c r="BC53" s="14">
        <v>5.3910218925371645</v>
      </c>
      <c r="BD53" s="14">
        <v>5.625486104852623</v>
      </c>
      <c r="BE53" s="14">
        <v>5.5839583261145451</v>
      </c>
      <c r="BF53" s="139">
        <f>SUM(Input_Raw[[#This Row],[O2_01]:[O2_26]])</f>
        <v>394190</v>
      </c>
      <c r="BG53" s="140">
        <f>IFERROR(AVERAGE(Input_Raw[[#This Row],[WS_O2_01]:[WS_O2_26]]),"")</f>
        <v>5.4679982613248184</v>
      </c>
      <c r="BH53" s="141"/>
      <c r="BI53" s="141"/>
      <c r="BJ53" s="13">
        <v>380700</v>
      </c>
      <c r="BK53" s="13">
        <v>0</v>
      </c>
      <c r="BL53" s="15">
        <f>Input_Raw[[#This Row],[66 kV_Wind_F1_Export_reading]]-Input_Raw[[#This Row],[66 kV_Wind_F1_Import_reading]]</f>
        <v>380700</v>
      </c>
      <c r="BM53" s="142">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35">
        <v>429.76</v>
      </c>
      <c r="BR53" s="207"/>
    </row>
    <row r="54" spans="1:70" ht="15">
      <c r="A54" s="240">
        <f t="shared" si="3"/>
        <v>45794</v>
      </c>
      <c r="B54" s="11">
        <f>YEAR(Input_Raw[[#This Row],[Date]])+IF(MONTH(Input_Raw[[#This Row],[Date]])&gt;=4,1,0)</f>
        <v>2026</v>
      </c>
      <c r="C54" s="11">
        <f>YEAR(Input_Raw[[#This Row],[Date]])</f>
        <v>2025</v>
      </c>
      <c r="D54" s="12">
        <f t="shared" si="11"/>
        <v>45778</v>
      </c>
      <c r="E54" s="11">
        <f>DAY(EOMONTH(Input_Raw[[#This Row],[Date]],0))</f>
        <v>31</v>
      </c>
      <c r="F54" s="137">
        <v>12936</v>
      </c>
      <c r="G54" s="137">
        <v>13841</v>
      </c>
      <c r="H54" s="137">
        <v>13636</v>
      </c>
      <c r="I54" s="137">
        <v>14208</v>
      </c>
      <c r="J54" s="137">
        <v>13981</v>
      </c>
      <c r="K54" s="137">
        <v>15568</v>
      </c>
      <c r="L54" s="137">
        <v>6613</v>
      </c>
      <c r="M54" s="137">
        <v>13646</v>
      </c>
      <c r="N54" s="137">
        <v>0</v>
      </c>
      <c r="O54" s="137">
        <v>12377</v>
      </c>
      <c r="P54" s="137">
        <v>12651</v>
      </c>
      <c r="Q54" s="137">
        <v>12234</v>
      </c>
      <c r="R54" s="137">
        <v>12639</v>
      </c>
      <c r="S54" s="137">
        <v>13588</v>
      </c>
      <c r="T54" s="137">
        <v>11589</v>
      </c>
      <c r="U54" s="137">
        <v>13521</v>
      </c>
      <c r="V54" s="137">
        <v>16123</v>
      </c>
      <c r="W54" s="137">
        <v>16373</v>
      </c>
      <c r="X54" s="137">
        <v>16562</v>
      </c>
      <c r="Y54" s="137">
        <v>14646</v>
      </c>
      <c r="Z54" s="137">
        <v>15887</v>
      </c>
      <c r="AA54" s="137">
        <v>15871</v>
      </c>
      <c r="AB54" s="137">
        <v>12728</v>
      </c>
      <c r="AC54" s="13">
        <v>14583</v>
      </c>
      <c r="AD54" s="13">
        <v>14600</v>
      </c>
      <c r="AE54" s="13">
        <v>12529</v>
      </c>
      <c r="AF54" s="138">
        <v>4.9874305882387686</v>
      </c>
      <c r="AG54" s="138">
        <v>5.0358333239952717</v>
      </c>
      <c r="AH54" s="138">
        <v>5.0377083304855539</v>
      </c>
      <c r="AI54" s="138">
        <v>5.0834964980612254</v>
      </c>
      <c r="AJ54" s="138">
        <v>5.1158333321412393</v>
      </c>
      <c r="AK54" s="138">
        <v>5.5332167732132058</v>
      </c>
      <c r="AL54" s="138">
        <v>5.1147142814738409</v>
      </c>
      <c r="AM54" s="138">
        <v>5.0207638889551154</v>
      </c>
      <c r="AN54" s="138">
        <v>5.0653472145398446</v>
      </c>
      <c r="AO54" s="138">
        <v>4.975763887166976</v>
      </c>
      <c r="AP54" s="138">
        <v>5.0732638951804887</v>
      </c>
      <c r="AQ54" s="138">
        <v>4.9411111242241326</v>
      </c>
      <c r="AR54" s="138">
        <v>5.0441666791836415</v>
      </c>
      <c r="AS54" s="138">
        <v>5.1525000035762778</v>
      </c>
      <c r="AT54" s="138">
        <v>4.9207638651132575</v>
      </c>
      <c r="AU54" s="138">
        <v>5.1011888063870927</v>
      </c>
      <c r="AV54" s="138">
        <v>5.6313286811321754</v>
      </c>
      <c r="AW54" s="138">
        <v>5.4148251735247088</v>
      </c>
      <c r="AX54" s="138">
        <v>5.4193706433256184</v>
      </c>
      <c r="AY54" s="138">
        <v>5.2999999998332727</v>
      </c>
      <c r="AZ54" s="138">
        <v>5.4233802708101937</v>
      </c>
      <c r="BA54" s="138">
        <v>5.629790209390066</v>
      </c>
      <c r="BB54" s="138">
        <v>4.9781249960263558</v>
      </c>
      <c r="BC54" s="14">
        <v>5.2519580313375771</v>
      </c>
      <c r="BD54" s="14">
        <v>5.1213194479544946</v>
      </c>
      <c r="BE54" s="14">
        <v>4.916041666434869</v>
      </c>
      <c r="BF54" s="139">
        <f>SUM(Input_Raw[[#This Row],[O2_01]:[O2_26]])</f>
        <v>342930</v>
      </c>
      <c r="BG54" s="140">
        <f>IFERROR(AVERAGE(Input_Raw[[#This Row],[WS_O2_01]:[WS_O2_26]]),"")</f>
        <v>5.164970831219434</v>
      </c>
      <c r="BH54" s="141"/>
      <c r="BI54" s="141"/>
      <c r="BJ54" s="13">
        <v>332550</v>
      </c>
      <c r="BK54" s="13">
        <v>0</v>
      </c>
      <c r="BL54" s="15">
        <f>Input_Raw[[#This Row],[66 kV_Wind_F1_Export_reading]]-Input_Raw[[#This Row],[66 kV_Wind_F1_Import_reading]]</f>
        <v>332550</v>
      </c>
      <c r="BM54" s="142">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35">
        <v>357.08</v>
      </c>
      <c r="BR54" s="207"/>
    </row>
    <row r="55" spans="1:70" ht="15">
      <c r="A55" s="240">
        <f t="shared" si="3"/>
        <v>45795</v>
      </c>
      <c r="B55" s="11">
        <f>YEAR(Input_Raw[[#This Row],[Date]])+IF(MONTH(Input_Raw[[#This Row],[Date]])&gt;=4,1,0)</f>
        <v>2026</v>
      </c>
      <c r="C55" s="11">
        <f>YEAR(Input_Raw[[#This Row],[Date]])</f>
        <v>2025</v>
      </c>
      <c r="D55" s="12">
        <f t="shared" si="11"/>
        <v>45778</v>
      </c>
      <c r="E55" s="11">
        <f>DAY(EOMONTH(Input_Raw[[#This Row],[Date]],0))</f>
        <v>31</v>
      </c>
      <c r="F55" s="137">
        <v>11946</v>
      </c>
      <c r="G55" s="137">
        <v>13720</v>
      </c>
      <c r="H55" s="137">
        <v>12694</v>
      </c>
      <c r="I55" s="137">
        <v>13552</v>
      </c>
      <c r="J55" s="137">
        <v>13489</v>
      </c>
      <c r="K55" s="137">
        <v>14126</v>
      </c>
      <c r="L55" s="137">
        <v>12289</v>
      </c>
      <c r="M55" s="137">
        <v>12152</v>
      </c>
      <c r="N55" s="137">
        <v>10459</v>
      </c>
      <c r="O55" s="137">
        <v>13272</v>
      </c>
      <c r="P55" s="137">
        <v>12398</v>
      </c>
      <c r="Q55" s="137">
        <v>12617</v>
      </c>
      <c r="R55" s="137">
        <v>11059</v>
      </c>
      <c r="S55" s="137">
        <v>11662</v>
      </c>
      <c r="T55" s="137">
        <v>11511</v>
      </c>
      <c r="U55" s="137">
        <v>13018</v>
      </c>
      <c r="V55" s="137">
        <v>14762</v>
      </c>
      <c r="W55" s="137">
        <v>14428</v>
      </c>
      <c r="X55" s="137">
        <v>14526</v>
      </c>
      <c r="Y55" s="137">
        <v>11805</v>
      </c>
      <c r="Z55" s="137">
        <v>13482</v>
      </c>
      <c r="AA55" s="137">
        <v>13318</v>
      </c>
      <c r="AB55" s="137">
        <v>12401</v>
      </c>
      <c r="AC55" s="13">
        <v>13791</v>
      </c>
      <c r="AD55" s="13">
        <v>14092</v>
      </c>
      <c r="AE55" s="13">
        <v>12416</v>
      </c>
      <c r="AF55" s="138">
        <v>5.046423375606536</v>
      </c>
      <c r="AG55" s="138">
        <v>5.1148175182786293</v>
      </c>
      <c r="AH55" s="138">
        <v>5.0214598603057157</v>
      </c>
      <c r="AI55" s="138">
        <v>4.9959722368253594</v>
      </c>
      <c r="AJ55" s="138">
        <v>5.163941613078987</v>
      </c>
      <c r="AK55" s="138">
        <v>5.3815972175863047</v>
      </c>
      <c r="AL55" s="138">
        <v>4.9450694546103469</v>
      </c>
      <c r="AM55" s="138">
        <v>4.9597810311038995</v>
      </c>
      <c r="AN55" s="138">
        <v>5.1681022121958478</v>
      </c>
      <c r="AO55" s="138">
        <v>5.1108029306369964</v>
      </c>
      <c r="AP55" s="138">
        <v>5.0664963498167728</v>
      </c>
      <c r="AQ55" s="138">
        <v>5.0717518279587255</v>
      </c>
      <c r="AR55" s="138">
        <v>4.9144525412660425</v>
      </c>
      <c r="AS55" s="138">
        <v>4.9746715426444998</v>
      </c>
      <c r="AT55" s="138">
        <v>4.8934558851315684</v>
      </c>
      <c r="AU55" s="138">
        <v>5.0484027663866673</v>
      </c>
      <c r="AV55" s="138">
        <v>5.4293055683374396</v>
      </c>
      <c r="AW55" s="138">
        <v>5.2306944529215489</v>
      </c>
      <c r="AX55" s="138">
        <v>5.1164583381679316</v>
      </c>
      <c r="AY55" s="138">
        <v>4.9770138818356715</v>
      </c>
      <c r="AZ55" s="138">
        <v>5.048680532309743</v>
      </c>
      <c r="BA55" s="138">
        <v>5.3207638925976219</v>
      </c>
      <c r="BB55" s="138">
        <v>4.9559854195065727</v>
      </c>
      <c r="BC55" s="14">
        <v>5.1420833402209798</v>
      </c>
      <c r="BD55" s="14">
        <v>5.1713868473133022</v>
      </c>
      <c r="BE55" s="14">
        <v>4.9966423363581178</v>
      </c>
      <c r="BF55" s="139">
        <f>SUM(Input_Raw[[#This Row],[O2_01]:[O2_26]])</f>
        <v>334985</v>
      </c>
      <c r="BG55" s="140">
        <f>IFERROR(AVERAGE(Input_Raw[[#This Row],[WS_O2_01]:[WS_O2_26]]),"")</f>
        <v>5.0871620374231474</v>
      </c>
      <c r="BH55" s="141"/>
      <c r="BI55" s="141"/>
      <c r="BJ55" s="13">
        <v>324900</v>
      </c>
      <c r="BK55" s="13">
        <v>0</v>
      </c>
      <c r="BL55" s="15">
        <f>Input_Raw[[#This Row],[66 kV_Wind_F1_Export_reading]]-Input_Raw[[#This Row],[66 kV_Wind_F1_Import_reading]]</f>
        <v>324900</v>
      </c>
      <c r="BM55" s="142">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35">
        <v>337.37</v>
      </c>
      <c r="BR55" s="207"/>
    </row>
    <row r="56" spans="1:70" ht="15">
      <c r="A56" s="240">
        <f t="shared" si="3"/>
        <v>45796</v>
      </c>
      <c r="B56" s="11">
        <f>YEAR(Input_Raw[[#This Row],[Date]])+IF(MONTH(Input_Raw[[#This Row],[Date]])&gt;=4,1,0)</f>
        <v>2026</v>
      </c>
      <c r="C56" s="11">
        <f>YEAR(Input_Raw[[#This Row],[Date]])</f>
        <v>2025</v>
      </c>
      <c r="D56" s="12">
        <f t="shared" si="11"/>
        <v>45778</v>
      </c>
      <c r="E56" s="11">
        <f>DAY(EOMONTH(Input_Raw[[#This Row],[Date]],0))</f>
        <v>31</v>
      </c>
      <c r="F56" s="137">
        <v>15558</v>
      </c>
      <c r="G56" s="137">
        <v>18002</v>
      </c>
      <c r="H56" s="137">
        <v>13334</v>
      </c>
      <c r="I56" s="137">
        <v>16163</v>
      </c>
      <c r="J56" s="137">
        <v>16621</v>
      </c>
      <c r="K56" s="137">
        <v>15698</v>
      </c>
      <c r="L56" s="137">
        <v>15577</v>
      </c>
      <c r="M56" s="137">
        <v>13643</v>
      </c>
      <c r="N56" s="137">
        <v>15728</v>
      </c>
      <c r="O56" s="137">
        <v>14496</v>
      </c>
      <c r="P56" s="137">
        <v>12657</v>
      </c>
      <c r="Q56" s="137">
        <v>13600</v>
      </c>
      <c r="R56" s="137">
        <v>13181</v>
      </c>
      <c r="S56" s="137">
        <v>14141</v>
      </c>
      <c r="T56" s="137">
        <v>13808</v>
      </c>
      <c r="U56" s="137">
        <v>14766</v>
      </c>
      <c r="V56" s="137">
        <v>16170</v>
      </c>
      <c r="W56" s="137">
        <v>16444</v>
      </c>
      <c r="X56" s="137">
        <v>15562</v>
      </c>
      <c r="Y56" s="137">
        <v>13464</v>
      </c>
      <c r="Z56" s="137">
        <v>14918</v>
      </c>
      <c r="AA56" s="137">
        <v>15617</v>
      </c>
      <c r="AB56" s="137">
        <v>14305</v>
      </c>
      <c r="AC56" s="13">
        <v>14413</v>
      </c>
      <c r="AD56" s="13">
        <v>18378</v>
      </c>
      <c r="AE56" s="13">
        <v>14378</v>
      </c>
      <c r="AF56" s="138">
        <v>5.2353472304013033</v>
      </c>
      <c r="AG56" s="138">
        <v>5.3891666647460719</v>
      </c>
      <c r="AH56" s="138">
        <v>4.9309722454183627</v>
      </c>
      <c r="AI56" s="138">
        <v>5.1550694422589398</v>
      </c>
      <c r="AJ56" s="138">
        <v>5.3842361263102951</v>
      </c>
      <c r="AK56" s="138">
        <v>5.4276388908425961</v>
      </c>
      <c r="AL56" s="138">
        <v>5.1707638924320527</v>
      </c>
      <c r="AM56" s="138">
        <v>4.8987500137752953</v>
      </c>
      <c r="AN56" s="138">
        <v>5.2003472207321053</v>
      </c>
      <c r="AO56" s="138">
        <v>5.0985416463679734</v>
      </c>
      <c r="AP56" s="138">
        <v>4.9034027904272071</v>
      </c>
      <c r="AQ56" s="138">
        <v>4.9524305611848822</v>
      </c>
      <c r="AR56" s="138">
        <v>4.9085416818658496</v>
      </c>
      <c r="AS56" s="138">
        <v>5.075347203347417</v>
      </c>
      <c r="AT56" s="138">
        <v>4.9822222342093774</v>
      </c>
      <c r="AU56" s="138">
        <v>5.2070833428038483</v>
      </c>
      <c r="AV56" s="138">
        <v>5.5333333197567178</v>
      </c>
      <c r="AW56" s="138">
        <v>5.2872916708389912</v>
      </c>
      <c r="AX56" s="138">
        <v>5.1227777798970529</v>
      </c>
      <c r="AY56" s="138">
        <v>4.9800694468948556</v>
      </c>
      <c r="AZ56" s="138">
        <v>5.1851388836900387</v>
      </c>
      <c r="BA56" s="138">
        <v>5.3824305652330313</v>
      </c>
      <c r="BB56" s="138">
        <v>5.0475694545441199</v>
      </c>
      <c r="BC56" s="14">
        <v>5.0415972065594454</v>
      </c>
      <c r="BD56" s="14">
        <v>5.4907638927300759</v>
      </c>
      <c r="BE56" s="14">
        <v>5.0734722167253485</v>
      </c>
      <c r="BF56" s="139">
        <f>SUM(Input_Raw[[#This Row],[O2_01]:[O2_26]])</f>
        <v>390622</v>
      </c>
      <c r="BG56" s="140">
        <f>IFERROR(AVERAGE(Input_Raw[[#This Row],[WS_O2_01]:[WS_O2_26]]),"")</f>
        <v>5.1563194470766645</v>
      </c>
      <c r="BH56" s="141"/>
      <c r="BI56" s="141"/>
      <c r="BJ56" s="13">
        <v>377550</v>
      </c>
      <c r="BK56" s="13">
        <v>0</v>
      </c>
      <c r="BL56" s="15">
        <f>Input_Raw[[#This Row],[66 kV_Wind_F1_Export_reading]]-Input_Raw[[#This Row],[66 kV_Wind_F1_Import_reading]]</f>
        <v>377550</v>
      </c>
      <c r="BM56" s="142">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35">
        <v>390.56</v>
      </c>
      <c r="BR56" s="207"/>
    </row>
    <row r="57" spans="1:70" ht="15">
      <c r="A57" s="240">
        <f t="shared" si="3"/>
        <v>45797</v>
      </c>
      <c r="B57" s="11">
        <f>YEAR(Input_Raw[[#This Row],[Date]])+IF(MONTH(Input_Raw[[#This Row],[Date]])&gt;=4,1,0)</f>
        <v>2026</v>
      </c>
      <c r="C57" s="11">
        <f>YEAR(Input_Raw[[#This Row],[Date]])</f>
        <v>2025</v>
      </c>
      <c r="D57" s="12">
        <f t="shared" si="11"/>
        <v>45778</v>
      </c>
      <c r="E57" s="11">
        <f>DAY(EOMONTH(Input_Raw[[#This Row],[Date]],0))</f>
        <v>31</v>
      </c>
      <c r="F57" s="137">
        <v>13354</v>
      </c>
      <c r="G57" s="137">
        <v>14878</v>
      </c>
      <c r="H57" s="137">
        <v>13186</v>
      </c>
      <c r="I57" s="137">
        <v>14713</v>
      </c>
      <c r="J57" s="137">
        <v>13341</v>
      </c>
      <c r="K57" s="137">
        <v>17635</v>
      </c>
      <c r="L57" s="137">
        <v>12687</v>
      </c>
      <c r="M57" s="137">
        <v>11853</v>
      </c>
      <c r="N57" s="137">
        <v>13578</v>
      </c>
      <c r="O57" s="137">
        <v>11868</v>
      </c>
      <c r="P57" s="137">
        <v>12633</v>
      </c>
      <c r="Q57" s="137">
        <v>12059</v>
      </c>
      <c r="R57" s="137">
        <v>13608</v>
      </c>
      <c r="S57" s="137">
        <v>13779</v>
      </c>
      <c r="T57" s="137">
        <v>14995</v>
      </c>
      <c r="U57" s="137">
        <v>15196</v>
      </c>
      <c r="V57" s="137">
        <v>16025</v>
      </c>
      <c r="W57" s="137">
        <v>16145</v>
      </c>
      <c r="X57" s="137">
        <v>14966</v>
      </c>
      <c r="Y57" s="137">
        <v>13323</v>
      </c>
      <c r="Z57" s="137">
        <v>13934</v>
      </c>
      <c r="AA57" s="137">
        <v>19816</v>
      </c>
      <c r="AB57" s="137">
        <v>13677</v>
      </c>
      <c r="AC57" s="13">
        <v>13270</v>
      </c>
      <c r="AD57" s="13">
        <v>11901</v>
      </c>
      <c r="AE57" s="13">
        <v>14103</v>
      </c>
      <c r="AF57" s="138">
        <v>5.1533803075132214</v>
      </c>
      <c r="AG57" s="138">
        <v>5.1649999778035633</v>
      </c>
      <c r="AH57" s="138">
        <v>5.1110563164865441</v>
      </c>
      <c r="AI57" s="138">
        <v>5.3349999919743585</v>
      </c>
      <c r="AJ57" s="138">
        <v>5.0267605731185032</v>
      </c>
      <c r="AK57" s="138">
        <v>5.9038028221734793</v>
      </c>
      <c r="AL57" s="138">
        <v>5.0602816888983799</v>
      </c>
      <c r="AM57" s="138">
        <v>5.2739436567669156</v>
      </c>
      <c r="AN57" s="138">
        <v>5.1929577366566955</v>
      </c>
      <c r="AO57" s="138">
        <v>4.9713380412316637</v>
      </c>
      <c r="AP57" s="138">
        <v>5.1108391572545422</v>
      </c>
      <c r="AQ57" s="138">
        <v>5.0331690143531462</v>
      </c>
      <c r="AR57" s="138">
        <v>5.1620979067328898</v>
      </c>
      <c r="AS57" s="138">
        <v>5.2392307690807129</v>
      </c>
      <c r="AT57" s="138">
        <v>5.2847183162057876</v>
      </c>
      <c r="AU57" s="138">
        <v>5.4679577426171617</v>
      </c>
      <c r="AV57" s="138">
        <v>5.6388732413171025</v>
      </c>
      <c r="AW57" s="138">
        <v>5.5709859183136832</v>
      </c>
      <c r="AX57" s="138">
        <v>5.2465492864729644</v>
      </c>
      <c r="AY57" s="138">
        <v>5.2659859128401285</v>
      </c>
      <c r="AZ57" s="138">
        <v>5.3047887405879033</v>
      </c>
      <c r="BA57" s="138">
        <v>5.9965248209364859</v>
      </c>
      <c r="BB57" s="138">
        <v>5.2114084661006901</v>
      </c>
      <c r="BC57" s="14">
        <v>5.1680281758308402</v>
      </c>
      <c r="BD57" s="14">
        <v>5.222112662355662</v>
      </c>
      <c r="BE57" s="14">
        <v>5.1611888066090463</v>
      </c>
      <c r="BF57" s="139">
        <f>SUM(Input_Raw[[#This Row],[O2_01]:[O2_26]])</f>
        <v>366523</v>
      </c>
      <c r="BG57" s="140">
        <f>IFERROR(AVERAGE(Input_Raw[[#This Row],[WS_O2_01]:[WS_O2_26]]),"")</f>
        <v>5.2799223096243102</v>
      </c>
      <c r="BH57" s="141"/>
      <c r="BI57" s="141"/>
      <c r="BJ57" s="13">
        <v>354150</v>
      </c>
      <c r="BK57" s="13">
        <v>450</v>
      </c>
      <c r="BL57" s="15">
        <f>Input_Raw[[#This Row],[66 kV_Wind_F1_Export_reading]]-Input_Raw[[#This Row],[66 kV_Wind_F1_Import_reading]]</f>
        <v>353700</v>
      </c>
      <c r="BM57" s="142">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35">
        <v>390.19</v>
      </c>
      <c r="BR57" s="207"/>
    </row>
    <row r="58" spans="1:70" ht="15">
      <c r="A58" s="240">
        <f t="shared" si="3"/>
        <v>45798</v>
      </c>
      <c r="B58" s="11">
        <f>YEAR(Input_Raw[[#This Row],[Date]])+IF(MONTH(Input_Raw[[#This Row],[Date]])&gt;=4,1,0)</f>
        <v>2026</v>
      </c>
      <c r="C58" s="11">
        <f>YEAR(Input_Raw[[#This Row],[Date]])</f>
        <v>2025</v>
      </c>
      <c r="D58" s="12">
        <f t="shared" si="11"/>
        <v>45778</v>
      </c>
      <c r="E58" s="11">
        <f>DAY(EOMONTH(Input_Raw[[#This Row],[Date]],0))</f>
        <v>31</v>
      </c>
      <c r="F58" s="137">
        <v>5803</v>
      </c>
      <c r="G58" s="137">
        <v>6870</v>
      </c>
      <c r="H58" s="137">
        <v>4988</v>
      </c>
      <c r="I58" s="137">
        <v>8746</v>
      </c>
      <c r="J58" s="137">
        <v>6797</v>
      </c>
      <c r="K58" s="137">
        <v>12064</v>
      </c>
      <c r="L58" s="137">
        <v>8259</v>
      </c>
      <c r="M58" s="137">
        <v>5500</v>
      </c>
      <c r="N58" s="137">
        <v>5730</v>
      </c>
      <c r="O58" s="137">
        <v>4705</v>
      </c>
      <c r="P58" s="137">
        <v>4932</v>
      </c>
      <c r="Q58" s="137">
        <v>5048</v>
      </c>
      <c r="R58" s="137">
        <v>5506</v>
      </c>
      <c r="S58" s="137">
        <v>4919</v>
      </c>
      <c r="T58" s="137">
        <v>6055</v>
      </c>
      <c r="U58" s="137">
        <v>9269</v>
      </c>
      <c r="V58" s="137">
        <v>12347</v>
      </c>
      <c r="W58" s="137">
        <v>10658</v>
      </c>
      <c r="X58" s="137">
        <v>9074</v>
      </c>
      <c r="Y58" s="137">
        <v>7738</v>
      </c>
      <c r="Z58" s="137">
        <v>9422</v>
      </c>
      <c r="AA58" s="137">
        <v>13881</v>
      </c>
      <c r="AB58" s="137">
        <v>5134</v>
      </c>
      <c r="AC58" s="13">
        <v>7917</v>
      </c>
      <c r="AD58" s="13">
        <v>6874</v>
      </c>
      <c r="AE58" s="13">
        <v>5324</v>
      </c>
      <c r="AF58" s="138">
        <v>4.4813333464993361</v>
      </c>
      <c r="AG58" s="138">
        <v>4.6071110824743897</v>
      </c>
      <c r="AH58" s="138">
        <v>4.2281111200650523</v>
      </c>
      <c r="AI58" s="138">
        <v>4.4624786473746987</v>
      </c>
      <c r="AJ58" s="138">
        <v>4.6091111083825425</v>
      </c>
      <c r="AK58" s="138">
        <v>5.2309322104615648</v>
      </c>
      <c r="AL58" s="138">
        <v>4.3907627150163808</v>
      </c>
      <c r="AM58" s="138">
        <v>4.3135555452770644</v>
      </c>
      <c r="AN58" s="138">
        <v>4.3977777765856834</v>
      </c>
      <c r="AO58" s="138">
        <v>4.1453333324856221</v>
      </c>
      <c r="AP58" s="138">
        <v>4.1941111074553579</v>
      </c>
      <c r="AQ58" s="138">
        <v>4.2657777733272972</v>
      </c>
      <c r="AR58" s="138">
        <v>4.2231111221843287</v>
      </c>
      <c r="AS58" s="138">
        <v>4.2792222301165248</v>
      </c>
      <c r="AT58" s="138">
        <v>4.4516666637526603</v>
      </c>
      <c r="AU58" s="138">
        <v>4.6977966215650895</v>
      </c>
      <c r="AV58" s="138">
        <v>5.031016923108341</v>
      </c>
      <c r="AW58" s="138">
        <v>4.9651282078180525</v>
      </c>
      <c r="AX58" s="138">
        <v>4.5521367472461138</v>
      </c>
      <c r="AY58" s="138">
        <v>4.3837288133168606</v>
      </c>
      <c r="AZ58" s="138">
        <v>4.7535897289585831</v>
      </c>
      <c r="BA58" s="138">
        <v>5.3845217611478713</v>
      </c>
      <c r="BB58" s="138">
        <v>4.2631111145019522</v>
      </c>
      <c r="BC58" s="14">
        <v>4.4425423519086022</v>
      </c>
      <c r="BD58" s="14">
        <v>4.6386666615804026</v>
      </c>
      <c r="BE58" s="14">
        <v>4.4501099088689777</v>
      </c>
      <c r="BF58" s="139">
        <f>SUM(Input_Raw[[#This Row],[O2_01]:[O2_26]])</f>
        <v>193560</v>
      </c>
      <c r="BG58" s="140">
        <f>IFERROR(AVERAGE(Input_Raw[[#This Row],[WS_O2_01]:[WS_O2_26]]),"")</f>
        <v>4.5324132546722824</v>
      </c>
      <c r="BH58" s="141"/>
      <c r="BI58" s="141"/>
      <c r="BJ58" s="13">
        <v>186750</v>
      </c>
      <c r="BK58" s="13">
        <v>0</v>
      </c>
      <c r="BL58" s="15">
        <f>Input_Raw[[#This Row],[66 kV_Wind_F1_Export_reading]]-Input_Raw[[#This Row],[66 kV_Wind_F1_Import_reading]]</f>
        <v>186750</v>
      </c>
      <c r="BM58" s="142">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35">
        <v>202.65</v>
      </c>
      <c r="BR58" s="207"/>
    </row>
    <row r="59" spans="1:70" ht="15">
      <c r="A59" s="240">
        <f t="shared" si="3"/>
        <v>45799</v>
      </c>
      <c r="B59" s="11">
        <f>YEAR(Input_Raw[[#This Row],[Date]])+IF(MONTH(Input_Raw[[#This Row],[Date]])&gt;=4,1,0)</f>
        <v>2026</v>
      </c>
      <c r="C59" s="11">
        <f>YEAR(Input_Raw[[#This Row],[Date]])</f>
        <v>2025</v>
      </c>
      <c r="D59" s="12">
        <f t="shared" ref="D59:D64" si="12">A59-DAY(A59)+1</f>
        <v>45778</v>
      </c>
      <c r="E59" s="11">
        <f>DAY(EOMONTH(Input_Raw[[#This Row],[Date]],0))</f>
        <v>31</v>
      </c>
      <c r="F59" s="137">
        <v>5325</v>
      </c>
      <c r="G59" s="137">
        <v>4261</v>
      </c>
      <c r="H59" s="137">
        <v>2693</v>
      </c>
      <c r="I59" s="137">
        <v>5901</v>
      </c>
      <c r="J59" s="137">
        <v>5814</v>
      </c>
      <c r="K59" s="137">
        <v>7702</v>
      </c>
      <c r="L59" s="137">
        <v>5581</v>
      </c>
      <c r="M59" s="137">
        <v>3597</v>
      </c>
      <c r="N59" s="137">
        <v>4651</v>
      </c>
      <c r="O59" s="137">
        <v>4928</v>
      </c>
      <c r="P59" s="137">
        <v>4947</v>
      </c>
      <c r="Q59" s="137">
        <v>3211</v>
      </c>
      <c r="R59" s="137">
        <v>4996</v>
      </c>
      <c r="S59" s="137">
        <v>4869</v>
      </c>
      <c r="T59" s="137">
        <v>5244</v>
      </c>
      <c r="U59" s="137">
        <v>7051</v>
      </c>
      <c r="V59" s="137">
        <v>7589</v>
      </c>
      <c r="W59" s="137">
        <v>7942</v>
      </c>
      <c r="X59" s="137">
        <v>5630</v>
      </c>
      <c r="Y59" s="137">
        <v>6725</v>
      </c>
      <c r="Z59" s="137">
        <v>6408</v>
      </c>
      <c r="AA59" s="137">
        <v>7766</v>
      </c>
      <c r="AB59" s="137">
        <v>2985</v>
      </c>
      <c r="AC59" s="13">
        <v>6850</v>
      </c>
      <c r="AD59" s="13">
        <v>3810</v>
      </c>
      <c r="AE59" s="13">
        <v>3271</v>
      </c>
      <c r="AF59" s="138">
        <v>4.1617857274554995</v>
      </c>
      <c r="AG59" s="138">
        <v>4.1426190244299974</v>
      </c>
      <c r="AH59" s="138">
        <v>3.9926190745262837</v>
      </c>
      <c r="AI59" s="138">
        <v>3.2891735552756214</v>
      </c>
      <c r="AJ59" s="138">
        <v>4.2083333393647528</v>
      </c>
      <c r="AK59" s="138">
        <v>3.7441304261269752</v>
      </c>
      <c r="AL59" s="138">
        <v>3.2204877918328658</v>
      </c>
      <c r="AM59" s="138">
        <v>3.7531325565763241</v>
      </c>
      <c r="AN59" s="138">
        <v>3.9939285569957277</v>
      </c>
      <c r="AO59" s="138">
        <v>3.4765040738795783</v>
      </c>
      <c r="AP59" s="138">
        <v>4.0461904803911786</v>
      </c>
      <c r="AQ59" s="138">
        <v>4.0371428557804609</v>
      </c>
      <c r="AR59" s="138">
        <v>3.4254032253257654</v>
      </c>
      <c r="AS59" s="138">
        <v>4.0647619097005707</v>
      </c>
      <c r="AT59" s="138">
        <v>3.5270731885258715</v>
      </c>
      <c r="AU59" s="138">
        <v>3.5916666850663579</v>
      </c>
      <c r="AV59" s="138">
        <v>3.8218115969844453</v>
      </c>
      <c r="AW59" s="138">
        <v>3.643430643273093</v>
      </c>
      <c r="AX59" s="138">
        <v>3.3441322298089298</v>
      </c>
      <c r="AY59" s="138">
        <v>3.5102877788406457</v>
      </c>
      <c r="AZ59" s="138">
        <v>3.3943795752405661</v>
      </c>
      <c r="BA59" s="138">
        <v>3.7944274672115097</v>
      </c>
      <c r="BB59" s="138">
        <v>4.00285713481051</v>
      </c>
      <c r="BC59" s="14">
        <v>3.5226618767642259</v>
      </c>
      <c r="BD59" s="14">
        <v>4.263690478744957</v>
      </c>
      <c r="BE59" s="14">
        <v>3.8772619164415723</v>
      </c>
      <c r="BF59" s="139">
        <f>SUM(Input_Raw[[#This Row],[O2_01]:[O2_26]])</f>
        <v>139747</v>
      </c>
      <c r="BG59" s="140">
        <f>IFERROR(AVERAGE(Input_Raw[[#This Row],[WS_O2_01]:[WS_O2_26]]),"")</f>
        <v>3.7634574295913192</v>
      </c>
      <c r="BH59" s="141"/>
      <c r="BI59" s="141"/>
      <c r="BJ59" s="13">
        <v>134100</v>
      </c>
      <c r="BK59" s="13">
        <v>1350</v>
      </c>
      <c r="BL59" s="15">
        <f>Input_Raw[[#This Row],[66 kV_Wind_F1_Export_reading]]-Input_Raw[[#This Row],[66 kV_Wind_F1_Import_reading]]</f>
        <v>132750</v>
      </c>
      <c r="BM59" s="142">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35">
        <v>158.54</v>
      </c>
      <c r="BR59" s="207"/>
    </row>
    <row r="60" spans="1:70" ht="15">
      <c r="A60" s="240">
        <f t="shared" si="3"/>
        <v>45800</v>
      </c>
      <c r="B60" s="11">
        <f>YEAR(Input_Raw[[#This Row],[Date]])+IF(MONTH(Input_Raw[[#This Row],[Date]])&gt;=4,1,0)</f>
        <v>2026</v>
      </c>
      <c r="C60" s="11">
        <f>YEAR(Input_Raw[[#This Row],[Date]])</f>
        <v>2025</v>
      </c>
      <c r="D60" s="12">
        <f t="shared" si="12"/>
        <v>45778</v>
      </c>
      <c r="E60" s="11">
        <f>DAY(EOMONTH(Input_Raw[[#This Row],[Date]],0))</f>
        <v>31</v>
      </c>
      <c r="F60" s="137">
        <v>13668</v>
      </c>
      <c r="G60" s="137">
        <v>14033</v>
      </c>
      <c r="H60" s="137">
        <v>15582</v>
      </c>
      <c r="I60" s="137">
        <v>13541</v>
      </c>
      <c r="J60" s="137">
        <v>13606</v>
      </c>
      <c r="K60" s="137">
        <v>14664</v>
      </c>
      <c r="L60" s="137">
        <v>12284</v>
      </c>
      <c r="M60" s="137">
        <v>12198</v>
      </c>
      <c r="N60" s="137">
        <v>13305</v>
      </c>
      <c r="O60" s="137">
        <v>12638</v>
      </c>
      <c r="P60" s="137">
        <v>15506</v>
      </c>
      <c r="Q60" s="137">
        <v>12864</v>
      </c>
      <c r="R60" s="137">
        <v>12326</v>
      </c>
      <c r="S60" s="137">
        <v>13110</v>
      </c>
      <c r="T60" s="137">
        <v>13871</v>
      </c>
      <c r="U60" s="137">
        <v>14234</v>
      </c>
      <c r="V60" s="137">
        <v>13106</v>
      </c>
      <c r="W60" s="137">
        <v>14776</v>
      </c>
      <c r="X60" s="137">
        <v>12232</v>
      </c>
      <c r="Y60" s="137">
        <v>13537</v>
      </c>
      <c r="Z60" s="137">
        <v>12398</v>
      </c>
      <c r="AA60" s="137">
        <v>14801</v>
      </c>
      <c r="AB60" s="137">
        <v>15126</v>
      </c>
      <c r="AC60" s="13">
        <v>12086</v>
      </c>
      <c r="AD60" s="13">
        <v>12387</v>
      </c>
      <c r="AE60" s="13">
        <v>12236</v>
      </c>
      <c r="AF60" s="138">
        <v>4.8401389097173988</v>
      </c>
      <c r="AG60" s="138">
        <v>4.7563888786567574</v>
      </c>
      <c r="AH60" s="138">
        <v>5.1458333333333313</v>
      </c>
      <c r="AI60" s="138">
        <v>4.7270422619833061</v>
      </c>
      <c r="AJ60" s="138">
        <v>4.8063888827131844</v>
      </c>
      <c r="AK60" s="138">
        <v>5.3009790142516131</v>
      </c>
      <c r="AL60" s="138">
        <v>4.5339860172121655</v>
      </c>
      <c r="AM60" s="138">
        <v>4.7814583405852291</v>
      </c>
      <c r="AN60" s="138">
        <v>4.9096527745326348</v>
      </c>
      <c r="AO60" s="138">
        <v>4.9009722276694223</v>
      </c>
      <c r="AP60" s="138">
        <v>5.1874999937911808</v>
      </c>
      <c r="AQ60" s="138">
        <v>4.8190972262786467</v>
      </c>
      <c r="AR60" s="138">
        <v>4.7542361244559261</v>
      </c>
      <c r="AS60" s="138">
        <v>4.9659722310801317</v>
      </c>
      <c r="AT60" s="138">
        <v>4.9406944480207198</v>
      </c>
      <c r="AU60" s="138">
        <v>5.0180281694506235</v>
      </c>
      <c r="AV60" s="138">
        <v>4.8983688035332538</v>
      </c>
      <c r="AW60" s="138">
        <v>5.1885211220089786</v>
      </c>
      <c r="AX60" s="138">
        <v>4.5147887149327213</v>
      </c>
      <c r="AY60" s="138">
        <v>4.9509091012544557</v>
      </c>
      <c r="AZ60" s="138">
        <v>4.8264084546498829</v>
      </c>
      <c r="BA60" s="138">
        <v>5.2289436642132978</v>
      </c>
      <c r="BB60" s="138">
        <v>5.1030555603404819</v>
      </c>
      <c r="BC60" s="14">
        <v>4.7421678379699044</v>
      </c>
      <c r="BD60" s="14">
        <v>4.8134027789864264</v>
      </c>
      <c r="BE60" s="14">
        <v>4.6903472108145543</v>
      </c>
      <c r="BF60" s="139">
        <f>SUM(Input_Raw[[#This Row],[O2_01]:[O2_26]])</f>
        <v>350115</v>
      </c>
      <c r="BG60" s="140">
        <f>IFERROR(AVERAGE(Input_Raw[[#This Row],[WS_O2_01]:[WS_O2_26]]),"")</f>
        <v>4.8978954647090855</v>
      </c>
      <c r="BH60" s="141"/>
      <c r="BI60" s="141"/>
      <c r="BJ60" s="13">
        <v>337950</v>
      </c>
      <c r="BK60" s="13">
        <v>0</v>
      </c>
      <c r="BL60" s="15">
        <f>Input_Raw[[#This Row],[66 kV_Wind_F1_Export_reading]]-Input_Raw[[#This Row],[66 kV_Wind_F1_Import_reading]]</f>
        <v>337950</v>
      </c>
      <c r="BM60" s="142">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35">
        <v>371.21</v>
      </c>
      <c r="BR60" s="207"/>
    </row>
    <row r="61" spans="1:70" ht="15">
      <c r="A61" s="240">
        <f t="shared" si="3"/>
        <v>45801</v>
      </c>
      <c r="B61" s="11">
        <f>YEAR(Input_Raw[[#This Row],[Date]])+IF(MONTH(Input_Raw[[#This Row],[Date]])&gt;=4,1,0)</f>
        <v>2026</v>
      </c>
      <c r="C61" s="11">
        <f>YEAR(Input_Raw[[#This Row],[Date]])</f>
        <v>2025</v>
      </c>
      <c r="D61" s="12">
        <f t="shared" si="12"/>
        <v>45778</v>
      </c>
      <c r="E61" s="11">
        <f>DAY(EOMONTH(Input_Raw[[#This Row],[Date]],0))</f>
        <v>31</v>
      </c>
      <c r="F61" s="371">
        <v>27867</v>
      </c>
      <c r="G61" s="371">
        <v>31651</v>
      </c>
      <c r="H61" s="371">
        <v>27965</v>
      </c>
      <c r="I61" s="371">
        <v>37041</v>
      </c>
      <c r="J61" s="371">
        <v>32935</v>
      </c>
      <c r="K61" s="371">
        <v>34792</v>
      </c>
      <c r="L61" s="371">
        <v>37142</v>
      </c>
      <c r="M61" s="371">
        <v>16489</v>
      </c>
      <c r="N61" s="371">
        <v>27378</v>
      </c>
      <c r="O61" s="371">
        <v>28918</v>
      </c>
      <c r="P61" s="371">
        <v>28336</v>
      </c>
      <c r="Q61" s="371">
        <v>14646</v>
      </c>
      <c r="R61" s="371">
        <v>29021</v>
      </c>
      <c r="S61" s="371">
        <v>28337</v>
      </c>
      <c r="T61" s="371">
        <v>27961</v>
      </c>
      <c r="U61" s="371">
        <v>36391</v>
      </c>
      <c r="V61" s="371">
        <v>43558</v>
      </c>
      <c r="W61" s="371">
        <v>34099</v>
      </c>
      <c r="X61" s="371">
        <v>37403</v>
      </c>
      <c r="Y61" s="371">
        <v>35369</v>
      </c>
      <c r="Z61" s="371">
        <v>36290</v>
      </c>
      <c r="AA61" s="371">
        <v>39991</v>
      </c>
      <c r="AB61" s="371">
        <v>28932</v>
      </c>
      <c r="AC61" s="372">
        <v>36419</v>
      </c>
      <c r="AD61" s="372">
        <v>29481</v>
      </c>
      <c r="AE61" s="372">
        <v>25631</v>
      </c>
      <c r="AF61" s="373">
        <v>8.5741110695732896</v>
      </c>
      <c r="AG61" s="373">
        <v>9.3281111293368735</v>
      </c>
      <c r="AH61" s="373">
        <v>6.7628682482150069</v>
      </c>
      <c r="AI61" s="373">
        <v>7.3269444596436175</v>
      </c>
      <c r="AJ61" s="373">
        <v>9.2793332841661034</v>
      </c>
      <c r="AK61" s="373">
        <v>7.164027791056359</v>
      </c>
      <c r="AL61" s="373">
        <v>7.2506250217556873</v>
      </c>
      <c r="AM61" s="373">
        <v>8.7490000036027595</v>
      </c>
      <c r="AN61" s="373">
        <v>8.5430000093248033</v>
      </c>
      <c r="AO61" s="373">
        <v>6.8703876179318009</v>
      </c>
      <c r="AP61" s="373">
        <v>6.8695384474900969</v>
      </c>
      <c r="AQ61" s="373">
        <v>6.7288372119267699</v>
      </c>
      <c r="AR61" s="373">
        <v>6.8412307450404448</v>
      </c>
      <c r="AS61" s="373">
        <v>6.8389230975737867</v>
      </c>
      <c r="AT61" s="373">
        <v>6.8010852660319525</v>
      </c>
      <c r="AU61" s="373">
        <v>7.3260416537523172</v>
      </c>
      <c r="AV61" s="373">
        <v>8.0110416817996111</v>
      </c>
      <c r="AW61" s="373">
        <v>6.9788194584349714</v>
      </c>
      <c r="AX61" s="373">
        <v>7.2005555538667494</v>
      </c>
      <c r="AY61" s="373">
        <v>7.0827083190282121</v>
      </c>
      <c r="AZ61" s="373">
        <v>7.1904166547788391</v>
      </c>
      <c r="BA61" s="373">
        <v>7.7211111196213222</v>
      </c>
      <c r="BB61" s="373">
        <v>6.8802325369775668</v>
      </c>
      <c r="BC61" s="374">
        <v>7.1316666189167188</v>
      </c>
      <c r="BD61" s="374">
        <v>8.7936666859520738</v>
      </c>
      <c r="BE61" s="374">
        <v>8.5232222186194395</v>
      </c>
      <c r="BF61" s="375">
        <f>SUM(Input_Raw[[#This Row],[O2_01]:[O2_26]])</f>
        <v>814043</v>
      </c>
      <c r="BG61" s="376">
        <f>IFERROR(AVERAGE(Input_Raw[[#This Row],[WS_O2_01]:[WS_O2_26]]),"")</f>
        <v>7.5679809963237359</v>
      </c>
      <c r="BH61" s="377"/>
      <c r="BI61" s="377"/>
      <c r="BJ61" s="372">
        <v>785250</v>
      </c>
      <c r="BK61" s="372">
        <v>0</v>
      </c>
      <c r="BL61" s="378">
        <f>Input_Raw[[#This Row],[66 kV_Wind_F1_Export_reading]]-Input_Raw[[#This Row],[66 kV_Wind_F1_Import_reading]]</f>
        <v>785250</v>
      </c>
      <c r="BM61" s="379">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380">
        <v>847.72</v>
      </c>
      <c r="BR61" s="381"/>
    </row>
    <row r="62" spans="1:70" ht="15">
      <c r="A62" s="240">
        <f t="shared" si="3"/>
        <v>45802</v>
      </c>
      <c r="B62" s="11">
        <f>YEAR(Input_Raw[[#This Row],[Date]])+IF(MONTH(Input_Raw[[#This Row],[Date]])&gt;=4,1,0)</f>
        <v>2026</v>
      </c>
      <c r="C62" s="11">
        <f>YEAR(Input_Raw[[#This Row],[Date]])</f>
        <v>2025</v>
      </c>
      <c r="D62" s="12">
        <f t="shared" si="12"/>
        <v>45778</v>
      </c>
      <c r="E62" s="11">
        <f>DAY(EOMONTH(Input_Raw[[#This Row],[Date]],0))</f>
        <v>31</v>
      </c>
      <c r="F62" s="371">
        <v>31523</v>
      </c>
      <c r="G62" s="371">
        <v>31804</v>
      </c>
      <c r="H62" s="371">
        <v>32524</v>
      </c>
      <c r="I62" s="371">
        <v>35537</v>
      </c>
      <c r="J62" s="371">
        <v>30576</v>
      </c>
      <c r="K62" s="371">
        <v>37549</v>
      </c>
      <c r="L62" s="371">
        <v>32089</v>
      </c>
      <c r="M62" s="371">
        <v>13402</v>
      </c>
      <c r="N62" s="371">
        <v>32584</v>
      </c>
      <c r="O62" s="371">
        <v>30599</v>
      </c>
      <c r="P62" s="371">
        <v>32802</v>
      </c>
      <c r="Q62" s="371">
        <v>29518</v>
      </c>
      <c r="R62" s="371">
        <v>33578</v>
      </c>
      <c r="S62" s="371">
        <v>34055</v>
      </c>
      <c r="T62" s="371">
        <v>34662</v>
      </c>
      <c r="U62" s="371">
        <v>37245</v>
      </c>
      <c r="V62" s="371">
        <v>36698</v>
      </c>
      <c r="W62" s="371">
        <v>36409</v>
      </c>
      <c r="X62" s="371">
        <v>34792</v>
      </c>
      <c r="Y62" s="371">
        <v>36870</v>
      </c>
      <c r="Z62" s="371">
        <v>19043</v>
      </c>
      <c r="AA62" s="371">
        <v>39460</v>
      </c>
      <c r="AB62" s="371">
        <v>33513</v>
      </c>
      <c r="AC62" s="372">
        <v>36629</v>
      </c>
      <c r="AD62" s="372">
        <v>24177</v>
      </c>
      <c r="AE62" s="372">
        <v>33380</v>
      </c>
      <c r="AF62" s="373">
        <v>7.39</v>
      </c>
      <c r="AG62" s="373">
        <v>8.5399999999999991</v>
      </c>
      <c r="AH62" s="373">
        <v>7.42</v>
      </c>
      <c r="AI62" s="373">
        <v>7.44</v>
      </c>
      <c r="AJ62" s="373">
        <v>8.41</v>
      </c>
      <c r="AK62" s="373">
        <v>7.81</v>
      </c>
      <c r="AL62" s="373">
        <v>7.1</v>
      </c>
      <c r="AM62" s="373">
        <v>7.66</v>
      </c>
      <c r="AN62" s="373">
        <v>7.5</v>
      </c>
      <c r="AO62" s="373">
        <v>7.36</v>
      </c>
      <c r="AP62" s="373">
        <v>7.55</v>
      </c>
      <c r="AQ62" s="373">
        <v>7.49</v>
      </c>
      <c r="AR62" s="373">
        <v>7.53</v>
      </c>
      <c r="AS62" s="373">
        <v>7.64</v>
      </c>
      <c r="AT62" s="373">
        <v>7.72</v>
      </c>
      <c r="AU62" s="373">
        <v>7.75</v>
      </c>
      <c r="AV62" s="373">
        <v>7.77</v>
      </c>
      <c r="AW62" s="373">
        <v>7.61</v>
      </c>
      <c r="AX62" s="373">
        <v>7.37</v>
      </c>
      <c r="AY62" s="373">
        <v>7.68</v>
      </c>
      <c r="AZ62" s="373">
        <v>7.9</v>
      </c>
      <c r="BA62" s="373">
        <v>8.09</v>
      </c>
      <c r="BB62" s="373">
        <v>7.57</v>
      </c>
      <c r="BC62" s="374">
        <v>7.6</v>
      </c>
      <c r="BD62" s="374">
        <v>8.27</v>
      </c>
      <c r="BE62" s="374">
        <v>7.56</v>
      </c>
      <c r="BF62" s="375">
        <f>SUM(Input_Raw[[#This Row],[O2_01]:[O2_26]])</f>
        <v>841018</v>
      </c>
      <c r="BG62" s="376">
        <f>IFERROR(AVERAGE(Input_Raw[[#This Row],[WS_O2_01]:[WS_O2_26]]),"")</f>
        <v>7.6819230769230789</v>
      </c>
      <c r="BH62" s="377"/>
      <c r="BI62" s="377"/>
      <c r="BJ62" s="372">
        <v>812250</v>
      </c>
      <c r="BK62" s="372">
        <v>0</v>
      </c>
      <c r="BL62" s="378">
        <f>Input_Raw[[#This Row],[66 kV_Wind_F1_Export_reading]]-Input_Raw[[#This Row],[66 kV_Wind_F1_Import_reading]]</f>
        <v>812250</v>
      </c>
      <c r="BM62" s="379">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380">
        <v>893.8</v>
      </c>
      <c r="BR62" s="381"/>
    </row>
    <row r="63" spans="1:70" ht="15">
      <c r="A63" s="240">
        <f t="shared" si="3"/>
        <v>45803</v>
      </c>
      <c r="B63" s="11">
        <f>YEAR(Input_Raw[[#This Row],[Date]])+IF(MONTH(Input_Raw[[#This Row],[Date]])&gt;=4,1,0)</f>
        <v>2026</v>
      </c>
      <c r="C63" s="11">
        <f>YEAR(Input_Raw[[#This Row],[Date]])</f>
        <v>2025</v>
      </c>
      <c r="D63" s="12">
        <f t="shared" si="12"/>
        <v>45778</v>
      </c>
      <c r="E63" s="11">
        <f>DAY(EOMONTH(Input_Raw[[#This Row],[Date]],0))</f>
        <v>31</v>
      </c>
      <c r="F63" s="382">
        <v>30294</v>
      </c>
      <c r="G63" s="382">
        <v>31689</v>
      </c>
      <c r="H63" s="382">
        <v>28918</v>
      </c>
      <c r="I63" s="382">
        <v>30880</v>
      </c>
      <c r="J63" s="382">
        <v>29206</v>
      </c>
      <c r="K63" s="382">
        <v>30683</v>
      </c>
      <c r="L63" s="382">
        <v>29635</v>
      </c>
      <c r="M63" s="382">
        <v>26348</v>
      </c>
      <c r="N63" s="382">
        <v>30386</v>
      </c>
      <c r="O63" s="382">
        <v>26076</v>
      </c>
      <c r="P63" s="382">
        <v>29120</v>
      </c>
      <c r="Q63" s="382">
        <v>27828</v>
      </c>
      <c r="R63" s="382">
        <v>27161</v>
      </c>
      <c r="S63" s="382">
        <v>28114</v>
      </c>
      <c r="T63" s="382">
        <v>26878</v>
      </c>
      <c r="U63" s="382">
        <v>28386</v>
      </c>
      <c r="V63" s="382">
        <v>31939</v>
      </c>
      <c r="W63" s="382">
        <v>31288</v>
      </c>
      <c r="X63" s="382">
        <v>28966</v>
      </c>
      <c r="Y63" s="382">
        <v>26825</v>
      </c>
      <c r="Z63" s="382">
        <v>27558</v>
      </c>
      <c r="AA63" s="382">
        <v>31331</v>
      </c>
      <c r="AB63" s="382">
        <v>30243</v>
      </c>
      <c r="AC63" s="383">
        <v>28117</v>
      </c>
      <c r="AD63" s="383">
        <v>27468</v>
      </c>
      <c r="AE63" s="383">
        <v>29985</v>
      </c>
      <c r="AF63" s="384">
        <v>7.26</v>
      </c>
      <c r="AG63" s="384">
        <v>7.51</v>
      </c>
      <c r="AH63" s="384">
        <v>6.95</v>
      </c>
      <c r="AI63" s="384">
        <v>7.26</v>
      </c>
      <c r="AJ63" s="384">
        <v>7.45</v>
      </c>
      <c r="AK63" s="384">
        <v>7.23</v>
      </c>
      <c r="AL63" s="384">
        <v>7.14</v>
      </c>
      <c r="AM63" s="384">
        <v>7.21</v>
      </c>
      <c r="AN63" s="384">
        <v>7.18</v>
      </c>
      <c r="AO63" s="384">
        <v>6.69</v>
      </c>
      <c r="AP63" s="384">
        <v>7.06</v>
      </c>
      <c r="AQ63" s="384">
        <v>6.95</v>
      </c>
      <c r="AR63" s="384">
        <v>6.86</v>
      </c>
      <c r="AS63" s="384">
        <v>6.97</v>
      </c>
      <c r="AT63" s="384">
        <v>6.79</v>
      </c>
      <c r="AU63" s="384">
        <v>6.98</v>
      </c>
      <c r="AV63" s="384">
        <v>7.38</v>
      </c>
      <c r="AW63" s="384">
        <v>7.15</v>
      </c>
      <c r="AX63" s="384">
        <v>6.93</v>
      </c>
      <c r="AY63" s="384">
        <v>6.81</v>
      </c>
      <c r="AZ63" s="384">
        <v>7.15</v>
      </c>
      <c r="BA63" s="384">
        <v>7.45</v>
      </c>
      <c r="BB63" s="384">
        <v>7.14</v>
      </c>
      <c r="BC63" s="385">
        <v>6.94</v>
      </c>
      <c r="BD63" s="385">
        <v>7.29</v>
      </c>
      <c r="BE63" s="385">
        <v>7.39</v>
      </c>
      <c r="BF63" s="386">
        <f>SUM(Input_Raw[[#This Row],[O2_01]:[O2_26]])</f>
        <v>755322</v>
      </c>
      <c r="BG63" s="387">
        <f>IFERROR(AVERAGE(Input_Raw[[#This Row],[WS_O2_01]:[WS_O2_26]]),"")</f>
        <v>7.1199999999999992</v>
      </c>
      <c r="BH63" s="388"/>
      <c r="BI63" s="388"/>
      <c r="BJ63" s="383">
        <v>731700</v>
      </c>
      <c r="BK63" s="383">
        <v>0</v>
      </c>
      <c r="BL63" s="389">
        <f>Input_Raw[[#This Row],[66 kV_Wind_F1_Export_reading]]-Input_Raw[[#This Row],[66 kV_Wind_F1_Import_reading]]</f>
        <v>731700</v>
      </c>
      <c r="BM63" s="390">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391">
        <v>797.2</v>
      </c>
      <c r="BR63" s="392"/>
    </row>
    <row r="64" spans="1:70" ht="15">
      <c r="A64" s="240">
        <f t="shared" si="3"/>
        <v>45804</v>
      </c>
      <c r="B64" s="11">
        <f>YEAR(Input_Raw[[#This Row],[Date]])+IF(MONTH(Input_Raw[[#This Row],[Date]])&gt;=4,1,0)</f>
        <v>2026</v>
      </c>
      <c r="C64" s="11">
        <f>YEAR(Input_Raw[[#This Row],[Date]])</f>
        <v>2025</v>
      </c>
      <c r="D64" s="12">
        <f t="shared" si="12"/>
        <v>45778</v>
      </c>
      <c r="E64" s="11">
        <f>DAY(EOMONTH(Input_Raw[[#This Row],[Date]],0))</f>
        <v>31</v>
      </c>
      <c r="F64" s="137">
        <v>45298</v>
      </c>
      <c r="G64" s="137">
        <v>48703</v>
      </c>
      <c r="H64" s="137">
        <v>30098</v>
      </c>
      <c r="I64" s="137">
        <v>55945</v>
      </c>
      <c r="J64" s="137">
        <v>44273</v>
      </c>
      <c r="K64" s="137">
        <v>54646</v>
      </c>
      <c r="L64" s="137">
        <v>50912</v>
      </c>
      <c r="M64" s="137">
        <v>10998</v>
      </c>
      <c r="N64" s="137">
        <v>43632</v>
      </c>
      <c r="O64" s="137">
        <v>44057</v>
      </c>
      <c r="P64" s="137">
        <v>43495</v>
      </c>
      <c r="Q64" s="137">
        <v>44780</v>
      </c>
      <c r="R64" s="137">
        <v>44658</v>
      </c>
      <c r="S64" s="137">
        <v>45661</v>
      </c>
      <c r="T64" s="137">
        <v>45816</v>
      </c>
      <c r="U64" s="137">
        <v>53730</v>
      </c>
      <c r="V64" s="137">
        <v>55315</v>
      </c>
      <c r="W64" s="137">
        <v>55192</v>
      </c>
      <c r="X64" s="137">
        <v>55584</v>
      </c>
      <c r="Y64" s="137">
        <v>52891</v>
      </c>
      <c r="Z64" s="137">
        <v>53312</v>
      </c>
      <c r="AA64" s="137">
        <v>54059</v>
      </c>
      <c r="AB64" s="137">
        <v>44797</v>
      </c>
      <c r="AC64" s="13">
        <v>54974</v>
      </c>
      <c r="AD64" s="13">
        <v>24864</v>
      </c>
      <c r="AE64" s="13">
        <v>45417</v>
      </c>
      <c r="AF64" s="138">
        <v>9.3000000000000007</v>
      </c>
      <c r="AG64" s="138">
        <v>9.7100000000000009</v>
      </c>
      <c r="AH64" s="138">
        <v>8.98</v>
      </c>
      <c r="AI64" s="138">
        <v>9.82</v>
      </c>
      <c r="AJ64" s="138">
        <v>9.44</v>
      </c>
      <c r="AK64" s="138">
        <v>9.5</v>
      </c>
      <c r="AL64" s="138">
        <v>9.7200000000000006</v>
      </c>
      <c r="AM64" s="138">
        <v>9.58</v>
      </c>
      <c r="AN64" s="138">
        <v>9.19</v>
      </c>
      <c r="AO64" s="138">
        <v>9.2899999999999991</v>
      </c>
      <c r="AP64" s="138">
        <v>9.2100000000000009</v>
      </c>
      <c r="AQ64" s="138">
        <v>9.31</v>
      </c>
      <c r="AR64" s="138">
        <v>9.2200000000000006</v>
      </c>
      <c r="AS64" s="138">
        <v>9.36</v>
      </c>
      <c r="AT64" s="138">
        <v>9.43</v>
      </c>
      <c r="AU64" s="138">
        <v>9.59</v>
      </c>
      <c r="AV64" s="138">
        <v>9.86</v>
      </c>
      <c r="AW64" s="138">
        <v>9.48</v>
      </c>
      <c r="AX64" s="138">
        <v>9.7799999999999994</v>
      </c>
      <c r="AY64" s="138">
        <v>9.4700000000000006</v>
      </c>
      <c r="AZ64" s="138">
        <v>9.43</v>
      </c>
      <c r="BA64" s="138">
        <v>9.83</v>
      </c>
      <c r="BB64" s="138">
        <v>9.33</v>
      </c>
      <c r="BC64" s="14">
        <v>9.5299999999999994</v>
      </c>
      <c r="BD64" s="14">
        <v>9.65</v>
      </c>
      <c r="BE64" s="14">
        <v>9.43</v>
      </c>
      <c r="BF64" s="139">
        <f>SUM(Input_Raw[[#This Row],[O2_01]:[O2_26]])</f>
        <v>1203107</v>
      </c>
      <c r="BG64" s="140">
        <f>IFERROR(AVERAGE(Input_Raw[[#This Row],[WS_O2_01]:[WS_O2_26]]),"")</f>
        <v>9.4784615384615396</v>
      </c>
      <c r="BH64" s="141"/>
      <c r="BI64" s="141"/>
      <c r="BJ64" s="13">
        <v>1159200</v>
      </c>
      <c r="BK64" s="13">
        <v>0</v>
      </c>
      <c r="BL64" s="15">
        <f>Input_Raw[[#This Row],[66 kV_Wind_F1_Export_reading]]-Input_Raw[[#This Row],[66 kV_Wind_F1_Import_reading]]</f>
        <v>1159200</v>
      </c>
      <c r="BM64" s="142">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35">
        <v>1294.8800000000001</v>
      </c>
      <c r="BR64" s="207"/>
    </row>
    <row r="65" spans="1:70" ht="15">
      <c r="A65" s="240">
        <f t="shared" si="3"/>
        <v>45805</v>
      </c>
      <c r="B65" s="11">
        <f>YEAR(Input_Raw[[#This Row],[Date]])+IF(MONTH(Input_Raw[[#This Row],[Date]])&gt;=4,1,0)</f>
        <v>2026</v>
      </c>
      <c r="C65" s="11">
        <f>YEAR(Input_Raw[[#This Row],[Date]])</f>
        <v>2025</v>
      </c>
      <c r="D65" s="12">
        <f t="shared" ref="D65:D70" si="13">A65-DAY(A65)+1</f>
        <v>45778</v>
      </c>
      <c r="E65" s="11">
        <f>DAY(EOMONTH(Input_Raw[[#This Row],[Date]],0))</f>
        <v>31</v>
      </c>
      <c r="F65" s="137">
        <v>36145</v>
      </c>
      <c r="G65" s="137">
        <v>38104</v>
      </c>
      <c r="H65" s="137">
        <v>36941</v>
      </c>
      <c r="I65" s="137">
        <v>36974</v>
      </c>
      <c r="J65" s="137">
        <v>37270</v>
      </c>
      <c r="K65" s="137">
        <v>38856</v>
      </c>
      <c r="L65" s="137">
        <v>38555</v>
      </c>
      <c r="M65" s="137">
        <v>28269</v>
      </c>
      <c r="N65" s="137">
        <v>35976</v>
      </c>
      <c r="O65" s="137">
        <v>40745</v>
      </c>
      <c r="P65" s="137">
        <v>37551</v>
      </c>
      <c r="Q65" s="137">
        <v>39371</v>
      </c>
      <c r="R65" s="137">
        <v>36909</v>
      </c>
      <c r="S65" s="137">
        <v>39144</v>
      </c>
      <c r="T65" s="137">
        <v>38829</v>
      </c>
      <c r="U65" s="137">
        <v>38163</v>
      </c>
      <c r="V65" s="137">
        <v>42635</v>
      </c>
      <c r="W65" s="137">
        <v>39115</v>
      </c>
      <c r="X65" s="137">
        <v>41216</v>
      </c>
      <c r="Y65" s="137">
        <v>35547</v>
      </c>
      <c r="Z65" s="137">
        <v>38234</v>
      </c>
      <c r="AA65" s="137">
        <v>39494</v>
      </c>
      <c r="AB65" s="137">
        <v>40262</v>
      </c>
      <c r="AC65" s="13">
        <v>37785</v>
      </c>
      <c r="AD65" s="13">
        <v>29365</v>
      </c>
      <c r="AE65" s="13">
        <v>30364</v>
      </c>
      <c r="AF65" s="138">
        <v>8.2899999999999991</v>
      </c>
      <c r="AG65" s="138">
        <v>8.39</v>
      </c>
      <c r="AH65" s="138">
        <v>7.92</v>
      </c>
      <c r="AI65" s="138">
        <v>8.51</v>
      </c>
      <c r="AJ65" s="138">
        <v>8.3000000000000007</v>
      </c>
      <c r="AK65" s="138">
        <v>8.6199999999999992</v>
      </c>
      <c r="AL65" s="138">
        <v>8.6199999999999992</v>
      </c>
      <c r="AM65" s="138">
        <v>8.51</v>
      </c>
      <c r="AN65" s="138">
        <v>8.26</v>
      </c>
      <c r="AO65" s="138">
        <v>8.2899999999999991</v>
      </c>
      <c r="AP65" s="138">
        <v>8.08</v>
      </c>
      <c r="AQ65" s="138">
        <v>8.19</v>
      </c>
      <c r="AR65" s="138">
        <v>8.0399999999999991</v>
      </c>
      <c r="AS65" s="138">
        <v>8.18</v>
      </c>
      <c r="AT65" s="138">
        <v>8.18</v>
      </c>
      <c r="AU65" s="138">
        <v>8.6300000000000008</v>
      </c>
      <c r="AV65" s="138">
        <v>9.1199999999999992</v>
      </c>
      <c r="AW65" s="138">
        <v>8.56</v>
      </c>
      <c r="AX65" s="138">
        <v>8.8800000000000008</v>
      </c>
      <c r="AY65" s="138">
        <v>8.35</v>
      </c>
      <c r="AZ65" s="138">
        <v>8.51</v>
      </c>
      <c r="BA65" s="138">
        <v>8.86</v>
      </c>
      <c r="BB65" s="138">
        <v>8.3000000000000007</v>
      </c>
      <c r="BC65" s="14">
        <v>8.4600000000000009</v>
      </c>
      <c r="BD65" s="14">
        <v>8.39</v>
      </c>
      <c r="BE65" s="14">
        <v>8.48</v>
      </c>
      <c r="BF65" s="139">
        <f>SUM(Input_Raw[[#This Row],[O2_01]:[O2_26]])</f>
        <v>971819</v>
      </c>
      <c r="BG65" s="140">
        <f>IFERROR(AVERAGE(Input_Raw[[#This Row],[WS_O2_01]:[WS_O2_26]]),"")</f>
        <v>8.4200000000000017</v>
      </c>
      <c r="BH65" s="141"/>
      <c r="BI65" s="141"/>
      <c r="BJ65" s="13">
        <v>940050</v>
      </c>
      <c r="BK65" s="13">
        <v>0</v>
      </c>
      <c r="BL65" s="15">
        <f>Input_Raw[[#This Row],[66 kV_Wind_F1_Export_reading]]-Input_Raw[[#This Row],[66 kV_Wind_F1_Import_reading]]</f>
        <v>940050</v>
      </c>
      <c r="BM65" s="142">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35">
        <v>1024.6199999999999</v>
      </c>
      <c r="BR65" s="207"/>
    </row>
    <row r="66" spans="1:70" ht="15">
      <c r="A66" s="240">
        <f t="shared" si="3"/>
        <v>45806</v>
      </c>
      <c r="B66" s="11">
        <f>YEAR(Input_Raw[[#This Row],[Date]])+IF(MONTH(Input_Raw[[#This Row],[Date]])&gt;=4,1,0)</f>
        <v>2026</v>
      </c>
      <c r="C66" s="11">
        <f>YEAR(Input_Raw[[#This Row],[Date]])</f>
        <v>2025</v>
      </c>
      <c r="D66" s="12">
        <f t="shared" si="13"/>
        <v>45778</v>
      </c>
      <c r="E66" s="11">
        <f>DAY(EOMONTH(Input_Raw[[#This Row],[Date]],0))</f>
        <v>31</v>
      </c>
      <c r="F66" s="393">
        <v>34991</v>
      </c>
      <c r="G66" s="393">
        <v>35336</v>
      </c>
      <c r="H66" s="393">
        <v>34454</v>
      </c>
      <c r="I66" s="393">
        <v>27457</v>
      </c>
      <c r="J66" s="393">
        <v>34066</v>
      </c>
      <c r="K66" s="393">
        <v>38069</v>
      </c>
      <c r="L66" s="393">
        <v>36624</v>
      </c>
      <c r="M66" s="393">
        <v>36586</v>
      </c>
      <c r="N66" s="393">
        <v>35770</v>
      </c>
      <c r="O66" s="393">
        <v>35884</v>
      </c>
      <c r="P66" s="393">
        <v>35836</v>
      </c>
      <c r="Q66" s="393">
        <v>35861</v>
      </c>
      <c r="R66" s="393">
        <v>34932</v>
      </c>
      <c r="S66" s="393">
        <v>36054</v>
      </c>
      <c r="T66" s="393">
        <v>35776</v>
      </c>
      <c r="U66" s="393">
        <v>34759</v>
      </c>
      <c r="V66" s="393">
        <v>40825</v>
      </c>
      <c r="W66" s="393">
        <v>38317</v>
      </c>
      <c r="X66" s="393">
        <v>35573</v>
      </c>
      <c r="Y66" s="393">
        <v>33065</v>
      </c>
      <c r="Z66" s="393">
        <v>38437</v>
      </c>
      <c r="AA66" s="393">
        <v>38478</v>
      </c>
      <c r="AB66" s="393">
        <v>36437</v>
      </c>
      <c r="AC66" s="394">
        <v>36704</v>
      </c>
      <c r="AD66" s="394">
        <v>36147</v>
      </c>
      <c r="AE66" s="394">
        <v>36092</v>
      </c>
      <c r="AF66" s="395">
        <v>7.31</v>
      </c>
      <c r="AG66" s="395">
        <v>7.48</v>
      </c>
      <c r="AH66" s="395">
        <v>7.19</v>
      </c>
      <c r="AI66" s="395">
        <v>7.46</v>
      </c>
      <c r="AJ66" s="395">
        <v>7.41</v>
      </c>
      <c r="AK66" s="395">
        <v>7.75</v>
      </c>
      <c r="AL66" s="395">
        <v>7.54</v>
      </c>
      <c r="AM66" s="395">
        <v>7.41</v>
      </c>
      <c r="AN66" s="395">
        <v>7.34</v>
      </c>
      <c r="AO66" s="395">
        <v>7.39</v>
      </c>
      <c r="AP66" s="395">
        <v>7.49</v>
      </c>
      <c r="AQ66" s="395">
        <v>7.42</v>
      </c>
      <c r="AR66" s="395">
        <v>7.29</v>
      </c>
      <c r="AS66" s="395">
        <v>7.4</v>
      </c>
      <c r="AT66" s="395">
        <v>7.39</v>
      </c>
      <c r="AU66" s="395">
        <v>7.36</v>
      </c>
      <c r="AV66" s="395">
        <v>7.97</v>
      </c>
      <c r="AW66" s="395">
        <v>7.64</v>
      </c>
      <c r="AX66" s="395">
        <v>7.4</v>
      </c>
      <c r="AY66" s="395">
        <v>7.17</v>
      </c>
      <c r="AZ66" s="395">
        <v>7.7</v>
      </c>
      <c r="BA66" s="395">
        <v>7.86</v>
      </c>
      <c r="BB66" s="395">
        <v>7.49</v>
      </c>
      <c r="BC66" s="396">
        <v>7.43</v>
      </c>
      <c r="BD66" s="396">
        <v>7.38</v>
      </c>
      <c r="BE66" s="396">
        <v>7.46</v>
      </c>
      <c r="BF66" s="397">
        <f>SUM(Input_Raw[[#This Row],[O2_01]:[O2_26]])</f>
        <v>932530</v>
      </c>
      <c r="BG66" s="398">
        <f>IFERROR(AVERAGE(Input_Raw[[#This Row],[WS_O2_01]:[WS_O2_26]]),"")</f>
        <v>7.4665384615384625</v>
      </c>
      <c r="BH66" s="399"/>
      <c r="BI66" s="399"/>
      <c r="BJ66" s="394">
        <v>901800</v>
      </c>
      <c r="BK66" s="394">
        <v>450</v>
      </c>
      <c r="BL66" s="400">
        <f>Input_Raw[[#This Row],[66 kV_Wind_F1_Export_reading]]-Input_Raw[[#This Row],[66 kV_Wind_F1_Import_reading]]</f>
        <v>901350</v>
      </c>
      <c r="BM66" s="40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402">
        <v>986.68</v>
      </c>
      <c r="BR66" s="403"/>
    </row>
    <row r="67" spans="1:70" ht="15">
      <c r="A67" s="240">
        <f t="shared" si="3"/>
        <v>45807</v>
      </c>
      <c r="B67" s="11">
        <f>YEAR(Input_Raw[[#This Row],[Date]])+IF(MONTH(Input_Raw[[#This Row],[Date]])&gt;=4,1,0)</f>
        <v>2026</v>
      </c>
      <c r="C67" s="11">
        <f>YEAR(Input_Raw[[#This Row],[Date]])</f>
        <v>2025</v>
      </c>
      <c r="D67" s="12">
        <f t="shared" si="13"/>
        <v>45778</v>
      </c>
      <c r="E67" s="11">
        <f>DAY(EOMONTH(Input_Raw[[#This Row],[Date]],0))</f>
        <v>31</v>
      </c>
      <c r="F67" s="137">
        <v>54422</v>
      </c>
      <c r="G67" s="137">
        <v>56778</v>
      </c>
      <c r="H67" s="137">
        <v>55357</v>
      </c>
      <c r="I67" s="137">
        <v>51855</v>
      </c>
      <c r="J67" s="137">
        <v>54055</v>
      </c>
      <c r="K67" s="137">
        <v>55099</v>
      </c>
      <c r="L67" s="137">
        <v>52504</v>
      </c>
      <c r="M67" s="137">
        <v>54379</v>
      </c>
      <c r="N67" s="137">
        <v>53124</v>
      </c>
      <c r="O67" s="137">
        <v>54576</v>
      </c>
      <c r="P67" s="137">
        <v>55825</v>
      </c>
      <c r="Q67" s="137">
        <v>54494</v>
      </c>
      <c r="R67" s="137">
        <v>54331</v>
      </c>
      <c r="S67" s="137">
        <v>55074</v>
      </c>
      <c r="T67" s="137">
        <v>55209</v>
      </c>
      <c r="U67" s="137">
        <v>53676</v>
      </c>
      <c r="V67" s="137">
        <v>48430</v>
      </c>
      <c r="W67" s="137">
        <v>54614</v>
      </c>
      <c r="X67" s="137">
        <v>54160</v>
      </c>
      <c r="Y67" s="137">
        <v>53978</v>
      </c>
      <c r="Z67" s="137">
        <v>57017</v>
      </c>
      <c r="AA67" s="137">
        <v>57090</v>
      </c>
      <c r="AB67" s="137">
        <v>56047</v>
      </c>
      <c r="AC67" s="13">
        <v>56687</v>
      </c>
      <c r="AD67" s="13">
        <v>57270</v>
      </c>
      <c r="AE67" s="13">
        <v>56413</v>
      </c>
      <c r="AF67" s="138">
        <v>9.9</v>
      </c>
      <c r="AG67" s="138">
        <v>10.18</v>
      </c>
      <c r="AH67" s="138">
        <v>9.76</v>
      </c>
      <c r="AI67" s="138">
        <v>9.77</v>
      </c>
      <c r="AJ67" s="138">
        <v>10.130000000000001</v>
      </c>
      <c r="AK67" s="138">
        <v>9.69</v>
      </c>
      <c r="AL67" s="138">
        <v>9.7100000000000009</v>
      </c>
      <c r="AM67" s="138">
        <v>10.039999999999999</v>
      </c>
      <c r="AN67" s="138">
        <v>9.74</v>
      </c>
      <c r="AO67" s="138">
        <v>9.86</v>
      </c>
      <c r="AP67" s="138">
        <v>9.98</v>
      </c>
      <c r="AQ67" s="138">
        <v>9.98</v>
      </c>
      <c r="AR67" s="138">
        <v>9.82</v>
      </c>
      <c r="AS67" s="138">
        <v>9.76</v>
      </c>
      <c r="AT67" s="138">
        <v>9.86</v>
      </c>
      <c r="AU67" s="138">
        <v>9.8800000000000008</v>
      </c>
      <c r="AV67" s="138">
        <v>9.77</v>
      </c>
      <c r="AW67" s="138">
        <v>9.82</v>
      </c>
      <c r="AX67" s="138">
        <v>9.85</v>
      </c>
      <c r="AY67" s="138">
        <v>9.64</v>
      </c>
      <c r="AZ67" s="138">
        <v>9.92</v>
      </c>
      <c r="BA67" s="138">
        <v>10.039999999999999</v>
      </c>
      <c r="BB67" s="138">
        <v>10</v>
      </c>
      <c r="BC67" s="14">
        <v>9.9499999999999993</v>
      </c>
      <c r="BD67" s="14">
        <v>10.09</v>
      </c>
      <c r="BE67" s="14">
        <v>10.06</v>
      </c>
      <c r="BF67" s="139">
        <f>SUM(Input_Raw[[#This Row],[O2_01]:[O2_26]])</f>
        <v>1422464</v>
      </c>
      <c r="BG67" s="140">
        <f>IFERROR(AVERAGE(Input_Raw[[#This Row],[WS_O2_01]:[WS_O2_26]]),"")</f>
        <v>9.8923076923076891</v>
      </c>
      <c r="BH67" s="141"/>
      <c r="BI67" s="141"/>
      <c r="BJ67" s="13">
        <v>1370700</v>
      </c>
      <c r="BK67" s="13">
        <v>0</v>
      </c>
      <c r="BL67" s="15">
        <f>Input_Raw[[#This Row],[66 kV_Wind_F1_Export_reading]]-Input_Raw[[#This Row],[66 kV_Wind_F1_Import_reading]]</f>
        <v>1370700</v>
      </c>
      <c r="BM67" s="142">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35">
        <v>1505.57</v>
      </c>
      <c r="BR67" s="207"/>
    </row>
    <row r="68" spans="1:70" ht="15">
      <c r="A68" s="240">
        <f t="shared" si="3"/>
        <v>45808</v>
      </c>
      <c r="B68" s="11">
        <f>YEAR(Input_Raw[[#This Row],[Date]])+IF(MONTH(Input_Raw[[#This Row],[Date]])&gt;=4,1,0)</f>
        <v>2026</v>
      </c>
      <c r="C68" s="11">
        <f>YEAR(Input_Raw[[#This Row],[Date]])</f>
        <v>2025</v>
      </c>
      <c r="D68" s="12">
        <f t="shared" si="13"/>
        <v>45778</v>
      </c>
      <c r="E68" s="11">
        <f>DAY(EOMONTH(Input_Raw[[#This Row],[Date]],0))</f>
        <v>31</v>
      </c>
      <c r="F68" s="137">
        <v>54328</v>
      </c>
      <c r="G68" s="137">
        <v>59812</v>
      </c>
      <c r="H68" s="137">
        <v>55547</v>
      </c>
      <c r="I68" s="137">
        <v>48432</v>
      </c>
      <c r="J68" s="137">
        <v>57780</v>
      </c>
      <c r="K68" s="137">
        <v>47521</v>
      </c>
      <c r="L68" s="137">
        <v>50547</v>
      </c>
      <c r="M68" s="137">
        <v>51528</v>
      </c>
      <c r="N68" s="137">
        <v>52803</v>
      </c>
      <c r="O68" s="137">
        <v>45951</v>
      </c>
      <c r="P68" s="137">
        <v>54037</v>
      </c>
      <c r="Q68" s="137">
        <v>53252</v>
      </c>
      <c r="R68" s="137">
        <v>50292</v>
      </c>
      <c r="S68" s="137">
        <v>52651</v>
      </c>
      <c r="T68" s="137">
        <v>52780</v>
      </c>
      <c r="U68" s="137">
        <v>45969</v>
      </c>
      <c r="V68" s="137">
        <v>51878</v>
      </c>
      <c r="W68" s="137">
        <v>48505</v>
      </c>
      <c r="X68" s="137">
        <v>48391</v>
      </c>
      <c r="Y68" s="137">
        <v>47567</v>
      </c>
      <c r="Z68" s="137">
        <v>47315</v>
      </c>
      <c r="AA68" s="137">
        <v>50992</v>
      </c>
      <c r="AB68" s="137">
        <v>54330</v>
      </c>
      <c r="AC68" s="13">
        <v>47157</v>
      </c>
      <c r="AD68" s="13">
        <v>60528</v>
      </c>
      <c r="AE68" s="13">
        <v>51268</v>
      </c>
      <c r="AF68" s="138">
        <v>9.89</v>
      </c>
      <c r="AG68" s="138">
        <v>10.23</v>
      </c>
      <c r="AH68" s="138">
        <v>9.6199999999999992</v>
      </c>
      <c r="AI68" s="138">
        <v>9.86</v>
      </c>
      <c r="AJ68" s="138">
        <v>10.1</v>
      </c>
      <c r="AK68" s="138">
        <v>9.17</v>
      </c>
      <c r="AL68" s="138">
        <v>9.7200000000000006</v>
      </c>
      <c r="AM68" s="138">
        <v>9.64</v>
      </c>
      <c r="AN68" s="138">
        <v>9.68</v>
      </c>
      <c r="AO68" s="138">
        <v>9.25</v>
      </c>
      <c r="AP68" s="138">
        <v>9.65</v>
      </c>
      <c r="AQ68" s="138">
        <v>9.5500000000000007</v>
      </c>
      <c r="AR68" s="138">
        <v>9.65</v>
      </c>
      <c r="AS68" s="138">
        <v>9.5500000000000007</v>
      </c>
      <c r="AT68" s="138">
        <v>9.5299999999999994</v>
      </c>
      <c r="AU68" s="138">
        <v>9.31</v>
      </c>
      <c r="AV68" s="138">
        <v>9.65</v>
      </c>
      <c r="AW68" s="138">
        <v>9.2799999999999994</v>
      </c>
      <c r="AX68" s="138">
        <v>9.41</v>
      </c>
      <c r="AY68" s="138">
        <v>9.34</v>
      </c>
      <c r="AZ68" s="138">
        <v>9.3699999999999992</v>
      </c>
      <c r="BA68" s="138">
        <v>9.7100000000000009</v>
      </c>
      <c r="BB68" s="138">
        <v>9.65</v>
      </c>
      <c r="BC68" s="14">
        <v>9.42</v>
      </c>
      <c r="BD68" s="14">
        <v>10.27</v>
      </c>
      <c r="BE68" s="14">
        <v>9.7200000000000006</v>
      </c>
      <c r="BF68" s="139">
        <f>SUM(Input_Raw[[#This Row],[O2_01]:[O2_26]])</f>
        <v>1341161</v>
      </c>
      <c r="BG68" s="140">
        <f>IFERROR(AVERAGE(Input_Raw[[#This Row],[WS_O2_01]:[WS_O2_26]]),"")</f>
        <v>9.6238461538461557</v>
      </c>
      <c r="BH68" s="141"/>
      <c r="BI68" s="141"/>
      <c r="BJ68" s="13">
        <v>1292850</v>
      </c>
      <c r="BK68" s="13">
        <v>0</v>
      </c>
      <c r="BL68" s="15">
        <f>Input_Raw[[#This Row],[66 kV_Wind_F1_Export_reading]]-Input_Raw[[#This Row],[66 kV_Wind_F1_Import_reading]]</f>
        <v>1292850</v>
      </c>
      <c r="BM68" s="142">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35">
        <v>1438.1</v>
      </c>
      <c r="BR68" s="207"/>
    </row>
    <row r="69" spans="1:70" ht="15">
      <c r="A69" s="240">
        <f t="shared" si="3"/>
        <v>45809</v>
      </c>
      <c r="B69" s="11">
        <f>YEAR(Input_Raw[[#This Row],[Date]])+IF(MONTH(Input_Raw[[#This Row],[Date]])&gt;=4,1,0)</f>
        <v>2026</v>
      </c>
      <c r="C69" s="11">
        <f>YEAR(Input_Raw[[#This Row],[Date]])</f>
        <v>2025</v>
      </c>
      <c r="D69" s="12">
        <f t="shared" si="13"/>
        <v>45809</v>
      </c>
      <c r="E69" s="11">
        <f>DAY(EOMONTH(Input_Raw[[#This Row],[Date]],0))</f>
        <v>30</v>
      </c>
      <c r="F69" s="137">
        <v>51452</v>
      </c>
      <c r="G69" s="137">
        <v>51968</v>
      </c>
      <c r="H69" s="137">
        <v>49583</v>
      </c>
      <c r="I69" s="137">
        <v>54729</v>
      </c>
      <c r="J69" s="137">
        <v>51526</v>
      </c>
      <c r="K69" s="137">
        <v>52898</v>
      </c>
      <c r="L69" s="137">
        <v>52421</v>
      </c>
      <c r="M69" s="137">
        <v>50512</v>
      </c>
      <c r="N69" s="137">
        <v>46509</v>
      </c>
      <c r="O69" s="137">
        <v>49419</v>
      </c>
      <c r="P69" s="137">
        <v>52508</v>
      </c>
      <c r="Q69" s="137">
        <v>50282</v>
      </c>
      <c r="R69" s="137">
        <v>53279</v>
      </c>
      <c r="S69" s="137">
        <v>50629</v>
      </c>
      <c r="T69" s="137">
        <v>55744</v>
      </c>
      <c r="U69" s="137">
        <v>52351</v>
      </c>
      <c r="V69" s="137">
        <v>53866</v>
      </c>
      <c r="W69" s="137">
        <v>55945</v>
      </c>
      <c r="X69" s="137">
        <v>53972</v>
      </c>
      <c r="Y69" s="137">
        <v>54727</v>
      </c>
      <c r="Z69" s="137">
        <v>53202</v>
      </c>
      <c r="AA69" s="137">
        <v>56693</v>
      </c>
      <c r="AB69" s="137">
        <v>50635</v>
      </c>
      <c r="AC69" s="13">
        <v>54417</v>
      </c>
      <c r="AD69" s="13">
        <v>52009</v>
      </c>
      <c r="AE69" s="13">
        <v>51125</v>
      </c>
      <c r="AF69" s="138">
        <v>9.59</v>
      </c>
      <c r="AG69" s="138">
        <v>9.56</v>
      </c>
      <c r="AH69" s="138">
        <v>9.25</v>
      </c>
      <c r="AI69" s="138">
        <v>9.8000000000000007</v>
      </c>
      <c r="AJ69" s="138">
        <v>9.61</v>
      </c>
      <c r="AK69" s="138">
        <v>9.83</v>
      </c>
      <c r="AL69" s="138">
        <v>9.67</v>
      </c>
      <c r="AM69" s="138">
        <v>9.51</v>
      </c>
      <c r="AN69" s="138">
        <v>9.19</v>
      </c>
      <c r="AO69" s="138">
        <v>9.32</v>
      </c>
      <c r="AP69" s="138">
        <v>9.66</v>
      </c>
      <c r="AQ69" s="138">
        <v>9.43</v>
      </c>
      <c r="AR69" s="138">
        <v>9.68</v>
      </c>
      <c r="AS69" s="138">
        <v>9.5299999999999994</v>
      </c>
      <c r="AT69" s="138">
        <v>9.69</v>
      </c>
      <c r="AU69" s="138">
        <v>9.74</v>
      </c>
      <c r="AV69" s="138">
        <v>10.119999999999999</v>
      </c>
      <c r="AW69" s="138">
        <v>9.94</v>
      </c>
      <c r="AX69" s="138">
        <v>9.94</v>
      </c>
      <c r="AY69" s="138">
        <v>9.85</v>
      </c>
      <c r="AZ69" s="138">
        <v>9.8800000000000008</v>
      </c>
      <c r="BA69" s="138">
        <v>10.26</v>
      </c>
      <c r="BB69" s="138">
        <v>9.4</v>
      </c>
      <c r="BC69" s="14">
        <v>9.7100000000000009</v>
      </c>
      <c r="BD69" s="14">
        <v>9.56</v>
      </c>
      <c r="BE69" s="14">
        <v>9.59</v>
      </c>
      <c r="BF69" s="139">
        <f>SUM(Input_Raw[[#This Row],[O2_01]:[O2_26]])</f>
        <v>1362401</v>
      </c>
      <c r="BG69" s="140">
        <f>IFERROR(AVERAGE(Input_Raw[[#This Row],[WS_O2_01]:[WS_O2_26]]),"")</f>
        <v>9.6657692307692322</v>
      </c>
      <c r="BH69" s="141"/>
      <c r="BI69" s="141"/>
      <c r="BJ69" s="13">
        <v>1315800</v>
      </c>
      <c r="BK69" s="13">
        <v>0</v>
      </c>
      <c r="BL69" s="15">
        <f>Input_Raw[[#This Row],[66 kV_Wind_F1_Export_reading]]-Input_Raw[[#This Row],[66 kV_Wind_F1_Import_reading]]</f>
        <v>1315800</v>
      </c>
      <c r="BM69" s="142">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35">
        <v>1430.08</v>
      </c>
      <c r="BR69" s="207"/>
    </row>
    <row r="70" spans="1:70" ht="15">
      <c r="A70" s="240">
        <f t="shared" si="3"/>
        <v>45810</v>
      </c>
      <c r="B70" s="11">
        <f>YEAR(Input_Raw[[#This Row],[Date]])+IF(MONTH(Input_Raw[[#This Row],[Date]])&gt;=4,1,0)</f>
        <v>2026</v>
      </c>
      <c r="C70" s="11">
        <f>YEAR(Input_Raw[[#This Row],[Date]])</f>
        <v>2025</v>
      </c>
      <c r="D70" s="12">
        <f t="shared" si="13"/>
        <v>45809</v>
      </c>
      <c r="E70" s="11">
        <f>DAY(EOMONTH(Input_Raw[[#This Row],[Date]],0))</f>
        <v>30</v>
      </c>
      <c r="F70" s="137">
        <v>45136</v>
      </c>
      <c r="G70" s="137">
        <v>43458</v>
      </c>
      <c r="H70" s="137">
        <v>43320</v>
      </c>
      <c r="I70" s="137">
        <v>43885</v>
      </c>
      <c r="J70" s="137">
        <v>37935</v>
      </c>
      <c r="K70" s="137">
        <v>47284</v>
      </c>
      <c r="L70" s="137">
        <v>43351</v>
      </c>
      <c r="M70" s="137">
        <v>40665</v>
      </c>
      <c r="N70" s="137">
        <v>43095</v>
      </c>
      <c r="O70" s="137">
        <v>42160</v>
      </c>
      <c r="P70" s="137">
        <v>43507</v>
      </c>
      <c r="Q70" s="137">
        <v>42074</v>
      </c>
      <c r="R70" s="137">
        <v>42757</v>
      </c>
      <c r="S70" s="137">
        <v>42499</v>
      </c>
      <c r="T70" s="137">
        <v>43008</v>
      </c>
      <c r="U70" s="137">
        <v>42883</v>
      </c>
      <c r="V70" s="137">
        <v>49276</v>
      </c>
      <c r="W70" s="137">
        <v>48790</v>
      </c>
      <c r="X70" s="137">
        <v>47122</v>
      </c>
      <c r="Y70" s="137">
        <v>44390</v>
      </c>
      <c r="Z70" s="137">
        <v>47930</v>
      </c>
      <c r="AA70" s="137">
        <v>51083</v>
      </c>
      <c r="AB70" s="137">
        <v>42240</v>
      </c>
      <c r="AC70" s="13">
        <v>45499</v>
      </c>
      <c r="AD70" s="13">
        <v>45713</v>
      </c>
      <c r="AE70" s="13">
        <v>44306</v>
      </c>
      <c r="AF70" s="138">
        <v>8.84</v>
      </c>
      <c r="AG70" s="138">
        <v>8.67</v>
      </c>
      <c r="AH70" s="138">
        <v>8.9499999999999993</v>
      </c>
      <c r="AI70" s="138">
        <v>8.84</v>
      </c>
      <c r="AJ70" s="138">
        <v>8.61</v>
      </c>
      <c r="AK70" s="138">
        <v>9.11</v>
      </c>
      <c r="AL70" s="138">
        <v>8.7200000000000006</v>
      </c>
      <c r="AM70" s="138">
        <v>8.67</v>
      </c>
      <c r="AN70" s="138">
        <v>8.59</v>
      </c>
      <c r="AO70" s="138">
        <v>8.5299999999999994</v>
      </c>
      <c r="AP70" s="138">
        <v>8.7100000000000009</v>
      </c>
      <c r="AQ70" s="138">
        <v>8.5500000000000007</v>
      </c>
      <c r="AR70" s="138">
        <v>8.68</v>
      </c>
      <c r="AS70" s="138">
        <v>8.68</v>
      </c>
      <c r="AT70" s="138">
        <v>8.7100000000000009</v>
      </c>
      <c r="AU70" s="138">
        <v>8.6199999999999992</v>
      </c>
      <c r="AV70" s="138">
        <v>9.5399999999999991</v>
      </c>
      <c r="AW70" s="138">
        <v>9.1</v>
      </c>
      <c r="AX70" s="138">
        <v>9.09</v>
      </c>
      <c r="AY70" s="138">
        <v>8.82</v>
      </c>
      <c r="AZ70" s="138">
        <v>9.17</v>
      </c>
      <c r="BA70" s="138">
        <v>9.6</v>
      </c>
      <c r="BB70" s="138">
        <v>8.61</v>
      </c>
      <c r="BC70" s="14">
        <v>8.84</v>
      </c>
      <c r="BD70" s="14">
        <v>8.74</v>
      </c>
      <c r="BE70" s="14">
        <v>8.82</v>
      </c>
      <c r="BF70" s="139">
        <f>SUM(Input_Raw[[#This Row],[O2_01]:[O2_26]])</f>
        <v>1153366</v>
      </c>
      <c r="BG70" s="140">
        <f>IFERROR(AVERAGE(Input_Raw[[#This Row],[WS_O2_01]:[WS_O2_26]]),"")</f>
        <v>8.838846153846152</v>
      </c>
      <c r="BH70" s="141"/>
      <c r="BI70" s="141"/>
      <c r="BJ70" s="13">
        <v>1115550</v>
      </c>
      <c r="BK70" s="13">
        <v>0</v>
      </c>
      <c r="BL70" s="15">
        <f>Input_Raw[[#This Row],[66 kV_Wind_F1_Export_reading]]-Input_Raw[[#This Row],[66 kV_Wind_F1_Import_reading]]</f>
        <v>1115550</v>
      </c>
      <c r="BM70" s="142">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35">
        <v>1231.2</v>
      </c>
      <c r="BR70" s="207"/>
    </row>
    <row r="71" spans="1:70" ht="15">
      <c r="A71" s="240">
        <f t="shared" ref="A71:A112" si="14">A70+1</f>
        <v>45811</v>
      </c>
      <c r="B71" s="11">
        <f>YEAR(Input_Raw[[#This Row],[Date]])+IF(MONTH(Input_Raw[[#This Row],[Date]])&gt;=4,1,0)</f>
        <v>2026</v>
      </c>
      <c r="C71" s="11">
        <f>YEAR(Input_Raw[[#This Row],[Date]])</f>
        <v>2025</v>
      </c>
      <c r="D71" s="12">
        <f t="shared" ref="D71:D76" si="15">A71-DAY(A71)+1</f>
        <v>45809</v>
      </c>
      <c r="E71" s="11">
        <f>DAY(EOMONTH(Input_Raw[[#This Row],[Date]],0))</f>
        <v>30</v>
      </c>
      <c r="F71" s="137">
        <v>40925</v>
      </c>
      <c r="G71" s="137">
        <v>42209</v>
      </c>
      <c r="H71" s="137">
        <v>38087</v>
      </c>
      <c r="I71" s="137">
        <v>42047</v>
      </c>
      <c r="J71" s="137">
        <v>36685</v>
      </c>
      <c r="K71" s="137">
        <v>45651</v>
      </c>
      <c r="L71" s="137">
        <v>40929</v>
      </c>
      <c r="M71" s="137">
        <v>42705</v>
      </c>
      <c r="N71" s="137">
        <v>38850</v>
      </c>
      <c r="O71" s="137">
        <v>41700</v>
      </c>
      <c r="P71" s="137">
        <v>40451</v>
      </c>
      <c r="Q71" s="137">
        <v>41874</v>
      </c>
      <c r="R71" s="137">
        <v>43273</v>
      </c>
      <c r="S71" s="137">
        <v>42846</v>
      </c>
      <c r="T71" s="137">
        <v>42470</v>
      </c>
      <c r="U71" s="137">
        <v>42266</v>
      </c>
      <c r="V71" s="137">
        <v>44084</v>
      </c>
      <c r="W71" s="137">
        <v>49499</v>
      </c>
      <c r="X71" s="137">
        <v>42974</v>
      </c>
      <c r="Y71" s="137">
        <v>43980</v>
      </c>
      <c r="Z71" s="137">
        <v>45569</v>
      </c>
      <c r="AA71" s="137">
        <v>49028</v>
      </c>
      <c r="AB71" s="137">
        <v>39881</v>
      </c>
      <c r="AC71" s="13">
        <v>43980</v>
      </c>
      <c r="AD71" s="13">
        <v>40698</v>
      </c>
      <c r="AE71" s="13">
        <v>40020</v>
      </c>
      <c r="AF71" s="138">
        <v>8.3613194624582885</v>
      </c>
      <c r="AG71" s="138">
        <v>8.3293055560853659</v>
      </c>
      <c r="AH71" s="138">
        <v>7.9692307539753129</v>
      </c>
      <c r="AI71" s="138">
        <v>8.4647222095065562</v>
      </c>
      <c r="AJ71" s="138">
        <v>8.2581944233841327</v>
      </c>
      <c r="AK71" s="138">
        <v>8.8278472390439706</v>
      </c>
      <c r="AL71" s="138">
        <v>8.2865972220897604</v>
      </c>
      <c r="AM71" s="138">
        <v>8.355416652229092</v>
      </c>
      <c r="AN71" s="138">
        <v>8.0950000120533794</v>
      </c>
      <c r="AO71" s="138">
        <v>8.3623610834280573</v>
      </c>
      <c r="AP71" s="138">
        <v>8.3172222243414939</v>
      </c>
      <c r="AQ71" s="138">
        <v>8.3362499972184434</v>
      </c>
      <c r="AR71" s="138">
        <v>8.4629861348205075</v>
      </c>
      <c r="AS71" s="138">
        <v>8.4296527869171509</v>
      </c>
      <c r="AT71" s="138">
        <v>8.4470833374394267</v>
      </c>
      <c r="AU71" s="138">
        <v>8.417361146873894</v>
      </c>
      <c r="AV71" s="138">
        <v>8.7751389079623632</v>
      </c>
      <c r="AW71" s="138">
        <v>8.9645139243867593</v>
      </c>
      <c r="AX71" s="138">
        <v>8.5000694526566338</v>
      </c>
      <c r="AY71" s="138">
        <v>8.5966666638851095</v>
      </c>
      <c r="AZ71" s="138">
        <v>8.731736111972058</v>
      </c>
      <c r="BA71" s="138">
        <v>9.2118749784098632</v>
      </c>
      <c r="BB71" s="138">
        <v>8.2733333110809273</v>
      </c>
      <c r="BC71" s="14">
        <v>8.5871527791023183</v>
      </c>
      <c r="BD71" s="14">
        <v>8.1647916403081631</v>
      </c>
      <c r="BE71" s="14">
        <v>8.3164583411481594</v>
      </c>
      <c r="BF71" s="405">
        <f>SUM(Input_Raw[[#This Row],[O2_01]:[O2_26]])</f>
        <v>1102681</v>
      </c>
      <c r="BG71" s="406">
        <f>IFERROR(AVERAGE(Input_Raw[[#This Row],[WS_O2_01]:[WS_O2_26]]),"")</f>
        <v>8.4554725520298923</v>
      </c>
      <c r="BH71" s="407"/>
      <c r="BI71" s="407"/>
      <c r="BJ71" s="404">
        <v>1066950</v>
      </c>
      <c r="BK71" s="404">
        <v>0</v>
      </c>
      <c r="BL71" s="408">
        <f>Input_Raw[[#This Row],[66 kV_Wind_F1_Export_reading]]-Input_Raw[[#This Row],[66 kV_Wind_F1_Import_reading]]</f>
        <v>1066950</v>
      </c>
      <c r="BM71" s="409">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410"/>
      <c r="BQ71" s="411">
        <v>1108.56</v>
      </c>
      <c r="BR71" s="412"/>
    </row>
    <row r="72" spans="1:70" ht="15">
      <c r="A72" s="240">
        <f t="shared" si="14"/>
        <v>45812</v>
      </c>
      <c r="B72" s="11">
        <f>YEAR(Input_Raw[[#This Row],[Date]])+IF(MONTH(Input_Raw[[#This Row],[Date]])&gt;=4,1,0)</f>
        <v>2026</v>
      </c>
      <c r="C72" s="11">
        <f>YEAR(Input_Raw[[#This Row],[Date]])</f>
        <v>2025</v>
      </c>
      <c r="D72" s="12">
        <f t="shared" si="15"/>
        <v>45809</v>
      </c>
      <c r="E72" s="11">
        <f>DAY(EOMONTH(Input_Raw[[#This Row],[Date]],0))</f>
        <v>30</v>
      </c>
      <c r="F72" s="414">
        <v>24898</v>
      </c>
      <c r="G72" s="414">
        <v>25759</v>
      </c>
      <c r="H72" s="414">
        <v>26108</v>
      </c>
      <c r="I72" s="414">
        <v>25763</v>
      </c>
      <c r="J72" s="414">
        <v>24508</v>
      </c>
      <c r="K72" s="414">
        <v>27140</v>
      </c>
      <c r="L72" s="414">
        <v>24286</v>
      </c>
      <c r="M72" s="414">
        <v>27126</v>
      </c>
      <c r="N72" s="414">
        <v>25943</v>
      </c>
      <c r="O72" s="414">
        <v>25043</v>
      </c>
      <c r="P72" s="414">
        <v>25689</v>
      </c>
      <c r="Q72" s="414">
        <v>27206</v>
      </c>
      <c r="R72" s="414">
        <v>25486</v>
      </c>
      <c r="S72" s="414">
        <v>26571</v>
      </c>
      <c r="T72" s="414">
        <v>25789</v>
      </c>
      <c r="U72" s="414">
        <v>25548</v>
      </c>
      <c r="V72" s="414">
        <v>27895</v>
      </c>
      <c r="W72" s="414">
        <v>27513</v>
      </c>
      <c r="X72" s="414">
        <v>26102</v>
      </c>
      <c r="Y72" s="414">
        <v>25085</v>
      </c>
      <c r="Z72" s="414">
        <v>26598</v>
      </c>
      <c r="AA72" s="414">
        <v>27739</v>
      </c>
      <c r="AB72" s="414">
        <v>27511</v>
      </c>
      <c r="AC72" s="404">
        <v>27210</v>
      </c>
      <c r="AD72" s="404">
        <v>26511</v>
      </c>
      <c r="AE72" s="404">
        <v>26960</v>
      </c>
      <c r="AF72" s="415">
        <v>6.4132638805442355</v>
      </c>
      <c r="AG72" s="415">
        <v>6.3800000117884696</v>
      </c>
      <c r="AH72" s="415">
        <v>6.3997222168577999</v>
      </c>
      <c r="AI72" s="415">
        <v>6.5212499904963677</v>
      </c>
      <c r="AJ72" s="415">
        <v>6.3159722329841692</v>
      </c>
      <c r="AK72" s="415">
        <v>6.8665972103675115</v>
      </c>
      <c r="AL72" s="415">
        <v>6.3281944245099933</v>
      </c>
      <c r="AM72" s="415">
        <v>6.5190972329841683</v>
      </c>
      <c r="AN72" s="415">
        <v>6.4479166832235082</v>
      </c>
      <c r="AO72" s="415">
        <v>6.4703472190433038</v>
      </c>
      <c r="AP72" s="415">
        <v>6.5356944501399932</v>
      </c>
      <c r="AQ72" s="415">
        <v>6.5947916838857807</v>
      </c>
      <c r="AR72" s="415">
        <v>6.4675694406032527</v>
      </c>
      <c r="AS72" s="415">
        <v>6.5563888765043608</v>
      </c>
      <c r="AT72" s="415">
        <v>6.4813888784911837</v>
      </c>
      <c r="AU72" s="415">
        <v>6.5064583321412357</v>
      </c>
      <c r="AV72" s="415">
        <v>6.9205555733707129</v>
      </c>
      <c r="AW72" s="415">
        <v>6.6986805333031478</v>
      </c>
      <c r="AX72" s="415">
        <v>6.5718055533038191</v>
      </c>
      <c r="AY72" s="415">
        <v>6.4743749962912602</v>
      </c>
      <c r="AZ72" s="415">
        <v>6.6207638697491662</v>
      </c>
      <c r="BA72" s="415">
        <v>6.9824999819199185</v>
      </c>
      <c r="BB72" s="415">
        <v>6.6159722324874606</v>
      </c>
      <c r="BC72" s="413">
        <v>6.6070833479364657</v>
      </c>
      <c r="BD72" s="413">
        <v>6.3788889100154194</v>
      </c>
      <c r="BE72" s="413">
        <v>6.5644444310002807</v>
      </c>
      <c r="BF72" s="405">
        <f>SUM(Input_Raw[[#This Row],[O2_01]:[O2_26]])</f>
        <v>681987</v>
      </c>
      <c r="BG72" s="406">
        <f>IFERROR(AVERAGE(Input_Raw[[#This Row],[WS_O2_01]:[WS_O2_26]]),"")</f>
        <v>6.5476816228439612</v>
      </c>
      <c r="BH72" s="407"/>
      <c r="BI72" s="407"/>
      <c r="BJ72" s="404">
        <v>661950</v>
      </c>
      <c r="BK72" s="404">
        <v>0</v>
      </c>
      <c r="BL72" s="408">
        <f>Input_Raw[[#This Row],[66 kV_Wind_F1_Export_reading]]-Input_Raw[[#This Row],[66 kV_Wind_F1_Import_reading]]</f>
        <v>661950</v>
      </c>
      <c r="BM72" s="409">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410"/>
      <c r="BQ72" s="411">
        <v>27.04</v>
      </c>
      <c r="BR72" s="412"/>
    </row>
    <row r="73" spans="1:70" ht="15">
      <c r="A73" s="240">
        <f t="shared" si="14"/>
        <v>45813</v>
      </c>
      <c r="B73" s="11">
        <f>YEAR(Input_Raw[[#This Row],[Date]])+IF(MONTH(Input_Raw[[#This Row],[Date]])&gt;=4,1,0)</f>
        <v>2026</v>
      </c>
      <c r="C73" s="11">
        <f>YEAR(Input_Raw[[#This Row],[Date]])</f>
        <v>2025</v>
      </c>
      <c r="D73" s="12">
        <f t="shared" si="15"/>
        <v>45809</v>
      </c>
      <c r="E73" s="11">
        <f>DAY(EOMONTH(Input_Raw[[#This Row],[Date]],0))</f>
        <v>30</v>
      </c>
      <c r="F73" s="137">
        <v>13550</v>
      </c>
      <c r="G73" s="137">
        <v>16125</v>
      </c>
      <c r="H73" s="137">
        <v>13730</v>
      </c>
      <c r="I73" s="137">
        <v>13586</v>
      </c>
      <c r="J73" s="137">
        <v>16515</v>
      </c>
      <c r="K73" s="137">
        <v>16771</v>
      </c>
      <c r="L73" s="137">
        <v>12137</v>
      </c>
      <c r="M73" s="137">
        <v>14453</v>
      </c>
      <c r="N73" s="137">
        <v>13444</v>
      </c>
      <c r="O73" s="137">
        <v>15036</v>
      </c>
      <c r="P73" s="137">
        <v>14184</v>
      </c>
      <c r="Q73" s="137">
        <v>14072</v>
      </c>
      <c r="R73" s="137">
        <v>11586</v>
      </c>
      <c r="S73" s="137">
        <v>13691</v>
      </c>
      <c r="T73" s="137">
        <v>13908</v>
      </c>
      <c r="U73" s="137">
        <v>15393</v>
      </c>
      <c r="V73" s="137">
        <v>17046</v>
      </c>
      <c r="W73" s="137">
        <v>16278</v>
      </c>
      <c r="X73" s="137">
        <v>13284</v>
      </c>
      <c r="Y73" s="137">
        <v>13474</v>
      </c>
      <c r="Z73" s="137">
        <v>14863</v>
      </c>
      <c r="AA73" s="137">
        <v>17240</v>
      </c>
      <c r="AB73" s="137">
        <v>13874</v>
      </c>
      <c r="AC73" s="13">
        <v>14133</v>
      </c>
      <c r="AD73" s="13">
        <v>16460</v>
      </c>
      <c r="AE73" s="13">
        <v>14824</v>
      </c>
      <c r="AF73" s="138">
        <v>5.0131250222523995</v>
      </c>
      <c r="AG73" s="138">
        <v>5.241250000894067</v>
      </c>
      <c r="AH73" s="138">
        <v>5.0058333285980749</v>
      </c>
      <c r="AI73" s="138">
        <v>5.0889583337638093</v>
      </c>
      <c r="AJ73" s="138">
        <v>5.3499999990065872</v>
      </c>
      <c r="AK73" s="138">
        <v>5.5488194459014455</v>
      </c>
      <c r="AL73" s="138">
        <v>4.7424305424922037</v>
      </c>
      <c r="AM73" s="138">
        <v>4.9907638844516526</v>
      </c>
      <c r="AN73" s="138">
        <v>4.9435416724946757</v>
      </c>
      <c r="AO73" s="138">
        <v>5.2642361103660509</v>
      </c>
      <c r="AP73" s="138">
        <v>5.140972233480877</v>
      </c>
      <c r="AQ73" s="138">
        <v>5.0789583408170254</v>
      </c>
      <c r="AR73" s="138">
        <v>4.7872916749782011</v>
      </c>
      <c r="AS73" s="138">
        <v>5.0693055515487977</v>
      </c>
      <c r="AT73" s="138">
        <v>5.0745833218097678</v>
      </c>
      <c r="AU73" s="138">
        <v>5.1962500032451411</v>
      </c>
      <c r="AV73" s="138">
        <v>5.4157638707094717</v>
      </c>
      <c r="AW73" s="138">
        <v>5.3292361299196864</v>
      </c>
      <c r="AX73" s="138">
        <v>4.7404861077666274</v>
      </c>
      <c r="AY73" s="138">
        <v>5.0078472230169497</v>
      </c>
      <c r="AZ73" s="138">
        <v>5.1640972114271584</v>
      </c>
      <c r="BA73" s="138">
        <v>5.5612500061591437</v>
      </c>
      <c r="BB73" s="138">
        <v>5.0562500208616239</v>
      </c>
      <c r="BC73" s="14">
        <v>5.079791675839159</v>
      </c>
      <c r="BD73" s="14">
        <v>5.2020138824979449</v>
      </c>
      <c r="BE73" s="14">
        <v>5.0754861103163815</v>
      </c>
      <c r="BF73" s="139">
        <f>SUM(Input_Raw[[#This Row],[O2_01]:[O2_26]])</f>
        <v>379657</v>
      </c>
      <c r="BG73" s="140">
        <f>IFERROR(AVERAGE(Input_Raw[[#This Row],[WS_O2_01]:[WS_O2_26]]),"")</f>
        <v>5.1218669886390362</v>
      </c>
      <c r="BH73" s="141"/>
      <c r="BI73" s="141"/>
      <c r="BJ73" s="13">
        <v>367200</v>
      </c>
      <c r="BK73" s="13">
        <v>450</v>
      </c>
      <c r="BL73" s="15">
        <f>Input_Raw[[#This Row],[66 kV_Wind_F1_Export_reading]]-Input_Raw[[#This Row],[66 kV_Wind_F1_Import_reading]]</f>
        <v>366750</v>
      </c>
      <c r="BM73" s="142">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35">
        <v>385.8</v>
      </c>
      <c r="BR73" s="207"/>
    </row>
    <row r="74" spans="1:70" ht="15">
      <c r="A74" s="240">
        <f t="shared" si="14"/>
        <v>45814</v>
      </c>
      <c r="B74" s="11">
        <f>YEAR(Input_Raw[[#This Row],[Date]])+IF(MONTH(Input_Raw[[#This Row],[Date]])&gt;=4,1,0)</f>
        <v>2026</v>
      </c>
      <c r="C74" s="11">
        <f>YEAR(Input_Raw[[#This Row],[Date]])</f>
        <v>2025</v>
      </c>
      <c r="D74" s="12">
        <f t="shared" si="15"/>
        <v>45809</v>
      </c>
      <c r="E74" s="11">
        <f>DAY(EOMONTH(Input_Raw[[#This Row],[Date]],0))</f>
        <v>30</v>
      </c>
      <c r="F74" s="137">
        <v>23542</v>
      </c>
      <c r="G74" s="137">
        <v>28011</v>
      </c>
      <c r="H74" s="137">
        <v>21461</v>
      </c>
      <c r="I74" s="137">
        <v>25991</v>
      </c>
      <c r="J74" s="137">
        <v>25186</v>
      </c>
      <c r="K74" s="137">
        <v>21010</v>
      </c>
      <c r="L74" s="137">
        <v>24124</v>
      </c>
      <c r="M74" s="137">
        <v>23491</v>
      </c>
      <c r="N74" s="137">
        <v>22922</v>
      </c>
      <c r="O74" s="137">
        <v>19049</v>
      </c>
      <c r="P74" s="137">
        <v>21231</v>
      </c>
      <c r="Q74" s="137">
        <v>21248</v>
      </c>
      <c r="R74" s="137">
        <v>15424</v>
      </c>
      <c r="S74" s="137">
        <v>21157</v>
      </c>
      <c r="T74" s="137">
        <v>21726</v>
      </c>
      <c r="U74" s="137">
        <v>21529</v>
      </c>
      <c r="V74" s="137">
        <v>21983</v>
      </c>
      <c r="W74" s="137">
        <v>20504</v>
      </c>
      <c r="X74" s="137">
        <v>24299</v>
      </c>
      <c r="Y74" s="137">
        <v>21713</v>
      </c>
      <c r="Z74" s="137">
        <v>17959</v>
      </c>
      <c r="AA74" s="137">
        <v>22267</v>
      </c>
      <c r="AB74" s="137">
        <v>20887</v>
      </c>
      <c r="AC74" s="13">
        <v>22271</v>
      </c>
      <c r="AD74" s="13">
        <v>27512</v>
      </c>
      <c r="AE74" s="13">
        <v>23651</v>
      </c>
      <c r="AF74" s="138">
        <v>6.3960416730907177</v>
      </c>
      <c r="AG74" s="138">
        <v>6.5940972177518695</v>
      </c>
      <c r="AH74" s="138">
        <v>6.1097916577839166</v>
      </c>
      <c r="AI74" s="138">
        <v>6.4729166453083309</v>
      </c>
      <c r="AJ74" s="138">
        <v>6.5211111000842488</v>
      </c>
      <c r="AK74" s="138">
        <v>6.0504861233962872</v>
      </c>
      <c r="AL74" s="138">
        <v>6.2221527886059516</v>
      </c>
      <c r="AM74" s="138">
        <v>6.1627083635992417</v>
      </c>
      <c r="AN74" s="138">
        <v>6.3327777766519082</v>
      </c>
      <c r="AO74" s="138">
        <v>5.7900000032451384</v>
      </c>
      <c r="AP74" s="138">
        <v>6.0824999941719868</v>
      </c>
      <c r="AQ74" s="138">
        <v>6.0129861243897</v>
      </c>
      <c r="AR74" s="138">
        <v>5.6118705079709876</v>
      </c>
      <c r="AS74" s="138">
        <v>6.0166666681567786</v>
      </c>
      <c r="AT74" s="138">
        <v>6.0845138877630198</v>
      </c>
      <c r="AU74" s="138">
        <v>5.9181250027484342</v>
      </c>
      <c r="AV74" s="138">
        <v>6.0956250015232287</v>
      </c>
      <c r="AW74" s="138">
        <v>5.8436110971702444</v>
      </c>
      <c r="AX74" s="138">
        <v>6.1320833555526173</v>
      </c>
      <c r="AY74" s="138">
        <v>5.9603472409976828</v>
      </c>
      <c r="AZ74" s="138">
        <v>5.6739583495590384</v>
      </c>
      <c r="BA74" s="138">
        <v>6.1553472404678651</v>
      </c>
      <c r="BB74" s="138">
        <v>6.2453471927179196</v>
      </c>
      <c r="BC74" s="14">
        <v>6.0591666814353715</v>
      </c>
      <c r="BD74" s="14">
        <v>6.5123610935277316</v>
      </c>
      <c r="BE74" s="14">
        <v>6.2502083165778028</v>
      </c>
      <c r="BF74" s="139">
        <f>SUM(Input_Raw[[#This Row],[O2_01]:[O2_26]])</f>
        <v>580148</v>
      </c>
      <c r="BG74" s="140">
        <f>IFERROR(AVERAGE(Input_Raw[[#This Row],[WS_O2_01]:[WS_O2_26]]),"")</f>
        <v>6.127184657855695</v>
      </c>
      <c r="BH74" s="141"/>
      <c r="BI74" s="141"/>
      <c r="BJ74" s="13">
        <v>562950</v>
      </c>
      <c r="BK74" s="13">
        <v>0</v>
      </c>
      <c r="BL74" s="15">
        <f>Input_Raw[[#This Row],[66 kV_Wind_F1_Export_reading]]-Input_Raw[[#This Row],[66 kV_Wind_F1_Import_reading]]</f>
        <v>562950</v>
      </c>
      <c r="BM74" s="142">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35">
        <v>593.58000000000004</v>
      </c>
      <c r="BR74" s="207"/>
    </row>
    <row r="75" spans="1:70" ht="15">
      <c r="A75" s="240">
        <f t="shared" si="14"/>
        <v>45815</v>
      </c>
      <c r="B75" s="11">
        <f>YEAR(Input_Raw[[#This Row],[Date]])+IF(MONTH(Input_Raw[[#This Row],[Date]])&gt;=4,1,0)</f>
        <v>2026</v>
      </c>
      <c r="C75" s="11">
        <f>YEAR(Input_Raw[[#This Row],[Date]])</f>
        <v>2025</v>
      </c>
      <c r="D75" s="12">
        <f t="shared" si="15"/>
        <v>45809</v>
      </c>
      <c r="E75" s="11">
        <f>DAY(EOMONTH(Input_Raw[[#This Row],[Date]],0))</f>
        <v>30</v>
      </c>
      <c r="F75" s="416">
        <v>36444</v>
      </c>
      <c r="G75" s="416">
        <v>39249</v>
      </c>
      <c r="H75" s="416">
        <v>34508</v>
      </c>
      <c r="I75" s="416">
        <v>37281</v>
      </c>
      <c r="J75" s="416">
        <v>35981</v>
      </c>
      <c r="K75" s="416">
        <v>35598</v>
      </c>
      <c r="L75" s="416">
        <v>29552</v>
      </c>
      <c r="M75" s="416">
        <v>35543</v>
      </c>
      <c r="N75" s="416">
        <v>35377</v>
      </c>
      <c r="O75" s="416">
        <v>27739</v>
      </c>
      <c r="P75" s="416">
        <v>32412</v>
      </c>
      <c r="Q75" s="416">
        <v>32626</v>
      </c>
      <c r="R75" s="416">
        <v>30645</v>
      </c>
      <c r="S75" s="416">
        <v>31718</v>
      </c>
      <c r="T75" s="416">
        <v>32828</v>
      </c>
      <c r="U75" s="416">
        <v>34805</v>
      </c>
      <c r="V75" s="416">
        <v>36795</v>
      </c>
      <c r="W75" s="416">
        <v>33687</v>
      </c>
      <c r="X75" s="416">
        <v>34286</v>
      </c>
      <c r="Y75" s="416">
        <v>33556</v>
      </c>
      <c r="Z75" s="416">
        <v>30481</v>
      </c>
      <c r="AA75" s="416">
        <v>36261</v>
      </c>
      <c r="AB75" s="416">
        <v>33585</v>
      </c>
      <c r="AC75" s="417">
        <v>33319</v>
      </c>
      <c r="AD75" s="417">
        <v>36168</v>
      </c>
      <c r="AE75" s="417">
        <v>36341</v>
      </c>
      <c r="AF75" s="418">
        <v>7.768541673819219</v>
      </c>
      <c r="AG75" s="418">
        <v>7.8717361258135856</v>
      </c>
      <c r="AH75" s="418">
        <v>7.4576388763056816</v>
      </c>
      <c r="AI75" s="418">
        <v>8.0348529478206316</v>
      </c>
      <c r="AJ75" s="418">
        <v>7.7257639037238182</v>
      </c>
      <c r="AK75" s="418">
        <v>7.6244444325566256</v>
      </c>
      <c r="AL75" s="418">
        <v>7.9134545152837532</v>
      </c>
      <c r="AM75" s="418">
        <v>7.6634722368584676</v>
      </c>
      <c r="AN75" s="418">
        <v>7.6497222118907473</v>
      </c>
      <c r="AO75" s="418">
        <v>6.8254166576597362</v>
      </c>
      <c r="AP75" s="418">
        <v>7.3805555552244151</v>
      </c>
      <c r="AQ75" s="418">
        <v>7.3603472146722941</v>
      </c>
      <c r="AR75" s="418">
        <v>7.1381249941057598</v>
      </c>
      <c r="AS75" s="418">
        <v>7.2479166189829458</v>
      </c>
      <c r="AT75" s="418">
        <v>7.2613888780275921</v>
      </c>
      <c r="AU75" s="418">
        <v>7.4703472256660399</v>
      </c>
      <c r="AV75" s="418">
        <v>7.7663194421264814</v>
      </c>
      <c r="AW75" s="418">
        <v>7.3791666593816485</v>
      </c>
      <c r="AX75" s="418">
        <v>7.4386764571947168</v>
      </c>
      <c r="AY75" s="418">
        <v>7.3408333443933032</v>
      </c>
      <c r="AZ75" s="418">
        <v>7.1206944808363835</v>
      </c>
      <c r="BA75" s="418">
        <v>7.8234027442004885</v>
      </c>
      <c r="BB75" s="418">
        <v>7.6009027792347723</v>
      </c>
      <c r="BC75" s="419">
        <v>7.3146527691019827</v>
      </c>
      <c r="BD75" s="419">
        <v>7.5798611210452158</v>
      </c>
      <c r="BE75" s="419">
        <v>7.7581944697433016</v>
      </c>
      <c r="BF75" s="420">
        <f>SUM(Input_Raw[[#This Row],[O2_01]:[O2_26]])</f>
        <v>886785</v>
      </c>
      <c r="BG75" s="421">
        <f>IFERROR(AVERAGE(Input_Raw[[#This Row],[WS_O2_01]:[WS_O2_26]]),"")</f>
        <v>7.5198626282949839</v>
      </c>
      <c r="BH75" s="422"/>
      <c r="BI75" s="422"/>
      <c r="BJ75" s="417">
        <v>860400</v>
      </c>
      <c r="BK75" s="417">
        <v>0</v>
      </c>
      <c r="BL75" s="423">
        <f>Input_Raw[[#This Row],[66 kV_Wind_F1_Export_reading]]-Input_Raw[[#This Row],[66 kV_Wind_F1_Import_reading]]</f>
        <v>860400</v>
      </c>
      <c r="BM75" s="424">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425"/>
      <c r="BQ75" s="426">
        <v>899.42</v>
      </c>
      <c r="BR75" s="427"/>
    </row>
    <row r="76" spans="1:70" ht="15">
      <c r="A76" s="240">
        <f t="shared" si="14"/>
        <v>45816</v>
      </c>
      <c r="B76" s="11">
        <f>YEAR(Input_Raw[[#This Row],[Date]])+IF(MONTH(Input_Raw[[#This Row],[Date]])&gt;=4,1,0)</f>
        <v>2026</v>
      </c>
      <c r="C76" s="11">
        <f>YEAR(Input_Raw[[#This Row],[Date]])</f>
        <v>2025</v>
      </c>
      <c r="D76" s="12">
        <f t="shared" si="15"/>
        <v>45809</v>
      </c>
      <c r="E76" s="11">
        <f>DAY(EOMONTH(Input_Raw[[#This Row],[Date]],0))</f>
        <v>30</v>
      </c>
      <c r="F76" s="137">
        <v>32831</v>
      </c>
      <c r="G76" s="137">
        <v>38753</v>
      </c>
      <c r="H76" s="137">
        <v>28801</v>
      </c>
      <c r="I76" s="137">
        <v>31181</v>
      </c>
      <c r="J76" s="137">
        <v>35576</v>
      </c>
      <c r="K76" s="137">
        <v>34796</v>
      </c>
      <c r="L76" s="137">
        <v>27380</v>
      </c>
      <c r="M76" s="137">
        <v>32471</v>
      </c>
      <c r="N76" s="137">
        <v>32169</v>
      </c>
      <c r="O76" s="137">
        <v>21370</v>
      </c>
      <c r="P76" s="137">
        <v>27931</v>
      </c>
      <c r="Q76" s="137">
        <v>28514</v>
      </c>
      <c r="R76" s="137">
        <v>29599</v>
      </c>
      <c r="S76" s="137">
        <v>29807</v>
      </c>
      <c r="T76" s="137">
        <v>29849</v>
      </c>
      <c r="U76" s="137">
        <v>27769</v>
      </c>
      <c r="V76" s="137">
        <v>37806</v>
      </c>
      <c r="W76" s="137">
        <v>34026</v>
      </c>
      <c r="X76" s="137">
        <v>32013</v>
      </c>
      <c r="Y76" s="137">
        <v>31913</v>
      </c>
      <c r="Z76" s="137">
        <v>29442</v>
      </c>
      <c r="AA76" s="137">
        <v>37250</v>
      </c>
      <c r="AB76" s="137">
        <v>30447</v>
      </c>
      <c r="AC76" s="13">
        <v>31586</v>
      </c>
      <c r="AD76" s="13">
        <v>36044</v>
      </c>
      <c r="AE76" s="13">
        <v>31644</v>
      </c>
      <c r="AF76" s="138">
        <v>7.4014583263132288</v>
      </c>
      <c r="AG76" s="138">
        <v>7.7237499819861499</v>
      </c>
      <c r="AH76" s="138">
        <v>6.9159027884403859</v>
      </c>
      <c r="AI76" s="138">
        <v>7.5827612598885343</v>
      </c>
      <c r="AJ76" s="138">
        <v>7.5311805754899961</v>
      </c>
      <c r="AK76" s="138">
        <v>7.4843055440319892</v>
      </c>
      <c r="AL76" s="138">
        <v>8.5572940994711448</v>
      </c>
      <c r="AM76" s="138">
        <v>7.2618055641651118</v>
      </c>
      <c r="AN76" s="138">
        <v>7.363958338896432</v>
      </c>
      <c r="AO76" s="138">
        <v>6.7677777840031501</v>
      </c>
      <c r="AP76" s="138">
        <v>6.9064583331346494</v>
      </c>
      <c r="AQ76" s="138">
        <v>6.9400694585508758</v>
      </c>
      <c r="AR76" s="138">
        <v>7.0047916736867686</v>
      </c>
      <c r="AS76" s="138">
        <v>7.0736805498599997</v>
      </c>
      <c r="AT76" s="138">
        <v>7.0331250064902813</v>
      </c>
      <c r="AU76" s="138">
        <v>7.2334751757324147</v>
      </c>
      <c r="AV76" s="138">
        <v>7.7297916511694558</v>
      </c>
      <c r="AW76" s="138">
        <v>7.2961111168066646</v>
      </c>
      <c r="AX76" s="138">
        <v>7.1388806051282705</v>
      </c>
      <c r="AY76" s="138">
        <v>7.1741666611697905</v>
      </c>
      <c r="AZ76" s="138">
        <v>6.9294444587495585</v>
      </c>
      <c r="BA76" s="138">
        <v>7.8553472326861469</v>
      </c>
      <c r="BB76" s="138">
        <v>7.1546527511543685</v>
      </c>
      <c r="BC76" s="14">
        <v>7.145555529329509</v>
      </c>
      <c r="BD76" s="14">
        <v>7.4145138826635133</v>
      </c>
      <c r="BE76" s="14">
        <v>7.2670139074325544</v>
      </c>
      <c r="BF76" s="139">
        <f>SUM(Input_Raw[[#This Row],[O2_01]:[O2_26]])</f>
        <v>820968</v>
      </c>
      <c r="BG76" s="140">
        <f>IFERROR(AVERAGE(Input_Raw[[#This Row],[WS_O2_01]:[WS_O2_26]]),"")</f>
        <v>7.3033566252473445</v>
      </c>
      <c r="BH76" s="141"/>
      <c r="BI76" s="141"/>
      <c r="BJ76" s="13">
        <v>796950</v>
      </c>
      <c r="BK76" s="13">
        <v>0</v>
      </c>
      <c r="BL76" s="15">
        <f>Input_Raw[[#This Row],[66 kV_Wind_F1_Export_reading]]-Input_Raw[[#This Row],[66 kV_Wind_F1_Import_reading]]</f>
        <v>796950</v>
      </c>
      <c r="BM76" s="142">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35">
        <v>846.28</v>
      </c>
      <c r="BR76" s="207"/>
    </row>
    <row r="77" spans="1:70" ht="15">
      <c r="A77" s="240">
        <f t="shared" si="14"/>
        <v>45817</v>
      </c>
      <c r="B77" s="11">
        <f>YEAR(Input_Raw[[#This Row],[Date]])+IF(MONTH(Input_Raw[[#This Row],[Date]])&gt;=4,1,0)</f>
        <v>2026</v>
      </c>
      <c r="C77" s="11">
        <f>YEAR(Input_Raw[[#This Row],[Date]])</f>
        <v>2025</v>
      </c>
      <c r="D77" s="12">
        <f>A77-DAY(A77)+1</f>
        <v>45809</v>
      </c>
      <c r="E77" s="11">
        <f>DAY(EOMONTH(Input_Raw[[#This Row],[Date]],0))</f>
        <v>30</v>
      </c>
      <c r="F77" s="137">
        <v>38655</v>
      </c>
      <c r="G77" s="137">
        <v>43809</v>
      </c>
      <c r="H77" s="137">
        <v>35879</v>
      </c>
      <c r="I77" s="137">
        <v>43999</v>
      </c>
      <c r="J77" s="137">
        <v>40683</v>
      </c>
      <c r="K77" s="137">
        <v>40911</v>
      </c>
      <c r="L77" s="137">
        <v>42416</v>
      </c>
      <c r="M77" s="137">
        <v>40286</v>
      </c>
      <c r="N77" s="137">
        <v>37517</v>
      </c>
      <c r="O77" s="137">
        <v>33817</v>
      </c>
      <c r="P77" s="137">
        <v>35565</v>
      </c>
      <c r="Q77" s="137">
        <v>36462</v>
      </c>
      <c r="R77" s="137">
        <v>36617</v>
      </c>
      <c r="S77" s="137">
        <v>36339</v>
      </c>
      <c r="T77" s="137">
        <v>38249</v>
      </c>
      <c r="U77" s="137">
        <v>35416</v>
      </c>
      <c r="V77" s="137">
        <v>43247</v>
      </c>
      <c r="W77" s="137">
        <v>39577</v>
      </c>
      <c r="X77" s="137">
        <v>43313</v>
      </c>
      <c r="Y77" s="137">
        <v>39588</v>
      </c>
      <c r="Z77" s="137">
        <v>36821</v>
      </c>
      <c r="AA77" s="137">
        <v>41992</v>
      </c>
      <c r="AB77" s="137">
        <v>38136</v>
      </c>
      <c r="AC77" s="13">
        <v>39136</v>
      </c>
      <c r="AD77" s="13">
        <v>41879</v>
      </c>
      <c r="AE77" s="13">
        <v>38713</v>
      </c>
      <c r="AF77" s="138">
        <v>7.908472203546097</v>
      </c>
      <c r="AG77" s="138">
        <v>8.260902775658499</v>
      </c>
      <c r="AH77" s="138">
        <v>7.5985416471958098</v>
      </c>
      <c r="AI77" s="138">
        <v>8.3585416608386485</v>
      </c>
      <c r="AJ77" s="138">
        <v>8.042569425370953</v>
      </c>
      <c r="AK77" s="138">
        <v>8.0915972193082091</v>
      </c>
      <c r="AL77" s="138">
        <v>8.1930555883381011</v>
      </c>
      <c r="AM77" s="138">
        <v>7.9800000223848508</v>
      </c>
      <c r="AN77" s="138">
        <v>7.8343055480056307</v>
      </c>
      <c r="AO77" s="138">
        <v>7.4884027623467881</v>
      </c>
      <c r="AP77" s="138">
        <v>7.7117361078659599</v>
      </c>
      <c r="AQ77" s="138">
        <v>7.7317361136277452</v>
      </c>
      <c r="AR77" s="138">
        <v>7.7313888602786545</v>
      </c>
      <c r="AS77" s="138">
        <v>7.7606250080797343</v>
      </c>
      <c r="AT77" s="138">
        <v>7.8295833302868703</v>
      </c>
      <c r="AU77" s="138">
        <v>7.9068749845027879</v>
      </c>
      <c r="AV77" s="138">
        <v>8.2959027853276961</v>
      </c>
      <c r="AW77" s="138">
        <v>7.9583333432674372</v>
      </c>
      <c r="AX77" s="138">
        <v>8.2127777636051107</v>
      </c>
      <c r="AY77" s="138">
        <v>7.97062503960397</v>
      </c>
      <c r="AZ77" s="138">
        <v>7.7406249923838413</v>
      </c>
      <c r="BA77" s="138">
        <v>8.3485416803095021</v>
      </c>
      <c r="BB77" s="138">
        <v>7.9217361079321904</v>
      </c>
      <c r="BC77" s="14">
        <v>7.9288194311989582</v>
      </c>
      <c r="BD77" s="14">
        <v>8.0008333126703839</v>
      </c>
      <c r="BE77" s="14">
        <v>7.9616666535536389</v>
      </c>
      <c r="BF77" s="139">
        <f>SUM(Input_Raw[[#This Row],[O2_01]:[O2_26]])</f>
        <v>1019022</v>
      </c>
      <c r="BG77" s="140">
        <f>IFERROR(AVERAGE(Input_Raw[[#This Row],[WS_O2_01]:[WS_O2_26]]),"")</f>
        <v>7.9526228602880016</v>
      </c>
      <c r="BH77" s="141"/>
      <c r="BI77" s="141"/>
      <c r="BJ77" s="13">
        <v>986400</v>
      </c>
      <c r="BK77" s="13">
        <v>0</v>
      </c>
      <c r="BL77" s="15">
        <f>Input_Raw[[#This Row],[66 kV_Wind_F1_Export_reading]]-Input_Raw[[#This Row],[66 kV_Wind_F1_Import_reading]]</f>
        <v>986400</v>
      </c>
      <c r="BM77" s="142">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35">
        <v>1032.83</v>
      </c>
      <c r="BR77" s="207"/>
    </row>
    <row r="78" spans="1:70" ht="15">
      <c r="A78" s="240">
        <f t="shared" si="14"/>
        <v>45818</v>
      </c>
      <c r="B78" s="11">
        <f>YEAR(Input_Raw[[#This Row],[Date]])+IF(MONTH(Input_Raw[[#This Row],[Date]])&gt;=4,1,0)</f>
        <v>2026</v>
      </c>
      <c r="C78" s="11">
        <f>YEAR(Input_Raw[[#This Row],[Date]])</f>
        <v>2025</v>
      </c>
      <c r="D78" s="12">
        <f>A78-DAY(A78)+1</f>
        <v>45809</v>
      </c>
      <c r="E78" s="11">
        <f>DAY(EOMONTH(Input_Raw[[#This Row],[Date]],0))</f>
        <v>30</v>
      </c>
      <c r="F78" s="137">
        <v>31902</v>
      </c>
      <c r="G78" s="137">
        <v>48133</v>
      </c>
      <c r="H78" s="137">
        <v>38820</v>
      </c>
      <c r="I78" s="137">
        <v>45191</v>
      </c>
      <c r="J78" s="137">
        <v>45509</v>
      </c>
      <c r="K78" s="137">
        <v>45918</v>
      </c>
      <c r="L78" s="137">
        <v>44939</v>
      </c>
      <c r="M78" s="137">
        <v>41406</v>
      </c>
      <c r="N78" s="137">
        <v>40203</v>
      </c>
      <c r="O78" s="137">
        <v>24662</v>
      </c>
      <c r="P78" s="137">
        <v>39174</v>
      </c>
      <c r="Q78" s="137">
        <v>38012</v>
      </c>
      <c r="R78" s="137">
        <v>38340</v>
      </c>
      <c r="S78" s="137">
        <v>40587</v>
      </c>
      <c r="T78" s="137">
        <v>39946</v>
      </c>
      <c r="U78" s="137">
        <v>36929</v>
      </c>
      <c r="V78" s="137">
        <v>47784</v>
      </c>
      <c r="W78" s="137">
        <v>45025</v>
      </c>
      <c r="X78" s="137">
        <v>45854</v>
      </c>
      <c r="Y78" s="137">
        <v>41819</v>
      </c>
      <c r="Z78" s="137">
        <v>39222</v>
      </c>
      <c r="AA78" s="137">
        <v>47621</v>
      </c>
      <c r="AB78" s="137">
        <v>41629</v>
      </c>
      <c r="AC78" s="13">
        <v>42452</v>
      </c>
      <c r="AD78" s="13">
        <v>44148</v>
      </c>
      <c r="AE78" s="13">
        <v>40326</v>
      </c>
      <c r="AF78" s="138">
        <v>7.9992253696414757</v>
      </c>
      <c r="AG78" s="138">
        <v>8.5848610947529362</v>
      </c>
      <c r="AH78" s="138">
        <v>7.7553472187783949</v>
      </c>
      <c r="AI78" s="138">
        <v>8.7191367166505263</v>
      </c>
      <c r="AJ78" s="138">
        <v>8.4429861406485145</v>
      </c>
      <c r="AK78" s="138">
        <v>8.4359027991692184</v>
      </c>
      <c r="AL78" s="138">
        <v>8.9128030412124701</v>
      </c>
      <c r="AM78" s="138">
        <v>8.1028472152021163</v>
      </c>
      <c r="AN78" s="138">
        <v>7.9327777822812351</v>
      </c>
      <c r="AO78" s="138">
        <v>7.2728800144195542</v>
      </c>
      <c r="AP78" s="138">
        <v>7.9554166793823207</v>
      </c>
      <c r="AQ78" s="138">
        <v>7.7859722524881301</v>
      </c>
      <c r="AR78" s="138">
        <v>7.8585416608386538</v>
      </c>
      <c r="AS78" s="138">
        <v>8.0125694672266619</v>
      </c>
      <c r="AT78" s="138">
        <v>7.9769444449080344</v>
      </c>
      <c r="AU78" s="138">
        <v>8.1075694544447767</v>
      </c>
      <c r="AV78" s="138">
        <v>8.6870138893524604</v>
      </c>
      <c r="AW78" s="138">
        <v>8.3173611048195024</v>
      </c>
      <c r="AX78" s="138">
        <v>8.5791367043694002</v>
      </c>
      <c r="AY78" s="138">
        <v>8.0747222271230434</v>
      </c>
      <c r="AZ78" s="138">
        <v>7.8759027851952412</v>
      </c>
      <c r="BA78" s="138">
        <v>8.8274305827087645</v>
      </c>
      <c r="BB78" s="138">
        <v>8.1327777471807217</v>
      </c>
      <c r="BC78" s="14">
        <v>8.1260416987869437</v>
      </c>
      <c r="BD78" s="14">
        <v>8.1667360977994043</v>
      </c>
      <c r="BE78" s="14">
        <v>8.0075694686836609</v>
      </c>
      <c r="BF78" s="139">
        <f>SUM(Input_Raw[[#This Row],[O2_01]:[O2_26]])</f>
        <v>1075551</v>
      </c>
      <c r="BG78" s="140">
        <f>IFERROR(AVERAGE(Input_Raw[[#This Row],[WS_O2_01]:[WS_O2_26]]),"")</f>
        <v>8.1788643714640052</v>
      </c>
      <c r="BH78" s="141"/>
      <c r="BI78" s="141"/>
      <c r="BJ78" s="13">
        <v>1039950</v>
      </c>
      <c r="BK78" s="13">
        <v>0</v>
      </c>
      <c r="BL78" s="15">
        <f>Input_Raw[[#This Row],[66 kV_Wind_F1_Export_reading]]-Input_Raw[[#This Row],[66 kV_Wind_F1_Import_reading]]</f>
        <v>1039950</v>
      </c>
      <c r="BM78" s="142">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35">
        <v>1108.3499999999999</v>
      </c>
      <c r="BR78" s="207"/>
    </row>
    <row r="79" spans="1:70" ht="15">
      <c r="A79" s="240">
        <f t="shared" si="14"/>
        <v>45819</v>
      </c>
      <c r="B79" s="11">
        <f>YEAR(Input_Raw[[#This Row],[Date]])+IF(MONTH(Input_Raw[[#This Row],[Date]])&gt;=4,1,0)</f>
        <v>2026</v>
      </c>
      <c r="C79" s="11">
        <f>YEAR(Input_Raw[[#This Row],[Date]])</f>
        <v>2025</v>
      </c>
      <c r="D79" s="12">
        <f>A79-DAY(A79)+1</f>
        <v>45809</v>
      </c>
      <c r="E79" s="11">
        <f>DAY(EOMONTH(Input_Raw[[#This Row],[Date]],0))</f>
        <v>30</v>
      </c>
      <c r="F79" s="428">
        <v>9734</v>
      </c>
      <c r="G79" s="428">
        <v>36977</v>
      </c>
      <c r="H79" s="428">
        <v>29844</v>
      </c>
      <c r="I79" s="428">
        <v>39436</v>
      </c>
      <c r="J79" s="428">
        <v>36794</v>
      </c>
      <c r="K79" s="428">
        <v>40136</v>
      </c>
      <c r="L79" s="428">
        <v>37443</v>
      </c>
      <c r="M79" s="428">
        <v>32554</v>
      </c>
      <c r="N79" s="428">
        <v>31584</v>
      </c>
      <c r="O79" s="428">
        <v>29395</v>
      </c>
      <c r="P79" s="428">
        <v>30425</v>
      </c>
      <c r="Q79" s="428">
        <v>29594</v>
      </c>
      <c r="R79" s="428">
        <v>30667</v>
      </c>
      <c r="S79" s="428">
        <v>31516</v>
      </c>
      <c r="T79" s="428">
        <v>33467</v>
      </c>
      <c r="U79" s="428">
        <v>31802</v>
      </c>
      <c r="V79" s="428">
        <v>43028</v>
      </c>
      <c r="W79" s="428">
        <v>38012</v>
      </c>
      <c r="X79" s="428">
        <v>38995</v>
      </c>
      <c r="Y79" s="428">
        <v>36328</v>
      </c>
      <c r="Z79" s="428">
        <v>32780</v>
      </c>
      <c r="AA79" s="428">
        <v>42577</v>
      </c>
      <c r="AB79" s="428">
        <v>32660</v>
      </c>
      <c r="AC79" s="429">
        <v>32861</v>
      </c>
      <c r="AD79" s="429">
        <v>34949</v>
      </c>
      <c r="AE79" s="429">
        <v>31821</v>
      </c>
      <c r="AF79" s="430">
        <v>7.0827272463511743</v>
      </c>
      <c r="AG79" s="430">
        <v>7.347777799185776</v>
      </c>
      <c r="AH79" s="430">
        <v>6.8309722393751136</v>
      </c>
      <c r="AI79" s="430">
        <v>7.7086111058791396</v>
      </c>
      <c r="AJ79" s="430">
        <v>7.4347916940848018</v>
      </c>
      <c r="AK79" s="430">
        <v>7.79847219917509</v>
      </c>
      <c r="AL79" s="430">
        <v>7.5847916685872496</v>
      </c>
      <c r="AM79" s="430">
        <v>7.1610416637526599</v>
      </c>
      <c r="AN79" s="430">
        <v>7.0099305609862004</v>
      </c>
      <c r="AO79" s="430">
        <v>6.8956944545110055</v>
      </c>
      <c r="AP79" s="430">
        <v>6.9265277783075963</v>
      </c>
      <c r="AQ79" s="430">
        <v>6.8605555925104342</v>
      </c>
      <c r="AR79" s="430">
        <v>6.9643356583335176</v>
      </c>
      <c r="AS79" s="430">
        <v>7.0265972697072527</v>
      </c>
      <c r="AT79" s="430">
        <v>7.2197222262620908</v>
      </c>
      <c r="AU79" s="430">
        <v>7.3999305533038227</v>
      </c>
      <c r="AV79" s="430">
        <v>8.0122916466659859</v>
      </c>
      <c r="AW79" s="430">
        <v>7.5482639041211836</v>
      </c>
      <c r="AX79" s="430">
        <v>7.5443749990728053</v>
      </c>
      <c r="AY79" s="430">
        <v>7.3913194421264841</v>
      </c>
      <c r="AZ79" s="430">
        <v>7.1441666666004373</v>
      </c>
      <c r="BA79" s="430">
        <v>8.2018749896022918</v>
      </c>
      <c r="BB79" s="430">
        <v>7.1577083749903556</v>
      </c>
      <c r="BC79" s="431">
        <v>7.1293749958276731</v>
      </c>
      <c r="BD79" s="431">
        <v>7.1595833400885249</v>
      </c>
      <c r="BE79" s="431">
        <v>7.0726388825310593</v>
      </c>
      <c r="BF79" s="432">
        <f>SUM(Input_Raw[[#This Row],[O2_01]:[O2_26]])</f>
        <v>875379</v>
      </c>
      <c r="BG79" s="433">
        <f>IFERROR(AVERAGE(Input_Raw[[#This Row],[WS_O2_01]:[WS_O2_26]]),"")</f>
        <v>7.2928491135361435</v>
      </c>
      <c r="BH79" s="434"/>
      <c r="BI79" s="434"/>
      <c r="BJ79" s="429">
        <v>847350</v>
      </c>
      <c r="BK79" s="429">
        <v>0</v>
      </c>
      <c r="BL79" s="435">
        <f>Input_Raw[[#This Row],[66 kV_Wind_F1_Export_reading]]-Input_Raw[[#This Row],[66 kV_Wind_F1_Import_reading]]</f>
        <v>847350</v>
      </c>
      <c r="BM79" s="436">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437"/>
      <c r="BQ79" s="438">
        <v>911.21</v>
      </c>
      <c r="BR79" s="439"/>
    </row>
    <row r="80" spans="1:70" ht="15">
      <c r="A80" s="240">
        <f t="shared" si="14"/>
        <v>45820</v>
      </c>
      <c r="B80" s="11">
        <f>YEAR(Input_Raw[[#This Row],[Date]])+IF(MONTH(Input_Raw[[#This Row],[Date]])&gt;=4,1,0)</f>
        <v>2026</v>
      </c>
      <c r="C80" s="11">
        <f>YEAR(Input_Raw[[#This Row],[Date]])</f>
        <v>2025</v>
      </c>
      <c r="D80" s="12">
        <f>A80-DAY(A80)+1</f>
        <v>45809</v>
      </c>
      <c r="E80" s="11">
        <f>DAY(EOMONTH(Input_Raw[[#This Row],[Date]],0))</f>
        <v>30</v>
      </c>
      <c r="F80" s="137">
        <v>34477</v>
      </c>
      <c r="G80" s="137">
        <v>39052</v>
      </c>
      <c r="H80" s="137">
        <v>34841</v>
      </c>
      <c r="I80" s="137">
        <v>38026</v>
      </c>
      <c r="J80" s="137">
        <v>39640</v>
      </c>
      <c r="K80" s="137">
        <v>38942</v>
      </c>
      <c r="L80" s="137">
        <v>35495</v>
      </c>
      <c r="M80" s="137">
        <v>35425</v>
      </c>
      <c r="N80" s="137">
        <v>34158</v>
      </c>
      <c r="O80" s="137">
        <v>32656</v>
      </c>
      <c r="P80" s="137">
        <v>35464</v>
      </c>
      <c r="Q80" s="137">
        <v>35020</v>
      </c>
      <c r="R80" s="137">
        <v>36239</v>
      </c>
      <c r="S80" s="137">
        <v>33546</v>
      </c>
      <c r="T80" s="137">
        <v>34042</v>
      </c>
      <c r="U80" s="137">
        <v>33459</v>
      </c>
      <c r="V80" s="137">
        <v>38207</v>
      </c>
      <c r="W80" s="137">
        <v>38826</v>
      </c>
      <c r="X80" s="137">
        <v>31298</v>
      </c>
      <c r="Y80" s="137">
        <v>36557</v>
      </c>
      <c r="Z80" s="137">
        <v>36826</v>
      </c>
      <c r="AA80" s="137">
        <v>38525</v>
      </c>
      <c r="AB80" s="137">
        <v>34706</v>
      </c>
      <c r="AC80" s="13">
        <v>35891</v>
      </c>
      <c r="AD80" s="13">
        <v>39349</v>
      </c>
      <c r="AE80" s="13">
        <v>34057</v>
      </c>
      <c r="AF80" s="138">
        <v>7.5340277916855216</v>
      </c>
      <c r="AG80" s="138">
        <v>7.9267361313104532</v>
      </c>
      <c r="AH80" s="138">
        <v>7.3832638611396142</v>
      </c>
      <c r="AI80" s="138">
        <v>7.9136111074023701</v>
      </c>
      <c r="AJ80" s="138">
        <v>8.0056944555706373</v>
      </c>
      <c r="AK80" s="138">
        <v>7.9624305615822379</v>
      </c>
      <c r="AL80" s="138">
        <v>7.6538888663053433</v>
      </c>
      <c r="AM80" s="138">
        <v>7.5211805684698891</v>
      </c>
      <c r="AN80" s="138">
        <v>7.420763889948522</v>
      </c>
      <c r="AO80" s="138">
        <v>7.3535416887866081</v>
      </c>
      <c r="AP80" s="138">
        <v>7.5993749764230483</v>
      </c>
      <c r="AQ80" s="138">
        <v>7.5746527993016723</v>
      </c>
      <c r="AR80" s="138">
        <v>7.6446527590354219</v>
      </c>
      <c r="AS80" s="138">
        <v>7.4270833498901743</v>
      </c>
      <c r="AT80" s="138">
        <v>7.4801389094855999</v>
      </c>
      <c r="AU80" s="138">
        <v>7.7636805640326543</v>
      </c>
      <c r="AV80" s="138">
        <v>8.1264583402209709</v>
      </c>
      <c r="AW80" s="138">
        <v>7.857986140582284</v>
      </c>
      <c r="AX80" s="138">
        <v>7.1226389076974597</v>
      </c>
      <c r="AY80" s="138">
        <v>7.7411111146211562</v>
      </c>
      <c r="AZ80" s="138">
        <v>7.7532639205455718</v>
      </c>
      <c r="BA80" s="138">
        <v>8.1178472257322642</v>
      </c>
      <c r="BB80" s="138">
        <v>7.5440971950689901</v>
      </c>
      <c r="BC80" s="14">
        <v>7.6123611198531229</v>
      </c>
      <c r="BD80" s="14">
        <v>7.7410416752099911</v>
      </c>
      <c r="BE80" s="14">
        <v>7.4847222152683441</v>
      </c>
      <c r="BF80" s="139">
        <f>SUM(Input_Raw[[#This Row],[O2_01]:[O2_26]])</f>
        <v>934724</v>
      </c>
      <c r="BG80" s="140">
        <f>IFERROR(AVERAGE(Input_Raw[[#This Row],[WS_O2_01]:[WS_O2_26]]),"")</f>
        <v>7.6640865436603827</v>
      </c>
      <c r="BH80" s="141"/>
      <c r="BI80" s="141"/>
      <c r="BJ80" s="13">
        <v>904050</v>
      </c>
      <c r="BK80" s="13">
        <v>0</v>
      </c>
      <c r="BL80" s="15">
        <f>Input_Raw[[#This Row],[66 kV_Wind_F1_Export_reading]]-Input_Raw[[#This Row],[66 kV_Wind_F1_Import_reading]]</f>
        <v>904050</v>
      </c>
      <c r="BM80" s="142">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35">
        <v>956.64</v>
      </c>
      <c r="BR80" s="207"/>
    </row>
    <row r="81" spans="1:70" ht="15">
      <c r="A81" s="240">
        <f t="shared" si="14"/>
        <v>45821</v>
      </c>
      <c r="B81" s="11">
        <f>YEAR(Input_Raw[[#This Row],[Date]])+IF(MONTH(Input_Raw[[#This Row],[Date]])&gt;=4,1,0)</f>
        <v>2026</v>
      </c>
      <c r="C81" s="11">
        <f>YEAR(Input_Raw[[#This Row],[Date]])</f>
        <v>2025</v>
      </c>
      <c r="D81" s="12">
        <f>A81-DAY(A81)+1</f>
        <v>45809</v>
      </c>
      <c r="E81" s="11">
        <f>DAY(EOMONTH(Input_Raw[[#This Row],[Date]],0))</f>
        <v>30</v>
      </c>
      <c r="F81" s="137">
        <v>32934</v>
      </c>
      <c r="G81" s="137">
        <v>36638</v>
      </c>
      <c r="H81" s="137">
        <v>25663</v>
      </c>
      <c r="I81" s="137">
        <v>36067</v>
      </c>
      <c r="J81" s="137">
        <v>36849</v>
      </c>
      <c r="K81" s="137">
        <v>39258</v>
      </c>
      <c r="L81" s="137">
        <v>36104</v>
      </c>
      <c r="M81" s="137">
        <v>34334</v>
      </c>
      <c r="N81" s="137">
        <v>33994</v>
      </c>
      <c r="O81" s="137">
        <v>34029</v>
      </c>
      <c r="P81" s="137">
        <v>32527</v>
      </c>
      <c r="Q81" s="137">
        <v>34595</v>
      </c>
      <c r="R81" s="137">
        <v>33442</v>
      </c>
      <c r="S81" s="137">
        <v>34593</v>
      </c>
      <c r="T81" s="137">
        <v>34646</v>
      </c>
      <c r="U81" s="137">
        <v>37642</v>
      </c>
      <c r="V81" s="137">
        <v>39839</v>
      </c>
      <c r="W81" s="137">
        <v>38863</v>
      </c>
      <c r="X81" s="137">
        <v>37802</v>
      </c>
      <c r="Y81" s="137">
        <v>35544</v>
      </c>
      <c r="Z81" s="137">
        <v>36906</v>
      </c>
      <c r="AA81" s="137">
        <v>38130</v>
      </c>
      <c r="AB81" s="137">
        <v>34730</v>
      </c>
      <c r="AC81" s="13">
        <v>36590</v>
      </c>
      <c r="AD81" s="13">
        <v>37779</v>
      </c>
      <c r="AE81" s="13">
        <v>35207</v>
      </c>
      <c r="AF81" s="138">
        <v>7.4088888929949821</v>
      </c>
      <c r="AG81" s="138">
        <v>7.6950000127156546</v>
      </c>
      <c r="AH81" s="138">
        <v>7.197222231162919</v>
      </c>
      <c r="AI81" s="138">
        <v>7.6814583448900073</v>
      </c>
      <c r="AJ81" s="138">
        <v>7.7422916558053698</v>
      </c>
      <c r="AK81" s="138">
        <v>7.8988888851470351</v>
      </c>
      <c r="AL81" s="138">
        <v>7.6506944174567808</v>
      </c>
      <c r="AM81" s="138">
        <v>7.4099305669466622</v>
      </c>
      <c r="AN81" s="138">
        <v>7.4380555335018324</v>
      </c>
      <c r="AO81" s="138">
        <v>7.4325694450073758</v>
      </c>
      <c r="AP81" s="138">
        <v>7.3402097758713269</v>
      </c>
      <c r="AQ81" s="138">
        <v>7.4908333486980849</v>
      </c>
      <c r="AR81" s="138">
        <v>7.4000694470273096</v>
      </c>
      <c r="AS81" s="138">
        <v>7.4993055562178261</v>
      </c>
      <c r="AT81" s="138">
        <v>7.4936111172040292</v>
      </c>
      <c r="AU81" s="138">
        <v>7.7504166728920394</v>
      </c>
      <c r="AV81" s="138">
        <v>8.0449305342303337</v>
      </c>
      <c r="AW81" s="138">
        <v>7.8056250090400328</v>
      </c>
      <c r="AX81" s="138">
        <v>7.701666672196648</v>
      </c>
      <c r="AY81" s="138">
        <v>7.5675694197416261</v>
      </c>
      <c r="AZ81" s="138">
        <v>7.6529861398869095</v>
      </c>
      <c r="BA81" s="138">
        <v>7.9468055582708708</v>
      </c>
      <c r="BB81" s="138">
        <v>7.5195833163128931</v>
      </c>
      <c r="BC81" s="14">
        <v>7.6123611330985987</v>
      </c>
      <c r="BD81" s="14">
        <v>7.6494444376892483</v>
      </c>
      <c r="BE81" s="14">
        <v>7.5599305886361305</v>
      </c>
      <c r="BF81" s="139">
        <f>SUM(Input_Raw[[#This Row],[O2_01]:[O2_26]])</f>
        <v>924705</v>
      </c>
      <c r="BG81" s="140">
        <f>IFERROR(AVERAGE(Input_Raw[[#This Row],[WS_O2_01]:[WS_O2_26]]),"")</f>
        <v>7.5996287966400979</v>
      </c>
      <c r="BH81" s="141"/>
      <c r="BI81" s="141"/>
      <c r="BJ81" s="13">
        <v>917550</v>
      </c>
      <c r="BK81" s="13">
        <v>0</v>
      </c>
      <c r="BL81" s="15">
        <f>Input_Raw[[#This Row],[66 kV_Wind_F1_Export_reading]]-Input_Raw[[#This Row],[66 kV_Wind_F1_Import_reading]]</f>
        <v>917550</v>
      </c>
      <c r="BM81" s="142">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35">
        <v>974.61</v>
      </c>
      <c r="BR81" s="207"/>
    </row>
    <row r="82" spans="1:70" ht="15">
      <c r="A82" s="240">
        <f t="shared" si="14"/>
        <v>45822</v>
      </c>
      <c r="B82" s="11">
        <f>YEAR(Input_Raw[[#This Row],[Date]])+IF(MONTH(Input_Raw[[#This Row],[Date]])&gt;=4,1,0)</f>
        <v>2026</v>
      </c>
      <c r="C82" s="11">
        <f>YEAR(Input_Raw[[#This Row],[Date]])</f>
        <v>2025</v>
      </c>
      <c r="D82" s="12">
        <f t="shared" ref="D82:D83" si="16">A82-DAY(A82)+1</f>
        <v>45809</v>
      </c>
      <c r="E82" s="11">
        <f>DAY(EOMONTH(Input_Raw[[#This Row],[Date]],0))</f>
        <v>30</v>
      </c>
      <c r="F82" s="137">
        <v>19047</v>
      </c>
      <c r="G82" s="137">
        <v>22274</v>
      </c>
      <c r="H82" s="137">
        <v>13499</v>
      </c>
      <c r="I82" s="137">
        <v>19604</v>
      </c>
      <c r="J82" s="137">
        <v>21920</v>
      </c>
      <c r="K82" s="137">
        <v>17769</v>
      </c>
      <c r="L82" s="137">
        <v>17345</v>
      </c>
      <c r="M82" s="137">
        <v>16297</v>
      </c>
      <c r="N82" s="137">
        <v>17985</v>
      </c>
      <c r="O82" s="137">
        <v>16628</v>
      </c>
      <c r="P82" s="137">
        <v>17271</v>
      </c>
      <c r="Q82" s="137">
        <v>18334</v>
      </c>
      <c r="R82" s="137">
        <v>18635</v>
      </c>
      <c r="S82" s="137">
        <v>18138</v>
      </c>
      <c r="T82" s="137">
        <v>17305</v>
      </c>
      <c r="U82" s="137">
        <v>17419</v>
      </c>
      <c r="V82" s="137">
        <v>18673</v>
      </c>
      <c r="W82" s="137">
        <v>15821</v>
      </c>
      <c r="X82" s="137">
        <v>17165</v>
      </c>
      <c r="Y82" s="137">
        <v>16544</v>
      </c>
      <c r="Z82" s="137">
        <v>15053</v>
      </c>
      <c r="AA82" s="137">
        <v>18674</v>
      </c>
      <c r="AB82" s="137">
        <v>18024</v>
      </c>
      <c r="AC82" s="13">
        <v>16943</v>
      </c>
      <c r="AD82" s="13">
        <v>22054</v>
      </c>
      <c r="AE82" s="13">
        <v>14946</v>
      </c>
      <c r="AF82" s="138">
        <v>5.5225694684518691</v>
      </c>
      <c r="AG82" s="138">
        <v>5.7699999954137491</v>
      </c>
      <c r="AH82" s="138">
        <v>5.44187502728568</v>
      </c>
      <c r="AI82" s="138">
        <v>5.6206060507983855</v>
      </c>
      <c r="AJ82" s="138">
        <v>5.7986805513501141</v>
      </c>
      <c r="AK82" s="138">
        <v>5.5409701555244508</v>
      </c>
      <c r="AL82" s="138">
        <v>5.390970164715351</v>
      </c>
      <c r="AM82" s="138">
        <v>5.215075758822036</v>
      </c>
      <c r="AN82" s="138">
        <v>5.4499305834372826</v>
      </c>
      <c r="AO82" s="138">
        <v>5.2748610989914999</v>
      </c>
      <c r="AP82" s="138">
        <v>5.4329166652427769</v>
      </c>
      <c r="AQ82" s="138">
        <v>5.3913194371594297</v>
      </c>
      <c r="AR82" s="138">
        <v>5.4374305473433591</v>
      </c>
      <c r="AS82" s="138">
        <v>5.4235416617658387</v>
      </c>
      <c r="AT82" s="138">
        <v>5.6494405548889315</v>
      </c>
      <c r="AU82" s="138">
        <v>5.4108209040627546</v>
      </c>
      <c r="AV82" s="138">
        <v>5.6648507456281267</v>
      </c>
      <c r="AW82" s="138">
        <v>5.2827272726730854</v>
      </c>
      <c r="AX82" s="138">
        <v>5.284242425001028</v>
      </c>
      <c r="AY82" s="138">
        <v>5.3307462543693935</v>
      </c>
      <c r="AZ82" s="138">
        <v>5.1782575777985826</v>
      </c>
      <c r="BA82" s="138">
        <v>5.662913382522702</v>
      </c>
      <c r="BB82" s="138">
        <v>5.4460416932900735</v>
      </c>
      <c r="BC82" s="14">
        <v>5.3006716526266349</v>
      </c>
      <c r="BD82" s="14">
        <v>5.7179166670474713</v>
      </c>
      <c r="BE82" s="14">
        <v>5.2453030234936495</v>
      </c>
      <c r="BF82" s="139">
        <f>SUM(Input_Raw[[#This Row],[O2_01]:[O2_26]])</f>
        <v>463367</v>
      </c>
      <c r="BG82" s="140">
        <f>IFERROR(AVERAGE(Input_Raw[[#This Row],[WS_O2_01]:[WS_O2_26]]),"")</f>
        <v>5.4571030507578548</v>
      </c>
      <c r="BH82" s="141"/>
      <c r="BI82" s="141"/>
      <c r="BJ82" s="13">
        <v>429300</v>
      </c>
      <c r="BK82" s="13">
        <v>450</v>
      </c>
      <c r="BL82" s="15">
        <f>Input_Raw[[#This Row],[66 kV_Wind_F1_Export_reading]]-Input_Raw[[#This Row],[66 kV_Wind_F1_Import_reading]]</f>
        <v>428850</v>
      </c>
      <c r="BM82" s="142">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35">
        <v>487.83</v>
      </c>
      <c r="BR82" s="207"/>
    </row>
    <row r="83" spans="1:70" ht="15">
      <c r="A83" s="240">
        <f t="shared" si="14"/>
        <v>45823</v>
      </c>
      <c r="B83" s="11">
        <f>YEAR(Input_Raw[[#This Row],[Date]])+IF(MONTH(Input_Raw[[#This Row],[Date]])&gt;=4,1,0)</f>
        <v>2026</v>
      </c>
      <c r="C83" s="11">
        <f>YEAR(Input_Raw[[#This Row],[Date]])</f>
        <v>2025</v>
      </c>
      <c r="D83" s="12">
        <f t="shared" si="16"/>
        <v>45809</v>
      </c>
      <c r="E83" s="11">
        <f>DAY(EOMONTH(Input_Raw[[#This Row],[Date]],0))</f>
        <v>30</v>
      </c>
      <c r="F83" s="137">
        <v>6873</v>
      </c>
      <c r="G83" s="137">
        <v>7405</v>
      </c>
      <c r="H83" s="137">
        <v>6039</v>
      </c>
      <c r="I83" s="137">
        <v>7279</v>
      </c>
      <c r="J83" s="137">
        <v>7628</v>
      </c>
      <c r="K83" s="137">
        <v>6453</v>
      </c>
      <c r="L83" s="137">
        <v>6199</v>
      </c>
      <c r="M83" s="137">
        <v>6049</v>
      </c>
      <c r="N83" s="137">
        <v>6230</v>
      </c>
      <c r="O83" s="137">
        <v>5616</v>
      </c>
      <c r="P83" s="137">
        <v>5733</v>
      </c>
      <c r="Q83" s="137">
        <v>6246</v>
      </c>
      <c r="R83" s="137">
        <v>5738</v>
      </c>
      <c r="S83" s="137">
        <v>5678</v>
      </c>
      <c r="T83" s="137">
        <v>6379</v>
      </c>
      <c r="U83" s="137">
        <v>6661</v>
      </c>
      <c r="V83" s="137">
        <v>7576</v>
      </c>
      <c r="W83" s="137">
        <v>6368</v>
      </c>
      <c r="X83" s="137">
        <v>6397</v>
      </c>
      <c r="Y83" s="137">
        <v>6037</v>
      </c>
      <c r="Z83" s="137">
        <v>6617</v>
      </c>
      <c r="AA83" s="137">
        <v>7684</v>
      </c>
      <c r="AB83" s="137">
        <v>6606</v>
      </c>
      <c r="AC83" s="13">
        <v>6770</v>
      </c>
      <c r="AD83" s="13">
        <v>7091</v>
      </c>
      <c r="AE83" s="13">
        <v>6614</v>
      </c>
      <c r="AF83" s="138">
        <v>3.451597220781776</v>
      </c>
      <c r="AG83" s="138">
        <v>3.5475694475074602</v>
      </c>
      <c r="AH83" s="138">
        <v>3.34840278699994</v>
      </c>
      <c r="AI83" s="138">
        <v>3.5663194341791993</v>
      </c>
      <c r="AJ83" s="138">
        <v>3.6200000018709226</v>
      </c>
      <c r="AK83" s="138">
        <v>3.7085416656401415</v>
      </c>
      <c r="AL83" s="138">
        <v>3.3538194497426344</v>
      </c>
      <c r="AM83" s="138">
        <v>3.3354861123694306</v>
      </c>
      <c r="AN83" s="138">
        <v>3.2886805488831459</v>
      </c>
      <c r="AO83" s="138">
        <v>3.4709722192751027</v>
      </c>
      <c r="AP83" s="138">
        <v>3.375486114372809</v>
      </c>
      <c r="AQ83" s="138">
        <v>3.5652777896159216</v>
      </c>
      <c r="AR83" s="138">
        <v>3.4454166793988801</v>
      </c>
      <c r="AS83" s="138">
        <v>3.4982638913724151</v>
      </c>
      <c r="AT83" s="138">
        <v>3.560347215169005</v>
      </c>
      <c r="AU83" s="138">
        <v>3.6470138836238104</v>
      </c>
      <c r="AV83" s="138">
        <v>3.9023611057135787</v>
      </c>
      <c r="AW83" s="138">
        <v>3.5278472238116785</v>
      </c>
      <c r="AX83" s="138">
        <v>3.4488194489644624</v>
      </c>
      <c r="AY83" s="138">
        <v>3.5579861183133383</v>
      </c>
      <c r="AZ83" s="138">
        <v>3.5865972220069824</v>
      </c>
      <c r="BA83" s="138">
        <v>3.8318750080135127</v>
      </c>
      <c r="BB83" s="138">
        <v>3.4724305665327435</v>
      </c>
      <c r="BC83" s="14">
        <v>3.577916655689477</v>
      </c>
      <c r="BD83" s="14">
        <v>3.5811111152999922</v>
      </c>
      <c r="BE83" s="14">
        <v>3.4431250062253733</v>
      </c>
      <c r="BF83" s="139">
        <f>SUM(Input_Raw[[#This Row],[O2_01]:[O2_26]])</f>
        <v>169966</v>
      </c>
      <c r="BG83" s="140">
        <f>IFERROR(AVERAGE(Input_Raw[[#This Row],[WS_O2_01]:[WS_O2_26]]),"")</f>
        <v>3.5274332281297589</v>
      </c>
      <c r="BH83" s="141"/>
      <c r="BI83" s="141"/>
      <c r="BJ83" s="13">
        <v>162900</v>
      </c>
      <c r="BK83" s="13">
        <v>1800</v>
      </c>
      <c r="BL83" s="15">
        <f>Input_Raw[[#This Row],[66 kV_Wind_F1_Export_reading]]-Input_Raw[[#This Row],[66 kV_Wind_F1_Import_reading]]</f>
        <v>161100</v>
      </c>
      <c r="BM83" s="142">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35">
        <v>170.73</v>
      </c>
      <c r="BR83" s="207"/>
    </row>
    <row r="84" spans="1:70" ht="15">
      <c r="A84" s="240">
        <f t="shared" si="14"/>
        <v>45824</v>
      </c>
      <c r="B84" s="11">
        <f>YEAR(Input_Raw[[#This Row],[Date]])+IF(MONTH(Input_Raw[[#This Row],[Date]])&gt;=4,1,0)</f>
        <v>2026</v>
      </c>
      <c r="C84" s="11">
        <f>YEAR(Input_Raw[[#This Row],[Date]])</f>
        <v>2025</v>
      </c>
      <c r="D84" s="12">
        <f>A84-DAY(A84)+1</f>
        <v>45809</v>
      </c>
      <c r="E84" s="11">
        <f>DAY(EOMONTH(Input_Raw[[#This Row],[Date]],0))</f>
        <v>30</v>
      </c>
      <c r="F84" s="440">
        <v>39130</v>
      </c>
      <c r="G84" s="440">
        <v>42568</v>
      </c>
      <c r="H84" s="440">
        <v>38565</v>
      </c>
      <c r="I84" s="440">
        <v>36994</v>
      </c>
      <c r="J84" s="440">
        <v>40178</v>
      </c>
      <c r="K84" s="440">
        <v>31287</v>
      </c>
      <c r="L84" s="440">
        <v>35642</v>
      </c>
      <c r="M84" s="440">
        <v>32516</v>
      </c>
      <c r="N84" s="440">
        <v>37258</v>
      </c>
      <c r="O84" s="440">
        <v>39353</v>
      </c>
      <c r="P84" s="440">
        <v>39549</v>
      </c>
      <c r="Q84" s="440">
        <v>9859</v>
      </c>
      <c r="R84" s="440">
        <v>39723</v>
      </c>
      <c r="S84" s="440">
        <v>41004</v>
      </c>
      <c r="T84" s="440">
        <v>40211</v>
      </c>
      <c r="U84" s="440">
        <v>34356</v>
      </c>
      <c r="V84" s="440">
        <v>38744</v>
      </c>
      <c r="W84" s="440">
        <v>30414</v>
      </c>
      <c r="X84" s="440">
        <v>34847</v>
      </c>
      <c r="Y84" s="440">
        <v>27510</v>
      </c>
      <c r="Z84" s="440">
        <v>32444</v>
      </c>
      <c r="AA84" s="440">
        <v>35130</v>
      </c>
      <c r="AB84" s="440">
        <v>38850</v>
      </c>
      <c r="AC84" s="441">
        <v>35934</v>
      </c>
      <c r="AD84" s="441">
        <v>41655</v>
      </c>
      <c r="AE84" s="441">
        <v>30609</v>
      </c>
      <c r="AF84" s="442">
        <v>8.16</v>
      </c>
      <c r="AG84" s="442">
        <v>8.51</v>
      </c>
      <c r="AH84" s="442">
        <v>8.0500000000000007</v>
      </c>
      <c r="AI84" s="442">
        <v>8.5399999999999991</v>
      </c>
      <c r="AJ84" s="442">
        <v>8.36</v>
      </c>
      <c r="AK84" s="442">
        <v>7.97</v>
      </c>
      <c r="AL84" s="442">
        <v>8.4499999999999993</v>
      </c>
      <c r="AM84" s="442">
        <v>7.81</v>
      </c>
      <c r="AN84" s="442">
        <v>7.9</v>
      </c>
      <c r="AO84" s="442">
        <v>8.17</v>
      </c>
      <c r="AP84" s="442">
        <v>8.32</v>
      </c>
      <c r="AQ84" s="442">
        <v>8.02</v>
      </c>
      <c r="AR84" s="442">
        <v>8.23</v>
      </c>
      <c r="AS84" s="442">
        <v>8.4499999999999993</v>
      </c>
      <c r="AT84" s="442">
        <v>8.3699999999999992</v>
      </c>
      <c r="AU84" s="442">
        <v>8.2100000000000009</v>
      </c>
      <c r="AV84" s="442">
        <v>8.9</v>
      </c>
      <c r="AW84" s="442">
        <v>7.81</v>
      </c>
      <c r="AX84" s="442">
        <v>8.17</v>
      </c>
      <c r="AY84" s="442">
        <v>8.0500000000000007</v>
      </c>
      <c r="AZ84" s="442">
        <v>8.01</v>
      </c>
      <c r="BA84" s="442">
        <v>8.4700000000000006</v>
      </c>
      <c r="BB84" s="442">
        <v>8.19</v>
      </c>
      <c r="BC84" s="443">
        <v>8.1</v>
      </c>
      <c r="BD84" s="443">
        <v>8.35</v>
      </c>
      <c r="BE84" s="443">
        <v>7.76</v>
      </c>
      <c r="BF84" s="444">
        <f>SUM(Input_Raw[[#This Row],[O2_01]:[O2_26]])</f>
        <v>924330</v>
      </c>
      <c r="BG84" s="445">
        <f>IFERROR(AVERAGE(Input_Raw[[#This Row],[WS_O2_01]:[WS_O2_26]]),"")</f>
        <v>8.2050000000000001</v>
      </c>
      <c r="BH84" s="446"/>
      <c r="BI84" s="446"/>
      <c r="BJ84" s="441">
        <v>899100</v>
      </c>
      <c r="BK84" s="441">
        <v>0</v>
      </c>
      <c r="BL84" s="447">
        <f>Input_Raw[[#This Row],[66 kV_Wind_F1_Export_reading]]-Input_Raw[[#This Row],[66 kV_Wind_F1_Import_reading]]</f>
        <v>899100</v>
      </c>
      <c r="BM84" s="448">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449"/>
      <c r="BQ84" s="450">
        <v>988.32</v>
      </c>
      <c r="BR84" s="451"/>
    </row>
    <row r="85" spans="1:70" ht="15">
      <c r="A85" s="240">
        <f t="shared" si="14"/>
        <v>45825</v>
      </c>
      <c r="B85" s="11">
        <f>YEAR(Input_Raw[[#This Row],[Date]])+IF(MONTH(Input_Raw[[#This Row],[Date]])&gt;=4,1,0)</f>
        <v>2026</v>
      </c>
      <c r="C85" s="11">
        <f>YEAR(Input_Raw[[#This Row],[Date]])</f>
        <v>2025</v>
      </c>
      <c r="D85" s="12">
        <f>A85-DAY(A85)+1</f>
        <v>45809</v>
      </c>
      <c r="E85" s="11">
        <f>DAY(EOMONTH(Input_Raw[[#This Row],[Date]],0))</f>
        <v>30</v>
      </c>
      <c r="F85" s="137">
        <v>37729</v>
      </c>
      <c r="G85" s="137">
        <v>42080</v>
      </c>
      <c r="H85" s="137">
        <v>35379</v>
      </c>
      <c r="I85" s="137">
        <v>41258</v>
      </c>
      <c r="J85" s="137">
        <v>38415</v>
      </c>
      <c r="K85" s="137">
        <v>36528</v>
      </c>
      <c r="L85" s="137">
        <v>41267</v>
      </c>
      <c r="M85" s="137">
        <v>38538</v>
      </c>
      <c r="N85" s="137">
        <v>35719</v>
      </c>
      <c r="O85" s="137">
        <v>35315</v>
      </c>
      <c r="P85" s="137">
        <v>36162</v>
      </c>
      <c r="Q85" s="137">
        <v>0</v>
      </c>
      <c r="R85" s="137">
        <v>37389</v>
      </c>
      <c r="S85" s="137">
        <v>38123</v>
      </c>
      <c r="T85" s="137">
        <v>36756</v>
      </c>
      <c r="U85" s="137">
        <v>35950</v>
      </c>
      <c r="V85" s="137">
        <v>36964</v>
      </c>
      <c r="W85" s="137">
        <v>37972</v>
      </c>
      <c r="X85" s="137">
        <v>42584</v>
      </c>
      <c r="Y85" s="137">
        <v>37144</v>
      </c>
      <c r="Z85" s="137">
        <v>38228</v>
      </c>
      <c r="AA85" s="137">
        <v>38185</v>
      </c>
      <c r="AB85" s="137">
        <v>36578</v>
      </c>
      <c r="AC85" s="13">
        <v>39219</v>
      </c>
      <c r="AD85" s="13">
        <v>39729</v>
      </c>
      <c r="AE85" s="13">
        <v>37582</v>
      </c>
      <c r="AF85" s="138">
        <v>7.88</v>
      </c>
      <c r="AG85" s="138">
        <v>8.19</v>
      </c>
      <c r="AH85" s="138">
        <v>7.45</v>
      </c>
      <c r="AI85" s="138">
        <v>8.1300000000000008</v>
      </c>
      <c r="AJ85" s="138">
        <v>8.14</v>
      </c>
      <c r="AK85" s="138">
        <v>7.74</v>
      </c>
      <c r="AL85" s="138">
        <v>8.14</v>
      </c>
      <c r="AM85" s="138">
        <v>7.77</v>
      </c>
      <c r="AN85" s="138">
        <v>7.61</v>
      </c>
      <c r="AO85" s="138">
        <v>7.4</v>
      </c>
      <c r="AP85" s="138">
        <v>7.71</v>
      </c>
      <c r="AQ85" s="138">
        <v>7.68</v>
      </c>
      <c r="AR85" s="138">
        <v>7.69</v>
      </c>
      <c r="AS85" s="138">
        <v>7.74</v>
      </c>
      <c r="AT85" s="138">
        <v>7.62</v>
      </c>
      <c r="AU85" s="138">
        <v>7.6</v>
      </c>
      <c r="AV85" s="138">
        <v>8.11</v>
      </c>
      <c r="AW85" s="138">
        <v>7.73</v>
      </c>
      <c r="AX85" s="138">
        <v>8.3000000000000007</v>
      </c>
      <c r="AY85" s="138">
        <v>7.65</v>
      </c>
      <c r="AZ85" s="138">
        <v>7.83</v>
      </c>
      <c r="BA85" s="138">
        <v>7.91</v>
      </c>
      <c r="BB85" s="138">
        <v>7.6</v>
      </c>
      <c r="BC85" s="14">
        <v>7.79</v>
      </c>
      <c r="BD85" s="14">
        <v>8.0500000000000007</v>
      </c>
      <c r="BE85" s="14">
        <v>7.75</v>
      </c>
      <c r="BF85" s="139">
        <f>SUM(Input_Raw[[#This Row],[O2_01]:[O2_26]])</f>
        <v>950793</v>
      </c>
      <c r="BG85" s="140">
        <f>IFERROR(AVERAGE(Input_Raw[[#This Row],[WS_O2_01]:[WS_O2_26]]),"")</f>
        <v>7.8157692307692308</v>
      </c>
      <c r="BH85" s="141"/>
      <c r="BI85" s="141"/>
      <c r="BJ85" s="13">
        <v>919350</v>
      </c>
      <c r="BK85" s="13">
        <v>450</v>
      </c>
      <c r="BL85" s="15">
        <f>Input_Raw[[#This Row],[66 kV_Wind_F1_Export_reading]]-Input_Raw[[#This Row],[66 kV_Wind_F1_Import_reading]]</f>
        <v>918900</v>
      </c>
      <c r="BM85" s="142">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35">
        <v>991.84</v>
      </c>
      <c r="BR85" s="207"/>
    </row>
    <row r="86" spans="1:70" ht="15">
      <c r="A86" s="240">
        <f t="shared" si="14"/>
        <v>45826</v>
      </c>
      <c r="B86" s="11">
        <f>YEAR(Input_Raw[[#This Row],[Date]])+IF(MONTH(Input_Raw[[#This Row],[Date]])&gt;=4,1,0)</f>
        <v>2026</v>
      </c>
      <c r="C86" s="11">
        <f>YEAR(Input_Raw[[#This Row],[Date]])</f>
        <v>2025</v>
      </c>
      <c r="D86" s="12">
        <f>A86-DAY(A86)+1</f>
        <v>45809</v>
      </c>
      <c r="E86" s="11">
        <f>DAY(EOMONTH(Input_Raw[[#This Row],[Date]],0))</f>
        <v>30</v>
      </c>
      <c r="F86" s="452">
        <v>44447</v>
      </c>
      <c r="G86" s="452">
        <v>46395</v>
      </c>
      <c r="H86" s="452">
        <v>44523</v>
      </c>
      <c r="I86" s="452">
        <v>46220</v>
      </c>
      <c r="J86" s="452">
        <v>44448</v>
      </c>
      <c r="K86" s="452">
        <v>46246</v>
      </c>
      <c r="L86" s="452">
        <v>45647</v>
      </c>
      <c r="M86" s="452">
        <v>35384</v>
      </c>
      <c r="N86" s="452">
        <v>43011</v>
      </c>
      <c r="O86" s="452">
        <v>43123</v>
      </c>
      <c r="P86" s="452">
        <v>44761</v>
      </c>
      <c r="Q86" s="452">
        <v>0</v>
      </c>
      <c r="R86" s="452">
        <v>42752</v>
      </c>
      <c r="S86" s="452">
        <v>45291</v>
      </c>
      <c r="T86" s="452">
        <v>47505</v>
      </c>
      <c r="U86" s="452">
        <v>45385</v>
      </c>
      <c r="V86" s="452">
        <v>47491</v>
      </c>
      <c r="W86" s="452">
        <v>46030</v>
      </c>
      <c r="X86" s="452">
        <v>46597</v>
      </c>
      <c r="Y86" s="452">
        <v>45114</v>
      </c>
      <c r="Z86" s="452">
        <v>43476</v>
      </c>
      <c r="AA86" s="452">
        <v>45732</v>
      </c>
      <c r="AB86" s="452">
        <v>45536</v>
      </c>
      <c r="AC86" s="453">
        <v>45654</v>
      </c>
      <c r="AD86" s="453">
        <v>46792</v>
      </c>
      <c r="AE86" s="453">
        <v>46495</v>
      </c>
      <c r="AF86" s="454">
        <v>8.41</v>
      </c>
      <c r="AG86" s="454">
        <v>8.6199999999999992</v>
      </c>
      <c r="AH86" s="454">
        <v>8.26</v>
      </c>
      <c r="AI86" s="454">
        <v>8.6</v>
      </c>
      <c r="AJ86" s="454">
        <v>8.43</v>
      </c>
      <c r="AK86" s="454">
        <v>8.7799999999999994</v>
      </c>
      <c r="AL86" s="454">
        <v>8.5299999999999994</v>
      </c>
      <c r="AM86" s="454">
        <v>8.3699999999999992</v>
      </c>
      <c r="AN86" s="454">
        <v>8.27</v>
      </c>
      <c r="AO86" s="454">
        <v>8.17</v>
      </c>
      <c r="AP86" s="454">
        <v>8.42</v>
      </c>
      <c r="AQ86" s="454">
        <v>8.64</v>
      </c>
      <c r="AR86" s="454">
        <v>8.1999999999999993</v>
      </c>
      <c r="AS86" s="454">
        <v>8.43</v>
      </c>
      <c r="AT86" s="454">
        <v>8.5299999999999994</v>
      </c>
      <c r="AU86" s="454">
        <v>8.69</v>
      </c>
      <c r="AV86" s="454">
        <v>9.0399999999999991</v>
      </c>
      <c r="AW86" s="454">
        <v>8.61</v>
      </c>
      <c r="AX86" s="454">
        <v>8.8000000000000007</v>
      </c>
      <c r="AY86" s="454">
        <v>8.5399999999999991</v>
      </c>
      <c r="AZ86" s="454">
        <v>8.4600000000000009</v>
      </c>
      <c r="BA86" s="454">
        <v>8.86</v>
      </c>
      <c r="BB86" s="454">
        <v>8.44</v>
      </c>
      <c r="BC86" s="455">
        <v>8.48</v>
      </c>
      <c r="BD86" s="455">
        <v>8.49</v>
      </c>
      <c r="BE86" s="455">
        <v>8.4600000000000009</v>
      </c>
      <c r="BF86" s="456">
        <f>SUM(Input_Raw[[#This Row],[O2_01]:[O2_26]])</f>
        <v>1124055</v>
      </c>
      <c r="BG86" s="457">
        <f>IFERROR(AVERAGE(Input_Raw[[#This Row],[WS_O2_01]:[WS_O2_26]]),"")</f>
        <v>8.5203846153846161</v>
      </c>
      <c r="BH86" s="458"/>
      <c r="BI86" s="458"/>
      <c r="BJ86" s="453">
        <v>1089450</v>
      </c>
      <c r="BK86" s="453">
        <v>0</v>
      </c>
      <c r="BL86" s="459">
        <f>Input_Raw[[#This Row],[66 kV_Wind_F1_Export_reading]]-Input_Raw[[#This Row],[66 kV_Wind_F1_Import_reading]]</f>
        <v>1089450</v>
      </c>
      <c r="BM86" s="460">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461"/>
      <c r="BQ86" s="462">
        <v>1202.27</v>
      </c>
      <c r="BR86" s="463"/>
    </row>
    <row r="87" spans="1:70" ht="15">
      <c r="A87" s="240">
        <f t="shared" si="14"/>
        <v>45827</v>
      </c>
      <c r="B87" s="11">
        <f>YEAR(Input_Raw[[#This Row],[Date]])+IF(MONTH(Input_Raw[[#This Row],[Date]])&gt;=4,1,0)</f>
        <v>2026</v>
      </c>
      <c r="C87" s="11">
        <f>YEAR(Input_Raw[[#This Row],[Date]])</f>
        <v>2025</v>
      </c>
      <c r="D87" s="12">
        <f>A87-DAY(A87)+1</f>
        <v>45809</v>
      </c>
      <c r="E87" s="11">
        <f>DAY(EOMONTH(Input_Raw[[#This Row],[Date]],0))</f>
        <v>30</v>
      </c>
      <c r="F87" s="137">
        <v>60392</v>
      </c>
      <c r="G87" s="137">
        <v>61807</v>
      </c>
      <c r="H87" s="137">
        <v>60544</v>
      </c>
      <c r="I87" s="137">
        <v>60132</v>
      </c>
      <c r="J87" s="137">
        <v>58668</v>
      </c>
      <c r="K87" s="137">
        <v>63667</v>
      </c>
      <c r="L87" s="137">
        <v>58782</v>
      </c>
      <c r="M87" s="137">
        <v>58864</v>
      </c>
      <c r="N87" s="137">
        <v>61695</v>
      </c>
      <c r="O87" s="137">
        <v>62876</v>
      </c>
      <c r="P87" s="137">
        <v>59212</v>
      </c>
      <c r="Q87" s="137">
        <v>1</v>
      </c>
      <c r="R87" s="137">
        <v>60450</v>
      </c>
      <c r="S87" s="137">
        <v>62218</v>
      </c>
      <c r="T87" s="137">
        <v>61780</v>
      </c>
      <c r="U87" s="137">
        <v>63183</v>
      </c>
      <c r="V87" s="137">
        <v>56889</v>
      </c>
      <c r="W87" s="137">
        <v>63849</v>
      </c>
      <c r="X87" s="137">
        <v>61676</v>
      </c>
      <c r="Y87" s="137">
        <v>61808</v>
      </c>
      <c r="Z87" s="137">
        <v>64593</v>
      </c>
      <c r="AA87" s="137">
        <v>61067</v>
      </c>
      <c r="AB87" s="137">
        <v>63255</v>
      </c>
      <c r="AC87" s="13">
        <v>63198</v>
      </c>
      <c r="AD87" s="13">
        <v>61713</v>
      </c>
      <c r="AE87" s="13">
        <v>61863</v>
      </c>
      <c r="AF87" s="138">
        <v>10.18</v>
      </c>
      <c r="AG87" s="138">
        <v>10.5</v>
      </c>
      <c r="AH87" s="138">
        <v>10.06</v>
      </c>
      <c r="AI87" s="138">
        <v>10.49</v>
      </c>
      <c r="AJ87" s="138">
        <v>10.41</v>
      </c>
      <c r="AK87" s="138">
        <v>10.57</v>
      </c>
      <c r="AL87" s="138">
        <v>10.44</v>
      </c>
      <c r="AM87" s="138">
        <v>10.56</v>
      </c>
      <c r="AN87" s="138">
        <v>10.3</v>
      </c>
      <c r="AO87" s="138">
        <v>10.43</v>
      </c>
      <c r="AP87" s="138">
        <v>10.220000000000001</v>
      </c>
      <c r="AQ87" s="138">
        <v>10.3</v>
      </c>
      <c r="AR87" s="138">
        <v>10.3</v>
      </c>
      <c r="AS87" s="138">
        <v>10.42</v>
      </c>
      <c r="AT87" s="138">
        <v>10.49</v>
      </c>
      <c r="AU87" s="138">
        <v>10.75</v>
      </c>
      <c r="AV87" s="138">
        <v>10.79</v>
      </c>
      <c r="AW87" s="138">
        <v>10.49</v>
      </c>
      <c r="AX87" s="138">
        <v>10.74</v>
      </c>
      <c r="AY87" s="138">
        <v>10.47</v>
      </c>
      <c r="AZ87" s="138">
        <v>10.68</v>
      </c>
      <c r="BA87" s="138">
        <v>10.65</v>
      </c>
      <c r="BB87" s="138">
        <v>10.45</v>
      </c>
      <c r="BC87" s="14">
        <v>10.57</v>
      </c>
      <c r="BD87" s="14">
        <v>10.32</v>
      </c>
      <c r="BE87" s="14">
        <v>10.41</v>
      </c>
      <c r="BF87" s="139">
        <f>SUM(Input_Raw[[#This Row],[O2_01]:[O2_26]])</f>
        <v>1534182</v>
      </c>
      <c r="BG87" s="140">
        <f>IFERROR(AVERAGE(Input_Raw[[#This Row],[WS_O2_01]:[WS_O2_26]]),"")</f>
        <v>10.461153846153847</v>
      </c>
      <c r="BH87" s="141"/>
      <c r="BI87" s="141"/>
      <c r="BJ87" s="13">
        <v>1476900</v>
      </c>
      <c r="BK87" s="13">
        <v>0</v>
      </c>
      <c r="BL87" s="15">
        <f>Input_Raw[[#This Row],[66 kV_Wind_F1_Export_reading]]-Input_Raw[[#This Row],[66 kV_Wind_F1_Import_reading]]</f>
        <v>1476900</v>
      </c>
      <c r="BM87" s="142">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462">
        <v>1596.54</v>
      </c>
      <c r="BR87" s="207"/>
    </row>
    <row r="88" spans="1:70" ht="15">
      <c r="A88" s="240">
        <f t="shared" si="14"/>
        <v>45828</v>
      </c>
      <c r="B88" s="11">
        <f>YEAR(Input_Raw[[#This Row],[Date]])+IF(MONTH(Input_Raw[[#This Row],[Date]])&gt;=4,1,0)</f>
        <v>2026</v>
      </c>
      <c r="C88" s="11">
        <f>YEAR(Input_Raw[[#This Row],[Date]])</f>
        <v>2025</v>
      </c>
      <c r="D88" s="12">
        <f t="shared" ref="D88:D89" si="17">A88-DAY(A88)+1</f>
        <v>45809</v>
      </c>
      <c r="E88" s="11">
        <f>DAY(EOMONTH(Input_Raw[[#This Row],[Date]],0))</f>
        <v>30</v>
      </c>
      <c r="F88" s="495">
        <v>53793</v>
      </c>
      <c r="G88" s="495">
        <v>54625</v>
      </c>
      <c r="H88" s="495">
        <v>53938</v>
      </c>
      <c r="I88" s="495">
        <v>28462</v>
      </c>
      <c r="J88" s="495">
        <v>54458</v>
      </c>
      <c r="K88" s="495">
        <v>25348</v>
      </c>
      <c r="L88" s="495">
        <v>26899</v>
      </c>
      <c r="M88" s="495">
        <v>26779</v>
      </c>
      <c r="N88" s="495">
        <v>55200</v>
      </c>
      <c r="O88" s="495">
        <v>51226</v>
      </c>
      <c r="P88" s="495">
        <v>52720</v>
      </c>
      <c r="Q88" s="495">
        <v>2</v>
      </c>
      <c r="R88" s="495">
        <v>52599</v>
      </c>
      <c r="S88" s="495">
        <v>53088</v>
      </c>
      <c r="T88" s="495">
        <v>48939</v>
      </c>
      <c r="U88" s="495">
        <v>23998</v>
      </c>
      <c r="V88" s="495">
        <v>30663</v>
      </c>
      <c r="W88" s="495">
        <v>26196</v>
      </c>
      <c r="X88" s="495">
        <v>22014</v>
      </c>
      <c r="Y88" s="495">
        <v>28404</v>
      </c>
      <c r="Z88" s="495">
        <v>26386</v>
      </c>
      <c r="AA88" s="495">
        <v>26278</v>
      </c>
      <c r="AB88" s="495">
        <v>54129</v>
      </c>
      <c r="AC88" s="496">
        <v>30076</v>
      </c>
      <c r="AD88" s="496">
        <v>56557</v>
      </c>
      <c r="AE88" s="496">
        <v>26295</v>
      </c>
      <c r="AF88" s="497">
        <v>9.5837499996026256</v>
      </c>
      <c r="AG88" s="497">
        <v>9.7621527810891351</v>
      </c>
      <c r="AH88" s="497">
        <v>9.5527778102291876</v>
      </c>
      <c r="AI88" s="497">
        <v>8.3640403880013281</v>
      </c>
      <c r="AJ88" s="497">
        <v>9.5911805563502757</v>
      </c>
      <c r="AK88" s="497">
        <v>8.0910999810695579</v>
      </c>
      <c r="AL88" s="497">
        <v>8.1708421305606187</v>
      </c>
      <c r="AM88" s="497">
        <v>8.6714141513361991</v>
      </c>
      <c r="AN88" s="497">
        <v>9.7222222321563176</v>
      </c>
      <c r="AO88" s="497">
        <v>9.4076388743188488</v>
      </c>
      <c r="AP88" s="497">
        <v>9.5963193807336875</v>
      </c>
      <c r="AQ88" s="497">
        <v>9.5979166858725868</v>
      </c>
      <c r="AR88" s="497">
        <v>9.5624305407206034</v>
      </c>
      <c r="AS88" s="497">
        <v>9.5958333214123943</v>
      </c>
      <c r="AT88" s="497">
        <v>9.2876388629277411</v>
      </c>
      <c r="AU88" s="497">
        <v>7.6072000169753959</v>
      </c>
      <c r="AV88" s="497">
        <v>8.4265999937057465</v>
      </c>
      <c r="AW88" s="497">
        <v>8.0541414323479152</v>
      </c>
      <c r="AX88" s="497">
        <v>7.8661616131512764</v>
      </c>
      <c r="AY88" s="497">
        <v>8.0892999839782682</v>
      </c>
      <c r="AZ88" s="497">
        <v>8.1819191677401726</v>
      </c>
      <c r="BA88" s="497">
        <v>7.9512121219827661</v>
      </c>
      <c r="BB88" s="497">
        <v>9.7455244731236021</v>
      </c>
      <c r="BC88" s="498">
        <v>8.2485999941825767</v>
      </c>
      <c r="BD88" s="498">
        <v>9.6964583297570428</v>
      </c>
      <c r="BE88" s="498">
        <v>8.5580434851024361</v>
      </c>
      <c r="BF88" s="499">
        <f>SUM(Input_Raw[[#This Row],[O2_01]:[O2_26]])</f>
        <v>989072</v>
      </c>
      <c r="BG88" s="500">
        <f>IFERROR(AVERAGE(Input_Raw[[#This Row],[WS_O2_01]:[WS_O2_26]]),"")</f>
        <v>8.8839391657087781</v>
      </c>
      <c r="BH88" s="501"/>
      <c r="BI88" s="501"/>
      <c r="BJ88" s="496">
        <v>956250</v>
      </c>
      <c r="BK88" s="496">
        <v>0</v>
      </c>
      <c r="BL88" s="502">
        <f>Input_Raw[[#This Row],[66 kV_Wind_F1_Export_reading]]-Input_Raw[[#This Row],[66 kV_Wind_F1_Import_reading]]</f>
        <v>956250</v>
      </c>
      <c r="BM88" s="503">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504"/>
      <c r="BQ88" s="505">
        <v>1078.22</v>
      </c>
      <c r="BR88" s="506"/>
    </row>
    <row r="89" spans="1:70" ht="15">
      <c r="A89" s="240">
        <f t="shared" si="14"/>
        <v>45829</v>
      </c>
      <c r="B89" s="11">
        <f>YEAR(Input_Raw[[#This Row],[Date]])+IF(MONTH(Input_Raw[[#This Row],[Date]])&gt;=4,1,0)</f>
        <v>2026</v>
      </c>
      <c r="C89" s="11">
        <f>YEAR(Input_Raw[[#This Row],[Date]])</f>
        <v>2025</v>
      </c>
      <c r="D89" s="12">
        <f t="shared" si="17"/>
        <v>45809</v>
      </c>
      <c r="E89" s="11">
        <f>DAY(EOMONTH(Input_Raw[[#This Row],[Date]],0))</f>
        <v>30</v>
      </c>
      <c r="F89" s="495">
        <v>48915</v>
      </c>
      <c r="G89" s="495">
        <v>52214</v>
      </c>
      <c r="H89" s="495">
        <v>49894</v>
      </c>
      <c r="I89" s="495">
        <v>46630</v>
      </c>
      <c r="J89" s="495">
        <v>51899</v>
      </c>
      <c r="K89" s="495">
        <v>43979</v>
      </c>
      <c r="L89" s="495">
        <v>48182</v>
      </c>
      <c r="M89" s="495">
        <v>50739</v>
      </c>
      <c r="N89" s="495">
        <v>52017</v>
      </c>
      <c r="O89" s="495">
        <v>50278</v>
      </c>
      <c r="P89" s="495">
        <v>47808</v>
      </c>
      <c r="Q89" s="495">
        <v>3</v>
      </c>
      <c r="R89" s="495">
        <v>49448</v>
      </c>
      <c r="S89" s="495">
        <v>48944</v>
      </c>
      <c r="T89" s="495">
        <v>45933</v>
      </c>
      <c r="U89" s="495">
        <v>42701</v>
      </c>
      <c r="V89" s="495">
        <v>49013</v>
      </c>
      <c r="W89" s="495">
        <v>44036</v>
      </c>
      <c r="X89" s="495">
        <v>40849</v>
      </c>
      <c r="Y89" s="495">
        <v>45324</v>
      </c>
      <c r="Z89" s="495">
        <v>45389</v>
      </c>
      <c r="AA89" s="495">
        <v>40673</v>
      </c>
      <c r="AB89" s="495">
        <v>51283</v>
      </c>
      <c r="AC89" s="496">
        <v>50597</v>
      </c>
      <c r="AD89" s="496">
        <v>54700</v>
      </c>
      <c r="AE89" s="496">
        <v>52790</v>
      </c>
      <c r="AF89" s="497">
        <v>8.98</v>
      </c>
      <c r="AG89" s="497">
        <v>9.25</v>
      </c>
      <c r="AH89" s="497">
        <v>8.8800000000000008</v>
      </c>
      <c r="AI89" s="497">
        <v>8.81</v>
      </c>
      <c r="AJ89" s="497">
        <v>9.26</v>
      </c>
      <c r="AK89" s="497">
        <v>8.4499999999999993</v>
      </c>
      <c r="AL89" s="497">
        <v>8.94</v>
      </c>
      <c r="AM89" s="497">
        <v>9.01</v>
      </c>
      <c r="AN89" s="497">
        <v>9.24</v>
      </c>
      <c r="AO89" s="497">
        <v>8.92</v>
      </c>
      <c r="AP89" s="497">
        <v>8.9</v>
      </c>
      <c r="AQ89" s="497">
        <v>8.75</v>
      </c>
      <c r="AR89" s="497">
        <v>8.92</v>
      </c>
      <c r="AS89" s="497">
        <v>8.8800000000000008</v>
      </c>
      <c r="AT89" s="497">
        <v>8.81</v>
      </c>
      <c r="AU89" s="497">
        <v>8.2899999999999991</v>
      </c>
      <c r="AV89" s="497">
        <v>8.76</v>
      </c>
      <c r="AW89" s="497">
        <v>8.34</v>
      </c>
      <c r="AX89" s="497">
        <v>8.44</v>
      </c>
      <c r="AY89" s="497">
        <v>8.65</v>
      </c>
      <c r="AZ89" s="497">
        <v>8.4600000000000009</v>
      </c>
      <c r="BA89" s="497">
        <v>8.07</v>
      </c>
      <c r="BB89" s="497">
        <v>9.25</v>
      </c>
      <c r="BC89" s="498">
        <v>8.93</v>
      </c>
      <c r="BD89" s="498">
        <v>9.3000000000000007</v>
      </c>
      <c r="BE89" s="498">
        <v>9.24</v>
      </c>
      <c r="BF89" s="499">
        <f>SUM(Input_Raw[[#This Row],[O2_01]:[O2_26]])</f>
        <v>1204238</v>
      </c>
      <c r="BG89" s="500">
        <f>IFERROR(AVERAGE(Input_Raw[[#This Row],[WS_O2_01]:[WS_O2_26]]),"")</f>
        <v>8.8357692307692322</v>
      </c>
      <c r="BH89" s="501"/>
      <c r="BI89" s="501"/>
      <c r="BJ89" s="496">
        <v>1165500</v>
      </c>
      <c r="BK89" s="496">
        <v>0</v>
      </c>
      <c r="BL89" s="502">
        <f>Input_Raw[[#This Row],[66 kV_Wind_F1_Export_reading]]-Input_Raw[[#This Row],[66 kV_Wind_F1_Import_reading]]</f>
        <v>1165500</v>
      </c>
      <c r="BM89" s="503">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504"/>
      <c r="BQ89" s="505">
        <v>1261.1600000000001</v>
      </c>
      <c r="BR89" s="506"/>
    </row>
    <row r="90" spans="1:70" ht="15">
      <c r="A90" s="240">
        <f t="shared" si="14"/>
        <v>45830</v>
      </c>
      <c r="B90" s="11">
        <f>YEAR(Input_Raw[[#This Row],[Date]])+IF(MONTH(Input_Raw[[#This Row],[Date]])&gt;=4,1,0)</f>
        <v>2026</v>
      </c>
      <c r="C90" s="11">
        <f>YEAR(Input_Raw[[#This Row],[Date]])</f>
        <v>2025</v>
      </c>
      <c r="D90" s="12">
        <f t="shared" ref="D90:D95" si="18">A90-DAY(A90)+1</f>
        <v>45809</v>
      </c>
      <c r="E90" s="11">
        <f>DAY(EOMONTH(Input_Raw[[#This Row],[Date]],0))</f>
        <v>30</v>
      </c>
      <c r="F90" s="495">
        <v>29608</v>
      </c>
      <c r="G90" s="495">
        <v>32913</v>
      </c>
      <c r="H90" s="495">
        <v>33071</v>
      </c>
      <c r="I90" s="495">
        <v>28909</v>
      </c>
      <c r="J90" s="495">
        <v>33162</v>
      </c>
      <c r="K90" s="495">
        <v>28395</v>
      </c>
      <c r="L90" s="495">
        <v>25670</v>
      </c>
      <c r="M90" s="495">
        <v>33659</v>
      </c>
      <c r="N90" s="495">
        <v>32328</v>
      </c>
      <c r="O90" s="495">
        <v>29827</v>
      </c>
      <c r="P90" s="495">
        <v>29493</v>
      </c>
      <c r="Q90" s="495">
        <v>1</v>
      </c>
      <c r="R90" s="495">
        <v>30075</v>
      </c>
      <c r="S90" s="495">
        <v>31473</v>
      </c>
      <c r="T90" s="495">
        <v>26706</v>
      </c>
      <c r="U90" s="495">
        <v>26754</v>
      </c>
      <c r="V90" s="495">
        <v>30399</v>
      </c>
      <c r="W90" s="495">
        <v>29382</v>
      </c>
      <c r="X90" s="495">
        <v>26158</v>
      </c>
      <c r="Y90" s="495">
        <v>27533</v>
      </c>
      <c r="Z90" s="495">
        <v>30069</v>
      </c>
      <c r="AA90" s="495">
        <v>24705</v>
      </c>
      <c r="AB90" s="495">
        <v>32944</v>
      </c>
      <c r="AC90" s="496">
        <v>30198</v>
      </c>
      <c r="AD90" s="496">
        <v>35011</v>
      </c>
      <c r="AE90" s="496">
        <v>31309</v>
      </c>
      <c r="AF90" s="497">
        <v>7.15</v>
      </c>
      <c r="AG90" s="497">
        <v>7.3</v>
      </c>
      <c r="AH90" s="497">
        <v>7.28</v>
      </c>
      <c r="AI90" s="497">
        <v>6.95</v>
      </c>
      <c r="AJ90" s="497">
        <v>7.4</v>
      </c>
      <c r="AK90" s="497">
        <v>7.1</v>
      </c>
      <c r="AL90" s="497">
        <v>6.57</v>
      </c>
      <c r="AM90" s="497">
        <v>7.25</v>
      </c>
      <c r="AN90" s="497">
        <v>7.32</v>
      </c>
      <c r="AO90" s="497">
        <v>7.03</v>
      </c>
      <c r="AP90" s="497">
        <v>7.11</v>
      </c>
      <c r="AQ90" s="497">
        <v>7.51</v>
      </c>
      <c r="AR90" s="497">
        <v>7.07</v>
      </c>
      <c r="AS90" s="497">
        <v>7.21</v>
      </c>
      <c r="AT90" s="497">
        <v>6.77</v>
      </c>
      <c r="AU90" s="497">
        <v>6.76</v>
      </c>
      <c r="AV90" s="497">
        <v>7.21</v>
      </c>
      <c r="AW90" s="497">
        <v>7.02</v>
      </c>
      <c r="AX90" s="497">
        <v>6.84</v>
      </c>
      <c r="AY90" s="497">
        <v>6.86</v>
      </c>
      <c r="AZ90" s="497">
        <v>7.06</v>
      </c>
      <c r="BA90" s="497">
        <v>6.61</v>
      </c>
      <c r="BB90" s="497">
        <v>7.32</v>
      </c>
      <c r="BC90" s="498">
        <v>6.98</v>
      </c>
      <c r="BD90" s="498">
        <v>7.4</v>
      </c>
      <c r="BE90" s="498">
        <v>7.21</v>
      </c>
      <c r="BF90" s="499">
        <f>SUM(Input_Raw[[#This Row],[O2_01]:[O2_26]])</f>
        <v>749752</v>
      </c>
      <c r="BG90" s="500">
        <f>IFERROR(AVERAGE(Input_Raw[[#This Row],[WS_O2_01]:[WS_O2_26]]),"")</f>
        <v>7.0880769230769243</v>
      </c>
      <c r="BH90" s="501"/>
      <c r="BI90" s="501"/>
      <c r="BJ90" s="496">
        <v>729900</v>
      </c>
      <c r="BK90" s="496">
        <v>0</v>
      </c>
      <c r="BL90" s="502">
        <f>Input_Raw[[#This Row],[66 kV_Wind_F1_Export_reading]]-Input_Raw[[#This Row],[66 kV_Wind_F1_Import_reading]]</f>
        <v>729900</v>
      </c>
      <c r="BM90" s="503">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504"/>
      <c r="BQ90" s="505">
        <v>790.8</v>
      </c>
      <c r="BR90" s="506"/>
    </row>
    <row r="91" spans="1:70" ht="15">
      <c r="A91" s="240">
        <f t="shared" si="14"/>
        <v>45831</v>
      </c>
      <c r="B91" s="11">
        <f>YEAR(Input_Raw[[#This Row],[Date]])+IF(MONTH(Input_Raw[[#This Row],[Date]])&gt;=4,1,0)</f>
        <v>2026</v>
      </c>
      <c r="C91" s="11">
        <f>YEAR(Input_Raw[[#This Row],[Date]])</f>
        <v>2025</v>
      </c>
      <c r="D91" s="12">
        <f t="shared" si="18"/>
        <v>45809</v>
      </c>
      <c r="E91" s="11">
        <f>DAY(EOMONTH(Input_Raw[[#This Row],[Date]],0))</f>
        <v>30</v>
      </c>
      <c r="F91" s="507">
        <v>32259</v>
      </c>
      <c r="G91" s="507">
        <v>36662</v>
      </c>
      <c r="H91" s="507">
        <v>33725</v>
      </c>
      <c r="I91" s="507">
        <v>28913</v>
      </c>
      <c r="J91" s="507">
        <v>33535</v>
      </c>
      <c r="K91" s="507">
        <v>32886</v>
      </c>
      <c r="L91" s="507">
        <v>30932</v>
      </c>
      <c r="M91" s="507">
        <v>33205</v>
      </c>
      <c r="N91" s="507">
        <v>35738</v>
      </c>
      <c r="O91" s="507">
        <v>33998</v>
      </c>
      <c r="P91" s="507">
        <v>33536</v>
      </c>
      <c r="Q91" s="507">
        <v>0</v>
      </c>
      <c r="R91" s="507">
        <v>34442</v>
      </c>
      <c r="S91" s="507">
        <v>35000</v>
      </c>
      <c r="T91" s="507">
        <v>33852</v>
      </c>
      <c r="U91" s="507">
        <v>32991</v>
      </c>
      <c r="V91" s="507">
        <v>35432</v>
      </c>
      <c r="W91" s="507">
        <v>33258</v>
      </c>
      <c r="X91" s="507">
        <v>34347</v>
      </c>
      <c r="Y91" s="507">
        <v>30969</v>
      </c>
      <c r="Z91" s="507">
        <v>32231</v>
      </c>
      <c r="AA91" s="507">
        <v>28383</v>
      </c>
      <c r="AB91" s="507">
        <v>36008</v>
      </c>
      <c r="AC91" s="508">
        <v>33852</v>
      </c>
      <c r="AD91" s="508">
        <v>38693</v>
      </c>
      <c r="AE91" s="508">
        <v>35736</v>
      </c>
      <c r="AF91" s="509">
        <v>7.43</v>
      </c>
      <c r="AG91" s="509">
        <v>7.67</v>
      </c>
      <c r="AH91" s="509">
        <v>7.6</v>
      </c>
      <c r="AI91" s="509">
        <v>7.05</v>
      </c>
      <c r="AJ91" s="509">
        <v>7.64</v>
      </c>
      <c r="AK91" s="509">
        <v>7.68</v>
      </c>
      <c r="AL91" s="509">
        <v>7.18</v>
      </c>
      <c r="AM91" s="509">
        <v>7.45</v>
      </c>
      <c r="AN91" s="509">
        <v>7.78</v>
      </c>
      <c r="AO91" s="509">
        <v>7.57</v>
      </c>
      <c r="AP91" s="509">
        <v>7.67</v>
      </c>
      <c r="AQ91" s="509">
        <v>8.9700000000000006</v>
      </c>
      <c r="AR91" s="509">
        <v>7.57</v>
      </c>
      <c r="AS91" s="509">
        <v>7.66</v>
      </c>
      <c r="AT91" s="509">
        <v>7.54</v>
      </c>
      <c r="AU91" s="509">
        <v>7.58</v>
      </c>
      <c r="AV91" s="509">
        <v>7.84</v>
      </c>
      <c r="AW91" s="509">
        <v>7.52</v>
      </c>
      <c r="AX91" s="509">
        <v>7.63</v>
      </c>
      <c r="AY91" s="509">
        <v>7.31</v>
      </c>
      <c r="AZ91" s="509">
        <v>7.45</v>
      </c>
      <c r="BA91" s="509">
        <v>7.07</v>
      </c>
      <c r="BB91" s="509">
        <v>7.76</v>
      </c>
      <c r="BC91" s="510">
        <v>7.43</v>
      </c>
      <c r="BD91" s="510">
        <v>7.78</v>
      </c>
      <c r="BE91" s="510">
        <v>7.68</v>
      </c>
      <c r="BF91" s="511">
        <f>SUM(Input_Raw[[#This Row],[O2_01]:[O2_26]])</f>
        <v>840583</v>
      </c>
      <c r="BG91" s="512">
        <f>IFERROR(AVERAGE(Input_Raw[[#This Row],[WS_O2_01]:[WS_O2_26]]),"")</f>
        <v>7.5965384615384624</v>
      </c>
      <c r="BH91" s="513"/>
      <c r="BI91" s="513"/>
      <c r="BJ91" s="508">
        <v>820350</v>
      </c>
      <c r="BK91" s="508">
        <v>0</v>
      </c>
      <c r="BL91" s="514">
        <f>Input_Raw[[#This Row],[66 kV_Wind_F1_Export_reading]]-Input_Raw[[#This Row],[66 kV_Wind_F1_Import_reading]]</f>
        <v>820350</v>
      </c>
      <c r="BM91" s="515">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516"/>
      <c r="BQ91" s="517">
        <v>894.97</v>
      </c>
      <c r="BR91" s="518"/>
    </row>
    <row r="92" spans="1:70" ht="15">
      <c r="A92" s="240">
        <f t="shared" si="14"/>
        <v>45832</v>
      </c>
      <c r="B92" s="11">
        <f>YEAR(Input_Raw[[#This Row],[Date]])+IF(MONTH(Input_Raw[[#This Row],[Date]])&gt;=4,1,0)</f>
        <v>2026</v>
      </c>
      <c r="C92" s="11">
        <f>YEAR(Input_Raw[[#This Row],[Date]])</f>
        <v>2025</v>
      </c>
      <c r="D92" s="12">
        <f t="shared" si="18"/>
        <v>45809</v>
      </c>
      <c r="E92" s="11">
        <f>DAY(EOMONTH(Input_Raw[[#This Row],[Date]],0))</f>
        <v>30</v>
      </c>
      <c r="F92" s="507">
        <v>43504</v>
      </c>
      <c r="G92" s="507">
        <v>46613</v>
      </c>
      <c r="H92" s="507">
        <v>43680</v>
      </c>
      <c r="I92" s="507">
        <v>42991</v>
      </c>
      <c r="J92" s="507">
        <v>46848</v>
      </c>
      <c r="K92" s="507">
        <v>42185</v>
      </c>
      <c r="L92" s="507">
        <v>44567</v>
      </c>
      <c r="M92" s="507">
        <v>39645</v>
      </c>
      <c r="N92" s="507">
        <v>44922</v>
      </c>
      <c r="O92" s="507">
        <v>41740</v>
      </c>
      <c r="P92" s="507">
        <v>43228</v>
      </c>
      <c r="Q92" s="507">
        <v>0</v>
      </c>
      <c r="R92" s="507">
        <v>43455</v>
      </c>
      <c r="S92" s="507">
        <v>43210</v>
      </c>
      <c r="T92" s="507">
        <v>40798</v>
      </c>
      <c r="U92" s="507">
        <v>38965</v>
      </c>
      <c r="V92" s="507">
        <v>45630</v>
      </c>
      <c r="W92" s="507">
        <v>41810</v>
      </c>
      <c r="X92" s="507">
        <v>48279</v>
      </c>
      <c r="Y92" s="507">
        <v>41972</v>
      </c>
      <c r="Z92" s="507">
        <v>44172</v>
      </c>
      <c r="AA92" s="507">
        <v>40585</v>
      </c>
      <c r="AB92" s="507">
        <v>44719</v>
      </c>
      <c r="AC92" s="508">
        <v>43964</v>
      </c>
      <c r="AD92" s="508">
        <v>49046</v>
      </c>
      <c r="AE92" s="508">
        <v>45247</v>
      </c>
      <c r="AF92" s="509">
        <v>8.31</v>
      </c>
      <c r="AG92" s="509">
        <v>8.58</v>
      </c>
      <c r="AH92" s="509">
        <v>8.1999999999999993</v>
      </c>
      <c r="AI92" s="509">
        <v>8.34</v>
      </c>
      <c r="AJ92" s="509">
        <v>8.6999999999999993</v>
      </c>
      <c r="AK92" s="509">
        <v>8.23</v>
      </c>
      <c r="AL92" s="509">
        <v>8.35</v>
      </c>
      <c r="AM92" s="509">
        <v>8.36</v>
      </c>
      <c r="AN92" s="509">
        <v>8.44</v>
      </c>
      <c r="AO92" s="509">
        <v>8.0299999999999994</v>
      </c>
      <c r="AP92" s="509">
        <v>8.2899999999999991</v>
      </c>
      <c r="AQ92" s="509">
        <v>9.76</v>
      </c>
      <c r="AR92" s="509">
        <v>8.23</v>
      </c>
      <c r="AS92" s="509">
        <v>8.23</v>
      </c>
      <c r="AT92" s="509">
        <v>8.01</v>
      </c>
      <c r="AU92" s="509">
        <v>7.85</v>
      </c>
      <c r="AV92" s="509">
        <v>8.5299999999999994</v>
      </c>
      <c r="AW92" s="509">
        <v>8.08</v>
      </c>
      <c r="AX92" s="509">
        <v>8.59</v>
      </c>
      <c r="AY92" s="509">
        <v>8.14</v>
      </c>
      <c r="AZ92" s="509">
        <v>8.25</v>
      </c>
      <c r="BA92" s="509">
        <v>8.08</v>
      </c>
      <c r="BB92" s="509">
        <v>8.35</v>
      </c>
      <c r="BC92" s="510">
        <v>8.19</v>
      </c>
      <c r="BD92" s="510">
        <v>8.61</v>
      </c>
      <c r="BE92" s="510">
        <v>8.41</v>
      </c>
      <c r="BF92" s="511">
        <f>SUM(Input_Raw[[#This Row],[O2_01]:[O2_26]])</f>
        <v>1091775</v>
      </c>
      <c r="BG92" s="512">
        <f>IFERROR(AVERAGE(Input_Raw[[#This Row],[WS_O2_01]:[WS_O2_26]]),"")</f>
        <v>8.3515384615384622</v>
      </c>
      <c r="BH92" s="513"/>
      <c r="BI92" s="513"/>
      <c r="BJ92" s="508">
        <v>1056600</v>
      </c>
      <c r="BK92" s="508">
        <v>0</v>
      </c>
      <c r="BL92" s="514">
        <f>Input_Raw[[#This Row],[66 kV_Wind_F1_Export_reading]]-Input_Raw[[#This Row],[66 kV_Wind_F1_Import_reading]]</f>
        <v>1056600</v>
      </c>
      <c r="BM92" s="515">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516"/>
      <c r="BQ92" s="517">
        <v>1165.22</v>
      </c>
      <c r="BR92" s="518"/>
    </row>
    <row r="93" spans="1:70" ht="15">
      <c r="A93" s="240">
        <f t="shared" si="14"/>
        <v>45833</v>
      </c>
      <c r="B93" s="11">
        <f>YEAR(Input_Raw[[#This Row],[Date]])+IF(MONTH(Input_Raw[[#This Row],[Date]])&gt;=4,1,0)</f>
        <v>2026</v>
      </c>
      <c r="C93" s="11">
        <f>YEAR(Input_Raw[[#This Row],[Date]])</f>
        <v>2025</v>
      </c>
      <c r="D93" s="12">
        <f t="shared" si="18"/>
        <v>45809</v>
      </c>
      <c r="E93" s="11">
        <f>DAY(EOMONTH(Input_Raw[[#This Row],[Date]],0))</f>
        <v>30</v>
      </c>
      <c r="F93" s="519">
        <v>9881</v>
      </c>
      <c r="G93" s="519">
        <v>9958</v>
      </c>
      <c r="H93" s="519">
        <v>9307</v>
      </c>
      <c r="I93" s="519">
        <v>10703</v>
      </c>
      <c r="J93" s="519">
        <v>10550</v>
      </c>
      <c r="K93" s="519">
        <v>13541</v>
      </c>
      <c r="L93" s="519">
        <v>10134</v>
      </c>
      <c r="M93" s="519">
        <v>9903</v>
      </c>
      <c r="N93" s="519">
        <v>9690</v>
      </c>
      <c r="O93" s="519">
        <v>8295</v>
      </c>
      <c r="P93" s="519">
        <v>10093</v>
      </c>
      <c r="Q93" s="519">
        <v>0</v>
      </c>
      <c r="R93" s="519">
        <v>8970</v>
      </c>
      <c r="S93" s="519">
        <v>8612</v>
      </c>
      <c r="T93" s="519">
        <v>8951</v>
      </c>
      <c r="U93" s="519">
        <v>10180</v>
      </c>
      <c r="V93" s="519">
        <v>15934</v>
      </c>
      <c r="W93" s="519">
        <v>12551</v>
      </c>
      <c r="X93" s="519">
        <v>13990</v>
      </c>
      <c r="Y93" s="519">
        <v>10246</v>
      </c>
      <c r="Z93" s="519">
        <v>13211</v>
      </c>
      <c r="AA93" s="519">
        <v>14081</v>
      </c>
      <c r="AB93" s="519">
        <v>9260</v>
      </c>
      <c r="AC93" s="520">
        <v>11296</v>
      </c>
      <c r="AD93" s="520">
        <v>11852</v>
      </c>
      <c r="AE93" s="520">
        <v>9536</v>
      </c>
      <c r="AF93" s="521">
        <v>4.8899999999999997</v>
      </c>
      <c r="AG93" s="521">
        <v>4.76</v>
      </c>
      <c r="AH93" s="521">
        <v>4.66</v>
      </c>
      <c r="AI93" s="521">
        <v>4.8499999999999996</v>
      </c>
      <c r="AJ93" s="521">
        <v>4.84</v>
      </c>
      <c r="AK93" s="521">
        <v>5.7</v>
      </c>
      <c r="AL93" s="521">
        <v>4.78</v>
      </c>
      <c r="AM93" s="521">
        <v>4.66</v>
      </c>
      <c r="AN93" s="521">
        <v>4.75</v>
      </c>
      <c r="AO93" s="521">
        <v>4.53</v>
      </c>
      <c r="AP93" s="521">
        <v>4.88</v>
      </c>
      <c r="AQ93" s="521">
        <v>5.4</v>
      </c>
      <c r="AR93" s="521">
        <v>4.6900000000000004</v>
      </c>
      <c r="AS93" s="521">
        <v>4.6100000000000003</v>
      </c>
      <c r="AT93" s="521">
        <v>4.59</v>
      </c>
      <c r="AU93" s="521">
        <v>4.84</v>
      </c>
      <c r="AV93" s="521">
        <v>5.87</v>
      </c>
      <c r="AW93" s="521">
        <v>5.25</v>
      </c>
      <c r="AX93" s="521">
        <v>5.34</v>
      </c>
      <c r="AY93" s="521">
        <v>4.9000000000000004</v>
      </c>
      <c r="AZ93" s="521">
        <v>5.31</v>
      </c>
      <c r="BA93" s="521">
        <v>5.48</v>
      </c>
      <c r="BB93" s="521">
        <v>4.63</v>
      </c>
      <c r="BC93" s="522">
        <v>4.97</v>
      </c>
      <c r="BD93" s="522">
        <v>4.97</v>
      </c>
      <c r="BE93" s="522">
        <v>4.7</v>
      </c>
      <c r="BF93" s="523">
        <f>SUM(Input_Raw[[#This Row],[O2_01]:[O2_26]])</f>
        <v>270725</v>
      </c>
      <c r="BG93" s="524">
        <f>IFERROR(AVERAGE(Input_Raw[[#This Row],[WS_O2_01]:[WS_O2_26]]),"")</f>
        <v>4.9557692307692314</v>
      </c>
      <c r="BH93" s="525"/>
      <c r="BI93" s="525"/>
      <c r="BJ93" s="520">
        <v>263250</v>
      </c>
      <c r="BK93" s="520">
        <v>0</v>
      </c>
      <c r="BL93" s="526">
        <f>Input_Raw[[#This Row],[66 kV_Wind_F1_Export_reading]]-Input_Raw[[#This Row],[66 kV_Wind_F1_Import_reading]]</f>
        <v>263250</v>
      </c>
      <c r="BM93" s="527">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528"/>
      <c r="BQ93" s="529">
        <v>286.3</v>
      </c>
      <c r="BR93" s="530"/>
    </row>
    <row r="94" spans="1:70" ht="15">
      <c r="A94" s="240">
        <f t="shared" si="14"/>
        <v>45834</v>
      </c>
      <c r="B94" s="11">
        <f>YEAR(Input_Raw[[#This Row],[Date]])+IF(MONTH(Input_Raw[[#This Row],[Date]])&gt;=4,1,0)</f>
        <v>2026</v>
      </c>
      <c r="C94" s="11">
        <f>YEAR(Input_Raw[[#This Row],[Date]])</f>
        <v>2025</v>
      </c>
      <c r="D94" s="12">
        <f t="shared" si="18"/>
        <v>45809</v>
      </c>
      <c r="E94" s="11">
        <f>DAY(EOMONTH(Input_Raw[[#This Row],[Date]],0))</f>
        <v>30</v>
      </c>
      <c r="F94" s="137">
        <v>5982</v>
      </c>
      <c r="G94" s="137">
        <v>6461</v>
      </c>
      <c r="H94" s="137">
        <v>5250</v>
      </c>
      <c r="I94" s="137">
        <v>6918</v>
      </c>
      <c r="J94" s="137">
        <v>6206</v>
      </c>
      <c r="K94" s="137">
        <v>7570</v>
      </c>
      <c r="L94" s="137">
        <v>6102</v>
      </c>
      <c r="M94" s="137">
        <v>6987</v>
      </c>
      <c r="N94" s="137">
        <v>5838</v>
      </c>
      <c r="O94" s="137">
        <v>5654</v>
      </c>
      <c r="P94" s="137">
        <v>6362</v>
      </c>
      <c r="Q94" s="137">
        <v>0</v>
      </c>
      <c r="R94" s="137">
        <v>7100</v>
      </c>
      <c r="S94" s="137">
        <v>6657</v>
      </c>
      <c r="T94" s="137">
        <v>6563</v>
      </c>
      <c r="U94" s="137">
        <v>5760</v>
      </c>
      <c r="V94" s="137">
        <v>9140</v>
      </c>
      <c r="W94" s="137">
        <v>7687</v>
      </c>
      <c r="X94" s="137">
        <v>7434</v>
      </c>
      <c r="Y94" s="137">
        <v>6217</v>
      </c>
      <c r="Z94" s="137">
        <v>7106</v>
      </c>
      <c r="AA94" s="137">
        <v>7623</v>
      </c>
      <c r="AB94" s="137">
        <v>5808</v>
      </c>
      <c r="AC94" s="13">
        <v>6764</v>
      </c>
      <c r="AD94" s="13">
        <v>6817</v>
      </c>
      <c r="AE94" s="13">
        <v>6401</v>
      </c>
      <c r="AF94" s="138">
        <v>3.92</v>
      </c>
      <c r="AG94" s="138">
        <v>3.9</v>
      </c>
      <c r="AH94" s="138">
        <v>3.67</v>
      </c>
      <c r="AI94" s="138">
        <v>3.89</v>
      </c>
      <c r="AJ94" s="138">
        <v>3.93</v>
      </c>
      <c r="AK94" s="138">
        <v>4.6100000000000003</v>
      </c>
      <c r="AL94" s="138">
        <v>3.73</v>
      </c>
      <c r="AM94" s="138">
        <v>3.83</v>
      </c>
      <c r="AN94" s="138">
        <v>3.78</v>
      </c>
      <c r="AO94" s="138">
        <v>3.73</v>
      </c>
      <c r="AP94" s="138">
        <v>3.95</v>
      </c>
      <c r="AQ94" s="138">
        <v>2.72</v>
      </c>
      <c r="AR94" s="138">
        <v>3.94</v>
      </c>
      <c r="AS94" s="138">
        <v>3.96</v>
      </c>
      <c r="AT94" s="138">
        <v>3.85</v>
      </c>
      <c r="AU94" s="138">
        <v>3.72</v>
      </c>
      <c r="AV94" s="138">
        <v>4.55</v>
      </c>
      <c r="AW94" s="138">
        <v>4.09</v>
      </c>
      <c r="AX94" s="138">
        <v>3.99</v>
      </c>
      <c r="AY94" s="138">
        <v>3.93</v>
      </c>
      <c r="AZ94" s="138">
        <v>4.13</v>
      </c>
      <c r="BA94" s="138">
        <v>4.1900000000000004</v>
      </c>
      <c r="BB94" s="138">
        <v>3.76</v>
      </c>
      <c r="BC94" s="14">
        <v>3.97</v>
      </c>
      <c r="BD94" s="14">
        <v>3.98</v>
      </c>
      <c r="BE94" s="14">
        <v>3.85</v>
      </c>
      <c r="BF94" s="139">
        <f>SUM(Input_Raw[[#This Row],[O2_01]:[O2_26]])</f>
        <v>166407</v>
      </c>
      <c r="BG94" s="140">
        <f>IFERROR(AVERAGE(Input_Raw[[#This Row],[WS_O2_01]:[WS_O2_26]]),"")</f>
        <v>3.906538461538462</v>
      </c>
      <c r="BH94" s="141"/>
      <c r="BI94" s="141"/>
      <c r="BJ94" s="13">
        <v>161100</v>
      </c>
      <c r="BK94" s="13">
        <v>900</v>
      </c>
      <c r="BL94" s="15">
        <f>Input_Raw[[#This Row],[66 kV_Wind_F1_Export_reading]]-Input_Raw[[#This Row],[66 kV_Wind_F1_Import_reading]]</f>
        <v>160200</v>
      </c>
      <c r="BM94" s="142">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35">
        <v>172.06</v>
      </c>
      <c r="BR94" s="207"/>
    </row>
    <row r="95" spans="1:70" ht="15">
      <c r="A95" s="240">
        <f t="shared" si="14"/>
        <v>45835</v>
      </c>
      <c r="B95" s="11">
        <f>YEAR(Input_Raw[[#This Row],[Date]])+IF(MONTH(Input_Raw[[#This Row],[Date]])&gt;=4,1,0)</f>
        <v>2026</v>
      </c>
      <c r="C95" s="11">
        <f>YEAR(Input_Raw[[#This Row],[Date]])</f>
        <v>2025</v>
      </c>
      <c r="D95" s="12">
        <f t="shared" si="18"/>
        <v>45809</v>
      </c>
      <c r="E95" s="11">
        <f>DAY(EOMONTH(Input_Raw[[#This Row],[Date]],0))</f>
        <v>30</v>
      </c>
      <c r="F95" s="137">
        <v>29710</v>
      </c>
      <c r="G95" s="137">
        <v>29694</v>
      </c>
      <c r="H95" s="137">
        <v>30983</v>
      </c>
      <c r="I95" s="137">
        <v>29532</v>
      </c>
      <c r="J95" s="137">
        <v>28858</v>
      </c>
      <c r="K95" s="137">
        <v>35928</v>
      </c>
      <c r="L95" s="137">
        <v>27937</v>
      </c>
      <c r="M95" s="137">
        <v>31893</v>
      </c>
      <c r="N95" s="137">
        <v>31282</v>
      </c>
      <c r="O95" s="137">
        <v>31871</v>
      </c>
      <c r="P95" s="137">
        <v>32970</v>
      </c>
      <c r="Q95" s="137">
        <v>0</v>
      </c>
      <c r="R95" s="137">
        <v>25886</v>
      </c>
      <c r="S95" s="137">
        <v>32706</v>
      </c>
      <c r="T95" s="137">
        <v>33647</v>
      </c>
      <c r="U95" s="137">
        <v>33184</v>
      </c>
      <c r="V95" s="137">
        <v>35884</v>
      </c>
      <c r="W95" s="137">
        <v>35848</v>
      </c>
      <c r="X95" s="137">
        <v>32324</v>
      </c>
      <c r="Y95" s="137">
        <v>29446</v>
      </c>
      <c r="Z95" s="137">
        <v>32170</v>
      </c>
      <c r="AA95" s="137">
        <v>37800</v>
      </c>
      <c r="AB95" s="137">
        <v>29380</v>
      </c>
      <c r="AC95" s="13">
        <v>32878</v>
      </c>
      <c r="AD95" s="13">
        <v>30869</v>
      </c>
      <c r="AE95" s="13">
        <v>31562</v>
      </c>
      <c r="AF95" s="138">
        <v>6.9103472166591189</v>
      </c>
      <c r="AG95" s="138">
        <v>6.8454860978656331</v>
      </c>
      <c r="AH95" s="138">
        <v>6.8801388508743688</v>
      </c>
      <c r="AI95" s="138">
        <v>6.8813194466961738</v>
      </c>
      <c r="AJ95" s="138">
        <v>6.8432639042536394</v>
      </c>
      <c r="AK95" s="138">
        <v>7.6981249931785767</v>
      </c>
      <c r="AL95" s="138">
        <v>6.7058333489629938</v>
      </c>
      <c r="AM95" s="138">
        <v>6.9772222257322705</v>
      </c>
      <c r="AN95" s="138">
        <v>7.0093749993377168</v>
      </c>
      <c r="AO95" s="138">
        <v>7.0302083541949552</v>
      </c>
      <c r="AP95" s="138">
        <v>7.2204166601101498</v>
      </c>
      <c r="AQ95" s="138">
        <v>0</v>
      </c>
      <c r="AR95" s="138">
        <v>7.1977622475657395</v>
      </c>
      <c r="AS95" s="138">
        <v>7.107152748439046</v>
      </c>
      <c r="AT95" s="138">
        <v>7.1796527471807234</v>
      </c>
      <c r="AU95" s="138">
        <v>7.1360416395796635</v>
      </c>
      <c r="AV95" s="138">
        <v>7.7323611014419065</v>
      </c>
      <c r="AW95" s="138">
        <v>7.3764583220084479</v>
      </c>
      <c r="AX95" s="138">
        <v>7.1459027760558644</v>
      </c>
      <c r="AY95" s="138">
        <v>6.9877083086305154</v>
      </c>
      <c r="AZ95" s="138">
        <v>7.173472205797828</v>
      </c>
      <c r="BA95" s="138">
        <v>7.776527739233436</v>
      </c>
      <c r="BB95" s="138">
        <v>6.887083331743872</v>
      </c>
      <c r="BC95" s="14">
        <v>7.1539583388302015</v>
      </c>
      <c r="BD95" s="14">
        <v>6.8993055688010294</v>
      </c>
      <c r="BE95" s="14">
        <v>7.0188889188898909</v>
      </c>
      <c r="BF95" s="139">
        <f>SUM(Input_Raw[[#This Row],[O2_01]:[O2_26]])</f>
        <v>794242</v>
      </c>
      <c r="BG95" s="140">
        <f>IFERROR(AVERAGE(Input_Raw[[#This Row],[WS_O2_01]:[WS_O2_26]]),"")</f>
        <v>6.8374620035409128</v>
      </c>
      <c r="BH95" s="141"/>
      <c r="BI95" s="141"/>
      <c r="BJ95" s="13">
        <v>772650</v>
      </c>
      <c r="BK95" s="13">
        <v>0</v>
      </c>
      <c r="BL95" s="15">
        <f>Input_Raw[[#This Row],[66 kV_Wind_F1_Export_reading]]-Input_Raw[[#This Row],[66 kV_Wind_F1_Import_reading]]</f>
        <v>772650</v>
      </c>
      <c r="BM95" s="142">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35">
        <v>807.27</v>
      </c>
      <c r="BR95" s="207"/>
    </row>
    <row r="96" spans="1:70" ht="15">
      <c r="A96" s="240">
        <f t="shared" si="14"/>
        <v>45836</v>
      </c>
      <c r="B96" s="11">
        <f>YEAR(Input_Raw[[#This Row],[Date]])+IF(MONTH(Input_Raw[[#This Row],[Date]])&gt;=4,1,0)</f>
        <v>2026</v>
      </c>
      <c r="C96" s="11">
        <f>YEAR(Input_Raw[[#This Row],[Date]])</f>
        <v>2025</v>
      </c>
      <c r="D96" s="12">
        <f t="shared" ref="D96:D101" si="19">A96-DAY(A96)+1</f>
        <v>45809</v>
      </c>
      <c r="E96" s="11">
        <f>DAY(EOMONTH(Input_Raw[[#This Row],[Date]],0))</f>
        <v>30</v>
      </c>
      <c r="F96" s="532">
        <v>56204</v>
      </c>
      <c r="G96" s="532">
        <v>55284</v>
      </c>
      <c r="H96" s="532">
        <v>54660</v>
      </c>
      <c r="I96" s="532">
        <v>53600</v>
      </c>
      <c r="J96" s="532">
        <v>54703</v>
      </c>
      <c r="K96" s="532">
        <v>58092</v>
      </c>
      <c r="L96" s="532">
        <v>53572</v>
      </c>
      <c r="M96" s="532">
        <v>42838</v>
      </c>
      <c r="N96" s="532">
        <v>56209</v>
      </c>
      <c r="O96" s="532">
        <v>54705</v>
      </c>
      <c r="P96" s="532">
        <v>56457</v>
      </c>
      <c r="Q96" s="532">
        <v>0</v>
      </c>
      <c r="R96" s="532">
        <v>56738</v>
      </c>
      <c r="S96" s="532">
        <v>56319</v>
      </c>
      <c r="T96" s="532">
        <v>58053</v>
      </c>
      <c r="U96" s="532">
        <v>55682</v>
      </c>
      <c r="V96" s="532">
        <v>56104</v>
      </c>
      <c r="W96" s="532">
        <v>58276</v>
      </c>
      <c r="X96" s="532">
        <v>57627</v>
      </c>
      <c r="Y96" s="532">
        <v>52311</v>
      </c>
      <c r="Z96" s="532">
        <v>56225</v>
      </c>
      <c r="AA96" s="532">
        <v>58011</v>
      </c>
      <c r="AB96" s="532">
        <v>53851</v>
      </c>
      <c r="AC96" s="533">
        <v>54860</v>
      </c>
      <c r="AD96" s="533">
        <v>56866</v>
      </c>
      <c r="AE96" s="533">
        <v>55344</v>
      </c>
      <c r="AF96" s="534">
        <v>9.8893749978807044</v>
      </c>
      <c r="AG96" s="534">
        <v>9.882500025961118</v>
      </c>
      <c r="AH96" s="534">
        <v>9.6034722295072203</v>
      </c>
      <c r="AI96" s="534">
        <v>9.6678472459316094</v>
      </c>
      <c r="AJ96" s="534">
        <v>9.7336111234293856</v>
      </c>
      <c r="AK96" s="534">
        <v>10.148611088593784</v>
      </c>
      <c r="AL96" s="534">
        <v>9.5979166461361629</v>
      </c>
      <c r="AM96" s="534">
        <v>9.7179166351755288</v>
      </c>
      <c r="AN96" s="534">
        <v>9.8218055533038058</v>
      </c>
      <c r="AO96" s="534">
        <v>9.6160416636201962</v>
      </c>
      <c r="AP96" s="534">
        <v>9.9553472333484123</v>
      </c>
      <c r="AQ96" s="534">
        <v>5.8127777808242165</v>
      </c>
      <c r="AR96" s="534">
        <v>9.8643055326408664</v>
      </c>
      <c r="AS96" s="534">
        <v>9.7319444417953331</v>
      </c>
      <c r="AT96" s="534">
        <v>9.9236111144224601</v>
      </c>
      <c r="AU96" s="534">
        <v>9.9079860978656171</v>
      </c>
      <c r="AV96" s="534">
        <v>10.319583321611068</v>
      </c>
      <c r="AW96" s="534">
        <v>9.96680551767348</v>
      </c>
      <c r="AX96" s="534">
        <v>10.145625011788461</v>
      </c>
      <c r="AY96" s="534">
        <v>9.5035416450765222</v>
      </c>
      <c r="AZ96" s="534">
        <v>10.035208341148147</v>
      </c>
      <c r="BA96" s="534">
        <v>10.341805544164432</v>
      </c>
      <c r="BB96" s="534">
        <v>9.751041690508508</v>
      </c>
      <c r="BC96" s="535">
        <v>9.6993750267558489</v>
      </c>
      <c r="BD96" s="535">
        <v>9.8125694427225216</v>
      </c>
      <c r="BE96" s="535">
        <v>9.7290277613533771</v>
      </c>
      <c r="BF96" s="536">
        <f>SUM(Input_Raw[[#This Row],[O2_01]:[O2_26]])</f>
        <v>1382591</v>
      </c>
      <c r="BG96" s="537">
        <f>IFERROR(AVERAGE(Input_Raw[[#This Row],[WS_O2_01]:[WS_O2_26]]),"")</f>
        <v>9.6992174120476466</v>
      </c>
      <c r="BH96" s="538"/>
      <c r="BI96" s="538"/>
      <c r="BJ96" s="533">
        <v>1334250</v>
      </c>
      <c r="BK96" s="533">
        <v>0</v>
      </c>
      <c r="BL96" s="539">
        <f>Input_Raw[[#This Row],[66 kV_Wind_F1_Export_reading]]-Input_Raw[[#This Row],[66 kV_Wind_F1_Import_reading]]</f>
        <v>1334250</v>
      </c>
      <c r="BM96" s="540">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541"/>
      <c r="BQ96" s="542">
        <v>1434.41</v>
      </c>
      <c r="BR96" s="543"/>
    </row>
    <row r="97" spans="1:70" ht="15">
      <c r="A97" s="240">
        <f t="shared" si="14"/>
        <v>45837</v>
      </c>
      <c r="B97" s="11">
        <f>YEAR(Input_Raw[[#This Row],[Date]])+IF(MONTH(Input_Raw[[#This Row],[Date]])&gt;=4,1,0)</f>
        <v>2026</v>
      </c>
      <c r="C97" s="11">
        <f>YEAR(Input_Raw[[#This Row],[Date]])</f>
        <v>2025</v>
      </c>
      <c r="D97" s="12">
        <f t="shared" si="19"/>
        <v>45809</v>
      </c>
      <c r="E97" s="11">
        <f>DAY(EOMONTH(Input_Raw[[#This Row],[Date]],0))</f>
        <v>30</v>
      </c>
      <c r="F97" s="532">
        <v>54692</v>
      </c>
      <c r="G97" s="532">
        <v>56261</v>
      </c>
      <c r="H97" s="532">
        <v>53336</v>
      </c>
      <c r="I97" s="532">
        <v>58716</v>
      </c>
      <c r="J97" s="532">
        <v>53004</v>
      </c>
      <c r="K97" s="532">
        <v>62725</v>
      </c>
      <c r="L97" s="532">
        <v>57606</v>
      </c>
      <c r="M97" s="532">
        <v>46179</v>
      </c>
      <c r="N97" s="532">
        <v>45425</v>
      </c>
      <c r="O97" s="532">
        <v>55795</v>
      </c>
      <c r="P97" s="532">
        <v>57284</v>
      </c>
      <c r="Q97" s="532">
        <v>0</v>
      </c>
      <c r="R97" s="532">
        <v>57422</v>
      </c>
      <c r="S97" s="532">
        <v>58023</v>
      </c>
      <c r="T97" s="532">
        <v>56720</v>
      </c>
      <c r="U97" s="532">
        <v>58947</v>
      </c>
      <c r="V97" s="532">
        <v>61742</v>
      </c>
      <c r="W97" s="532">
        <v>63546</v>
      </c>
      <c r="X97" s="532">
        <v>62375</v>
      </c>
      <c r="Y97" s="532">
        <v>60462</v>
      </c>
      <c r="Z97" s="532">
        <v>62347</v>
      </c>
      <c r="AA97" s="532">
        <v>63422</v>
      </c>
      <c r="AB97" s="532">
        <v>53083</v>
      </c>
      <c r="AC97" s="533">
        <v>60695</v>
      </c>
      <c r="AD97" s="533">
        <v>55475</v>
      </c>
      <c r="AE97" s="533">
        <v>55208</v>
      </c>
      <c r="AF97" s="534">
        <v>9.73</v>
      </c>
      <c r="AG97" s="534">
        <v>9.94</v>
      </c>
      <c r="AH97" s="534">
        <v>9.48</v>
      </c>
      <c r="AI97" s="534">
        <v>10.119999999999999</v>
      </c>
      <c r="AJ97" s="534">
        <v>9.74</v>
      </c>
      <c r="AK97" s="534">
        <v>10.8</v>
      </c>
      <c r="AL97" s="534">
        <v>10.09</v>
      </c>
      <c r="AM97" s="534">
        <v>9.86</v>
      </c>
      <c r="AN97" s="534">
        <v>9.5299999999999994</v>
      </c>
      <c r="AO97" s="534">
        <v>9.8800000000000008</v>
      </c>
      <c r="AP97" s="534">
        <v>10.01</v>
      </c>
      <c r="AQ97" s="534">
        <v>10.9</v>
      </c>
      <c r="AR97" s="534">
        <v>9.9600000000000009</v>
      </c>
      <c r="AS97" s="534">
        <v>10.039999999999999</v>
      </c>
      <c r="AT97" s="534">
        <v>9.9600000000000009</v>
      </c>
      <c r="AU97" s="534">
        <v>10.28</v>
      </c>
      <c r="AV97" s="534">
        <v>11.07</v>
      </c>
      <c r="AW97" s="534">
        <v>10.65</v>
      </c>
      <c r="AX97" s="534">
        <v>10.77</v>
      </c>
      <c r="AY97" s="534">
        <v>10.29</v>
      </c>
      <c r="AZ97" s="534">
        <v>10.64</v>
      </c>
      <c r="BA97" s="534">
        <v>11.09</v>
      </c>
      <c r="BB97" s="534">
        <v>9.6</v>
      </c>
      <c r="BC97" s="535">
        <v>10.220000000000001</v>
      </c>
      <c r="BD97" s="535">
        <v>9.64</v>
      </c>
      <c r="BE97" s="535">
        <v>9.7899999999999991</v>
      </c>
      <c r="BF97" s="536">
        <f>SUM(Input_Raw[[#This Row],[O2_01]:[O2_26]])</f>
        <v>1430490</v>
      </c>
      <c r="BG97" s="537">
        <f>IFERROR(AVERAGE(Input_Raw[[#This Row],[WS_O2_01]:[WS_O2_26]]),"")</f>
        <v>10.156923076923078</v>
      </c>
      <c r="BH97" s="538"/>
      <c r="BI97" s="538"/>
      <c r="BJ97" s="533">
        <v>1379250</v>
      </c>
      <c r="BK97" s="533">
        <v>0</v>
      </c>
      <c r="BL97" s="539">
        <f>Input_Raw[[#This Row],[66 kV_Wind_F1_Export_reading]]-Input_Raw[[#This Row],[66 kV_Wind_F1_Import_reading]]</f>
        <v>1379250</v>
      </c>
      <c r="BM97" s="540">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541"/>
      <c r="BQ97" s="542">
        <v>1508.13</v>
      </c>
      <c r="BR97" s="543"/>
    </row>
    <row r="98" spans="1:70" ht="15">
      <c r="A98" s="240">
        <f t="shared" si="14"/>
        <v>45838</v>
      </c>
      <c r="B98" s="11">
        <f>YEAR(Input_Raw[[#This Row],[Date]])+IF(MONTH(Input_Raw[[#This Row],[Date]])&gt;=4,1,0)</f>
        <v>2026</v>
      </c>
      <c r="C98" s="11">
        <f>YEAR(Input_Raw[[#This Row],[Date]])</f>
        <v>2025</v>
      </c>
      <c r="D98" s="12">
        <f t="shared" si="19"/>
        <v>45809</v>
      </c>
      <c r="E98" s="11">
        <f>DAY(EOMONTH(Input_Raw[[#This Row],[Date]],0))</f>
        <v>30</v>
      </c>
      <c r="F98" s="137">
        <v>53426</v>
      </c>
      <c r="G98" s="137">
        <v>53878</v>
      </c>
      <c r="H98" s="137">
        <v>52369</v>
      </c>
      <c r="I98" s="137">
        <v>55594</v>
      </c>
      <c r="J98" s="137">
        <v>52759</v>
      </c>
      <c r="K98" s="137">
        <v>57647</v>
      </c>
      <c r="L98" s="137">
        <v>55087</v>
      </c>
      <c r="M98" s="137">
        <v>38128</v>
      </c>
      <c r="N98" s="137">
        <v>44861</v>
      </c>
      <c r="O98" s="137">
        <v>49805</v>
      </c>
      <c r="P98" s="137">
        <v>54194</v>
      </c>
      <c r="Q98" s="137">
        <v>0</v>
      </c>
      <c r="R98" s="137">
        <v>53550</v>
      </c>
      <c r="S98" s="137">
        <v>53754</v>
      </c>
      <c r="T98" s="137">
        <v>51323</v>
      </c>
      <c r="U98" s="137">
        <v>51935</v>
      </c>
      <c r="V98" s="137">
        <v>59127</v>
      </c>
      <c r="W98" s="137">
        <v>58437</v>
      </c>
      <c r="X98" s="137">
        <v>59722</v>
      </c>
      <c r="Y98" s="137">
        <v>55431</v>
      </c>
      <c r="Z98" s="137">
        <v>59418</v>
      </c>
      <c r="AA98" s="137">
        <v>58811</v>
      </c>
      <c r="AB98" s="137">
        <v>53587</v>
      </c>
      <c r="AC98" s="13">
        <v>55787</v>
      </c>
      <c r="AD98" s="13">
        <v>56331</v>
      </c>
      <c r="AE98" s="13">
        <v>53074</v>
      </c>
      <c r="AF98" s="138">
        <v>9.3382638659742074</v>
      </c>
      <c r="AG98" s="138">
        <v>9.4255555735693903</v>
      </c>
      <c r="AH98" s="138">
        <v>9.1932639016045368</v>
      </c>
      <c r="AI98" s="138">
        <v>9.511111097203349</v>
      </c>
      <c r="AJ98" s="138">
        <v>9.4017360974620523</v>
      </c>
      <c r="AK98" s="138">
        <v>9.9126388728618409</v>
      </c>
      <c r="AL98" s="138">
        <v>9.5431250035762663</v>
      </c>
      <c r="AM98" s="138">
        <v>9.3521527759730727</v>
      </c>
      <c r="AN98" s="138">
        <v>9.3041666547457211</v>
      </c>
      <c r="AO98" s="138">
        <v>9.1195104839084777</v>
      </c>
      <c r="AP98" s="138">
        <v>9.4489583240614863</v>
      </c>
      <c r="AQ98" s="138">
        <v>10.460555556747629</v>
      </c>
      <c r="AR98" s="138">
        <v>9.3081944717301148</v>
      </c>
      <c r="AS98" s="138">
        <v>9.294861074950953</v>
      </c>
      <c r="AT98" s="138">
        <v>9.1254861222373052</v>
      </c>
      <c r="AU98" s="138">
        <v>9.3398611148198327</v>
      </c>
      <c r="AV98" s="138">
        <v>10.260559462167141</v>
      </c>
      <c r="AW98" s="138">
        <v>9.7431249817212287</v>
      </c>
      <c r="AX98" s="138">
        <v>10.096250017484012</v>
      </c>
      <c r="AY98" s="138">
        <v>9.5286111003822622</v>
      </c>
      <c r="AZ98" s="138">
        <v>9.9463889135254533</v>
      </c>
      <c r="BA98" s="138">
        <v>10.069583319955379</v>
      </c>
      <c r="BB98" s="138">
        <v>9.3122222125530101</v>
      </c>
      <c r="BC98" s="14">
        <v>9.5404166612360086</v>
      </c>
      <c r="BD98" s="14">
        <v>9.4933333628707359</v>
      </c>
      <c r="BE98" s="14">
        <v>9.3251388933923405</v>
      </c>
      <c r="BF98" s="139">
        <f>SUM(Input_Raw[[#This Row],[O2_01]:[O2_26]])</f>
        <v>1348035</v>
      </c>
      <c r="BG98" s="140">
        <f>IFERROR(AVERAGE(Input_Raw[[#This Row],[WS_O2_01]:[WS_O2_26]]),"")</f>
        <v>9.5536565352582237</v>
      </c>
      <c r="BH98" s="141"/>
      <c r="BI98" s="141"/>
      <c r="BJ98" s="13">
        <v>1301850</v>
      </c>
      <c r="BK98" s="13">
        <v>0</v>
      </c>
      <c r="BL98" s="15">
        <f>Input_Raw[[#This Row],[66 kV_Wind_F1_Export_reading]]-Input_Raw[[#This Row],[66 kV_Wind_F1_Import_reading]]</f>
        <v>1301850</v>
      </c>
      <c r="BM98" s="142">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35">
        <v>1451.83</v>
      </c>
      <c r="BR98" s="207"/>
    </row>
    <row r="99" spans="1:70" ht="15">
      <c r="A99" s="240">
        <f t="shared" si="14"/>
        <v>45839</v>
      </c>
      <c r="B99" s="11">
        <f>YEAR(Input_Raw[[#This Row],[Date]])+IF(MONTH(Input_Raw[[#This Row],[Date]])&gt;=4,1,0)</f>
        <v>2026</v>
      </c>
      <c r="C99" s="11">
        <f>YEAR(Input_Raw[[#This Row],[Date]])</f>
        <v>2025</v>
      </c>
      <c r="D99" s="12">
        <f t="shared" si="19"/>
        <v>45839</v>
      </c>
      <c r="E99" s="11">
        <f>DAY(EOMONTH(Input_Raw[[#This Row],[Date]],0))</f>
        <v>31</v>
      </c>
      <c r="F99" s="137">
        <v>33007</v>
      </c>
      <c r="G99" s="137">
        <v>35634</v>
      </c>
      <c r="H99" s="137">
        <v>27997</v>
      </c>
      <c r="I99" s="137">
        <v>34887</v>
      </c>
      <c r="J99" s="137">
        <v>37135</v>
      </c>
      <c r="K99" s="137">
        <v>40044</v>
      </c>
      <c r="L99" s="137">
        <v>30187</v>
      </c>
      <c r="M99" s="137">
        <v>37613</v>
      </c>
      <c r="N99" s="137">
        <v>35286</v>
      </c>
      <c r="O99" s="137">
        <v>34711</v>
      </c>
      <c r="P99" s="137">
        <v>32474</v>
      </c>
      <c r="Q99" s="137">
        <v>0</v>
      </c>
      <c r="R99" s="137">
        <v>31527</v>
      </c>
      <c r="S99" s="137">
        <v>33961</v>
      </c>
      <c r="T99" s="137">
        <v>27463</v>
      </c>
      <c r="U99" s="137">
        <v>28146</v>
      </c>
      <c r="V99" s="137">
        <v>46982</v>
      </c>
      <c r="W99" s="137">
        <v>40056</v>
      </c>
      <c r="X99" s="137">
        <v>41590</v>
      </c>
      <c r="Y99" s="137">
        <v>34692</v>
      </c>
      <c r="Z99" s="137">
        <v>42013</v>
      </c>
      <c r="AA99" s="137">
        <v>38603</v>
      </c>
      <c r="AB99" s="137">
        <v>32499</v>
      </c>
      <c r="AC99" s="13">
        <v>34010</v>
      </c>
      <c r="AD99" s="13">
        <v>38182</v>
      </c>
      <c r="AE99" s="13">
        <v>30946</v>
      </c>
      <c r="AF99" s="138">
        <v>7.4600699197995901</v>
      </c>
      <c r="AG99" s="138">
        <v>7.6240140401141732</v>
      </c>
      <c r="AH99" s="138">
        <v>7.3918181943309875</v>
      </c>
      <c r="AI99" s="138">
        <v>7.4640277557902852</v>
      </c>
      <c r="AJ99" s="138">
        <v>7.7702097967788042</v>
      </c>
      <c r="AK99" s="138">
        <v>8.1718749701976723</v>
      </c>
      <c r="AL99" s="138">
        <v>7.0523611290587311</v>
      </c>
      <c r="AM99" s="138">
        <v>7.6222916775279561</v>
      </c>
      <c r="AN99" s="138">
        <v>7.7065034979706866</v>
      </c>
      <c r="AO99" s="138">
        <v>7.5143356856766266</v>
      </c>
      <c r="AP99" s="138">
        <v>7.4249650548388058</v>
      </c>
      <c r="AQ99" s="138">
        <v>8.1511805852254184</v>
      </c>
      <c r="AR99" s="138">
        <v>7.2206293719631791</v>
      </c>
      <c r="AS99" s="138">
        <v>7.48370629757434</v>
      </c>
      <c r="AT99" s="138">
        <v>6.8951408392946476</v>
      </c>
      <c r="AU99" s="138">
        <v>6.8672222163942118</v>
      </c>
      <c r="AV99" s="138">
        <v>8.6352777745988583</v>
      </c>
      <c r="AW99" s="138">
        <v>7.854166643487078</v>
      </c>
      <c r="AX99" s="138">
        <v>7.9751388529936458</v>
      </c>
      <c r="AY99" s="138">
        <v>7.4495833085642902</v>
      </c>
      <c r="AZ99" s="138">
        <v>8.0753472281826824</v>
      </c>
      <c r="BA99" s="138">
        <v>7.9930555522441828</v>
      </c>
      <c r="BB99" s="138">
        <v>7.4841957792535512</v>
      </c>
      <c r="BC99" s="14">
        <v>7.3502777748637715</v>
      </c>
      <c r="BD99" s="14">
        <v>7.7376923361024659</v>
      </c>
      <c r="BE99" s="14">
        <v>7.2721527483728181</v>
      </c>
      <c r="BF99" s="139">
        <f>SUM(Input_Raw[[#This Row],[O2_01]:[O2_26]])</f>
        <v>879645</v>
      </c>
      <c r="BG99" s="140">
        <f>IFERROR(AVERAGE(Input_Raw[[#This Row],[WS_O2_01]:[WS_O2_26]]),"")</f>
        <v>7.6018168858153654</v>
      </c>
      <c r="BH99" s="141"/>
      <c r="BI99" s="141"/>
      <c r="BJ99" s="13">
        <v>855000</v>
      </c>
      <c r="BK99" s="13">
        <v>0</v>
      </c>
      <c r="BL99" s="15">
        <f>Input_Raw[[#This Row],[66 kV_Wind_F1_Export_reading]]-Input_Raw[[#This Row],[66 kV_Wind_F1_Import_reading]]</f>
        <v>855000</v>
      </c>
      <c r="BM99" s="142">
        <f>Input_Raw[[#This Row],[WTG Total Gneration (KWh)]]-Input_Raw[[#This Row],[66 kV_Wind_F1_Export_reading]]</f>
        <v>24645</v>
      </c>
      <c r="BN99" s="111">
        <f>(Input_Raw[[#This Row],[WTG Total Gneration (KWh)]]-Input_Raw[[#This Row],[66 kV_Wind_F1_Export_reading]])/Input_Raw[[#This Row],[WTG Total Gneration (KWh)]]</f>
        <v>2.8016984124277406E-2</v>
      </c>
      <c r="BO99" s="89">
        <v>70.2</v>
      </c>
      <c r="BP99" s="99"/>
      <c r="BQ99" s="135">
        <v>938.65</v>
      </c>
      <c r="BR99" s="207"/>
    </row>
    <row r="100" spans="1:70" ht="15">
      <c r="A100" s="240">
        <f t="shared" si="14"/>
        <v>45840</v>
      </c>
      <c r="B100" s="11">
        <f>YEAR(Input_Raw[[#This Row],[Date]])+IF(MONTH(Input_Raw[[#This Row],[Date]])&gt;=4,1,0)</f>
        <v>2026</v>
      </c>
      <c r="C100" s="11">
        <f>YEAR(Input_Raw[[#This Row],[Date]])</f>
        <v>2025</v>
      </c>
      <c r="D100" s="12">
        <f t="shared" si="19"/>
        <v>45839</v>
      </c>
      <c r="E100" s="11">
        <f>DAY(EOMONTH(Input_Raw[[#This Row],[Date]],0))</f>
        <v>31</v>
      </c>
      <c r="F100" s="137">
        <v>29644</v>
      </c>
      <c r="G100" s="137">
        <v>35182</v>
      </c>
      <c r="H100" s="137">
        <v>30573</v>
      </c>
      <c r="I100" s="137">
        <v>30431</v>
      </c>
      <c r="J100" s="137">
        <v>34556</v>
      </c>
      <c r="K100" s="137">
        <v>29022</v>
      </c>
      <c r="L100" s="137">
        <v>29432</v>
      </c>
      <c r="M100" s="137">
        <v>30920</v>
      </c>
      <c r="N100" s="137">
        <v>31596</v>
      </c>
      <c r="O100" s="137">
        <v>29275</v>
      </c>
      <c r="P100" s="137">
        <v>29363</v>
      </c>
      <c r="Q100" s="137">
        <v>0</v>
      </c>
      <c r="R100" s="137">
        <v>30690</v>
      </c>
      <c r="S100" s="137">
        <v>32433</v>
      </c>
      <c r="T100" s="137">
        <v>29199</v>
      </c>
      <c r="U100" s="137">
        <v>29949</v>
      </c>
      <c r="V100" s="137">
        <v>32659</v>
      </c>
      <c r="W100" s="137">
        <v>30013</v>
      </c>
      <c r="X100" s="137">
        <v>34116</v>
      </c>
      <c r="Y100" s="137">
        <v>27208</v>
      </c>
      <c r="Z100" s="137">
        <v>30365</v>
      </c>
      <c r="AA100" s="137">
        <v>27741</v>
      </c>
      <c r="AB100" s="137">
        <v>33314</v>
      </c>
      <c r="AC100" s="13">
        <v>31248</v>
      </c>
      <c r="AD100" s="13">
        <v>35246</v>
      </c>
      <c r="AE100" s="13">
        <v>30658</v>
      </c>
      <c r="AF100" s="138">
        <v>7.0535416669315758</v>
      </c>
      <c r="AG100" s="138">
        <v>7.4395138621330243</v>
      </c>
      <c r="AH100" s="138">
        <v>6.975069476498498</v>
      </c>
      <c r="AI100" s="138">
        <v>7.1133566736341338</v>
      </c>
      <c r="AJ100" s="138">
        <v>7.4834722098377018</v>
      </c>
      <c r="AK100" s="138">
        <v>7.3784615509993516</v>
      </c>
      <c r="AL100" s="138">
        <v>7.1705594512966133</v>
      </c>
      <c r="AM100" s="138">
        <v>7.0909285545349103</v>
      </c>
      <c r="AN100" s="138">
        <v>7.2404861450195295</v>
      </c>
      <c r="AO100" s="138">
        <v>7.027291688654155</v>
      </c>
      <c r="AP100" s="138">
        <v>7.0705555528402293</v>
      </c>
      <c r="AQ100" s="138">
        <v>8.3115972578525472</v>
      </c>
      <c r="AR100" s="138">
        <v>7.082222210036381</v>
      </c>
      <c r="AS100" s="138">
        <v>7.2642361190583937</v>
      </c>
      <c r="AT100" s="138">
        <v>6.9958333207501289</v>
      </c>
      <c r="AU100" s="138">
        <v>7.1137762436499932</v>
      </c>
      <c r="AV100" s="138">
        <v>7.5181119125206086</v>
      </c>
      <c r="AW100" s="138">
        <v>7.0520979074331409</v>
      </c>
      <c r="AX100" s="138">
        <v>7.4484615659380244</v>
      </c>
      <c r="AY100" s="138">
        <v>6.8849650513042091</v>
      </c>
      <c r="AZ100" s="138">
        <v>7.1702797412872279</v>
      </c>
      <c r="BA100" s="138">
        <v>7.0178321791695533</v>
      </c>
      <c r="BB100" s="138">
        <v>7.2938194374243404</v>
      </c>
      <c r="BC100" s="14">
        <v>7.1297902043882777</v>
      </c>
      <c r="BD100" s="14">
        <v>7.3915277719497663</v>
      </c>
      <c r="BE100" s="14">
        <v>7.134999993774624</v>
      </c>
      <c r="BF100" s="139">
        <f>SUM(Input_Raw[[#This Row],[O2_01]:[O2_26]])</f>
        <v>774833</v>
      </c>
      <c r="BG100" s="140">
        <f>IFERROR(AVERAGE(Input_Raw[[#This Row],[WS_O2_01]:[WS_O2_26]]),"")</f>
        <v>7.2251072211121912</v>
      </c>
      <c r="BH100" s="141"/>
      <c r="BI100" s="141"/>
      <c r="BJ100" s="13">
        <v>753750</v>
      </c>
      <c r="BK100" s="13">
        <v>0</v>
      </c>
      <c r="BL100" s="15">
        <f>Input_Raw[[#This Row],[66 kV_Wind_F1_Export_reading]]-Input_Raw[[#This Row],[66 kV_Wind_F1_Import_reading]]</f>
        <v>753750</v>
      </c>
      <c r="BM100" s="142">
        <f>Input_Raw[[#This Row],[WTG Total Gneration (KWh)]]-Input_Raw[[#This Row],[66 kV_Wind_F1_Export_reading]]</f>
        <v>21083</v>
      </c>
      <c r="BN100" s="111">
        <f>(Input_Raw[[#This Row],[WTG Total Gneration (KWh)]]-Input_Raw[[#This Row],[66 kV_Wind_F1_Export_reading]])/Input_Raw[[#This Row],[WTG Total Gneration (KWh)]]</f>
        <v>2.7209734226601088E-2</v>
      </c>
      <c r="BO100" s="89">
        <v>70.2</v>
      </c>
      <c r="BP100" s="99"/>
      <c r="BQ100" s="135">
        <v>831.68</v>
      </c>
      <c r="BR100" s="207"/>
    </row>
    <row r="101" spans="1:70" ht="15">
      <c r="A101" s="240">
        <f t="shared" si="14"/>
        <v>45841</v>
      </c>
      <c r="B101" s="11">
        <f>YEAR(Input_Raw[[#This Row],[Date]])+IF(MONTH(Input_Raw[[#This Row],[Date]])&gt;=4,1,0)</f>
        <v>2026</v>
      </c>
      <c r="C101" s="11">
        <f>YEAR(Input_Raw[[#This Row],[Date]])</f>
        <v>2025</v>
      </c>
      <c r="D101" s="12">
        <f t="shared" si="19"/>
        <v>45839</v>
      </c>
      <c r="E101" s="11">
        <f>DAY(EOMONTH(Input_Raw[[#This Row],[Date]],0))</f>
        <v>31</v>
      </c>
      <c r="F101" s="137">
        <v>28439</v>
      </c>
      <c r="G101" s="137">
        <v>31434</v>
      </c>
      <c r="H101" s="137">
        <v>31484</v>
      </c>
      <c r="I101" s="137">
        <v>26987</v>
      </c>
      <c r="J101" s="137">
        <v>31756</v>
      </c>
      <c r="K101" s="137">
        <v>28199</v>
      </c>
      <c r="L101" s="137">
        <v>27508</v>
      </c>
      <c r="M101" s="137">
        <v>29908</v>
      </c>
      <c r="N101" s="137">
        <v>29781</v>
      </c>
      <c r="O101" s="137">
        <v>30174</v>
      </c>
      <c r="P101" s="137">
        <v>29961</v>
      </c>
      <c r="Q101" s="137">
        <v>0</v>
      </c>
      <c r="R101" s="137">
        <v>29021</v>
      </c>
      <c r="S101" s="137">
        <v>31450</v>
      </c>
      <c r="T101" s="137">
        <v>28823</v>
      </c>
      <c r="U101" s="137">
        <v>30206</v>
      </c>
      <c r="V101" s="137">
        <v>28833</v>
      </c>
      <c r="W101" s="137">
        <v>28810</v>
      </c>
      <c r="X101" s="137">
        <v>30867</v>
      </c>
      <c r="Y101" s="137">
        <v>28283</v>
      </c>
      <c r="Z101" s="137">
        <v>29253</v>
      </c>
      <c r="AA101" s="137">
        <v>24323</v>
      </c>
      <c r="AB101" s="137">
        <v>30668</v>
      </c>
      <c r="AC101" s="13">
        <v>30396</v>
      </c>
      <c r="AD101" s="13">
        <v>33208</v>
      </c>
      <c r="AE101" s="13">
        <v>30243</v>
      </c>
      <c r="AF101" s="138">
        <v>6.9407639139228392</v>
      </c>
      <c r="AG101" s="138">
        <v>7.1092361062765121</v>
      </c>
      <c r="AH101" s="138">
        <v>7.1079166465335417</v>
      </c>
      <c r="AI101" s="138">
        <v>6.710555545157856</v>
      </c>
      <c r="AJ101" s="138">
        <v>7.2015277975135383</v>
      </c>
      <c r="AK101" s="138">
        <v>7.1495833281013672</v>
      </c>
      <c r="AL101" s="138">
        <v>6.7293749998013173</v>
      </c>
      <c r="AM101" s="138">
        <v>6.8711111264096356</v>
      </c>
      <c r="AN101" s="138">
        <v>7.0476388848490181</v>
      </c>
      <c r="AO101" s="138">
        <v>6.9788194414642115</v>
      </c>
      <c r="AP101" s="138">
        <v>7.061944436695839</v>
      </c>
      <c r="AQ101" s="138">
        <v>7.8986111250188582</v>
      </c>
      <c r="AR101" s="138">
        <v>6.8575000067551919</v>
      </c>
      <c r="AS101" s="138">
        <v>7.0886805637015229</v>
      </c>
      <c r="AT101" s="138">
        <v>6.8239583406183444</v>
      </c>
      <c r="AU101" s="138">
        <v>6.9354166669978028</v>
      </c>
      <c r="AV101" s="138">
        <v>7.0225694560342351</v>
      </c>
      <c r="AW101" s="138">
        <v>6.8334027843342877</v>
      </c>
      <c r="AX101" s="138">
        <v>7.0106250014569991</v>
      </c>
      <c r="AY101" s="138">
        <v>6.8624305360847035</v>
      </c>
      <c r="AZ101" s="138">
        <v>6.919444436828293</v>
      </c>
      <c r="BA101" s="138">
        <v>6.5720138930612135</v>
      </c>
      <c r="BB101" s="138">
        <v>7.0516666521628695</v>
      </c>
      <c r="BC101" s="14">
        <v>6.9123610672023554</v>
      </c>
      <c r="BD101" s="14">
        <v>7.1961805505885019</v>
      </c>
      <c r="BE101" s="14">
        <v>6.9929166684548054</v>
      </c>
      <c r="BF101" s="139">
        <f>SUM(Input_Raw[[#This Row],[O2_01]:[O2_26]])</f>
        <v>740015</v>
      </c>
      <c r="BG101" s="140">
        <f>IFERROR(AVERAGE(Input_Raw[[#This Row],[WS_O2_01]:[WS_O2_26]]),"")</f>
        <v>6.9956249990779096</v>
      </c>
      <c r="BH101" s="141"/>
      <c r="BI101" s="141"/>
      <c r="BJ101" s="13">
        <v>720900</v>
      </c>
      <c r="BK101" s="13">
        <v>0</v>
      </c>
      <c r="BL101" s="15">
        <f>Input_Raw[[#This Row],[66 kV_Wind_F1_Export_reading]]-Input_Raw[[#This Row],[66 kV_Wind_F1_Import_reading]]</f>
        <v>720900</v>
      </c>
      <c r="BM101" s="142">
        <f>Input_Raw[[#This Row],[WTG Total Gneration (KWh)]]-Input_Raw[[#This Row],[66 kV_Wind_F1_Export_reading]]</f>
        <v>19115</v>
      </c>
      <c r="BN101" s="111">
        <f>(Input_Raw[[#This Row],[WTG Total Gneration (KWh)]]-Input_Raw[[#This Row],[66 kV_Wind_F1_Export_reading]])/Input_Raw[[#This Row],[WTG Total Gneration (KWh)]]</f>
        <v>2.5830557488699554E-2</v>
      </c>
      <c r="BO101" s="89">
        <v>70.2</v>
      </c>
      <c r="BP101" s="99"/>
      <c r="BQ101" s="135">
        <v>789.12</v>
      </c>
      <c r="BR101" s="207"/>
    </row>
    <row r="102" spans="1:70" ht="15">
      <c r="A102" s="240">
        <f t="shared" si="14"/>
        <v>45842</v>
      </c>
      <c r="B102" s="11">
        <f>YEAR(Input_Raw[[#This Row],[Date]])+IF(MONTH(Input_Raw[[#This Row],[Date]])&gt;=4,1,0)</f>
        <v>2026</v>
      </c>
      <c r="C102" s="11">
        <f>YEAR(Input_Raw[[#This Row],[Date]])</f>
        <v>2025</v>
      </c>
      <c r="D102" s="12">
        <f t="shared" ref="D102" si="20">A102-DAY(A102)+1</f>
        <v>45839</v>
      </c>
      <c r="E102" s="11">
        <f>DAY(EOMONTH(Input_Raw[[#This Row],[Date]],0))</f>
        <v>31</v>
      </c>
      <c r="F102" s="553">
        <v>16805</v>
      </c>
      <c r="G102" s="553">
        <v>19166</v>
      </c>
      <c r="H102" s="553">
        <v>16241</v>
      </c>
      <c r="I102" s="553">
        <v>17686</v>
      </c>
      <c r="J102" s="553">
        <v>19538</v>
      </c>
      <c r="K102" s="553">
        <v>17027</v>
      </c>
      <c r="L102" s="553">
        <v>17148</v>
      </c>
      <c r="M102" s="553">
        <v>17269</v>
      </c>
      <c r="N102" s="553">
        <v>16169</v>
      </c>
      <c r="O102" s="553">
        <v>16197</v>
      </c>
      <c r="P102" s="553">
        <v>15861</v>
      </c>
      <c r="Q102" s="553">
        <v>0</v>
      </c>
      <c r="R102" s="553">
        <v>15946</v>
      </c>
      <c r="S102" s="553">
        <v>16553</v>
      </c>
      <c r="T102" s="553">
        <v>16111</v>
      </c>
      <c r="U102" s="553">
        <v>15978</v>
      </c>
      <c r="V102" s="553">
        <v>18015</v>
      </c>
      <c r="W102" s="553">
        <v>17420</v>
      </c>
      <c r="X102" s="553">
        <v>17110</v>
      </c>
      <c r="Y102" s="553">
        <v>2838</v>
      </c>
      <c r="Z102" s="553">
        <v>17444</v>
      </c>
      <c r="AA102" s="553">
        <v>17634</v>
      </c>
      <c r="AB102" s="553">
        <v>15831</v>
      </c>
      <c r="AC102" s="554">
        <v>18545</v>
      </c>
      <c r="AD102" s="554">
        <v>21118</v>
      </c>
      <c r="AE102" s="554">
        <v>16699</v>
      </c>
      <c r="AF102" s="555">
        <v>5.6438888923989392</v>
      </c>
      <c r="AG102" s="555">
        <v>5.7808333436648045</v>
      </c>
      <c r="AH102" s="555">
        <v>5.4604166572292634</v>
      </c>
      <c r="AI102" s="555">
        <v>5.5066666669315758</v>
      </c>
      <c r="AJ102" s="555">
        <v>5.9132638855112916</v>
      </c>
      <c r="AK102" s="555">
        <v>5.9399305598603345</v>
      </c>
      <c r="AL102" s="555">
        <v>5.4963889022668191</v>
      </c>
      <c r="AM102" s="555">
        <v>5.4656944390800257</v>
      </c>
      <c r="AN102" s="555">
        <v>5.5429861173033705</v>
      </c>
      <c r="AO102" s="555">
        <v>5.4837500138415223</v>
      </c>
      <c r="AP102" s="555">
        <v>5.519652762346797</v>
      </c>
      <c r="AQ102" s="555">
        <v>6.2409027872814065</v>
      </c>
      <c r="AR102" s="555">
        <v>5.4021527717510853</v>
      </c>
      <c r="AS102" s="555">
        <v>5.5036111209127627</v>
      </c>
      <c r="AT102" s="555">
        <v>5.385972221692402</v>
      </c>
      <c r="AU102" s="555">
        <v>5.3752777824799214</v>
      </c>
      <c r="AV102" s="555">
        <v>5.677222217950554</v>
      </c>
      <c r="AW102" s="555">
        <v>5.5332639018694554</v>
      </c>
      <c r="AX102" s="555">
        <v>5.4981944461663552</v>
      </c>
      <c r="AY102" s="555">
        <v>4.341333338419596</v>
      </c>
      <c r="AZ102" s="555">
        <v>5.6029166744814969</v>
      </c>
      <c r="BA102" s="555">
        <v>5.6165277858575173</v>
      </c>
      <c r="BB102" s="555">
        <v>5.4295138857430869</v>
      </c>
      <c r="BC102" s="556">
        <v>5.688541665673255</v>
      </c>
      <c r="BD102" s="556">
        <v>6.0053472138113442</v>
      </c>
      <c r="BE102" s="556">
        <v>5.5500694695446215</v>
      </c>
      <c r="BF102" s="557">
        <f>SUM(Input_Raw[[#This Row],[O2_01]:[O2_26]])</f>
        <v>416349</v>
      </c>
      <c r="BG102" s="558">
        <f>IFERROR(AVERAGE(Input_Raw[[#This Row],[WS_O2_01]:[WS_O2_26]]),"")</f>
        <v>5.5617045970796006</v>
      </c>
      <c r="BH102" s="559"/>
      <c r="BI102" s="559"/>
      <c r="BJ102" s="554">
        <v>405900</v>
      </c>
      <c r="BK102" s="554">
        <v>0</v>
      </c>
      <c r="BL102" s="560">
        <f>Input_Raw[[#This Row],[66 kV_Wind_F1_Export_reading]]-Input_Raw[[#This Row],[66 kV_Wind_F1_Import_reading]]</f>
        <v>405900</v>
      </c>
      <c r="BM102" s="561">
        <f>Input_Raw[[#This Row],[WTG Total Gneration (KWh)]]-Input_Raw[[#This Row],[66 kV_Wind_F1_Export_reading]]</f>
        <v>10449</v>
      </c>
      <c r="BN102" s="111">
        <f>(Input_Raw[[#This Row],[WTG Total Gneration (KWh)]]-Input_Raw[[#This Row],[66 kV_Wind_F1_Export_reading]])/Input_Raw[[#This Row],[WTG Total Gneration (KWh)]]</f>
        <v>2.5096733749810855E-2</v>
      </c>
      <c r="BO102" s="89">
        <v>70.2</v>
      </c>
      <c r="BP102" s="562"/>
      <c r="BQ102" s="563">
        <v>445.95</v>
      </c>
      <c r="BR102" s="564"/>
    </row>
    <row r="103" spans="1:70" ht="15">
      <c r="A103" s="240">
        <f t="shared" si="14"/>
        <v>45843</v>
      </c>
      <c r="B103" s="11">
        <f>YEAR(Input_Raw[[#This Row],[Date]])+IF(MONTH(Input_Raw[[#This Row],[Date]])&gt;=4,1,0)</f>
        <v>2026</v>
      </c>
      <c r="C103" s="11">
        <f>YEAR(Input_Raw[[#This Row],[Date]])</f>
        <v>2025</v>
      </c>
      <c r="D103" s="12">
        <f t="shared" ref="D103:D108" si="21">A103-DAY(A103)+1</f>
        <v>45839</v>
      </c>
      <c r="E103" s="11">
        <f>DAY(EOMONTH(Input_Raw[[#This Row],[Date]],0))</f>
        <v>31</v>
      </c>
      <c r="F103" s="137">
        <v>22004</v>
      </c>
      <c r="G103" s="137">
        <v>25131</v>
      </c>
      <c r="H103" s="137">
        <v>17163</v>
      </c>
      <c r="I103" s="137">
        <v>21747</v>
      </c>
      <c r="J103" s="137">
        <v>23947</v>
      </c>
      <c r="K103" s="137">
        <v>25629</v>
      </c>
      <c r="L103" s="137">
        <v>23229</v>
      </c>
      <c r="M103" s="137">
        <v>22598</v>
      </c>
      <c r="N103" s="137">
        <v>22640</v>
      </c>
      <c r="O103" s="137">
        <v>23595</v>
      </c>
      <c r="P103" s="137">
        <v>22244</v>
      </c>
      <c r="Q103" s="137">
        <v>0</v>
      </c>
      <c r="R103" s="137">
        <v>22617</v>
      </c>
      <c r="S103" s="137">
        <v>23730</v>
      </c>
      <c r="T103" s="137">
        <v>23029</v>
      </c>
      <c r="U103" s="137">
        <v>25015</v>
      </c>
      <c r="V103" s="137">
        <v>27951</v>
      </c>
      <c r="W103" s="137">
        <v>25593</v>
      </c>
      <c r="X103" s="137">
        <v>27741</v>
      </c>
      <c r="Y103" s="137">
        <v>0</v>
      </c>
      <c r="Z103" s="137">
        <v>25703</v>
      </c>
      <c r="AA103" s="137">
        <v>24899</v>
      </c>
      <c r="AB103" s="137">
        <v>22530</v>
      </c>
      <c r="AC103" s="13">
        <v>25208</v>
      </c>
      <c r="AD103" s="13">
        <v>26245</v>
      </c>
      <c r="AE103" s="13">
        <v>22761</v>
      </c>
      <c r="AF103" s="138">
        <v>6.3547916644149351</v>
      </c>
      <c r="AG103" s="138">
        <v>6.5410416490501815</v>
      </c>
      <c r="AH103" s="138">
        <v>6.2407801469378432</v>
      </c>
      <c r="AI103" s="138">
        <v>6.2110416607724286</v>
      </c>
      <c r="AJ103" s="138">
        <v>6.5098611397875672</v>
      </c>
      <c r="AK103" s="138">
        <v>7.0049999919202586</v>
      </c>
      <c r="AL103" s="138">
        <v>6.3134027818838749</v>
      </c>
      <c r="AM103" s="138">
        <v>6.2443750020530473</v>
      </c>
      <c r="AN103" s="138">
        <v>6.3986805578072854</v>
      </c>
      <c r="AO103" s="138">
        <v>6.3965972248050882</v>
      </c>
      <c r="AP103" s="138">
        <v>6.4163888759083214</v>
      </c>
      <c r="AQ103" s="138">
        <v>7.1613888757096369</v>
      </c>
      <c r="AR103" s="138">
        <v>6.3571527649958917</v>
      </c>
      <c r="AS103" s="138">
        <v>6.478263894716898</v>
      </c>
      <c r="AT103" s="138">
        <v>6.3453471942080384</v>
      </c>
      <c r="AU103" s="138">
        <v>6.4939583407507984</v>
      </c>
      <c r="AV103" s="138">
        <v>7.0193055835035096</v>
      </c>
      <c r="AW103" s="138">
        <v>6.5780555473433582</v>
      </c>
      <c r="AX103" s="138">
        <v>6.7811111195219871</v>
      </c>
      <c r="AY103" s="138">
        <v>6.3328571679100127</v>
      </c>
      <c r="AZ103" s="138">
        <v>6.6822221775849648</v>
      </c>
      <c r="BA103" s="138">
        <v>6.7017361323038713</v>
      </c>
      <c r="BB103" s="138">
        <v>6.2898611028989144</v>
      </c>
      <c r="BC103" s="14">
        <v>6.5270833439297142</v>
      </c>
      <c r="BD103" s="14">
        <v>6.5607639071014185</v>
      </c>
      <c r="BE103" s="14">
        <v>6.3711805376741601</v>
      </c>
      <c r="BF103" s="139">
        <f>SUM(Input_Raw[[#This Row],[O2_01]:[O2_26]])</f>
        <v>572949</v>
      </c>
      <c r="BG103" s="140">
        <f>IFERROR(AVERAGE(Input_Raw[[#This Row],[WS_O2_01]:[WS_O2_26]]),"")</f>
        <v>6.5120095532882321</v>
      </c>
      <c r="BH103" s="141"/>
      <c r="BI103" s="141"/>
      <c r="BJ103" s="13">
        <v>558900</v>
      </c>
      <c r="BK103" s="13">
        <v>0</v>
      </c>
      <c r="BL103" s="15">
        <f>Input_Raw[[#This Row],[66 kV_Wind_F1_Export_reading]]-Input_Raw[[#This Row],[66 kV_Wind_F1_Import_reading]]</f>
        <v>558900</v>
      </c>
      <c r="BM103" s="142">
        <f>Input_Raw[[#This Row],[WTG Total Gneration (KWh)]]-Input_Raw[[#This Row],[66 kV_Wind_F1_Export_reading]]</f>
        <v>14049</v>
      </c>
      <c r="BN103" s="111">
        <f>(Input_Raw[[#This Row],[WTG Total Gneration (KWh)]]-Input_Raw[[#This Row],[66 kV_Wind_F1_Export_reading]])/Input_Raw[[#This Row],[WTG Total Gneration (KWh)]]</f>
        <v>2.4520507060837877E-2</v>
      </c>
      <c r="BO103" s="89">
        <v>70.2</v>
      </c>
      <c r="BP103" s="99"/>
      <c r="BQ103" s="135">
        <v>637.63</v>
      </c>
      <c r="BR103" s="207"/>
    </row>
    <row r="104" spans="1:70" ht="15">
      <c r="A104" s="240">
        <f t="shared" si="14"/>
        <v>45844</v>
      </c>
      <c r="B104" s="11">
        <f>YEAR(Input_Raw[[#This Row],[Date]])+IF(MONTH(Input_Raw[[#This Row],[Date]])&gt;=4,1,0)</f>
        <v>2026</v>
      </c>
      <c r="C104" s="11">
        <f>YEAR(Input_Raw[[#This Row],[Date]])</f>
        <v>2025</v>
      </c>
      <c r="D104" s="12">
        <f t="shared" si="21"/>
        <v>45839</v>
      </c>
      <c r="E104" s="11">
        <f>DAY(EOMONTH(Input_Raw[[#This Row],[Date]],0))</f>
        <v>31</v>
      </c>
      <c r="F104" s="137">
        <v>35095</v>
      </c>
      <c r="G104" s="137">
        <v>38375</v>
      </c>
      <c r="H104" s="137">
        <v>35395</v>
      </c>
      <c r="I104" s="137">
        <v>32259</v>
      </c>
      <c r="J104" s="137">
        <v>36829</v>
      </c>
      <c r="K104" s="137">
        <v>31487</v>
      </c>
      <c r="L104" s="137">
        <v>28614</v>
      </c>
      <c r="M104" s="137">
        <v>34196</v>
      </c>
      <c r="N104" s="137">
        <v>36397</v>
      </c>
      <c r="O104" s="137">
        <v>36147</v>
      </c>
      <c r="P104" s="137">
        <v>34101</v>
      </c>
      <c r="Q104" s="137">
        <v>0</v>
      </c>
      <c r="R104" s="137">
        <v>36718</v>
      </c>
      <c r="S104" s="137">
        <v>35152</v>
      </c>
      <c r="T104" s="137">
        <v>37104</v>
      </c>
      <c r="U104" s="137">
        <v>35391</v>
      </c>
      <c r="V104" s="137">
        <v>29044</v>
      </c>
      <c r="W104" s="137">
        <v>34467</v>
      </c>
      <c r="X104" s="137">
        <v>32522</v>
      </c>
      <c r="Y104" s="137">
        <v>0</v>
      </c>
      <c r="Z104" s="137">
        <v>32757</v>
      </c>
      <c r="AA104" s="137">
        <v>24090</v>
      </c>
      <c r="AB104" s="137">
        <v>35957</v>
      </c>
      <c r="AC104" s="13">
        <v>37017</v>
      </c>
      <c r="AD104" s="13">
        <v>39778</v>
      </c>
      <c r="AE104" s="13">
        <v>33624</v>
      </c>
      <c r="AF104" s="138">
        <v>7.694652802414363</v>
      </c>
      <c r="AG104" s="138">
        <v>7.8912499944368983</v>
      </c>
      <c r="AH104" s="138">
        <v>7.639513889948522</v>
      </c>
      <c r="AI104" s="138">
        <v>7.4339007384388163</v>
      </c>
      <c r="AJ104" s="138">
        <v>7.8213194774256793</v>
      </c>
      <c r="AK104" s="138">
        <v>7.7027659585289889</v>
      </c>
      <c r="AL104" s="138">
        <v>7.0541843945252971</v>
      </c>
      <c r="AM104" s="138">
        <v>7.5241843893172859</v>
      </c>
      <c r="AN104" s="138">
        <v>7.8234722316265071</v>
      </c>
      <c r="AO104" s="138">
        <v>7.7853472232818559</v>
      </c>
      <c r="AP104" s="138">
        <v>7.6802777780426856</v>
      </c>
      <c r="AQ104" s="138">
        <v>8.6623610920376173</v>
      </c>
      <c r="AR104" s="138">
        <v>7.770208342207801</v>
      </c>
      <c r="AS104" s="138">
        <v>7.7290972239441293</v>
      </c>
      <c r="AT104" s="138">
        <v>7.8477083411481594</v>
      </c>
      <c r="AU104" s="138">
        <v>7.7672340413357333</v>
      </c>
      <c r="AV104" s="138">
        <v>7.3686524790229475</v>
      </c>
      <c r="AW104" s="138">
        <v>7.6621276639031981</v>
      </c>
      <c r="AX104" s="138">
        <v>7.5500709351072874</v>
      </c>
      <c r="AY104" s="138">
        <v>7.4724822314918447</v>
      </c>
      <c r="AZ104" s="138">
        <v>7.6238297976500551</v>
      </c>
      <c r="BA104" s="138">
        <v>6.7897872223076225</v>
      </c>
      <c r="BB104" s="138">
        <v>7.7540972067250111</v>
      </c>
      <c r="BC104" s="14">
        <v>7.8131915051886374</v>
      </c>
      <c r="BD104" s="14">
        <v>7.899513910214103</v>
      </c>
      <c r="BE104" s="14">
        <v>7.7616911635679324</v>
      </c>
      <c r="BF104" s="139">
        <f>SUM(Input_Raw[[#This Row],[O2_01]:[O2_26]])</f>
        <v>822516</v>
      </c>
      <c r="BG104" s="140">
        <f>IFERROR(AVERAGE(Input_Raw[[#This Row],[WS_O2_01]:[WS_O2_26]]),"")</f>
        <v>7.6739585397630368</v>
      </c>
      <c r="BH104" s="141"/>
      <c r="BI104" s="141"/>
      <c r="BJ104" s="13">
        <v>801450</v>
      </c>
      <c r="BK104" s="13">
        <v>0</v>
      </c>
      <c r="BL104" s="15">
        <f>Input_Raw[[#This Row],[66 kV_Wind_F1_Export_reading]]-Input_Raw[[#This Row],[66 kV_Wind_F1_Import_reading]]</f>
        <v>801450</v>
      </c>
      <c r="BM104" s="142">
        <f>Input_Raw[[#This Row],[WTG Total Gneration (KWh)]]-Input_Raw[[#This Row],[66 kV_Wind_F1_Export_reading]]</f>
        <v>21066</v>
      </c>
      <c r="BN104" s="111">
        <f>(Input_Raw[[#This Row],[WTG Total Gneration (KWh)]]-Input_Raw[[#This Row],[66 kV_Wind_F1_Export_reading]])/Input_Raw[[#This Row],[WTG Total Gneration (KWh)]]</f>
        <v>2.5611659833972834E-2</v>
      </c>
      <c r="BO104" s="89">
        <v>70.2</v>
      </c>
      <c r="BP104" s="99"/>
      <c r="BQ104" s="135">
        <v>935.58</v>
      </c>
      <c r="BR104" s="207"/>
    </row>
    <row r="105" spans="1:70" ht="15">
      <c r="A105" s="240">
        <f t="shared" si="14"/>
        <v>45845</v>
      </c>
      <c r="B105" s="11">
        <f>YEAR(Input_Raw[[#This Row],[Date]])+IF(MONTH(Input_Raw[[#This Row],[Date]])&gt;=4,1,0)</f>
        <v>2026</v>
      </c>
      <c r="C105" s="11">
        <f>YEAR(Input_Raw[[#This Row],[Date]])</f>
        <v>2025</v>
      </c>
      <c r="D105" s="12">
        <f t="shared" si="21"/>
        <v>45839</v>
      </c>
      <c r="E105" s="11">
        <f>DAY(EOMONTH(Input_Raw[[#This Row],[Date]],0))</f>
        <v>31</v>
      </c>
      <c r="F105" s="137">
        <v>32308</v>
      </c>
      <c r="G105" s="137">
        <v>32365</v>
      </c>
      <c r="H105" s="137">
        <v>32768</v>
      </c>
      <c r="I105" s="137">
        <v>33919</v>
      </c>
      <c r="J105" s="137">
        <v>33272</v>
      </c>
      <c r="K105" s="137">
        <v>41185</v>
      </c>
      <c r="L105" s="137">
        <v>32816</v>
      </c>
      <c r="M105" s="137">
        <v>38046</v>
      </c>
      <c r="N105" s="137">
        <v>31820</v>
      </c>
      <c r="O105" s="137">
        <v>35947</v>
      </c>
      <c r="P105" s="137">
        <v>26959</v>
      </c>
      <c r="Q105" s="137">
        <v>4654</v>
      </c>
      <c r="R105" s="137">
        <v>36860</v>
      </c>
      <c r="S105" s="137">
        <v>33429</v>
      </c>
      <c r="T105" s="137">
        <v>34608</v>
      </c>
      <c r="U105" s="137">
        <v>35309</v>
      </c>
      <c r="V105" s="137">
        <v>43946</v>
      </c>
      <c r="W105" s="137">
        <v>42136</v>
      </c>
      <c r="X105" s="137">
        <v>38174</v>
      </c>
      <c r="Y105" s="137">
        <v>0</v>
      </c>
      <c r="Z105" s="137">
        <v>36191</v>
      </c>
      <c r="AA105" s="137">
        <v>43469</v>
      </c>
      <c r="AB105" s="137">
        <v>31303</v>
      </c>
      <c r="AC105" s="13">
        <v>38504</v>
      </c>
      <c r="AD105" s="13">
        <v>33585</v>
      </c>
      <c r="AE105" s="13">
        <v>33715</v>
      </c>
      <c r="AF105" s="138">
        <v>7.4441134583020006</v>
      </c>
      <c r="AG105" s="138">
        <v>7.4912142515182483</v>
      </c>
      <c r="AH105" s="138">
        <v>7.3930496391675131</v>
      </c>
      <c r="AI105" s="138">
        <v>7.4790278060568669</v>
      </c>
      <c r="AJ105" s="138">
        <v>7.5117605477571452</v>
      </c>
      <c r="AK105" s="138">
        <v>8.3981944157017541</v>
      </c>
      <c r="AL105" s="138">
        <v>7.4637499931785776</v>
      </c>
      <c r="AM105" s="138">
        <v>7.7366666495799974</v>
      </c>
      <c r="AN105" s="138">
        <v>7.4615603085105269</v>
      </c>
      <c r="AO105" s="138">
        <v>7.7531914710998473</v>
      </c>
      <c r="AP105" s="138">
        <v>7.5065942009290039</v>
      </c>
      <c r="AQ105" s="138">
        <v>8.9972727382099649</v>
      </c>
      <c r="AR105" s="138">
        <v>7.8097887374985353</v>
      </c>
      <c r="AS105" s="138">
        <v>7.6414184367403006</v>
      </c>
      <c r="AT105" s="138">
        <v>7.6537588775580625</v>
      </c>
      <c r="AU105" s="138">
        <v>7.6493055555555491</v>
      </c>
      <c r="AV105" s="138">
        <v>8.6287500295374056</v>
      </c>
      <c r="AW105" s="138">
        <v>8.1815972063276448</v>
      </c>
      <c r="AX105" s="138">
        <v>7.8990277714199415</v>
      </c>
      <c r="AY105" s="138">
        <v>7.3388235208367076</v>
      </c>
      <c r="AZ105" s="138">
        <v>7.7313194672266583</v>
      </c>
      <c r="BA105" s="138">
        <v>8.5748610993226304</v>
      </c>
      <c r="BB105" s="138">
        <v>7.3329077950606081</v>
      </c>
      <c r="BC105" s="14">
        <v>7.8052777581744675</v>
      </c>
      <c r="BD105" s="14">
        <v>7.4629077979013401</v>
      </c>
      <c r="BE105" s="14">
        <v>7.5034027596314719</v>
      </c>
      <c r="BF105" s="139">
        <f>SUM(Input_Raw[[#This Row],[O2_01]:[O2_26]])</f>
        <v>857288</v>
      </c>
      <c r="BG105" s="140">
        <f>IFERROR(AVERAGE(Input_Raw[[#This Row],[WS_O2_01]:[WS_O2_26]]),"")</f>
        <v>7.7634439343385679</v>
      </c>
      <c r="BH105" s="141"/>
      <c r="BI105" s="141"/>
      <c r="BJ105" s="13">
        <v>832500</v>
      </c>
      <c r="BK105" s="13">
        <v>0</v>
      </c>
      <c r="BL105" s="15">
        <f>Input_Raw[[#This Row],[66 kV_Wind_F1_Export_reading]]-Input_Raw[[#This Row],[66 kV_Wind_F1_Import_reading]]</f>
        <v>832500</v>
      </c>
      <c r="BM105" s="142">
        <f>Input_Raw[[#This Row],[WTG Total Gneration (KWh)]]-Input_Raw[[#This Row],[66 kV_Wind_F1_Export_reading]]</f>
        <v>24788</v>
      </c>
      <c r="BN105" s="111">
        <f>(Input_Raw[[#This Row],[WTG Total Gneration (KWh)]]-Input_Raw[[#This Row],[66 kV_Wind_F1_Export_reading]])/Input_Raw[[#This Row],[WTG Total Gneration (KWh)]]</f>
        <v>2.8914437155308368E-2</v>
      </c>
      <c r="BO105" s="89">
        <v>70.2</v>
      </c>
      <c r="BP105" s="99"/>
      <c r="BQ105" s="135">
        <v>948.36</v>
      </c>
      <c r="BR105" s="207"/>
    </row>
    <row r="106" spans="1:70" ht="15">
      <c r="A106" s="240">
        <f t="shared" si="14"/>
        <v>45846</v>
      </c>
      <c r="B106" s="11">
        <f>YEAR(Input_Raw[[#This Row],[Date]])+IF(MONTH(Input_Raw[[#This Row],[Date]])&gt;=4,1,0)</f>
        <v>2026</v>
      </c>
      <c r="C106" s="11">
        <f>YEAR(Input_Raw[[#This Row],[Date]])</f>
        <v>2025</v>
      </c>
      <c r="D106" s="12">
        <f t="shared" si="21"/>
        <v>45839</v>
      </c>
      <c r="E106" s="11">
        <f>DAY(EOMONTH(Input_Raw[[#This Row],[Date]],0))</f>
        <v>31</v>
      </c>
      <c r="F106" s="137">
        <v>25143</v>
      </c>
      <c r="G106" s="137">
        <v>25412</v>
      </c>
      <c r="H106" s="137">
        <v>24897</v>
      </c>
      <c r="I106" s="137">
        <v>27113</v>
      </c>
      <c r="J106" s="137">
        <v>24474</v>
      </c>
      <c r="K106" s="137">
        <v>31743</v>
      </c>
      <c r="L106" s="137">
        <v>25827</v>
      </c>
      <c r="M106" s="137">
        <v>26686</v>
      </c>
      <c r="N106" s="137">
        <v>25023</v>
      </c>
      <c r="O106" s="137">
        <v>22965</v>
      </c>
      <c r="P106" s="137">
        <v>21016</v>
      </c>
      <c r="Q106" s="137">
        <v>25006</v>
      </c>
      <c r="R106" s="137">
        <v>25805</v>
      </c>
      <c r="S106" s="137">
        <v>22138</v>
      </c>
      <c r="T106" s="137">
        <v>23523</v>
      </c>
      <c r="U106" s="137">
        <v>25814</v>
      </c>
      <c r="V106" s="137">
        <v>35849</v>
      </c>
      <c r="W106" s="137">
        <v>15751</v>
      </c>
      <c r="X106" s="137">
        <v>29709</v>
      </c>
      <c r="Y106" s="137">
        <v>2523</v>
      </c>
      <c r="Z106" s="137">
        <v>28180</v>
      </c>
      <c r="AA106" s="137">
        <v>34665</v>
      </c>
      <c r="AB106" s="137">
        <v>23527</v>
      </c>
      <c r="AC106" s="13">
        <v>27774</v>
      </c>
      <c r="AD106" s="13">
        <v>26953</v>
      </c>
      <c r="AE106" s="13">
        <v>25901</v>
      </c>
      <c r="AF106" s="138">
        <v>6.7196527851952439</v>
      </c>
      <c r="AG106" s="138">
        <v>6.6025000148349324</v>
      </c>
      <c r="AH106" s="138">
        <v>6.5993055370118876</v>
      </c>
      <c r="AI106" s="138">
        <v>6.7581250005298168</v>
      </c>
      <c r="AJ106" s="138">
        <v>6.6359722150696641</v>
      </c>
      <c r="AK106" s="138">
        <v>7.5204860965410854</v>
      </c>
      <c r="AL106" s="138">
        <v>6.6401388810740558</v>
      </c>
      <c r="AM106" s="138">
        <v>6.6511111060778285</v>
      </c>
      <c r="AN106" s="138">
        <v>6.689305553833643</v>
      </c>
      <c r="AO106" s="138">
        <v>6.4999999768204146</v>
      </c>
      <c r="AP106" s="138">
        <v>6.7873611152172089</v>
      </c>
      <c r="AQ106" s="138">
        <v>8.0134027633402063</v>
      </c>
      <c r="AR106" s="138">
        <v>6.7419444256358663</v>
      </c>
      <c r="AS106" s="138">
        <v>6.3547916478580886</v>
      </c>
      <c r="AT106" s="138">
        <v>6.4549999899334365</v>
      </c>
      <c r="AU106" s="138">
        <v>6.670833319425582</v>
      </c>
      <c r="AV106" s="138">
        <v>7.7286805940998891</v>
      </c>
      <c r="AW106" s="138">
        <v>6.4218644166396786</v>
      </c>
      <c r="AX106" s="138">
        <v>7.0088888771004134</v>
      </c>
      <c r="AY106" s="138">
        <v>6.7952083531353198</v>
      </c>
      <c r="AZ106" s="138">
        <v>6.8511805435021707</v>
      </c>
      <c r="BA106" s="138">
        <v>7.6903472112284748</v>
      </c>
      <c r="BB106" s="138">
        <v>6.4990277820163298</v>
      </c>
      <c r="BC106" s="14">
        <v>6.8768750098016511</v>
      </c>
      <c r="BD106" s="14">
        <v>6.6927083333333321</v>
      </c>
      <c r="BE106" s="14">
        <v>6.7281944586171036</v>
      </c>
      <c r="BF106" s="139">
        <f>SUM(Input_Raw[[#This Row],[O2_01]:[O2_26]])</f>
        <v>653417</v>
      </c>
      <c r="BG106" s="140">
        <f>IFERROR(AVERAGE(Input_Raw[[#This Row],[WS_O2_01]:[WS_O2_26]]),"")</f>
        <v>6.8320348464566667</v>
      </c>
      <c r="BH106" s="141"/>
      <c r="BI106" s="141"/>
      <c r="BJ106" s="13">
        <v>637650</v>
      </c>
      <c r="BK106" s="13">
        <v>0</v>
      </c>
      <c r="BL106" s="15">
        <f>Input_Raw[[#This Row],[66 kV_Wind_F1_Export_reading]]-Input_Raw[[#This Row],[66 kV_Wind_F1_Import_reading]]</f>
        <v>637650</v>
      </c>
      <c r="BM106" s="142">
        <f>Input_Raw[[#This Row],[WTG Total Gneration (KWh)]]-Input_Raw[[#This Row],[66 kV_Wind_F1_Export_reading]]</f>
        <v>15767</v>
      </c>
      <c r="BN106" s="111">
        <f>(Input_Raw[[#This Row],[WTG Total Gneration (KWh)]]-Input_Raw[[#This Row],[66 kV_Wind_F1_Export_reading]])/Input_Raw[[#This Row],[WTG Total Gneration (KWh)]]</f>
        <v>2.4130073138592965E-2</v>
      </c>
      <c r="BO106" s="89">
        <v>70.2</v>
      </c>
      <c r="BP106" s="99"/>
      <c r="BQ106" s="135">
        <v>712.07</v>
      </c>
      <c r="BR106" s="207"/>
    </row>
    <row r="107" spans="1:70" ht="15">
      <c r="A107" s="240">
        <f t="shared" si="14"/>
        <v>45847</v>
      </c>
      <c r="B107" s="11">
        <f>YEAR(Input_Raw[[#This Row],[Date]])+IF(MONTH(Input_Raw[[#This Row],[Date]])&gt;=4,1,0)</f>
        <v>2026</v>
      </c>
      <c r="C107" s="11">
        <f>YEAR(Input_Raw[[#This Row],[Date]])</f>
        <v>2025</v>
      </c>
      <c r="D107" s="12">
        <f t="shared" si="21"/>
        <v>45839</v>
      </c>
      <c r="E107" s="11">
        <f>DAY(EOMONTH(Input_Raw[[#This Row],[Date]],0))</f>
        <v>31</v>
      </c>
      <c r="F107" s="137">
        <v>28154</v>
      </c>
      <c r="G107" s="137">
        <v>28942</v>
      </c>
      <c r="H107" s="137">
        <v>29294</v>
      </c>
      <c r="I107" s="137">
        <v>28373</v>
      </c>
      <c r="J107" s="137">
        <v>23617</v>
      </c>
      <c r="K107" s="137">
        <v>32672</v>
      </c>
      <c r="L107" s="137">
        <v>26667</v>
      </c>
      <c r="M107" s="137">
        <v>30216</v>
      </c>
      <c r="N107" s="137">
        <v>28877</v>
      </c>
      <c r="O107" s="137">
        <v>31514</v>
      </c>
      <c r="P107" s="137">
        <v>30700</v>
      </c>
      <c r="Q107" s="137">
        <v>27245</v>
      </c>
      <c r="R107" s="137">
        <v>32830</v>
      </c>
      <c r="S107" s="137">
        <v>31153</v>
      </c>
      <c r="T107" s="137">
        <v>31399</v>
      </c>
      <c r="U107" s="137">
        <v>28035</v>
      </c>
      <c r="V107" s="137">
        <v>32675</v>
      </c>
      <c r="W107" s="137">
        <v>31322</v>
      </c>
      <c r="X107" s="137">
        <v>31191</v>
      </c>
      <c r="Y107" s="137">
        <v>31507</v>
      </c>
      <c r="Z107" s="137">
        <v>29193</v>
      </c>
      <c r="AA107" s="137">
        <v>32351</v>
      </c>
      <c r="AB107" s="137">
        <v>26108</v>
      </c>
      <c r="AC107" s="13">
        <v>33552</v>
      </c>
      <c r="AD107" s="13">
        <v>29701</v>
      </c>
      <c r="AE107" s="13">
        <v>29139</v>
      </c>
      <c r="AF107" s="138">
        <v>6.8968749890724812</v>
      </c>
      <c r="AG107" s="138">
        <v>6.825347224871317</v>
      </c>
      <c r="AH107" s="138">
        <v>6.8590972456667147</v>
      </c>
      <c r="AI107" s="138">
        <v>6.796805550654728</v>
      </c>
      <c r="AJ107" s="138">
        <v>6.8102777550617848</v>
      </c>
      <c r="AK107" s="138">
        <v>7.6234027809566891</v>
      </c>
      <c r="AL107" s="138">
        <v>6.6666666583882419</v>
      </c>
      <c r="AM107" s="138">
        <v>6.8880555331706992</v>
      </c>
      <c r="AN107" s="138">
        <v>6.9097916632890684</v>
      </c>
      <c r="AO107" s="138">
        <v>7.1470138877630216</v>
      </c>
      <c r="AP107" s="138">
        <v>7.1511805421776229</v>
      </c>
      <c r="AQ107" s="138">
        <v>7.920069426298137</v>
      </c>
      <c r="AR107" s="138">
        <v>7.2384027888377478</v>
      </c>
      <c r="AS107" s="138">
        <v>7.1195833418104382</v>
      </c>
      <c r="AT107" s="138">
        <v>7.0439583361148808</v>
      </c>
      <c r="AU107" s="138">
        <v>6.8122916734880867</v>
      </c>
      <c r="AV107" s="138">
        <v>7.4576388763056833</v>
      </c>
      <c r="AW107" s="138">
        <v>7.3730555276075984</v>
      </c>
      <c r="AX107" s="138">
        <v>7.1492361260784953</v>
      </c>
      <c r="AY107" s="138">
        <v>7.2813888589541085</v>
      </c>
      <c r="AZ107" s="138">
        <v>7.0525694224569513</v>
      </c>
      <c r="BA107" s="138">
        <v>7.4420833355850613</v>
      </c>
      <c r="BB107" s="138">
        <v>6.7552083498901787</v>
      </c>
      <c r="BC107" s="14">
        <v>7.2693750378158342</v>
      </c>
      <c r="BD107" s="14">
        <v>6.8297916336192017</v>
      </c>
      <c r="BE107" s="14">
        <v>6.9501389215389873</v>
      </c>
      <c r="BF107" s="139">
        <f>SUM(Input_Raw[[#This Row],[O2_01]:[O2_26]])</f>
        <v>776427</v>
      </c>
      <c r="BG107" s="140">
        <f>IFERROR(AVERAGE(Input_Raw[[#This Row],[WS_O2_01]:[WS_O2_26]]),"")</f>
        <v>7.0872809802874519</v>
      </c>
      <c r="BH107" s="141"/>
      <c r="BI107" s="141"/>
      <c r="BJ107" s="13">
        <v>754650</v>
      </c>
      <c r="BK107" s="13">
        <v>0</v>
      </c>
      <c r="BL107" s="15">
        <f>Input_Raw[[#This Row],[66 kV_Wind_F1_Export_reading]]-Input_Raw[[#This Row],[66 kV_Wind_F1_Import_reading]]</f>
        <v>754650</v>
      </c>
      <c r="BM107" s="142">
        <f>Input_Raw[[#This Row],[WTG Total Gneration (KWh)]]-Input_Raw[[#This Row],[66 kV_Wind_F1_Export_reading]]</f>
        <v>21777</v>
      </c>
      <c r="BN107" s="111">
        <f>(Input_Raw[[#This Row],[WTG Total Gneration (KWh)]]-Input_Raw[[#This Row],[66 kV_Wind_F1_Export_reading]])/Input_Raw[[#This Row],[WTG Total Gneration (KWh)]]</f>
        <v>2.8047710860132375E-2</v>
      </c>
      <c r="BO107" s="89">
        <v>70.2</v>
      </c>
      <c r="BP107" s="99"/>
      <c r="BQ107" s="135">
        <v>814.18</v>
      </c>
      <c r="BR107" s="207"/>
    </row>
    <row r="108" spans="1:70" ht="15">
      <c r="A108" s="240">
        <f t="shared" si="14"/>
        <v>45848</v>
      </c>
      <c r="B108" s="11">
        <f>YEAR(Input_Raw[[#This Row],[Date]])+IF(MONTH(Input_Raw[[#This Row],[Date]])&gt;=4,1,0)</f>
        <v>2026</v>
      </c>
      <c r="C108" s="11">
        <f>YEAR(Input_Raw[[#This Row],[Date]])</f>
        <v>2025</v>
      </c>
      <c r="D108" s="12">
        <f t="shared" si="21"/>
        <v>45839</v>
      </c>
      <c r="E108" s="11">
        <f>DAY(EOMONTH(Input_Raw[[#This Row],[Date]],0))</f>
        <v>31</v>
      </c>
      <c r="F108" s="137">
        <v>15988</v>
      </c>
      <c r="G108" s="137">
        <v>15882</v>
      </c>
      <c r="H108" s="137">
        <v>16117</v>
      </c>
      <c r="I108" s="137">
        <v>13092</v>
      </c>
      <c r="J108" s="137">
        <v>15403</v>
      </c>
      <c r="K108" s="137">
        <v>16500</v>
      </c>
      <c r="L108" s="137">
        <v>14852</v>
      </c>
      <c r="M108" s="137">
        <v>15927</v>
      </c>
      <c r="N108" s="137">
        <v>15360</v>
      </c>
      <c r="O108" s="137">
        <v>15516</v>
      </c>
      <c r="P108" s="137">
        <v>17640</v>
      </c>
      <c r="Q108" s="137">
        <v>11192</v>
      </c>
      <c r="R108" s="137">
        <v>16932</v>
      </c>
      <c r="S108" s="137">
        <v>16323</v>
      </c>
      <c r="T108" s="137">
        <v>18106</v>
      </c>
      <c r="U108" s="137">
        <v>16562</v>
      </c>
      <c r="V108" s="137">
        <v>22302</v>
      </c>
      <c r="W108" s="137">
        <v>21558</v>
      </c>
      <c r="X108" s="137">
        <v>17392</v>
      </c>
      <c r="Y108" s="137">
        <v>16310</v>
      </c>
      <c r="Z108" s="137">
        <v>19373</v>
      </c>
      <c r="AA108" s="137">
        <v>21723</v>
      </c>
      <c r="AB108" s="137">
        <v>14879</v>
      </c>
      <c r="AC108" s="13">
        <v>18002</v>
      </c>
      <c r="AD108" s="13">
        <v>17058</v>
      </c>
      <c r="AE108" s="13">
        <v>16155</v>
      </c>
      <c r="AF108" s="138">
        <v>5.6718750033113681</v>
      </c>
      <c r="AG108" s="138">
        <v>5.4374305340978824</v>
      </c>
      <c r="AH108" s="138">
        <v>5.4870833257834111</v>
      </c>
      <c r="AI108" s="138">
        <v>5.6518055647611609</v>
      </c>
      <c r="AJ108" s="138">
        <v>5.5133333206176749</v>
      </c>
      <c r="AK108" s="138">
        <v>5.716805544164445</v>
      </c>
      <c r="AL108" s="138">
        <v>5.3379861190915099</v>
      </c>
      <c r="AM108" s="138">
        <v>5.425833334525425</v>
      </c>
      <c r="AN108" s="138">
        <v>5.5066666669315758</v>
      </c>
      <c r="AO108" s="138">
        <v>5.5020139084921933</v>
      </c>
      <c r="AP108" s="138">
        <v>5.7791666769319106</v>
      </c>
      <c r="AQ108" s="138">
        <v>6.5272916720973111</v>
      </c>
      <c r="AR108" s="138">
        <v>5.6572222014268227</v>
      </c>
      <c r="AS108" s="138">
        <v>5.5722222328186026</v>
      </c>
      <c r="AT108" s="138">
        <v>5.7077777799632816</v>
      </c>
      <c r="AU108" s="138">
        <v>5.59152778238058</v>
      </c>
      <c r="AV108" s="138">
        <v>6.4133333348565618</v>
      </c>
      <c r="AW108" s="138">
        <v>6.1715277781089135</v>
      </c>
      <c r="AX108" s="138">
        <v>5.682361110217041</v>
      </c>
      <c r="AY108" s="138">
        <v>5.703888894783125</v>
      </c>
      <c r="AZ108" s="138">
        <v>6.0147222148047543</v>
      </c>
      <c r="BA108" s="138">
        <v>6.3407638834582425</v>
      </c>
      <c r="BB108" s="138">
        <v>5.4338194529215489</v>
      </c>
      <c r="BC108" s="14">
        <v>5.7892361217074919</v>
      </c>
      <c r="BD108" s="14">
        <v>5.6441666649447546</v>
      </c>
      <c r="BE108" s="14">
        <v>5.5981249941719895</v>
      </c>
      <c r="BF108" s="139">
        <f>SUM(Input_Raw[[#This Row],[O2_01]:[O2_26]])</f>
        <v>436144</v>
      </c>
      <c r="BG108" s="140">
        <f>IFERROR(AVERAGE(Input_Raw[[#This Row],[WS_O2_01]:[WS_O2_26]]),"")</f>
        <v>5.7260763891295987</v>
      </c>
      <c r="BH108" s="141"/>
      <c r="BI108" s="141"/>
      <c r="BJ108" s="13">
        <v>425700</v>
      </c>
      <c r="BK108" s="13">
        <v>0</v>
      </c>
      <c r="BL108" s="15">
        <f>Input_Raw[[#This Row],[66 kV_Wind_F1_Export_reading]]-Input_Raw[[#This Row],[66 kV_Wind_F1_Import_reading]]</f>
        <v>425700</v>
      </c>
      <c r="BM108" s="142">
        <f>Input_Raw[[#This Row],[WTG Total Gneration (KWh)]]-Input_Raw[[#This Row],[66 kV_Wind_F1_Export_reading]]</f>
        <v>10444</v>
      </c>
      <c r="BN108" s="111">
        <f>(Input_Raw[[#This Row],[WTG Total Gneration (KWh)]]-Input_Raw[[#This Row],[66 kV_Wind_F1_Export_reading]])/Input_Raw[[#This Row],[WTG Total Gneration (KWh)]]</f>
        <v>2.3946219597197255E-2</v>
      </c>
      <c r="BO108" s="89">
        <v>70.2</v>
      </c>
      <c r="BP108" s="99"/>
      <c r="BQ108" s="135">
        <v>462.9</v>
      </c>
      <c r="BR108" s="207"/>
    </row>
    <row r="109" spans="1:70" ht="15">
      <c r="A109" s="240">
        <f t="shared" si="14"/>
        <v>45849</v>
      </c>
      <c r="B109" s="11">
        <f>YEAR(Input_Raw[[#This Row],[Date]])+IF(MONTH(Input_Raw[[#This Row],[Date]])&gt;=4,1,0)</f>
        <v>2026</v>
      </c>
      <c r="C109" s="11">
        <f>YEAR(Input_Raw[[#This Row],[Date]])</f>
        <v>2025</v>
      </c>
      <c r="D109" s="12">
        <f>A109-DAY(A109)+1</f>
        <v>45839</v>
      </c>
      <c r="E109" s="11">
        <f>DAY(EOMONTH(Input_Raw[[#This Row],[Date]],0))</f>
        <v>31</v>
      </c>
      <c r="F109" s="137">
        <v>18103</v>
      </c>
      <c r="G109" s="137">
        <v>20440</v>
      </c>
      <c r="H109" s="137">
        <v>19907</v>
      </c>
      <c r="I109" s="137">
        <v>21640</v>
      </c>
      <c r="J109" s="137">
        <v>21381</v>
      </c>
      <c r="K109" s="137">
        <v>18900</v>
      </c>
      <c r="L109" s="137">
        <v>17379</v>
      </c>
      <c r="M109" s="137">
        <v>18791</v>
      </c>
      <c r="N109" s="137">
        <v>18502</v>
      </c>
      <c r="O109" s="137">
        <v>19451</v>
      </c>
      <c r="P109" s="137">
        <v>21063</v>
      </c>
      <c r="Q109" s="137">
        <v>19116</v>
      </c>
      <c r="R109" s="137">
        <v>17850</v>
      </c>
      <c r="S109" s="137">
        <v>20451</v>
      </c>
      <c r="T109" s="137">
        <v>18652</v>
      </c>
      <c r="U109" s="137">
        <v>18658</v>
      </c>
      <c r="V109" s="137">
        <v>20642</v>
      </c>
      <c r="W109" s="137">
        <v>18624</v>
      </c>
      <c r="X109" s="137">
        <v>22949</v>
      </c>
      <c r="Y109" s="137">
        <v>18271</v>
      </c>
      <c r="Z109" s="137">
        <v>19090</v>
      </c>
      <c r="AA109" s="137">
        <v>19486</v>
      </c>
      <c r="AB109" s="137">
        <v>20648</v>
      </c>
      <c r="AC109" s="13">
        <v>20988</v>
      </c>
      <c r="AD109" s="13">
        <v>21810</v>
      </c>
      <c r="AE109" s="13">
        <v>20720</v>
      </c>
      <c r="AF109" s="138">
        <v>5.9238888969024011</v>
      </c>
      <c r="AG109" s="138">
        <v>6.0802083296908265</v>
      </c>
      <c r="AH109" s="138">
        <v>5.9455555263492785</v>
      </c>
      <c r="AI109" s="138">
        <v>6.1536805464161759</v>
      </c>
      <c r="AJ109" s="138">
        <v>6.2384027805593263</v>
      </c>
      <c r="AK109" s="138">
        <v>6.5159722202354002</v>
      </c>
      <c r="AL109" s="138">
        <v>6.0007031303830436</v>
      </c>
      <c r="AM109" s="138">
        <v>6.0393700787401556</v>
      </c>
      <c r="AN109" s="138">
        <v>5.8715277844005156</v>
      </c>
      <c r="AO109" s="138">
        <v>5.9740845082511349</v>
      </c>
      <c r="AP109" s="138">
        <v>6.2272222306993257</v>
      </c>
      <c r="AQ109" s="138">
        <v>7.2629166642824776</v>
      </c>
      <c r="AR109" s="138">
        <v>5.7477083404858895</v>
      </c>
      <c r="AS109" s="138">
        <v>6.0689583205514479</v>
      </c>
      <c r="AT109" s="138">
        <v>5.7881944328546515</v>
      </c>
      <c r="AU109" s="138">
        <v>5.8480555547608262</v>
      </c>
      <c r="AV109" s="138">
        <v>6.3347222308317814</v>
      </c>
      <c r="AW109" s="138">
        <v>5.9776389151811591</v>
      </c>
      <c r="AX109" s="138">
        <v>6.36979168322351</v>
      </c>
      <c r="AY109" s="138">
        <v>6.0064583155843936</v>
      </c>
      <c r="AZ109" s="138">
        <v>6.0613888998826333</v>
      </c>
      <c r="BA109" s="138">
        <v>6.1565277808242369</v>
      </c>
      <c r="BB109" s="138">
        <v>6.0315972252024528</v>
      </c>
      <c r="BC109" s="14">
        <v>6.1036805642975693</v>
      </c>
      <c r="BD109" s="14">
        <v>6.1786805656221162</v>
      </c>
      <c r="BE109" s="14">
        <v>6.1233333531353189</v>
      </c>
      <c r="BF109" s="139">
        <f>SUM(Input_Raw[[#This Row],[O2_01]:[O2_26]])</f>
        <v>513512</v>
      </c>
      <c r="BG109" s="140">
        <f>IFERROR(AVERAGE(Input_Raw[[#This Row],[WS_O2_01]:[WS_O2_26]]),"")</f>
        <v>6.116548803051848</v>
      </c>
      <c r="BH109" s="141"/>
      <c r="BI109" s="141"/>
      <c r="BJ109" s="13">
        <v>500850</v>
      </c>
      <c r="BK109" s="13">
        <v>0</v>
      </c>
      <c r="BL109" s="15">
        <f>Input_Raw[[#This Row],[66 kV_Wind_F1_Export_reading]]-Input_Raw[[#This Row],[66 kV_Wind_F1_Import_reading]]</f>
        <v>500850</v>
      </c>
      <c r="BM109" s="142">
        <f>Input_Raw[[#This Row],[WTG Total Gneration (KWh)]]-Input_Raw[[#This Row],[66 kV_Wind_F1_Export_reading]]</f>
        <v>12662</v>
      </c>
      <c r="BN109" s="111">
        <f>(Input_Raw[[#This Row],[WTG Total Gneration (KWh)]]-Input_Raw[[#This Row],[66 kV_Wind_F1_Export_reading]])/Input_Raw[[#This Row],[WTG Total Gneration (KWh)]]</f>
        <v>2.4657651622552151E-2</v>
      </c>
      <c r="BO109" s="89">
        <v>70.2</v>
      </c>
      <c r="BP109" s="99"/>
      <c r="BQ109" s="135">
        <v>536.44000000000005</v>
      </c>
      <c r="BR109" s="207"/>
    </row>
    <row r="110" spans="1:70" ht="15">
      <c r="A110" s="240">
        <f t="shared" si="14"/>
        <v>45850</v>
      </c>
      <c r="B110" s="11">
        <f>YEAR(Input_Raw[[#This Row],[Date]])+IF(MONTH(Input_Raw[[#This Row],[Date]])&gt;=4,1,0)</f>
        <v>2026</v>
      </c>
      <c r="C110" s="11">
        <f>YEAR(Input_Raw[[#This Row],[Date]])</f>
        <v>2025</v>
      </c>
      <c r="D110" s="12">
        <f>A110-DAY(A110)+1</f>
        <v>45839</v>
      </c>
      <c r="E110" s="11">
        <f>DAY(EOMONTH(Input_Raw[[#This Row],[Date]],0))</f>
        <v>31</v>
      </c>
      <c r="F110" s="589">
        <v>15673</v>
      </c>
      <c r="G110" s="589">
        <v>19382</v>
      </c>
      <c r="H110" s="589">
        <v>19725</v>
      </c>
      <c r="I110" s="589">
        <v>18338</v>
      </c>
      <c r="J110" s="589">
        <v>18317</v>
      </c>
      <c r="K110" s="589">
        <v>21452</v>
      </c>
      <c r="L110" s="589">
        <v>21040</v>
      </c>
      <c r="M110" s="589">
        <v>16762</v>
      </c>
      <c r="N110" s="589">
        <v>17782</v>
      </c>
      <c r="O110" s="589">
        <v>21459</v>
      </c>
      <c r="P110" s="589">
        <v>19340</v>
      </c>
      <c r="Q110" s="589">
        <v>17843</v>
      </c>
      <c r="R110" s="589">
        <v>19241</v>
      </c>
      <c r="S110" s="589">
        <v>20643</v>
      </c>
      <c r="T110" s="589">
        <v>20717</v>
      </c>
      <c r="U110" s="589">
        <v>18674</v>
      </c>
      <c r="V110" s="589">
        <v>21051</v>
      </c>
      <c r="W110" s="589">
        <v>12862</v>
      </c>
      <c r="X110" s="589">
        <v>22191</v>
      </c>
      <c r="Y110" s="589">
        <v>18985</v>
      </c>
      <c r="Z110" s="589">
        <v>20519</v>
      </c>
      <c r="AA110" s="589">
        <v>19570</v>
      </c>
      <c r="AB110" s="589">
        <v>19415</v>
      </c>
      <c r="AC110" s="590">
        <v>18473</v>
      </c>
      <c r="AD110" s="590">
        <v>18716</v>
      </c>
      <c r="AE110" s="590">
        <v>16351</v>
      </c>
      <c r="AF110" s="591">
        <v>5.6394405681770161</v>
      </c>
      <c r="AG110" s="591">
        <v>5.8697202947589897</v>
      </c>
      <c r="AH110" s="591">
        <v>5.9504895060212464</v>
      </c>
      <c r="AI110" s="591">
        <v>5.79</v>
      </c>
      <c r="AJ110" s="591">
        <v>5.8511805567476474</v>
      </c>
      <c r="AK110" s="591">
        <v>6.7864583416117554</v>
      </c>
      <c r="AL110" s="591">
        <v>6.12</v>
      </c>
      <c r="AM110" s="591">
        <v>5.5972222139437982</v>
      </c>
      <c r="AN110" s="591">
        <v>5.7861538483546324</v>
      </c>
      <c r="AO110" s="591">
        <v>6.2721678427049321</v>
      </c>
      <c r="AP110" s="591">
        <v>6.080139842066731</v>
      </c>
      <c r="AQ110" s="591">
        <v>7.1408391465673899</v>
      </c>
      <c r="AR110" s="591">
        <v>5.9806992874278881</v>
      </c>
      <c r="AS110" s="591">
        <v>6.1616083908747949</v>
      </c>
      <c r="AT110" s="591">
        <v>6.1143356585627657</v>
      </c>
      <c r="AU110" s="591">
        <v>6.158055532309743</v>
      </c>
      <c r="AV110" s="591">
        <v>6.4044444428549863</v>
      </c>
      <c r="AW110" s="591">
        <v>6.157986101177003</v>
      </c>
      <c r="AX110" s="591">
        <v>6.3</v>
      </c>
      <c r="AY110" s="591">
        <v>6.0699305550919629</v>
      </c>
      <c r="AZ110" s="591">
        <v>6.2273611028989144</v>
      </c>
      <c r="BA110" s="591">
        <v>6.1643055627743397</v>
      </c>
      <c r="BB110" s="591">
        <v>5.9635664316324091</v>
      </c>
      <c r="BC110" s="592">
        <v>5.7941666709052182</v>
      </c>
      <c r="BD110" s="592">
        <v>5.7924475603170329</v>
      </c>
      <c r="BE110" s="592">
        <v>5.6487499881121837</v>
      </c>
      <c r="BF110" s="593">
        <f>SUM(Input_Raw[[#This Row],[O2_01]:[O2_26]])</f>
        <v>494521</v>
      </c>
      <c r="BG110" s="594">
        <f>IFERROR(AVERAGE(Input_Raw[[#This Row],[WS_O2_01]:[WS_O2_26]]),"")</f>
        <v>6.0700565171497436</v>
      </c>
      <c r="BH110" s="595"/>
      <c r="BI110" s="595"/>
      <c r="BJ110" s="590">
        <v>483300</v>
      </c>
      <c r="BK110" s="13">
        <v>0</v>
      </c>
      <c r="BL110" s="596">
        <f>Input_Raw[[#This Row],[66 kV_Wind_F1_Export_reading]]-Input_Raw[[#This Row],[66 kV_Wind_F1_Import_reading]]</f>
        <v>483300</v>
      </c>
      <c r="BM110" s="597">
        <f>Input_Raw[[#This Row],[WTG Total Gneration (KWh)]]-Input_Raw[[#This Row],[66 kV_Wind_F1_Export_reading]]</f>
        <v>11221</v>
      </c>
      <c r="BN110" s="111">
        <f>(Input_Raw[[#This Row],[WTG Total Gneration (KWh)]]-Input_Raw[[#This Row],[66 kV_Wind_F1_Export_reading]])/Input_Raw[[#This Row],[WTG Total Gneration (KWh)]]</f>
        <v>2.2690644077804582E-2</v>
      </c>
      <c r="BO110" s="89">
        <v>70.2</v>
      </c>
      <c r="BP110" s="598"/>
      <c r="BQ110" s="599">
        <v>520.01</v>
      </c>
      <c r="BR110" s="600"/>
    </row>
    <row r="111" spans="1:70" ht="15">
      <c r="A111" s="240">
        <f t="shared" si="14"/>
        <v>45851</v>
      </c>
      <c r="B111" s="11">
        <f>YEAR(Input_Raw[[#This Row],[Date]])+IF(MONTH(Input_Raw[[#This Row],[Date]])&gt;=4,1,0)</f>
        <v>2026</v>
      </c>
      <c r="C111" s="11">
        <f>YEAR(Input_Raw[[#This Row],[Date]])</f>
        <v>2025</v>
      </c>
      <c r="D111" s="12">
        <f>A111-DAY(A111)+1</f>
        <v>45839</v>
      </c>
      <c r="E111" s="11">
        <f>DAY(EOMONTH(Input_Raw[[#This Row],[Date]],0))</f>
        <v>31</v>
      </c>
      <c r="F111" s="589">
        <v>21476</v>
      </c>
      <c r="G111" s="589">
        <v>19172</v>
      </c>
      <c r="H111" s="589">
        <v>23007</v>
      </c>
      <c r="I111" s="589">
        <v>25030</v>
      </c>
      <c r="J111" s="589">
        <v>19845</v>
      </c>
      <c r="K111" s="589">
        <v>25393</v>
      </c>
      <c r="L111" s="589">
        <v>26035</v>
      </c>
      <c r="M111" s="589">
        <v>25797</v>
      </c>
      <c r="N111" s="589">
        <v>23027</v>
      </c>
      <c r="O111" s="589">
        <v>23848</v>
      </c>
      <c r="P111" s="589">
        <v>23082</v>
      </c>
      <c r="Q111" s="589">
        <v>22644</v>
      </c>
      <c r="R111" s="589">
        <v>21874</v>
      </c>
      <c r="S111" s="589">
        <v>24027</v>
      </c>
      <c r="T111" s="589">
        <v>18576</v>
      </c>
      <c r="U111" s="589">
        <v>27315</v>
      </c>
      <c r="V111" s="589">
        <v>25755</v>
      </c>
      <c r="W111" s="589">
        <v>24764</v>
      </c>
      <c r="X111" s="589">
        <v>27632</v>
      </c>
      <c r="Y111" s="589">
        <v>24434</v>
      </c>
      <c r="Z111" s="589">
        <v>25153</v>
      </c>
      <c r="AA111" s="589">
        <v>22901</v>
      </c>
      <c r="AB111" s="589">
        <v>23865</v>
      </c>
      <c r="AC111" s="590">
        <v>27569</v>
      </c>
      <c r="AD111" s="590">
        <v>21595</v>
      </c>
      <c r="AE111" s="590">
        <v>26374</v>
      </c>
      <c r="AF111" s="591">
        <v>6.47</v>
      </c>
      <c r="AG111" s="591">
        <v>6.72</v>
      </c>
      <c r="AH111" s="591">
        <v>6.44</v>
      </c>
      <c r="AI111" s="591">
        <v>6.65</v>
      </c>
      <c r="AJ111" s="591">
        <v>6.77</v>
      </c>
      <c r="AK111" s="591">
        <v>7.06</v>
      </c>
      <c r="AL111" s="591">
        <v>6.71</v>
      </c>
      <c r="AM111" s="591">
        <v>6.55</v>
      </c>
      <c r="AN111" s="591">
        <v>6.54</v>
      </c>
      <c r="AO111" s="591">
        <v>6.56</v>
      </c>
      <c r="AP111" s="591">
        <v>6.58</v>
      </c>
      <c r="AQ111" s="591">
        <v>7.73</v>
      </c>
      <c r="AR111" s="591">
        <v>6.47</v>
      </c>
      <c r="AS111" s="591">
        <v>6.62</v>
      </c>
      <c r="AT111" s="591">
        <v>6.45</v>
      </c>
      <c r="AU111" s="591">
        <v>6.78</v>
      </c>
      <c r="AV111" s="591">
        <v>6.9</v>
      </c>
      <c r="AW111" s="591">
        <v>6.6</v>
      </c>
      <c r="AX111" s="591">
        <v>6.81</v>
      </c>
      <c r="AY111" s="591">
        <v>6.63</v>
      </c>
      <c r="AZ111" s="591">
        <v>6.59</v>
      </c>
      <c r="BA111" s="591">
        <v>6.63</v>
      </c>
      <c r="BB111" s="591">
        <v>6.6</v>
      </c>
      <c r="BC111" s="592">
        <v>6.81</v>
      </c>
      <c r="BD111" s="592">
        <v>6.78</v>
      </c>
      <c r="BE111" s="592">
        <v>6.77</v>
      </c>
      <c r="BF111" s="593">
        <f>SUM(Input_Raw[[#This Row],[O2_01]:[O2_26]])</f>
        <v>620190</v>
      </c>
      <c r="BG111" s="594">
        <f>IFERROR(AVERAGE(Input_Raw[[#This Row],[WS_O2_01]:[WS_O2_26]]),"")</f>
        <v>6.7007692307692315</v>
      </c>
      <c r="BH111" s="595"/>
      <c r="BI111" s="595"/>
      <c r="BJ111" s="590">
        <v>606150</v>
      </c>
      <c r="BK111" s="590">
        <v>0</v>
      </c>
      <c r="BL111" s="596">
        <f>Input_Raw[[#This Row],[66 kV_Wind_F1_Export_reading]]-Input_Raw[[#This Row],[66 kV_Wind_F1_Import_reading]]</f>
        <v>606150</v>
      </c>
      <c r="BM111" s="597">
        <f>Input_Raw[[#This Row],[WTG Total Gneration (KWh)]]-Input_Raw[[#This Row],[66 kV_Wind_F1_Export_reading]]</f>
        <v>14040</v>
      </c>
      <c r="BN111" s="111">
        <f>(Input_Raw[[#This Row],[WTG Total Gneration (KWh)]]-Input_Raw[[#This Row],[66 kV_Wind_F1_Export_reading]])/Input_Raw[[#This Row],[WTG Total Gneration (KWh)]]</f>
        <v>2.2638223770134958E-2</v>
      </c>
      <c r="BO111" s="89">
        <v>70.2</v>
      </c>
      <c r="BP111" s="598"/>
      <c r="BQ111" s="599">
        <v>663.92</v>
      </c>
      <c r="BR111" s="600"/>
    </row>
    <row r="112" spans="1:70" ht="15">
      <c r="A112" s="240">
        <f t="shared" si="14"/>
        <v>45852</v>
      </c>
      <c r="B112" s="11">
        <f>YEAR(Input_Raw[[#This Row],[Date]])+IF(MONTH(Input_Raw[[#This Row],[Date]])&gt;=4,1,0)</f>
        <v>2026</v>
      </c>
      <c r="C112" s="11">
        <f>YEAR(Input_Raw[[#This Row],[Date]])</f>
        <v>2025</v>
      </c>
      <c r="D112" s="12">
        <f>A112-DAY(A112)+1</f>
        <v>45839</v>
      </c>
      <c r="E112" s="11">
        <f>DAY(EOMONTH(Input_Raw[[#This Row],[Date]],0))</f>
        <v>31</v>
      </c>
      <c r="F112" s="635">
        <v>31296</v>
      </c>
      <c r="G112" s="635">
        <v>33542</v>
      </c>
      <c r="H112" s="635">
        <v>31057</v>
      </c>
      <c r="I112" s="635">
        <v>31467</v>
      </c>
      <c r="J112" s="635">
        <v>33446</v>
      </c>
      <c r="K112" s="635">
        <v>33434</v>
      </c>
      <c r="L112" s="635">
        <v>29036</v>
      </c>
      <c r="M112" s="635">
        <v>31247</v>
      </c>
      <c r="N112" s="635">
        <v>29890</v>
      </c>
      <c r="O112" s="635">
        <v>30515</v>
      </c>
      <c r="P112" s="635">
        <v>29505</v>
      </c>
      <c r="Q112" s="635">
        <v>29951</v>
      </c>
      <c r="R112" s="635">
        <v>27081</v>
      </c>
      <c r="S112" s="635">
        <v>30868</v>
      </c>
      <c r="T112" s="635">
        <v>28225</v>
      </c>
      <c r="U112" s="635">
        <v>32718</v>
      </c>
      <c r="V112" s="635">
        <v>33800</v>
      </c>
      <c r="W112" s="635">
        <v>30697</v>
      </c>
      <c r="X112" s="635">
        <v>31036</v>
      </c>
      <c r="Y112" s="635">
        <v>29550</v>
      </c>
      <c r="Z112" s="635">
        <v>32896</v>
      </c>
      <c r="AA112" s="635">
        <v>32203</v>
      </c>
      <c r="AB112" s="635">
        <v>32237</v>
      </c>
      <c r="AC112" s="590">
        <v>32387</v>
      </c>
      <c r="AD112" s="590">
        <v>35152</v>
      </c>
      <c r="AE112" s="590">
        <v>31215</v>
      </c>
      <c r="AF112" s="636">
        <v>7.29</v>
      </c>
      <c r="AG112" s="636">
        <v>7.42</v>
      </c>
      <c r="AH112" s="636">
        <v>7.15</v>
      </c>
      <c r="AI112" s="636">
        <v>7.28</v>
      </c>
      <c r="AJ112" s="636">
        <v>7.48</v>
      </c>
      <c r="AK112" s="636">
        <v>7.74</v>
      </c>
      <c r="AL112" s="636">
        <v>7.05</v>
      </c>
      <c r="AM112" s="636">
        <v>7.14</v>
      </c>
      <c r="AN112" s="636">
        <v>7.18</v>
      </c>
      <c r="AO112" s="636">
        <v>7.21</v>
      </c>
      <c r="AP112" s="636">
        <v>7.16</v>
      </c>
      <c r="AQ112" s="636">
        <v>7.96</v>
      </c>
      <c r="AR112" s="636">
        <v>6.89</v>
      </c>
      <c r="AS112" s="636">
        <v>7.23</v>
      </c>
      <c r="AT112" s="636">
        <v>7</v>
      </c>
      <c r="AU112" s="636">
        <v>7.34</v>
      </c>
      <c r="AV112" s="636">
        <v>7.58</v>
      </c>
      <c r="AW112" s="636">
        <v>7.28</v>
      </c>
      <c r="AX112" s="636">
        <v>7.18</v>
      </c>
      <c r="AY112" s="636">
        <v>7.14</v>
      </c>
      <c r="AZ112" s="636">
        <v>7.38</v>
      </c>
      <c r="BA112" s="636">
        <v>7.67</v>
      </c>
      <c r="BB112" s="636">
        <v>7.32</v>
      </c>
      <c r="BC112" s="592">
        <v>7.3</v>
      </c>
      <c r="BD112" s="592">
        <v>7.44</v>
      </c>
      <c r="BE112" s="592">
        <v>7.26</v>
      </c>
      <c r="BF112" s="593">
        <f>SUM(Input_Raw[[#This Row],[O2_01]:[O2_26]])</f>
        <v>814451</v>
      </c>
      <c r="BG112" s="594">
        <f>IFERROR(AVERAGE(Input_Raw[[#This Row],[WS_O2_01]:[WS_O2_26]]),"")</f>
        <v>7.3103846153846144</v>
      </c>
      <c r="BH112" s="595"/>
      <c r="BI112" s="595"/>
      <c r="BJ112" s="590">
        <v>793350</v>
      </c>
      <c r="BK112" s="590">
        <v>0</v>
      </c>
      <c r="BL112" s="596">
        <f>Input_Raw[[#This Row],[66 kV_Wind_F1_Export_reading]]-Input_Raw[[#This Row],[66 kV_Wind_F1_Import_reading]]</f>
        <v>793350</v>
      </c>
      <c r="BM112" s="597">
        <f>Input_Raw[[#This Row],[WTG Total Gneration (KWh)]]-Input_Raw[[#This Row],[66 kV_Wind_F1_Export_reading]]</f>
        <v>21101</v>
      </c>
      <c r="BN112" s="637">
        <f>(Input_Raw[[#This Row],[WTG Total Gneration (KWh)]]-Input_Raw[[#This Row],[66 kV_Wind_F1_Export_reading]])/Input_Raw[[#This Row],[WTG Total Gneration (KWh)]]</f>
        <v>2.590824985174062E-2</v>
      </c>
      <c r="BO112" s="89">
        <v>70.2</v>
      </c>
      <c r="BP112" s="598"/>
      <c r="BQ112" s="599">
        <v>845.66</v>
      </c>
      <c r="BR112" s="638"/>
    </row>
  </sheetData>
  <phoneticPr fontId="10" type="noConversion"/>
  <pageMargins left="0.7" right="0.7" top="0.75" bottom="0.75" header="0.3" footer="0.3"/>
  <pageSetup paperSize="9" orientation="portrait" r:id="rId1"/>
  <ignoredErrors>
    <ignoredError sqref="BO5:BO9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542"/>
  <sheetViews>
    <sheetView tabSelected="1" zoomScale="80" workbookViewId="0">
      <pane xSplit="7" ySplit="1" topLeftCell="V1520" activePane="bottomRight" state="frozen"/>
      <selection pane="topRight" activeCell="H1" sqref="H1"/>
      <selection pane="bottomLeft" activeCell="A2" sqref="A2"/>
      <selection pane="bottomRight" activeCell="X1547" sqref="X1547"/>
    </sheetView>
  </sheetViews>
  <sheetFormatPr defaultRowHeight="14.4"/>
  <cols>
    <col min="2" max="2" width="10.109375" customWidth="1"/>
    <col min="3" max="3" width="10.44140625" customWidth="1"/>
    <col min="4" max="4" width="12.44140625" customWidth="1"/>
    <col min="5" max="5" width="10.5546875" customWidth="1"/>
    <col min="6" max="6" width="12" customWidth="1"/>
    <col min="7" max="7" width="12.44140625" customWidth="1"/>
    <col min="8" max="8" width="11.5546875" customWidth="1"/>
    <col min="9" max="9" width="9.5546875" customWidth="1"/>
    <col min="10" max="10" width="11.44140625" customWidth="1"/>
    <col min="11" max="11" width="10.109375" customWidth="1"/>
    <col min="12" max="12" width="29.5546875" bestFit="1" customWidth="1"/>
    <col min="13" max="13" width="19.5546875" customWidth="1"/>
    <col min="14" max="14" width="5.44140625" customWidth="1"/>
    <col min="15" max="15" width="13.44140625" customWidth="1"/>
    <col min="16" max="16" width="10.88671875" customWidth="1"/>
    <col min="17" max="17" width="13.5546875" customWidth="1"/>
    <col min="18" max="18" width="13.109375" customWidth="1"/>
    <col min="19" max="19" width="13.5546875" customWidth="1"/>
    <col min="20" max="20" width="14.44140625" customWidth="1"/>
    <col min="21" max="21" width="58.5546875" customWidth="1"/>
    <col min="23" max="23" width="22.88671875" customWidth="1"/>
    <col min="24" max="24" width="28.5546875" bestFit="1" customWidth="1"/>
    <col min="25" max="25" width="25" customWidth="1"/>
    <col min="26" max="26" width="31.88671875" customWidth="1"/>
    <col min="27" max="27" width="22.5546875" customWidth="1"/>
    <col min="28" max="28" width="13.88671875" customWidth="1"/>
    <col min="29" max="29" width="8.5546875" customWidth="1"/>
    <col min="30" max="30" width="13.44140625" customWidth="1"/>
  </cols>
  <sheetData>
    <row r="1" spans="1:30" s="35" customFormat="1" ht="44.1" customHeight="1">
      <c r="A1" s="464" t="s">
        <v>7</v>
      </c>
      <c r="B1" s="464" t="s">
        <v>3</v>
      </c>
      <c r="C1" s="464" t="s">
        <v>129</v>
      </c>
      <c r="D1" s="464" t="s">
        <v>266</v>
      </c>
      <c r="E1" s="464" t="s">
        <v>169</v>
      </c>
      <c r="F1" s="465" t="s">
        <v>128</v>
      </c>
      <c r="G1" s="464" t="s">
        <v>267</v>
      </c>
      <c r="H1" s="464" t="s">
        <v>268</v>
      </c>
      <c r="I1" s="464" t="s">
        <v>501</v>
      </c>
      <c r="J1" s="464" t="s">
        <v>270</v>
      </c>
      <c r="K1" s="464" t="s">
        <v>271</v>
      </c>
      <c r="L1" s="464" t="s">
        <v>272</v>
      </c>
      <c r="M1" s="464" t="s">
        <v>273</v>
      </c>
      <c r="N1" s="464" t="s">
        <v>1988</v>
      </c>
      <c r="O1" s="464" t="s">
        <v>274</v>
      </c>
      <c r="P1" s="464" t="s">
        <v>275</v>
      </c>
      <c r="Q1" s="464" t="s">
        <v>276</v>
      </c>
      <c r="R1" s="464" t="s">
        <v>277</v>
      </c>
      <c r="S1" s="464" t="s">
        <v>278</v>
      </c>
      <c r="T1" s="464" t="s">
        <v>279</v>
      </c>
      <c r="U1" s="464" t="s">
        <v>280</v>
      </c>
      <c r="V1" s="464" t="s">
        <v>281</v>
      </c>
      <c r="W1" s="466" t="s">
        <v>282</v>
      </c>
      <c r="X1" s="466" t="s">
        <v>284</v>
      </c>
      <c r="Y1" s="464" t="s">
        <v>283</v>
      </c>
      <c r="Z1" s="467" t="s">
        <v>1989</v>
      </c>
      <c r="AA1" s="467" t="s">
        <v>1990</v>
      </c>
      <c r="AB1" s="467" t="s">
        <v>1991</v>
      </c>
      <c r="AC1" s="467" t="s">
        <v>285</v>
      </c>
      <c r="AD1" s="35" t="s">
        <v>286</v>
      </c>
    </row>
    <row r="2" spans="1:30">
      <c r="A2" s="102">
        <v>1</v>
      </c>
      <c r="B2" s="468">
        <f>YEAR(Table6[[#This Row],[Date]])+IF(MONTH(Table6[[#This Row],[Date]])&gt;=4,1,0)</f>
        <v>2026</v>
      </c>
      <c r="C2" s="102">
        <f>YEAR(Table6[[#This Row],[Date]])</f>
        <v>2025</v>
      </c>
      <c r="D2" s="102" t="s">
        <v>1992</v>
      </c>
      <c r="E2" s="469">
        <f>Table6[[#This Row],[Date]]-DAY(Table6[[#This Row],[Date]])+1</f>
        <v>45748</v>
      </c>
      <c r="F2" s="470">
        <v>45748</v>
      </c>
      <c r="G2" s="35" t="s">
        <v>75</v>
      </c>
      <c r="H2" s="35" t="str">
        <f>IFERROR(_xlfn.XLOOKUP(Table6[[#This Row],[Affected WTG]],'Basic Data'!$A:$A,'Basic Data'!$B:$B),"")</f>
        <v>TQGXIIPL</v>
      </c>
      <c r="I2" s="35" t="str">
        <f>IFERROR(_xlfn.XLOOKUP(Table6[[#This Row],[Affected WTG]],'Basic Data'!$A:$A,'Basic Data'!$C:$C),"")</f>
        <v>GEDA</v>
      </c>
      <c r="J2" s="471">
        <f>IFERROR(_xlfn.XLOOKUP(Table6[[#This Row],[Affected WTG]],'Basic Data'!$A:$A,'Basic Data'!$E:$E),"")</f>
        <v>3.846153846153845E-2</v>
      </c>
      <c r="K2" s="102">
        <v>6130</v>
      </c>
      <c r="L2" s="35" t="str">
        <f>IFERROR(_xlfn.XLOOKUP(Table6[[#This Row],[Error Code]],'Basic Data'!$AA:$AA,'Basic Data'!$AB:$AB),"Incorrect Error Code")</f>
        <v>Yaw speed high</v>
      </c>
      <c r="M2" s="35" t="s">
        <v>291</v>
      </c>
      <c r="N2" s="475"/>
      <c r="O2" s="476">
        <v>0.22013888888888888</v>
      </c>
      <c r="P2" s="476">
        <v>0.22013888888888888</v>
      </c>
      <c r="Q2" s="477">
        <v>0.22291666666666668</v>
      </c>
      <c r="R2" s="472">
        <f>IF(Table6[[#This Row],[Work Start TimeStamp]]="","",(Table6[[#This Row],[Work Start TimeStamp]]-Table6[[#This Row],[Fault Start TimeStamp]])*24)</f>
        <v>0</v>
      </c>
      <c r="S2" s="472">
        <f>(Table6[[#This Row],[Fault Clearance time]]-Table6[[#This Row],[Work Start TimeStamp]])*24</f>
        <v>6.6666666666667096E-2</v>
      </c>
      <c r="T2" s="472">
        <f>(Table6[[#This Row],[Fault Clearance time]]-Table6[[#This Row],[Fault Start TimeStamp]])*24</f>
        <v>6.6666666666667096E-2</v>
      </c>
      <c r="U2" s="35" t="s">
        <v>349</v>
      </c>
      <c r="V2" s="102" t="s">
        <v>293</v>
      </c>
      <c r="W2" s="478">
        <f>IFERROR(Table6[[#This Row],[Breakdown Time]]*Table6[[#This Row],[Plant Equivalent Weightage]],"")</f>
        <v>2.5641025641025797E-3</v>
      </c>
      <c r="X2" s="473" t="s">
        <v>294</v>
      </c>
      <c r="Y2" s="474" t="s">
        <v>318</v>
      </c>
      <c r="Z2" s="102">
        <v>24626</v>
      </c>
      <c r="AA2" s="468">
        <f>(Table6[[#This Row],[Paired WTG Generation for loss calculation]]/24)*Table6[[#This Row],[Breakdown Time]]</f>
        <v>68.405555555555992</v>
      </c>
      <c r="AB2" s="102"/>
      <c r="AC2" s="35"/>
      <c r="AD2" s="35"/>
    </row>
    <row r="3" spans="1:30">
      <c r="A3" s="102">
        <f t="shared" ref="A3:A12" si="0">A2+1</f>
        <v>2</v>
      </c>
      <c r="B3" s="468">
        <f>YEAR(Table6[[#This Row],[Date]])+IF(MONTH(Table6[[#This Row],[Date]])&gt;=4,1,0)</f>
        <v>2026</v>
      </c>
      <c r="C3" s="102">
        <f>YEAR(Table6[[#This Row],[Date]])</f>
        <v>2025</v>
      </c>
      <c r="D3" s="102" t="s">
        <v>1992</v>
      </c>
      <c r="E3" s="469">
        <f>Table6[[#This Row],[Date]]-DAY(Table6[[#This Row],[Date]])+1</f>
        <v>45748</v>
      </c>
      <c r="F3" s="470">
        <v>45748</v>
      </c>
      <c r="G3" s="35" t="s">
        <v>75</v>
      </c>
      <c r="H3" s="35" t="str">
        <f>IFERROR(_xlfn.XLOOKUP(Table6[[#This Row],[Affected WTG]],'Basic Data'!$A:$A,'Basic Data'!$B:$B),"")</f>
        <v>TQGXIIPL</v>
      </c>
      <c r="I3" s="35" t="str">
        <f>IFERROR(_xlfn.XLOOKUP(Table6[[#This Row],[Affected WTG]],'Basic Data'!$A:$A,'Basic Data'!$C:$C),"")</f>
        <v>GEDA</v>
      </c>
      <c r="J3" s="471">
        <f>IFERROR(_xlfn.XLOOKUP(Table6[[#This Row],[Affected WTG]],'Basic Data'!$A:$A,'Basic Data'!$E:$E),"")</f>
        <v>3.846153846153845E-2</v>
      </c>
      <c r="K3" s="102">
        <v>6130</v>
      </c>
      <c r="L3" s="35" t="str">
        <f>IFERROR(_xlfn.XLOOKUP(Table6[[#This Row],[Error Code]],'Basic Data'!$AA:$AA,'Basic Data'!$AB:$AB),"Incorrect Error Code")</f>
        <v>Yaw speed high</v>
      </c>
      <c r="M3" s="35" t="s">
        <v>291</v>
      </c>
      <c r="N3" s="475"/>
      <c r="O3" s="476">
        <v>0.77916666666666667</v>
      </c>
      <c r="P3" s="476">
        <v>0.77916666666666667</v>
      </c>
      <c r="Q3" s="477">
        <v>0.78749999999999998</v>
      </c>
      <c r="R3" s="472">
        <f>IF(Table6[[#This Row],[Work Start TimeStamp]]="","",(Table6[[#This Row],[Work Start TimeStamp]]-Table6[[#This Row],[Fault Start TimeStamp]])*24)</f>
        <v>0</v>
      </c>
      <c r="S3" s="472">
        <f>(Table6[[#This Row],[Fault Clearance time]]-Table6[[#This Row],[Work Start TimeStamp]])*24</f>
        <v>0.19999999999999929</v>
      </c>
      <c r="T3" s="472">
        <f>(Table6[[#This Row],[Fault Clearance time]]-Table6[[#This Row],[Fault Start TimeStamp]])*24</f>
        <v>0.19999999999999929</v>
      </c>
      <c r="U3" s="35" t="s">
        <v>349</v>
      </c>
      <c r="V3" s="102" t="s">
        <v>293</v>
      </c>
      <c r="W3" s="478">
        <f>IFERROR(Table6[[#This Row],[Breakdown Time]]*Table6[[#This Row],[Plant Equivalent Weightage]],"")</f>
        <v>7.6923076923076624E-3</v>
      </c>
      <c r="X3" s="473" t="s">
        <v>294</v>
      </c>
      <c r="Y3" s="474" t="s">
        <v>318</v>
      </c>
      <c r="Z3" s="102">
        <v>24626</v>
      </c>
      <c r="AA3" s="468">
        <f>(Table6[[#This Row],[Paired WTG Generation for loss calculation]]/24)*Table6[[#This Row],[Breakdown Time]]</f>
        <v>205.21666666666593</v>
      </c>
      <c r="AB3" s="102"/>
      <c r="AC3" s="35"/>
      <c r="AD3" s="35"/>
    </row>
    <row r="4" spans="1:30">
      <c r="A4" s="102">
        <f t="shared" si="0"/>
        <v>3</v>
      </c>
      <c r="B4" s="468">
        <f>YEAR(Table6[[#This Row],[Date]])+IF(MONTH(Table6[[#This Row],[Date]])&gt;=4,1,0)</f>
        <v>2026</v>
      </c>
      <c r="C4" s="102">
        <f>YEAR(Table6[[#This Row],[Date]])</f>
        <v>2025</v>
      </c>
      <c r="D4" s="102" t="s">
        <v>1992</v>
      </c>
      <c r="E4" s="469">
        <f>Table6[[#This Row],[Date]]-DAY(Table6[[#This Row],[Date]])+1</f>
        <v>45748</v>
      </c>
      <c r="F4" s="470">
        <v>45748</v>
      </c>
      <c r="G4" s="35" t="s">
        <v>77</v>
      </c>
      <c r="H4" s="35" t="str">
        <f>IFERROR(_xlfn.XLOOKUP(Table6[[#This Row],[Affected WTG]],'Basic Data'!$A:$A,'Basic Data'!$B:$B),"")</f>
        <v>TQGXIIPL</v>
      </c>
      <c r="I4" s="35" t="str">
        <f>IFERROR(_xlfn.XLOOKUP(Table6[[#This Row],[Affected WTG]],'Basic Data'!$A:$A,'Basic Data'!$C:$C),"")</f>
        <v>GEDA</v>
      </c>
      <c r="J4" s="471">
        <f>IFERROR(_xlfn.XLOOKUP(Table6[[#This Row],[Affected WTG]],'Basic Data'!$A:$A,'Basic Data'!$E:$E),"")</f>
        <v>3.846153846153845E-2</v>
      </c>
      <c r="K4" s="102">
        <v>6007</v>
      </c>
      <c r="L4" s="35" t="str">
        <f>IFERROR(_xlfn.XLOOKUP(Table6[[#This Row],[Error Code]],'Basic Data'!$AA:$AA,'Basic Data'!$AB:$AB),"Incorrect Error Code")</f>
        <v>Overload yaw motors group 1</v>
      </c>
      <c r="M4" s="35" t="s">
        <v>291</v>
      </c>
      <c r="N4" s="475"/>
      <c r="O4" s="476">
        <v>0.59583333333333333</v>
      </c>
      <c r="P4" s="476">
        <v>0.59583333333333333</v>
      </c>
      <c r="Q4" s="477">
        <v>0.60555555555555551</v>
      </c>
      <c r="R4" s="472">
        <f>IF(Table6[[#This Row],[Work Start TimeStamp]]="","",(Table6[[#This Row],[Work Start TimeStamp]]-Table6[[#This Row],[Fault Start TimeStamp]])*24)</f>
        <v>0</v>
      </c>
      <c r="S4" s="472">
        <f>(Table6[[#This Row],[Fault Clearance time]]-Table6[[#This Row],[Work Start TimeStamp]])*24</f>
        <v>0.2333333333333325</v>
      </c>
      <c r="T4" s="472">
        <f>(Table6[[#This Row],[Fault Clearance time]]-Table6[[#This Row],[Fault Start TimeStamp]])*24</f>
        <v>0.2333333333333325</v>
      </c>
      <c r="U4" s="35" t="s">
        <v>349</v>
      </c>
      <c r="V4" s="102" t="s">
        <v>293</v>
      </c>
      <c r="W4" s="478">
        <f>IFERROR(Table6[[#This Row],[Breakdown Time]]*Table6[[#This Row],[Plant Equivalent Weightage]],"")</f>
        <v>8.974358974358939E-3</v>
      </c>
      <c r="X4" s="473" t="s">
        <v>294</v>
      </c>
      <c r="Y4" s="474" t="s">
        <v>310</v>
      </c>
      <c r="Z4" s="102">
        <v>16286</v>
      </c>
      <c r="AA4" s="468">
        <f>(Table6[[#This Row],[Paired WTG Generation for loss calculation]]/24)*Table6[[#This Row],[Breakdown Time]]</f>
        <v>158.33611111111057</v>
      </c>
      <c r="AB4" s="102"/>
      <c r="AC4" s="35"/>
      <c r="AD4" s="35"/>
    </row>
    <row r="5" spans="1:30">
      <c r="A5" s="102">
        <f t="shared" si="0"/>
        <v>4</v>
      </c>
      <c r="B5" s="468">
        <f>YEAR(Table6[[#This Row],[Date]])+IF(MONTH(Table6[[#This Row],[Date]])&gt;=4,1,0)</f>
        <v>2026</v>
      </c>
      <c r="C5" s="102">
        <f>YEAR(Table6[[#This Row],[Date]])</f>
        <v>2025</v>
      </c>
      <c r="D5" s="102" t="s">
        <v>1992</v>
      </c>
      <c r="E5" s="469">
        <f>Table6[[#This Row],[Date]]-DAY(Table6[[#This Row],[Date]])+1</f>
        <v>45748</v>
      </c>
      <c r="F5" s="470">
        <v>45748</v>
      </c>
      <c r="G5" s="35" t="s">
        <v>77</v>
      </c>
      <c r="H5" s="35" t="str">
        <f>IFERROR(_xlfn.XLOOKUP(Table6[[#This Row],[Affected WTG]],'Basic Data'!$A:$A,'Basic Data'!$B:$B),"")</f>
        <v>TQGXIIPL</v>
      </c>
      <c r="I5" s="35" t="str">
        <f>IFERROR(_xlfn.XLOOKUP(Table6[[#This Row],[Affected WTG]],'Basic Data'!$A:$A,'Basic Data'!$C:$C),"")</f>
        <v>GEDA</v>
      </c>
      <c r="J5" s="471">
        <f>IFERROR(_xlfn.XLOOKUP(Table6[[#This Row],[Affected WTG]],'Basic Data'!$A:$A,'Basic Data'!$E:$E),"")</f>
        <v>3.846153846153845E-2</v>
      </c>
      <c r="K5" s="102">
        <v>6007</v>
      </c>
      <c r="L5" s="35" t="str">
        <f>IFERROR(_xlfn.XLOOKUP(Table6[[#This Row],[Error Code]],'Basic Data'!$AA:$AA,'Basic Data'!$AB:$AB),"Incorrect Error Code")</f>
        <v>Overload yaw motors group 1</v>
      </c>
      <c r="M5" s="35" t="s">
        <v>291</v>
      </c>
      <c r="N5" s="475"/>
      <c r="O5" s="476">
        <v>0.64236111111111116</v>
      </c>
      <c r="P5" s="476">
        <v>0.64583333333333337</v>
      </c>
      <c r="Q5" s="477">
        <v>0.66041666666666665</v>
      </c>
      <c r="R5" s="472">
        <f>IF(Table6[[#This Row],[Work Start TimeStamp]]="","",(Table6[[#This Row],[Work Start TimeStamp]]-Table6[[#This Row],[Fault Start TimeStamp]])*24)</f>
        <v>8.3333333333333037E-2</v>
      </c>
      <c r="S5" s="472">
        <f>(Table6[[#This Row],[Fault Clearance time]]-Table6[[#This Row],[Work Start TimeStamp]])*24</f>
        <v>0.34999999999999876</v>
      </c>
      <c r="T5" s="472">
        <f>(Table6[[#This Row],[Fault Clearance time]]-Table6[[#This Row],[Fault Start TimeStamp]])*24</f>
        <v>0.43333333333333179</v>
      </c>
      <c r="U5" s="35" t="s">
        <v>350</v>
      </c>
      <c r="V5" s="102" t="s">
        <v>293</v>
      </c>
      <c r="W5" s="478">
        <f>IFERROR(Table6[[#This Row],[Breakdown Time]]*Table6[[#This Row],[Plant Equivalent Weightage]],"")</f>
        <v>1.6666666666666604E-2</v>
      </c>
      <c r="X5" s="473" t="s">
        <v>294</v>
      </c>
      <c r="Y5" s="474" t="s">
        <v>310</v>
      </c>
      <c r="Z5" s="102">
        <v>16286</v>
      </c>
      <c r="AA5" s="468">
        <f>(Table6[[#This Row],[Paired WTG Generation for loss calculation]]/24)*Table6[[#This Row],[Breakdown Time]]</f>
        <v>294.05277777777673</v>
      </c>
      <c r="AB5" s="102"/>
      <c r="AC5" s="35"/>
      <c r="AD5" s="35"/>
    </row>
    <row r="6" spans="1:30">
      <c r="A6" s="102">
        <f t="shared" si="0"/>
        <v>5</v>
      </c>
      <c r="B6" s="468">
        <f>YEAR(Table6[[#This Row],[Date]])+IF(MONTH(Table6[[#This Row],[Date]])&gt;=4,1,0)</f>
        <v>2026</v>
      </c>
      <c r="C6" s="102">
        <f>YEAR(Table6[[#This Row],[Date]])</f>
        <v>2025</v>
      </c>
      <c r="D6" s="102" t="s">
        <v>1992</v>
      </c>
      <c r="E6" s="469">
        <f>Table6[[#This Row],[Date]]-DAY(Table6[[#This Row],[Date]])+1</f>
        <v>45748</v>
      </c>
      <c r="F6" s="470">
        <v>45748</v>
      </c>
      <c r="G6" s="35" t="s">
        <v>83</v>
      </c>
      <c r="H6" s="35" t="str">
        <f>IFERROR(_xlfn.XLOOKUP(Table6[[#This Row],[Affected WTG]],'Basic Data'!$A:$A,'Basic Data'!$B:$B),"")</f>
        <v>TQGXIIPL</v>
      </c>
      <c r="I6" s="35" t="str">
        <f>IFERROR(_xlfn.XLOOKUP(Table6[[#This Row],[Affected WTG]],'Basic Data'!$A:$A,'Basic Data'!$C:$C),"")</f>
        <v>GEDA</v>
      </c>
      <c r="J6" s="471">
        <f>IFERROR(_xlfn.XLOOKUP(Table6[[#This Row],[Affected WTG]],'Basic Data'!$A:$A,'Basic Data'!$E:$E),"")</f>
        <v>3.846153846153845E-2</v>
      </c>
      <c r="K6" s="102">
        <v>55</v>
      </c>
      <c r="L6" s="35" t="str">
        <f>IFERROR(_xlfn.XLOOKUP(Table6[[#This Row],[Error Code]],'Basic Data'!$AA:$AA,'Basic Data'!$AB:$AB),"Incorrect Error Code")</f>
        <v>WTG shut down</v>
      </c>
      <c r="M6" s="35" t="s">
        <v>304</v>
      </c>
      <c r="N6" s="475"/>
      <c r="O6" s="476">
        <v>0.39097222222222222</v>
      </c>
      <c r="P6" s="476">
        <v>0.39097222222222222</v>
      </c>
      <c r="Q6" s="477">
        <v>0.75</v>
      </c>
      <c r="R6" s="472">
        <f>IF(Table6[[#This Row],[Work Start TimeStamp]]="","",(Table6[[#This Row],[Work Start TimeStamp]]-Table6[[#This Row],[Fault Start TimeStamp]])*24)</f>
        <v>0</v>
      </c>
      <c r="S6" s="472">
        <f>(Table6[[#This Row],[Fault Clearance time]]-Table6[[#This Row],[Work Start TimeStamp]])*24</f>
        <v>8.6166666666666671</v>
      </c>
      <c r="T6" s="472">
        <f>(Table6[[#This Row],[Fault Clearance time]]-Table6[[#This Row],[Fault Start TimeStamp]])*24</f>
        <v>8.6166666666666671</v>
      </c>
      <c r="U6" s="35" t="s">
        <v>351</v>
      </c>
      <c r="V6" s="102" t="s">
        <v>293</v>
      </c>
      <c r="W6" s="478">
        <f>IFERROR(Table6[[#This Row],[Breakdown Time]]*Table6[[#This Row],[Plant Equivalent Weightage]],"")</f>
        <v>0.33141025641025634</v>
      </c>
      <c r="X6" s="473" t="s">
        <v>305</v>
      </c>
      <c r="Y6" s="474" t="s">
        <v>312</v>
      </c>
      <c r="Z6" s="102">
        <v>23343</v>
      </c>
      <c r="AA6" s="468">
        <f>(Table6[[#This Row],[Paired WTG Generation for loss calculation]]/24)*Table6[[#This Row],[Breakdown Time]]</f>
        <v>8380.7854166666675</v>
      </c>
      <c r="AB6" s="102"/>
      <c r="AC6" s="35"/>
      <c r="AD6" s="35"/>
    </row>
    <row r="7" spans="1:30">
      <c r="A7" s="102">
        <f t="shared" si="0"/>
        <v>6</v>
      </c>
      <c r="B7" s="468">
        <f>YEAR(Table6[[#This Row],[Date]])+IF(MONTH(Table6[[#This Row],[Date]])&gt;=4,1,0)</f>
        <v>2026</v>
      </c>
      <c r="C7" s="102">
        <f>YEAR(Table6[[#This Row],[Date]])</f>
        <v>2025</v>
      </c>
      <c r="D7" s="102" t="s">
        <v>1992</v>
      </c>
      <c r="E7" s="469">
        <f>Table6[[#This Row],[Date]]-DAY(Table6[[#This Row],[Date]])+1</f>
        <v>45748</v>
      </c>
      <c r="F7" s="470">
        <v>45748</v>
      </c>
      <c r="G7" s="35" t="s">
        <v>86</v>
      </c>
      <c r="H7" s="35" t="str">
        <f>IFERROR(_xlfn.XLOOKUP(Table6[[#This Row],[Affected WTG]],'Basic Data'!$A:$A,'Basic Data'!$B:$B),"")</f>
        <v>TQGXIIPL</v>
      </c>
      <c r="I7" s="35" t="str">
        <f>IFERROR(_xlfn.XLOOKUP(Table6[[#This Row],[Affected WTG]],'Basic Data'!$A:$A,'Basic Data'!$C:$C),"")</f>
        <v>GEDA</v>
      </c>
      <c r="J7" s="471">
        <f>IFERROR(_xlfn.XLOOKUP(Table6[[#This Row],[Affected WTG]],'Basic Data'!$A:$A,'Basic Data'!$E:$E),"")</f>
        <v>3.846153846153845E-2</v>
      </c>
      <c r="K7" s="102">
        <v>6130</v>
      </c>
      <c r="L7" s="35" t="str">
        <f>IFERROR(_xlfn.XLOOKUP(Table6[[#This Row],[Error Code]],'Basic Data'!$AA:$AA,'Basic Data'!$AB:$AB),"Incorrect Error Code")</f>
        <v>Yaw speed high</v>
      </c>
      <c r="M7" s="35" t="s">
        <v>291</v>
      </c>
      <c r="N7" s="475"/>
      <c r="O7" s="476">
        <v>0.2951388888888889</v>
      </c>
      <c r="P7" s="476">
        <v>0.2951388888888889</v>
      </c>
      <c r="Q7" s="477">
        <v>0.29652777777777778</v>
      </c>
      <c r="R7" s="472">
        <f>IF(Table6[[#This Row],[Work Start TimeStamp]]="","",(Table6[[#This Row],[Work Start TimeStamp]]-Table6[[#This Row],[Fault Start TimeStamp]])*24)</f>
        <v>0</v>
      </c>
      <c r="S7" s="472">
        <f>(Table6[[#This Row],[Fault Clearance time]]-Table6[[#This Row],[Work Start TimeStamp]])*24</f>
        <v>3.3333333333333215E-2</v>
      </c>
      <c r="T7" s="472">
        <f>(Table6[[#This Row],[Fault Clearance time]]-Table6[[#This Row],[Fault Start TimeStamp]])*24</f>
        <v>3.3333333333333215E-2</v>
      </c>
      <c r="U7" s="35" t="s">
        <v>349</v>
      </c>
      <c r="V7" s="102" t="s">
        <v>293</v>
      </c>
      <c r="W7" s="478">
        <f>IFERROR(Table6[[#This Row],[Breakdown Time]]*Table6[[#This Row],[Plant Equivalent Weightage]],"")</f>
        <v>1.2820512820512771E-3</v>
      </c>
      <c r="X7" s="473" t="s">
        <v>294</v>
      </c>
      <c r="Y7" s="474" t="s">
        <v>313</v>
      </c>
      <c r="Z7" s="102">
        <v>21579</v>
      </c>
      <c r="AA7" s="468">
        <f>(Table6[[#This Row],[Paired WTG Generation for loss calculation]]/24)*Table6[[#This Row],[Breakdown Time]]</f>
        <v>29.970833333333228</v>
      </c>
      <c r="AB7" s="102"/>
      <c r="AC7" s="35"/>
      <c r="AD7" s="35"/>
    </row>
    <row r="8" spans="1:30">
      <c r="A8" s="102">
        <f t="shared" si="0"/>
        <v>7</v>
      </c>
      <c r="B8" s="468">
        <f>YEAR(Table6[[#This Row],[Date]])+IF(MONTH(Table6[[#This Row],[Date]])&gt;=4,1,0)</f>
        <v>2026</v>
      </c>
      <c r="C8" s="102">
        <f>YEAR(Table6[[#This Row],[Date]])</f>
        <v>2025</v>
      </c>
      <c r="D8" s="102" t="s">
        <v>1992</v>
      </c>
      <c r="E8" s="469">
        <f>Table6[[#This Row],[Date]]-DAY(Table6[[#This Row],[Date]])+1</f>
        <v>45748</v>
      </c>
      <c r="F8" s="470">
        <v>45748</v>
      </c>
      <c r="G8" s="35" t="s">
        <v>91</v>
      </c>
      <c r="H8" s="35" t="str">
        <f>IFERROR(_xlfn.XLOOKUP(Table6[[#This Row],[Affected WTG]],'Basic Data'!$A:$A,'Basic Data'!$B:$B),"")</f>
        <v>TQGXIIPL</v>
      </c>
      <c r="I8" s="35" t="str">
        <f>IFERROR(_xlfn.XLOOKUP(Table6[[#This Row],[Affected WTG]],'Basic Data'!$A:$A,'Basic Data'!$C:$C),"")</f>
        <v>GEDA</v>
      </c>
      <c r="J8" s="471">
        <f>IFERROR(_xlfn.XLOOKUP(Table6[[#This Row],[Affected WTG]],'Basic Data'!$A:$A,'Basic Data'!$E:$E),"")</f>
        <v>3.846153846153845E-2</v>
      </c>
      <c r="K8" s="102">
        <v>3000</v>
      </c>
      <c r="L8" s="35" t="str">
        <f>IFERROR(_xlfn.XLOOKUP(Table6[[#This Row],[Error Code]],'Basic Data'!$AA:$AA,'Basic Data'!$AB:$AB),"Incorrect Error Code")</f>
        <v>Frequency converter not ready</v>
      </c>
      <c r="M8" s="35" t="s">
        <v>291</v>
      </c>
      <c r="N8" s="475"/>
      <c r="O8" s="476">
        <v>0.88194444444444442</v>
      </c>
      <c r="P8" s="476">
        <v>0.88194444444444442</v>
      </c>
      <c r="Q8" s="477">
        <v>0.8833333333333333</v>
      </c>
      <c r="R8" s="472">
        <f>IF(Table6[[#This Row],[Work Start TimeStamp]]="","",(Table6[[#This Row],[Work Start TimeStamp]]-Table6[[#This Row],[Fault Start TimeStamp]])*24)</f>
        <v>0</v>
      </c>
      <c r="S8" s="472">
        <f>(Table6[[#This Row],[Fault Clearance time]]-Table6[[#This Row],[Work Start TimeStamp]])*24</f>
        <v>3.3333333333333215E-2</v>
      </c>
      <c r="T8" s="472">
        <f>(Table6[[#This Row],[Fault Clearance time]]-Table6[[#This Row],[Fault Start TimeStamp]])*24</f>
        <v>3.3333333333333215E-2</v>
      </c>
      <c r="U8" s="35" t="s">
        <v>349</v>
      </c>
      <c r="V8" s="102" t="s">
        <v>293</v>
      </c>
      <c r="W8" s="478">
        <f>IFERROR(Table6[[#This Row],[Breakdown Time]]*Table6[[#This Row],[Plant Equivalent Weightage]],"")</f>
        <v>1.2820512820512771E-3</v>
      </c>
      <c r="X8" s="473" t="s">
        <v>294</v>
      </c>
      <c r="Y8" s="474" t="s">
        <v>319</v>
      </c>
      <c r="Z8" s="102">
        <v>19200</v>
      </c>
      <c r="AA8" s="468">
        <f>(Table6[[#This Row],[Paired WTG Generation for loss calculation]]/24)*Table6[[#This Row],[Breakdown Time]]</f>
        <v>26.666666666666572</v>
      </c>
      <c r="AB8" s="102"/>
      <c r="AC8" s="35"/>
      <c r="AD8" s="35"/>
    </row>
    <row r="9" spans="1:30">
      <c r="A9" s="102">
        <f t="shared" si="0"/>
        <v>8</v>
      </c>
      <c r="B9" s="468">
        <f>YEAR(Table6[[#This Row],[Date]])+IF(MONTH(Table6[[#This Row],[Date]])&gt;=4,1,0)</f>
        <v>2026</v>
      </c>
      <c r="C9" s="102">
        <f>YEAR(Table6[[#This Row],[Date]])</f>
        <v>2025</v>
      </c>
      <c r="D9" s="102" t="s">
        <v>1992</v>
      </c>
      <c r="E9" s="469">
        <f>Table6[[#This Row],[Date]]-DAY(Table6[[#This Row],[Date]])+1</f>
        <v>45748</v>
      </c>
      <c r="F9" s="470">
        <v>45749</v>
      </c>
      <c r="G9" s="35" t="s">
        <v>74</v>
      </c>
      <c r="H9" s="35" t="str">
        <f>IFERROR(_xlfn.XLOOKUP(Table6[[#This Row],[Affected WTG]],'Basic Data'!$A:$A,'Basic Data'!$B:$B),"")</f>
        <v>TQGXIIPL</v>
      </c>
      <c r="I9" s="35" t="str">
        <f>IFERROR(_xlfn.XLOOKUP(Table6[[#This Row],[Affected WTG]],'Basic Data'!$A:$A,'Basic Data'!$C:$C),"")</f>
        <v>GEDA</v>
      </c>
      <c r="J9" s="471">
        <f>IFERROR(_xlfn.XLOOKUP(Table6[[#This Row],[Affected WTG]],'Basic Data'!$A:$A,'Basic Data'!$E:$E),"")</f>
        <v>3.846153846153845E-2</v>
      </c>
      <c r="K9" s="102">
        <v>6130</v>
      </c>
      <c r="L9" s="35" t="str">
        <f>IFERROR(_xlfn.XLOOKUP(Table6[[#This Row],[Error Code]],'Basic Data'!$AA:$AA,'Basic Data'!$AB:$AB),"Incorrect Error Code")</f>
        <v>Yaw speed high</v>
      </c>
      <c r="M9" s="35" t="s">
        <v>291</v>
      </c>
      <c r="N9" s="475"/>
      <c r="O9" s="476">
        <v>0.50277777777777777</v>
      </c>
      <c r="P9" s="476">
        <v>0.50277777777777777</v>
      </c>
      <c r="Q9" s="477">
        <v>0.50694444444444442</v>
      </c>
      <c r="R9" s="472">
        <f>IF(Table6[[#This Row],[Work Start TimeStamp]]="","",(Table6[[#This Row],[Work Start TimeStamp]]-Table6[[#This Row],[Fault Start TimeStamp]])*24)</f>
        <v>0</v>
      </c>
      <c r="S9" s="472">
        <f>(Table6[[#This Row],[Fault Clearance time]]-Table6[[#This Row],[Work Start TimeStamp]])*24</f>
        <v>9.9999999999999645E-2</v>
      </c>
      <c r="T9" s="472">
        <f>(Table6[[#This Row],[Fault Clearance time]]-Table6[[#This Row],[Fault Start TimeStamp]])*24</f>
        <v>9.9999999999999645E-2</v>
      </c>
      <c r="U9" s="35" t="s">
        <v>352</v>
      </c>
      <c r="V9" s="102" t="s">
        <v>293</v>
      </c>
      <c r="W9" s="478">
        <f>IFERROR(Table6[[#This Row],[Breakdown Time]]*Table6[[#This Row],[Plant Equivalent Weightage]],"")</f>
        <v>3.8461538461538312E-3</v>
      </c>
      <c r="X9" s="473" t="s">
        <v>294</v>
      </c>
      <c r="Y9" s="474" t="s">
        <v>321</v>
      </c>
      <c r="Z9" s="102">
        <v>12678</v>
      </c>
      <c r="AA9" s="468">
        <f>(Table6[[#This Row],[Paired WTG Generation for loss calculation]]/24)*Table6[[#This Row],[Breakdown Time]]</f>
        <v>52.824999999999811</v>
      </c>
      <c r="AB9" s="102"/>
      <c r="AC9" s="35"/>
      <c r="AD9" s="35"/>
    </row>
    <row r="10" spans="1:30">
      <c r="A10" s="102">
        <f t="shared" si="0"/>
        <v>9</v>
      </c>
      <c r="B10" s="468">
        <f>YEAR(Table6[[#This Row],[Date]])+IF(MONTH(Table6[[#This Row],[Date]])&gt;=4,1,0)</f>
        <v>2026</v>
      </c>
      <c r="C10" s="102">
        <f>YEAR(Table6[[#This Row],[Date]])</f>
        <v>2025</v>
      </c>
      <c r="D10" s="102" t="s">
        <v>1992</v>
      </c>
      <c r="E10" s="469">
        <f>Table6[[#This Row],[Date]]-DAY(Table6[[#This Row],[Date]])+1</f>
        <v>45748</v>
      </c>
      <c r="F10" s="470">
        <v>45749</v>
      </c>
      <c r="G10" s="35" t="s">
        <v>75</v>
      </c>
      <c r="H10" s="35" t="str">
        <f>IFERROR(_xlfn.XLOOKUP(Table6[[#This Row],[Affected WTG]],'Basic Data'!$A:$A,'Basic Data'!$B:$B),"")</f>
        <v>TQGXIIPL</v>
      </c>
      <c r="I10" s="35" t="str">
        <f>IFERROR(_xlfn.XLOOKUP(Table6[[#This Row],[Affected WTG]],'Basic Data'!$A:$A,'Basic Data'!$C:$C),"")</f>
        <v>GEDA</v>
      </c>
      <c r="J10" s="471">
        <f>IFERROR(_xlfn.XLOOKUP(Table6[[#This Row],[Affected WTG]],'Basic Data'!$A:$A,'Basic Data'!$E:$E),"")</f>
        <v>3.846153846153845E-2</v>
      </c>
      <c r="K10" s="102">
        <v>3110</v>
      </c>
      <c r="L10" s="35" t="str">
        <f>IFERROR(_xlfn.XLOOKUP(Table6[[#This Row],[Error Code]],'Basic Data'!$AA:$AA,'Basic Data'!$AB:$AB),"Incorrect Error Code")</f>
        <v>Frequency converter error</v>
      </c>
      <c r="M10" s="35" t="s">
        <v>291</v>
      </c>
      <c r="N10" s="475"/>
      <c r="O10" s="476">
        <v>0.48958333333333331</v>
      </c>
      <c r="P10" s="476">
        <v>0.48958333333333331</v>
      </c>
      <c r="Q10" s="477">
        <v>0.49305555555555558</v>
      </c>
      <c r="R10" s="472">
        <f>IF(Table6[[#This Row],[Work Start TimeStamp]]="","",(Table6[[#This Row],[Work Start TimeStamp]]-Table6[[#This Row],[Fault Start TimeStamp]])*24)</f>
        <v>0</v>
      </c>
      <c r="S10" s="472">
        <f>(Table6[[#This Row],[Fault Clearance time]]-Table6[[#This Row],[Work Start TimeStamp]])*24</f>
        <v>8.333333333333437E-2</v>
      </c>
      <c r="T10" s="472">
        <f>(Table6[[#This Row],[Fault Clearance time]]-Table6[[#This Row],[Fault Start TimeStamp]])*24</f>
        <v>8.333333333333437E-2</v>
      </c>
      <c r="U10" s="35" t="s">
        <v>353</v>
      </c>
      <c r="V10" s="102" t="s">
        <v>293</v>
      </c>
      <c r="W10" s="478">
        <f>IFERROR(Table6[[#This Row],[Breakdown Time]]*Table6[[#This Row],[Plant Equivalent Weightage]],"")</f>
        <v>3.205128205128244E-3</v>
      </c>
      <c r="X10" s="473" t="s">
        <v>294</v>
      </c>
      <c r="Y10" s="474" t="s">
        <v>318</v>
      </c>
      <c r="Z10" s="102">
        <v>12752</v>
      </c>
      <c r="AA10" s="468">
        <f>(Table6[[#This Row],[Paired WTG Generation for loss calculation]]/24)*Table6[[#This Row],[Breakdown Time]]</f>
        <v>44.277777777778333</v>
      </c>
      <c r="AB10" s="102"/>
      <c r="AC10" s="35"/>
      <c r="AD10" s="35"/>
    </row>
    <row r="11" spans="1:30">
      <c r="A11" s="102">
        <f t="shared" si="0"/>
        <v>10</v>
      </c>
      <c r="B11" s="468">
        <f>YEAR(Table6[[#This Row],[Date]])+IF(MONTH(Table6[[#This Row],[Date]])&gt;=4,1,0)</f>
        <v>2026</v>
      </c>
      <c r="C11" s="102">
        <f>YEAR(Table6[[#This Row],[Date]])</f>
        <v>2025</v>
      </c>
      <c r="D11" s="102" t="s">
        <v>1992</v>
      </c>
      <c r="E11" s="469">
        <f>Table6[[#This Row],[Date]]-DAY(Table6[[#This Row],[Date]])+1</f>
        <v>45748</v>
      </c>
      <c r="F11" s="470">
        <v>45749</v>
      </c>
      <c r="G11" s="35" t="s">
        <v>75</v>
      </c>
      <c r="H11" s="35" t="str">
        <f>IFERROR(_xlfn.XLOOKUP(Table6[[#This Row],[Affected WTG]],'Basic Data'!$A:$A,'Basic Data'!$B:$B),"")</f>
        <v>TQGXIIPL</v>
      </c>
      <c r="I11" s="35" t="str">
        <f>IFERROR(_xlfn.XLOOKUP(Table6[[#This Row],[Affected WTG]],'Basic Data'!$A:$A,'Basic Data'!$C:$C),"")</f>
        <v>GEDA</v>
      </c>
      <c r="J11" s="471">
        <f>IFERROR(_xlfn.XLOOKUP(Table6[[#This Row],[Affected WTG]],'Basic Data'!$A:$A,'Basic Data'!$E:$E),"")</f>
        <v>3.846153846153845E-2</v>
      </c>
      <c r="K11" s="102">
        <v>3000</v>
      </c>
      <c r="L11" s="35" t="str">
        <f>IFERROR(_xlfn.XLOOKUP(Table6[[#This Row],[Error Code]],'Basic Data'!$AA:$AA,'Basic Data'!$AB:$AB),"Incorrect Error Code")</f>
        <v>Frequency converter not ready</v>
      </c>
      <c r="M11" s="35" t="s">
        <v>291</v>
      </c>
      <c r="N11" s="475"/>
      <c r="O11" s="476">
        <v>0.74375000000000002</v>
      </c>
      <c r="P11" s="476">
        <v>0.74375000000000002</v>
      </c>
      <c r="Q11" s="477">
        <v>0.74583333333333335</v>
      </c>
      <c r="R11" s="472">
        <f>IF(Table6[[#This Row],[Work Start TimeStamp]]="","",(Table6[[#This Row],[Work Start TimeStamp]]-Table6[[#This Row],[Fault Start TimeStamp]])*24)</f>
        <v>0</v>
      </c>
      <c r="S11" s="472">
        <f>(Table6[[#This Row],[Fault Clearance time]]-Table6[[#This Row],[Work Start TimeStamp]])*24</f>
        <v>4.9999999999999822E-2</v>
      </c>
      <c r="T11" s="472">
        <f>(Table6[[#This Row],[Fault Clearance time]]-Table6[[#This Row],[Fault Start TimeStamp]])*24</f>
        <v>4.9999999999999822E-2</v>
      </c>
      <c r="U11" s="35" t="s">
        <v>354</v>
      </c>
      <c r="V11" s="102" t="s">
        <v>293</v>
      </c>
      <c r="W11" s="478">
        <f>IFERROR(Table6[[#This Row],[Breakdown Time]]*Table6[[#This Row],[Plant Equivalent Weightage]],"")</f>
        <v>1.9230769230769156E-3</v>
      </c>
      <c r="X11" s="473" t="s">
        <v>294</v>
      </c>
      <c r="Y11" s="474" t="s">
        <v>318</v>
      </c>
      <c r="Z11" s="102">
        <v>12752</v>
      </c>
      <c r="AA11" s="468">
        <f>(Table6[[#This Row],[Paired WTG Generation for loss calculation]]/24)*Table6[[#This Row],[Breakdown Time]]</f>
        <v>26.566666666666574</v>
      </c>
      <c r="AB11" s="102"/>
      <c r="AC11" s="35"/>
      <c r="AD11" s="35"/>
    </row>
    <row r="12" spans="1:30">
      <c r="A12" s="102">
        <f t="shared" si="0"/>
        <v>11</v>
      </c>
      <c r="B12" s="468">
        <f>YEAR(Table6[[#This Row],[Date]])+IF(MONTH(Table6[[#This Row],[Date]])&gt;=4,1,0)</f>
        <v>2026</v>
      </c>
      <c r="C12" s="102">
        <f>YEAR(Table6[[#This Row],[Date]])</f>
        <v>2025</v>
      </c>
      <c r="D12" s="102" t="s">
        <v>1992</v>
      </c>
      <c r="E12" s="469">
        <f>Table6[[#This Row],[Date]]-DAY(Table6[[#This Row],[Date]])+1</f>
        <v>45748</v>
      </c>
      <c r="F12" s="470">
        <v>45749</v>
      </c>
      <c r="G12" s="35" t="s">
        <v>77</v>
      </c>
      <c r="H12" s="35" t="str">
        <f>IFERROR(_xlfn.XLOOKUP(Table6[[#This Row],[Affected WTG]],'Basic Data'!$A:$A,'Basic Data'!$B:$B),"")</f>
        <v>TQGXIIPL</v>
      </c>
      <c r="I12" s="35" t="str">
        <f>IFERROR(_xlfn.XLOOKUP(Table6[[#This Row],[Affected WTG]],'Basic Data'!$A:$A,'Basic Data'!$C:$C),"")</f>
        <v>GEDA</v>
      </c>
      <c r="J12" s="471">
        <f>IFERROR(_xlfn.XLOOKUP(Table6[[#This Row],[Affected WTG]],'Basic Data'!$A:$A,'Basic Data'!$E:$E),"")</f>
        <v>3.846153846153845E-2</v>
      </c>
      <c r="K12" s="102">
        <v>3110</v>
      </c>
      <c r="L12" s="35" t="str">
        <f>IFERROR(_xlfn.XLOOKUP(Table6[[#This Row],[Error Code]],'Basic Data'!$AA:$AA,'Basic Data'!$AB:$AB),"Incorrect Error Code")</f>
        <v>Frequency converter error</v>
      </c>
      <c r="M12" s="35" t="s">
        <v>291</v>
      </c>
      <c r="N12" s="475"/>
      <c r="O12" s="476">
        <v>0.74375000000000002</v>
      </c>
      <c r="P12" s="476">
        <v>0.74375000000000002</v>
      </c>
      <c r="Q12" s="477">
        <v>0.74513888888888891</v>
      </c>
      <c r="R12" s="472">
        <f>IF(Table6[[#This Row],[Work Start TimeStamp]]="","",(Table6[[#This Row],[Work Start TimeStamp]]-Table6[[#This Row],[Fault Start TimeStamp]])*24)</f>
        <v>0</v>
      </c>
      <c r="S12" s="472">
        <f>(Table6[[#This Row],[Fault Clearance time]]-Table6[[#This Row],[Work Start TimeStamp]])*24</f>
        <v>3.3333333333333215E-2</v>
      </c>
      <c r="T12" s="472">
        <f>(Table6[[#This Row],[Fault Clearance time]]-Table6[[#This Row],[Fault Start TimeStamp]])*24</f>
        <v>3.3333333333333215E-2</v>
      </c>
      <c r="U12" s="35" t="s">
        <v>336</v>
      </c>
      <c r="V12" s="102" t="s">
        <v>293</v>
      </c>
      <c r="W12" s="478">
        <f>IFERROR(Table6[[#This Row],[Breakdown Time]]*Table6[[#This Row],[Plant Equivalent Weightage]],"")</f>
        <v>1.2820512820512771E-3</v>
      </c>
      <c r="X12" s="473" t="s">
        <v>294</v>
      </c>
      <c r="Y12" s="474" t="s">
        <v>310</v>
      </c>
      <c r="Z12" s="102">
        <v>7398</v>
      </c>
      <c r="AA12" s="468">
        <f>(Table6[[#This Row],[Paired WTG Generation for loss calculation]]/24)*Table6[[#This Row],[Breakdown Time]]</f>
        <v>10.274999999999963</v>
      </c>
      <c r="AB12" s="102"/>
      <c r="AC12" s="35"/>
      <c r="AD12" s="35"/>
    </row>
    <row r="13" spans="1:30">
      <c r="A13" s="102">
        <f t="shared" ref="A13:A77" si="1">A12+1</f>
        <v>12</v>
      </c>
      <c r="B13" s="468">
        <f>YEAR(Table6[[#This Row],[Date]])+IF(MONTH(Table6[[#This Row],[Date]])&gt;=4,1,0)</f>
        <v>2026</v>
      </c>
      <c r="C13" s="102">
        <f>YEAR(Table6[[#This Row],[Date]])</f>
        <v>2025</v>
      </c>
      <c r="D13" s="102" t="s">
        <v>1992</v>
      </c>
      <c r="E13" s="469">
        <f>Table6[[#This Row],[Date]]-DAY(Table6[[#This Row],[Date]])+1</f>
        <v>45748</v>
      </c>
      <c r="F13" s="470">
        <v>45749</v>
      </c>
      <c r="G13" s="35" t="s">
        <v>78</v>
      </c>
      <c r="H13" s="35" t="str">
        <f>IFERROR(_xlfn.XLOOKUP(Table6[[#This Row],[Affected WTG]],'Basic Data'!$A:$A,'Basic Data'!$B:$B),"")</f>
        <v>TQGXIIPL</v>
      </c>
      <c r="I13" s="35" t="str">
        <f>IFERROR(_xlfn.XLOOKUP(Table6[[#This Row],[Affected WTG]],'Basic Data'!$A:$A,'Basic Data'!$C:$C),"")</f>
        <v>GEDA</v>
      </c>
      <c r="J13" s="471">
        <f>IFERROR(_xlfn.XLOOKUP(Table6[[#This Row],[Affected WTG]],'Basic Data'!$A:$A,'Basic Data'!$E:$E),"")</f>
        <v>3.846153846153845E-2</v>
      </c>
      <c r="K13" s="102">
        <v>3000</v>
      </c>
      <c r="L13" s="35" t="str">
        <f>IFERROR(_xlfn.XLOOKUP(Table6[[#This Row],[Error Code]],'Basic Data'!$AA:$AA,'Basic Data'!$AB:$AB),"Incorrect Error Code")</f>
        <v>Frequency converter not ready</v>
      </c>
      <c r="M13" s="35" t="s">
        <v>292</v>
      </c>
      <c r="N13" s="475"/>
      <c r="O13" s="476">
        <v>0.48749999999999999</v>
      </c>
      <c r="P13" s="476">
        <v>0.48749999999999999</v>
      </c>
      <c r="Q13" s="477">
        <v>0.48958333333333331</v>
      </c>
      <c r="R13" s="472">
        <f>IF(Table6[[#This Row],[Work Start TimeStamp]]="","",(Table6[[#This Row],[Work Start TimeStamp]]-Table6[[#This Row],[Fault Start TimeStamp]])*24)</f>
        <v>0</v>
      </c>
      <c r="S13" s="472">
        <f>(Table6[[#This Row],[Fault Clearance time]]-Table6[[#This Row],[Work Start TimeStamp]])*24</f>
        <v>4.9999999999999822E-2</v>
      </c>
      <c r="T13" s="472">
        <f>(Table6[[#This Row],[Fault Clearance time]]-Table6[[#This Row],[Fault Start TimeStamp]])*24</f>
        <v>4.9999999999999822E-2</v>
      </c>
      <c r="U13" s="35" t="s">
        <v>336</v>
      </c>
      <c r="V13" s="102" t="s">
        <v>293</v>
      </c>
      <c r="W13" s="478">
        <f>IFERROR(Table6[[#This Row],[Breakdown Time]]*Table6[[#This Row],[Plant Equivalent Weightage]],"")</f>
        <v>1.9230769230769156E-3</v>
      </c>
      <c r="X13" s="473" t="s">
        <v>294</v>
      </c>
      <c r="Y13" s="474" t="s">
        <v>333</v>
      </c>
      <c r="Z13" s="102">
        <v>9289</v>
      </c>
      <c r="AA13" s="468">
        <f>(Table6[[#This Row],[Paired WTG Generation for loss calculation]]/24)*Table6[[#This Row],[Breakdown Time]]</f>
        <v>19.352083333333265</v>
      </c>
      <c r="AB13" s="102"/>
      <c r="AC13" s="35"/>
      <c r="AD13" s="35"/>
    </row>
    <row r="14" spans="1:30">
      <c r="A14" s="102">
        <f t="shared" si="1"/>
        <v>13</v>
      </c>
      <c r="B14" s="468">
        <f>YEAR(Table6[[#This Row],[Date]])+IF(MONTH(Table6[[#This Row],[Date]])&gt;=4,1,0)</f>
        <v>2026</v>
      </c>
      <c r="C14" s="102">
        <f>YEAR(Table6[[#This Row],[Date]])</f>
        <v>2025</v>
      </c>
      <c r="D14" s="102" t="s">
        <v>1992</v>
      </c>
      <c r="E14" s="469">
        <f>Table6[[#This Row],[Date]]-DAY(Table6[[#This Row],[Date]])+1</f>
        <v>45748</v>
      </c>
      <c r="F14" s="470">
        <v>45749</v>
      </c>
      <c r="G14" s="35" t="s">
        <v>78</v>
      </c>
      <c r="H14" s="35" t="str">
        <f>IFERROR(_xlfn.XLOOKUP(Table6[[#This Row],[Affected WTG]],'Basic Data'!$A:$A,'Basic Data'!$B:$B),"")</f>
        <v>TQGXIIPL</v>
      </c>
      <c r="I14" s="35" t="str">
        <f>IFERROR(_xlfn.XLOOKUP(Table6[[#This Row],[Affected WTG]],'Basic Data'!$A:$A,'Basic Data'!$C:$C),"")</f>
        <v>GEDA</v>
      </c>
      <c r="J14" s="471">
        <f>IFERROR(_xlfn.XLOOKUP(Table6[[#This Row],[Affected WTG]],'Basic Data'!$A:$A,'Basic Data'!$E:$E),"")</f>
        <v>3.846153846153845E-2</v>
      </c>
      <c r="K14" s="102">
        <v>6056</v>
      </c>
      <c r="L14" s="35" t="str">
        <f>IFERROR(_xlfn.XLOOKUP(Table6[[#This Row],[Error Code]],'Basic Data'!$AA:$AA,'Basic Data'!$AB:$AB),"Incorrect Error Code")</f>
        <v>High yaw load</v>
      </c>
      <c r="M14" s="35" t="s">
        <v>292</v>
      </c>
      <c r="N14" s="475"/>
      <c r="O14" s="476">
        <v>0.64652777777777781</v>
      </c>
      <c r="P14" s="476">
        <v>0.64652777777777781</v>
      </c>
      <c r="Q14" s="477">
        <v>0.64861111111111114</v>
      </c>
      <c r="R14" s="472">
        <f>IF(Table6[[#This Row],[Work Start TimeStamp]]="","",(Table6[[#This Row],[Work Start TimeStamp]]-Table6[[#This Row],[Fault Start TimeStamp]])*24)</f>
        <v>0</v>
      </c>
      <c r="S14" s="472">
        <f>(Table6[[#This Row],[Fault Clearance time]]-Table6[[#This Row],[Work Start TimeStamp]])*24</f>
        <v>4.9999999999999822E-2</v>
      </c>
      <c r="T14" s="472">
        <f>(Table6[[#This Row],[Fault Clearance time]]-Table6[[#This Row],[Fault Start TimeStamp]])*24</f>
        <v>4.9999999999999822E-2</v>
      </c>
      <c r="U14" s="35" t="s">
        <v>349</v>
      </c>
      <c r="V14" s="102" t="s">
        <v>293</v>
      </c>
      <c r="W14" s="478">
        <f>IFERROR(Table6[[#This Row],[Breakdown Time]]*Table6[[#This Row],[Plant Equivalent Weightage]],"")</f>
        <v>1.9230769230769156E-3</v>
      </c>
      <c r="X14" s="473" t="s">
        <v>294</v>
      </c>
      <c r="Y14" s="474" t="s">
        <v>333</v>
      </c>
      <c r="Z14" s="102">
        <v>9289</v>
      </c>
      <c r="AA14" s="468">
        <f>(Table6[[#This Row],[Paired WTG Generation for loss calculation]]/24)*Table6[[#This Row],[Breakdown Time]]</f>
        <v>19.352083333333265</v>
      </c>
      <c r="AB14" s="102"/>
      <c r="AC14" s="35"/>
      <c r="AD14" s="35"/>
    </row>
    <row r="15" spans="1:30">
      <c r="A15" s="102">
        <f t="shared" si="1"/>
        <v>14</v>
      </c>
      <c r="B15" s="468">
        <f>YEAR(Table6[[#This Row],[Date]])+IF(MONTH(Table6[[#This Row],[Date]])&gt;=4,1,0)</f>
        <v>2026</v>
      </c>
      <c r="C15" s="102">
        <f>YEAR(Table6[[#This Row],[Date]])</f>
        <v>2025</v>
      </c>
      <c r="D15" s="102" t="s">
        <v>1992</v>
      </c>
      <c r="E15" s="469">
        <f>Table6[[#This Row],[Date]]-DAY(Table6[[#This Row],[Date]])+1</f>
        <v>45748</v>
      </c>
      <c r="F15" s="470">
        <v>45749</v>
      </c>
      <c r="G15" s="35" t="s">
        <v>81</v>
      </c>
      <c r="H15" s="35" t="str">
        <f>IFERROR(_xlfn.XLOOKUP(Table6[[#This Row],[Affected WTG]],'Basic Data'!$A:$A,'Basic Data'!$B:$B),"")</f>
        <v>TQGXIIPL</v>
      </c>
      <c r="I15" s="35" t="str">
        <f>IFERROR(_xlfn.XLOOKUP(Table6[[#This Row],[Affected WTG]],'Basic Data'!$A:$A,'Basic Data'!$C:$C),"")</f>
        <v>GEDA</v>
      </c>
      <c r="J15" s="471">
        <f>IFERROR(_xlfn.XLOOKUP(Table6[[#This Row],[Affected WTG]],'Basic Data'!$A:$A,'Basic Data'!$E:$E),"")</f>
        <v>3.846153846153845E-2</v>
      </c>
      <c r="K15" s="102">
        <v>175</v>
      </c>
      <c r="L15" s="35" t="str">
        <f>IFERROR(_xlfn.XLOOKUP(Table6[[#This Row],[Error Code]],'Basic Data'!$AA:$AA,'Basic Data'!$AB:$AB),"Incorrect Error Code")</f>
        <v>SLC error</v>
      </c>
      <c r="M15" s="35" t="s">
        <v>291</v>
      </c>
      <c r="N15" s="475"/>
      <c r="O15" s="476">
        <v>0.35</v>
      </c>
      <c r="P15" s="476">
        <v>0.35</v>
      </c>
      <c r="Q15" s="477">
        <v>0.36666666666666664</v>
      </c>
      <c r="R15" s="472">
        <f>IF(Table6[[#This Row],[Work Start TimeStamp]]="","",(Table6[[#This Row],[Work Start TimeStamp]]-Table6[[#This Row],[Fault Start TimeStamp]])*24)</f>
        <v>0</v>
      </c>
      <c r="S15" s="472">
        <f>(Table6[[#This Row],[Fault Clearance time]]-Table6[[#This Row],[Work Start TimeStamp]])*24</f>
        <v>0.39999999999999991</v>
      </c>
      <c r="T15" s="472">
        <f>(Table6[[#This Row],[Fault Clearance time]]-Table6[[#This Row],[Fault Start TimeStamp]])*24</f>
        <v>0.39999999999999991</v>
      </c>
      <c r="U15" s="35" t="s">
        <v>355</v>
      </c>
      <c r="V15" s="102" t="s">
        <v>293</v>
      </c>
      <c r="W15" s="478">
        <f>IFERROR(Table6[[#This Row],[Breakdown Time]]*Table6[[#This Row],[Plant Equivalent Weightage]],"")</f>
        <v>1.5384615384615377E-2</v>
      </c>
      <c r="X15" s="473" t="s">
        <v>294</v>
      </c>
      <c r="Y15" s="474" t="s">
        <v>321</v>
      </c>
      <c r="Z15" s="102">
        <v>12678</v>
      </c>
      <c r="AA15" s="468">
        <f>(Table6[[#This Row],[Paired WTG Generation for loss calculation]]/24)*Table6[[#This Row],[Breakdown Time]]</f>
        <v>211.29999999999995</v>
      </c>
      <c r="AB15" s="102"/>
      <c r="AC15" s="35"/>
      <c r="AD15" s="35"/>
    </row>
    <row r="16" spans="1:30">
      <c r="A16" s="102">
        <f t="shared" si="1"/>
        <v>15</v>
      </c>
      <c r="B16" s="468">
        <f>YEAR(Table6[[#This Row],[Date]])+IF(MONTH(Table6[[#This Row],[Date]])&gt;=4,1,0)</f>
        <v>2026</v>
      </c>
      <c r="C16" s="102">
        <f>YEAR(Table6[[#This Row],[Date]])</f>
        <v>2025</v>
      </c>
      <c r="D16" s="102" t="s">
        <v>1992</v>
      </c>
      <c r="E16" s="469">
        <f>Table6[[#This Row],[Date]]-DAY(Table6[[#This Row],[Date]])+1</f>
        <v>45748</v>
      </c>
      <c r="F16" s="470">
        <v>45749</v>
      </c>
      <c r="G16" s="35" t="s">
        <v>83</v>
      </c>
      <c r="H16" s="35" t="str">
        <f>IFERROR(_xlfn.XLOOKUP(Table6[[#This Row],[Affected WTG]],'Basic Data'!$A:$A,'Basic Data'!$B:$B),"")</f>
        <v>TQGXIIPL</v>
      </c>
      <c r="I16" s="35" t="str">
        <f>IFERROR(_xlfn.XLOOKUP(Table6[[#This Row],[Affected WTG]],'Basic Data'!$A:$A,'Basic Data'!$C:$C),"")</f>
        <v>GEDA</v>
      </c>
      <c r="J16" s="471">
        <f>IFERROR(_xlfn.XLOOKUP(Table6[[#This Row],[Affected WTG]],'Basic Data'!$A:$A,'Basic Data'!$E:$E),"")</f>
        <v>3.846153846153845E-2</v>
      </c>
      <c r="K16" s="102">
        <v>656</v>
      </c>
      <c r="L16" s="35" t="str">
        <f>IFERROR(_xlfn.XLOOKUP(Table6[[#This Row],[Error Code]],'Basic Data'!$AA:$AA,'Basic Data'!$AB:$AB),"Incorrect Error Code")</f>
        <v>Error pitch converter 1</v>
      </c>
      <c r="M16" s="35" t="s">
        <v>291</v>
      </c>
      <c r="N16" s="475"/>
      <c r="O16" s="476">
        <v>0.32291666666666669</v>
      </c>
      <c r="P16" s="476">
        <v>0.32291666666666669</v>
      </c>
      <c r="Q16" s="477">
        <v>0.34236111111111112</v>
      </c>
      <c r="R16" s="472">
        <f>IF(Table6[[#This Row],[Work Start TimeStamp]]="","",(Table6[[#This Row],[Work Start TimeStamp]]-Table6[[#This Row],[Fault Start TimeStamp]])*24)</f>
        <v>0</v>
      </c>
      <c r="S16" s="472">
        <f>(Table6[[#This Row],[Fault Clearance time]]-Table6[[#This Row],[Work Start TimeStamp]])*24</f>
        <v>0.46666666666666634</v>
      </c>
      <c r="T16" s="472">
        <f>(Table6[[#This Row],[Fault Clearance time]]-Table6[[#This Row],[Fault Start TimeStamp]])*24</f>
        <v>0.46666666666666634</v>
      </c>
      <c r="U16" s="35" t="s">
        <v>356</v>
      </c>
      <c r="V16" s="102" t="s">
        <v>293</v>
      </c>
      <c r="W16" s="478">
        <f>IFERROR(Table6[[#This Row],[Breakdown Time]]*Table6[[#This Row],[Plant Equivalent Weightage]],"")</f>
        <v>1.794871794871793E-2</v>
      </c>
      <c r="X16" s="473" t="s">
        <v>294</v>
      </c>
      <c r="Y16" s="474" t="s">
        <v>312</v>
      </c>
      <c r="Z16" s="102">
        <v>13298</v>
      </c>
      <c r="AA16" s="468">
        <f>(Table6[[#This Row],[Paired WTG Generation for loss calculation]]/24)*Table6[[#This Row],[Breakdown Time]]</f>
        <v>258.57222222222208</v>
      </c>
      <c r="AB16" s="102"/>
      <c r="AC16" s="35"/>
      <c r="AD16" s="35"/>
    </row>
    <row r="17" spans="1:30">
      <c r="A17" s="102">
        <f t="shared" si="1"/>
        <v>16</v>
      </c>
      <c r="B17" s="468">
        <f>YEAR(Table6[[#This Row],[Date]])+IF(MONTH(Table6[[#This Row],[Date]])&gt;=4,1,0)</f>
        <v>2026</v>
      </c>
      <c r="C17" s="102">
        <f>YEAR(Table6[[#This Row],[Date]])</f>
        <v>2025</v>
      </c>
      <c r="D17" s="102" t="s">
        <v>1992</v>
      </c>
      <c r="E17" s="469">
        <f>Table6[[#This Row],[Date]]-DAY(Table6[[#This Row],[Date]])+1</f>
        <v>45748</v>
      </c>
      <c r="F17" s="470">
        <v>45749</v>
      </c>
      <c r="G17" s="35" t="s">
        <v>83</v>
      </c>
      <c r="H17" s="35" t="str">
        <f>IFERROR(_xlfn.XLOOKUP(Table6[[#This Row],[Affected WTG]],'Basic Data'!$A:$A,'Basic Data'!$B:$B),"")</f>
        <v>TQGXIIPL</v>
      </c>
      <c r="I17" s="35" t="str">
        <f>IFERROR(_xlfn.XLOOKUP(Table6[[#This Row],[Affected WTG]],'Basic Data'!$A:$A,'Basic Data'!$C:$C),"")</f>
        <v>GEDA</v>
      </c>
      <c r="J17" s="471">
        <f>IFERROR(_xlfn.XLOOKUP(Table6[[#This Row],[Affected WTG]],'Basic Data'!$A:$A,'Basic Data'!$E:$E),"")</f>
        <v>3.846153846153845E-2</v>
      </c>
      <c r="K17" s="102">
        <v>55</v>
      </c>
      <c r="L17" s="35" t="str">
        <f>IFERROR(_xlfn.XLOOKUP(Table6[[#This Row],[Error Code]],'Basic Data'!$AA:$AA,'Basic Data'!$AB:$AB),"Incorrect Error Code")</f>
        <v>WTG shut down</v>
      </c>
      <c r="M17" s="35" t="s">
        <v>304</v>
      </c>
      <c r="N17" s="475"/>
      <c r="O17" s="476">
        <v>0.4</v>
      </c>
      <c r="P17" s="476">
        <v>0.4</v>
      </c>
      <c r="Q17" s="477">
        <v>0.64583333333333337</v>
      </c>
      <c r="R17" s="472">
        <f>IF(Table6[[#This Row],[Work Start TimeStamp]]="","",(Table6[[#This Row],[Work Start TimeStamp]]-Table6[[#This Row],[Fault Start TimeStamp]])*24)</f>
        <v>0</v>
      </c>
      <c r="S17" s="472">
        <f>(Table6[[#This Row],[Fault Clearance time]]-Table6[[#This Row],[Work Start TimeStamp]])*24</f>
        <v>5.9</v>
      </c>
      <c r="T17" s="472">
        <f>(Table6[[#This Row],[Fault Clearance time]]-Table6[[#This Row],[Fault Start TimeStamp]])*24</f>
        <v>5.9</v>
      </c>
      <c r="U17" s="35" t="s">
        <v>357</v>
      </c>
      <c r="V17" s="102" t="s">
        <v>293</v>
      </c>
      <c r="W17" s="478">
        <f>IFERROR(Table6[[#This Row],[Breakdown Time]]*Table6[[#This Row],[Plant Equivalent Weightage]],"")</f>
        <v>0.22692307692307687</v>
      </c>
      <c r="X17" s="473" t="s">
        <v>305</v>
      </c>
      <c r="Y17" s="474" t="s">
        <v>312</v>
      </c>
      <c r="Z17" s="102">
        <v>13298</v>
      </c>
      <c r="AA17" s="468">
        <f>(Table6[[#This Row],[Paired WTG Generation for loss calculation]]/24)*Table6[[#This Row],[Breakdown Time]]</f>
        <v>3269.0916666666672</v>
      </c>
      <c r="AB17" s="102"/>
      <c r="AC17" s="35"/>
      <c r="AD17" s="35"/>
    </row>
    <row r="18" spans="1:30">
      <c r="A18" s="102">
        <f t="shared" si="1"/>
        <v>17</v>
      </c>
      <c r="B18" s="468">
        <f>YEAR(Table6[[#This Row],[Date]])+IF(MONTH(Table6[[#This Row],[Date]])&gt;=4,1,0)</f>
        <v>2026</v>
      </c>
      <c r="C18" s="102">
        <f>YEAR(Table6[[#This Row],[Date]])</f>
        <v>2025</v>
      </c>
      <c r="D18" s="102" t="s">
        <v>1992</v>
      </c>
      <c r="E18" s="469">
        <f>Table6[[#This Row],[Date]]-DAY(Table6[[#This Row],[Date]])+1</f>
        <v>45748</v>
      </c>
      <c r="F18" s="470">
        <v>45749</v>
      </c>
      <c r="G18" s="35" t="s">
        <v>86</v>
      </c>
      <c r="H18" s="35" t="str">
        <f>IFERROR(_xlfn.XLOOKUP(Table6[[#This Row],[Affected WTG]],'Basic Data'!$A:$A,'Basic Data'!$B:$B),"")</f>
        <v>TQGXIIPL</v>
      </c>
      <c r="I18" s="35" t="str">
        <f>IFERROR(_xlfn.XLOOKUP(Table6[[#This Row],[Affected WTG]],'Basic Data'!$A:$A,'Basic Data'!$C:$C),"")</f>
        <v>GEDA</v>
      </c>
      <c r="J18" s="471">
        <f>IFERROR(_xlfn.XLOOKUP(Table6[[#This Row],[Affected WTG]],'Basic Data'!$A:$A,'Basic Data'!$E:$E),"")</f>
        <v>3.846153846153845E-2</v>
      </c>
      <c r="K18" s="102">
        <v>6130</v>
      </c>
      <c r="L18" s="35" t="str">
        <f>IFERROR(_xlfn.XLOOKUP(Table6[[#This Row],[Error Code]],'Basic Data'!$AA:$AA,'Basic Data'!$AB:$AB),"Incorrect Error Code")</f>
        <v>Yaw speed high</v>
      </c>
      <c r="M18" s="35" t="s">
        <v>291</v>
      </c>
      <c r="N18" s="475"/>
      <c r="O18" s="476">
        <v>0.30763888888888891</v>
      </c>
      <c r="P18" s="476">
        <v>0.30763888888888891</v>
      </c>
      <c r="Q18" s="477">
        <v>0.31180555555555556</v>
      </c>
      <c r="R18" s="472">
        <f>IF(Table6[[#This Row],[Work Start TimeStamp]]="","",(Table6[[#This Row],[Work Start TimeStamp]]-Table6[[#This Row],[Fault Start TimeStamp]])*24)</f>
        <v>0</v>
      </c>
      <c r="S18" s="472">
        <f>(Table6[[#This Row],[Fault Clearance time]]-Table6[[#This Row],[Work Start TimeStamp]])*24</f>
        <v>9.9999999999999645E-2</v>
      </c>
      <c r="T18" s="472">
        <f>(Table6[[#This Row],[Fault Clearance time]]-Table6[[#This Row],[Fault Start TimeStamp]])*24</f>
        <v>9.9999999999999645E-2</v>
      </c>
      <c r="U18" s="35" t="s">
        <v>349</v>
      </c>
      <c r="V18" s="102" t="s">
        <v>293</v>
      </c>
      <c r="W18" s="478">
        <f>IFERROR(Table6[[#This Row],[Breakdown Time]]*Table6[[#This Row],[Plant Equivalent Weightage]],"")</f>
        <v>3.8461538461538312E-3</v>
      </c>
      <c r="X18" s="473" t="s">
        <v>294</v>
      </c>
      <c r="Y18" s="474" t="s">
        <v>313</v>
      </c>
      <c r="Z18" s="102">
        <v>12012</v>
      </c>
      <c r="AA18" s="468">
        <f>(Table6[[#This Row],[Paired WTG Generation for loss calculation]]/24)*Table6[[#This Row],[Breakdown Time]]</f>
        <v>50.04999999999982</v>
      </c>
      <c r="AB18" s="102"/>
      <c r="AC18" s="35"/>
      <c r="AD18" s="35"/>
    </row>
    <row r="19" spans="1:30">
      <c r="A19" s="102">
        <f t="shared" si="1"/>
        <v>18</v>
      </c>
      <c r="B19" s="468">
        <f>YEAR(Table6[[#This Row],[Date]])+IF(MONTH(Table6[[#This Row],[Date]])&gt;=4,1,0)</f>
        <v>2026</v>
      </c>
      <c r="C19" s="102">
        <f>YEAR(Table6[[#This Row],[Date]])</f>
        <v>2025</v>
      </c>
      <c r="D19" s="102" t="s">
        <v>1992</v>
      </c>
      <c r="E19" s="469">
        <f>Table6[[#This Row],[Date]]-DAY(Table6[[#This Row],[Date]])+1</f>
        <v>45748</v>
      </c>
      <c r="F19" s="470">
        <v>45749</v>
      </c>
      <c r="G19" s="35" t="s">
        <v>90</v>
      </c>
      <c r="H19" s="35" t="str">
        <f>IFERROR(_xlfn.XLOOKUP(Table6[[#This Row],[Affected WTG]],'Basic Data'!$A:$A,'Basic Data'!$B:$B),"")</f>
        <v>TQGXIIPL</v>
      </c>
      <c r="I19" s="35" t="str">
        <f>IFERROR(_xlfn.XLOOKUP(Table6[[#This Row],[Affected WTG]],'Basic Data'!$A:$A,'Basic Data'!$C:$C),"")</f>
        <v>GEDA</v>
      </c>
      <c r="J19" s="471">
        <f>IFERROR(_xlfn.XLOOKUP(Table6[[#This Row],[Affected WTG]],'Basic Data'!$A:$A,'Basic Data'!$E:$E),"")</f>
        <v>3.846153846153845E-2</v>
      </c>
      <c r="K19" s="102">
        <v>6605</v>
      </c>
      <c r="L19" s="35" t="str">
        <f>IFERROR(_xlfn.XLOOKUP(Table6[[#This Row],[Error Code]],'Basic Data'!$AA:$AA,'Basic Data'!$AB:$AB),"Incorrect Error Code")</f>
        <v>Wind.dir. diff. level 2</v>
      </c>
      <c r="M19" s="35" t="s">
        <v>292</v>
      </c>
      <c r="N19" s="475"/>
      <c r="O19" s="476">
        <v>0.16875000000000001</v>
      </c>
      <c r="P19" s="476">
        <v>0.16875000000000001</v>
      </c>
      <c r="Q19" s="477">
        <v>0.1701388888888889</v>
      </c>
      <c r="R19" s="472">
        <f>IF(Table6[[#This Row],[Work Start TimeStamp]]="","",(Table6[[#This Row],[Work Start TimeStamp]]-Table6[[#This Row],[Fault Start TimeStamp]])*24)</f>
        <v>0</v>
      </c>
      <c r="S19" s="472">
        <f>(Table6[[#This Row],[Fault Clearance time]]-Table6[[#This Row],[Work Start TimeStamp]])*24</f>
        <v>3.3333333333333215E-2</v>
      </c>
      <c r="T19" s="472">
        <f>(Table6[[#This Row],[Fault Clearance time]]-Table6[[#This Row],[Fault Start TimeStamp]])*24</f>
        <v>3.3333333333333215E-2</v>
      </c>
      <c r="U19" s="35" t="s">
        <v>336</v>
      </c>
      <c r="V19" s="102" t="s">
        <v>293</v>
      </c>
      <c r="W19" s="478">
        <f>IFERROR(Table6[[#This Row],[Breakdown Time]]*Table6[[#This Row],[Plant Equivalent Weightage]],"")</f>
        <v>1.2820512820512771E-3</v>
      </c>
      <c r="X19" s="473" t="s">
        <v>294</v>
      </c>
      <c r="Y19" s="474" t="s">
        <v>339</v>
      </c>
      <c r="Z19" s="102">
        <v>9405</v>
      </c>
      <c r="AA19" s="468">
        <f>(Table6[[#This Row],[Paired WTG Generation for loss calculation]]/24)*Table6[[#This Row],[Breakdown Time]]</f>
        <v>13.062499999999954</v>
      </c>
      <c r="AB19" s="102"/>
      <c r="AC19" s="35"/>
      <c r="AD19" s="35"/>
    </row>
    <row r="20" spans="1:30">
      <c r="A20" s="102">
        <f t="shared" si="1"/>
        <v>19</v>
      </c>
      <c r="B20" s="468">
        <f>YEAR(Table6[[#This Row],[Date]])+IF(MONTH(Table6[[#This Row],[Date]])&gt;=4,1,0)</f>
        <v>2026</v>
      </c>
      <c r="C20" s="102">
        <f>YEAR(Table6[[#This Row],[Date]])</f>
        <v>2025</v>
      </c>
      <c r="D20" s="102" t="s">
        <v>1992</v>
      </c>
      <c r="E20" s="469">
        <f>Table6[[#This Row],[Date]]-DAY(Table6[[#This Row],[Date]])+1</f>
        <v>45748</v>
      </c>
      <c r="F20" s="470">
        <v>45749</v>
      </c>
      <c r="G20" s="35" t="s">
        <v>91</v>
      </c>
      <c r="H20" s="35" t="str">
        <f>IFERROR(_xlfn.XLOOKUP(Table6[[#This Row],[Affected WTG]],'Basic Data'!$A:$A,'Basic Data'!$B:$B),"")</f>
        <v>TQGXIIPL</v>
      </c>
      <c r="I20" s="35" t="str">
        <f>IFERROR(_xlfn.XLOOKUP(Table6[[#This Row],[Affected WTG]],'Basic Data'!$A:$A,'Basic Data'!$C:$C),"")</f>
        <v>GEDA</v>
      </c>
      <c r="J20" s="471">
        <f>IFERROR(_xlfn.XLOOKUP(Table6[[#This Row],[Affected WTG]],'Basic Data'!$A:$A,'Basic Data'!$E:$E),"")</f>
        <v>3.846153846153845E-2</v>
      </c>
      <c r="K20" s="102">
        <v>3110</v>
      </c>
      <c r="L20" s="35" t="str">
        <f>IFERROR(_xlfn.XLOOKUP(Table6[[#This Row],[Error Code]],'Basic Data'!$AA:$AA,'Basic Data'!$AB:$AB),"Incorrect Error Code")</f>
        <v>Frequency converter error</v>
      </c>
      <c r="M20" s="35" t="s">
        <v>291</v>
      </c>
      <c r="N20" s="475"/>
      <c r="O20" s="476">
        <v>0.74375000000000002</v>
      </c>
      <c r="P20" s="476">
        <v>0.74375000000000002</v>
      </c>
      <c r="Q20" s="477">
        <v>0.74722222222222223</v>
      </c>
      <c r="R20" s="472">
        <f>IF(Table6[[#This Row],[Work Start TimeStamp]]="","",(Table6[[#This Row],[Work Start TimeStamp]]-Table6[[#This Row],[Fault Start TimeStamp]])*24)</f>
        <v>0</v>
      </c>
      <c r="S20" s="472">
        <f>(Table6[[#This Row],[Fault Clearance time]]-Table6[[#This Row],[Work Start TimeStamp]])*24</f>
        <v>8.3333333333333037E-2</v>
      </c>
      <c r="T20" s="472">
        <f>(Table6[[#This Row],[Fault Clearance time]]-Table6[[#This Row],[Fault Start TimeStamp]])*24</f>
        <v>8.3333333333333037E-2</v>
      </c>
      <c r="U20" s="35" t="s">
        <v>353</v>
      </c>
      <c r="V20" s="102" t="s">
        <v>293</v>
      </c>
      <c r="W20" s="478">
        <f>IFERROR(Table6[[#This Row],[Breakdown Time]]*Table6[[#This Row],[Plant Equivalent Weightage]],"")</f>
        <v>3.2051282051281929E-3</v>
      </c>
      <c r="X20" s="473" t="s">
        <v>294</v>
      </c>
      <c r="Y20" s="474" t="s">
        <v>319</v>
      </c>
      <c r="Z20" s="102">
        <v>10737</v>
      </c>
      <c r="AA20" s="468">
        <f>(Table6[[#This Row],[Paired WTG Generation for loss calculation]]/24)*Table6[[#This Row],[Breakdown Time]]</f>
        <v>37.281249999999865</v>
      </c>
      <c r="AB20" s="102"/>
      <c r="AC20" s="35"/>
      <c r="AD20" s="35"/>
    </row>
    <row r="21" spans="1:30">
      <c r="A21" s="102">
        <f t="shared" si="1"/>
        <v>20</v>
      </c>
      <c r="B21" s="468">
        <f>YEAR(Table6[[#This Row],[Date]])+IF(MONTH(Table6[[#This Row],[Date]])&gt;=4,1,0)</f>
        <v>2026</v>
      </c>
      <c r="C21" s="102">
        <f>YEAR(Table6[[#This Row],[Date]])</f>
        <v>2025</v>
      </c>
      <c r="D21" s="102" t="s">
        <v>1992</v>
      </c>
      <c r="E21" s="469">
        <f>Table6[[#This Row],[Date]]-DAY(Table6[[#This Row],[Date]])+1</f>
        <v>45748</v>
      </c>
      <c r="F21" s="470">
        <v>45749</v>
      </c>
      <c r="G21" s="35" t="s">
        <v>96</v>
      </c>
      <c r="H21" s="35" t="str">
        <f>IFERROR(_xlfn.XLOOKUP(Table6[[#This Row],[Affected WTG]],'Basic Data'!$A:$A,'Basic Data'!$B:$B),"")</f>
        <v>TQGXIIPL</v>
      </c>
      <c r="I21" s="35" t="str">
        <f>IFERROR(_xlfn.XLOOKUP(Table6[[#This Row],[Affected WTG]],'Basic Data'!$A:$A,'Basic Data'!$C:$C),"")</f>
        <v>GEDA</v>
      </c>
      <c r="J21" s="471">
        <f>IFERROR(_xlfn.XLOOKUP(Table6[[#This Row],[Affected WTG]],'Basic Data'!$A:$A,'Basic Data'!$E:$E),"")</f>
        <v>3.846153846153845E-2</v>
      </c>
      <c r="K21" s="102">
        <v>3110</v>
      </c>
      <c r="L21" s="35" t="str">
        <f>IFERROR(_xlfn.XLOOKUP(Table6[[#This Row],[Error Code]],'Basic Data'!$AA:$AA,'Basic Data'!$AB:$AB),"Incorrect Error Code")</f>
        <v>Frequency converter error</v>
      </c>
      <c r="M21" s="35" t="s">
        <v>291</v>
      </c>
      <c r="N21" s="475"/>
      <c r="O21" s="476">
        <v>0.74375000000000002</v>
      </c>
      <c r="P21" s="476">
        <v>0.74375000000000002</v>
      </c>
      <c r="Q21" s="477">
        <v>0.74513888888888891</v>
      </c>
      <c r="R21" s="472">
        <f>IF(Table6[[#This Row],[Work Start TimeStamp]]="","",(Table6[[#This Row],[Work Start TimeStamp]]-Table6[[#This Row],[Fault Start TimeStamp]])*24)</f>
        <v>0</v>
      </c>
      <c r="S21" s="472">
        <f>(Table6[[#This Row],[Fault Clearance time]]-Table6[[#This Row],[Work Start TimeStamp]])*24</f>
        <v>3.3333333333333215E-2</v>
      </c>
      <c r="T21" s="472">
        <f>(Table6[[#This Row],[Fault Clearance time]]-Table6[[#This Row],[Fault Start TimeStamp]])*24</f>
        <v>3.3333333333333215E-2</v>
      </c>
      <c r="U21" s="35" t="s">
        <v>353</v>
      </c>
      <c r="V21" s="102" t="s">
        <v>293</v>
      </c>
      <c r="W21" s="478">
        <f>IFERROR(Table6[[#This Row],[Breakdown Time]]*Table6[[#This Row],[Plant Equivalent Weightage]],"")</f>
        <v>1.2820512820512771E-3</v>
      </c>
      <c r="X21" s="473" t="s">
        <v>294</v>
      </c>
      <c r="Y21" s="474" t="s">
        <v>313</v>
      </c>
      <c r="Z21" s="102">
        <v>12012</v>
      </c>
      <c r="AA21" s="468">
        <f>(Table6[[#This Row],[Paired WTG Generation for loss calculation]]/24)*Table6[[#This Row],[Breakdown Time]]</f>
        <v>16.683333333333273</v>
      </c>
      <c r="AB21" s="102"/>
      <c r="AC21" s="35"/>
      <c r="AD21" s="35"/>
    </row>
    <row r="22" spans="1:30">
      <c r="A22" s="102">
        <f t="shared" si="1"/>
        <v>21</v>
      </c>
      <c r="B22" s="468">
        <f>YEAR(Table6[[#This Row],[Date]])+IF(MONTH(Table6[[#This Row],[Date]])&gt;=4,1,0)</f>
        <v>2026</v>
      </c>
      <c r="C22" s="102">
        <f>YEAR(Table6[[#This Row],[Date]])</f>
        <v>2025</v>
      </c>
      <c r="D22" s="102" t="s">
        <v>1992</v>
      </c>
      <c r="E22" s="469">
        <f>Table6[[#This Row],[Date]]-DAY(Table6[[#This Row],[Date]])+1</f>
        <v>45748</v>
      </c>
      <c r="F22" s="470">
        <v>45749</v>
      </c>
      <c r="G22" s="35" t="s">
        <v>98</v>
      </c>
      <c r="H22" s="35" t="str">
        <f>IFERROR(_xlfn.XLOOKUP(Table6[[#This Row],[Affected WTG]],'Basic Data'!$A:$A,'Basic Data'!$B:$B),"")</f>
        <v>TQGXIIPL</v>
      </c>
      <c r="I22" s="35" t="str">
        <f>IFERROR(_xlfn.XLOOKUP(Table6[[#This Row],[Affected WTG]],'Basic Data'!$A:$A,'Basic Data'!$C:$C),"")</f>
        <v>GEDA</v>
      </c>
      <c r="J22" s="471">
        <f>IFERROR(_xlfn.XLOOKUP(Table6[[#This Row],[Affected WTG]],'Basic Data'!$A:$A,'Basic Data'!$E:$E),"")</f>
        <v>3.846153846153845E-2</v>
      </c>
      <c r="K22" s="102">
        <v>6007</v>
      </c>
      <c r="L22" s="35" t="str">
        <f>IFERROR(_xlfn.XLOOKUP(Table6[[#This Row],[Error Code]],'Basic Data'!$AA:$AA,'Basic Data'!$AB:$AB),"Incorrect Error Code")</f>
        <v>Overload yaw motors group 1</v>
      </c>
      <c r="M22" s="35" t="s">
        <v>291</v>
      </c>
      <c r="N22" s="475"/>
      <c r="O22" s="476">
        <v>0.56805555555555554</v>
      </c>
      <c r="P22" s="476">
        <v>0.60833333333333328</v>
      </c>
      <c r="Q22" s="477">
        <v>0.64166666666666672</v>
      </c>
      <c r="R22" s="472">
        <f>IF(Table6[[#This Row],[Work Start TimeStamp]]="","",(Table6[[#This Row],[Work Start TimeStamp]]-Table6[[#This Row],[Fault Start TimeStamp]])*24)</f>
        <v>0.9666666666666659</v>
      </c>
      <c r="S22" s="472">
        <f>(Table6[[#This Row],[Fault Clearance time]]-Table6[[#This Row],[Work Start TimeStamp]])*24</f>
        <v>0.80000000000000249</v>
      </c>
      <c r="T22" s="472">
        <f>(Table6[[#This Row],[Fault Clearance time]]-Table6[[#This Row],[Fault Start TimeStamp]])*24</f>
        <v>1.7666666666666684</v>
      </c>
      <c r="U22" s="35" t="s">
        <v>358</v>
      </c>
      <c r="V22" s="102" t="s">
        <v>293</v>
      </c>
      <c r="W22" s="478">
        <f>IFERROR(Table6[[#This Row],[Breakdown Time]]*Table6[[#This Row],[Plant Equivalent Weightage]],"")</f>
        <v>6.7948717948717999E-2</v>
      </c>
      <c r="X22" s="473" t="s">
        <v>294</v>
      </c>
      <c r="Y22" s="474" t="s">
        <v>315</v>
      </c>
      <c r="Z22" s="102">
        <v>15390</v>
      </c>
      <c r="AA22" s="468">
        <f>(Table6[[#This Row],[Paired WTG Generation for loss calculation]]/24)*Table6[[#This Row],[Breakdown Time]]</f>
        <v>1132.8750000000011</v>
      </c>
      <c r="AB22" s="102"/>
      <c r="AC22" s="35"/>
      <c r="AD22" s="35"/>
    </row>
    <row r="23" spans="1:30">
      <c r="A23" s="102">
        <f t="shared" si="1"/>
        <v>22</v>
      </c>
      <c r="B23" s="468">
        <f>YEAR(Table6[[#This Row],[Date]])+IF(MONTH(Table6[[#This Row],[Date]])&gt;=4,1,0)</f>
        <v>2026</v>
      </c>
      <c r="C23" s="102">
        <f>YEAR(Table6[[#This Row],[Date]])</f>
        <v>2025</v>
      </c>
      <c r="D23" s="102" t="s">
        <v>1992</v>
      </c>
      <c r="E23" s="469">
        <f>Table6[[#This Row],[Date]]-DAY(Table6[[#This Row],[Date]])+1</f>
        <v>45748</v>
      </c>
      <c r="F23" s="470">
        <v>45749</v>
      </c>
      <c r="G23" s="35" t="s">
        <v>99</v>
      </c>
      <c r="H23" s="35" t="str">
        <f>IFERROR(_xlfn.XLOOKUP(Table6[[#This Row],[Affected WTG]],'Basic Data'!$A:$A,'Basic Data'!$B:$B),"")</f>
        <v>TQGXIIPL</v>
      </c>
      <c r="I23" s="35" t="str">
        <f>IFERROR(_xlfn.XLOOKUP(Table6[[#This Row],[Affected WTG]],'Basic Data'!$A:$A,'Basic Data'!$C:$C),"")</f>
        <v>GEDA</v>
      </c>
      <c r="J23" s="471">
        <f>IFERROR(_xlfn.XLOOKUP(Table6[[#This Row],[Affected WTG]],'Basic Data'!$A:$A,'Basic Data'!$E:$E),"")</f>
        <v>3.846153846153845E-2</v>
      </c>
      <c r="K23" s="102">
        <v>3110</v>
      </c>
      <c r="L23" s="35" t="str">
        <f>IFERROR(_xlfn.XLOOKUP(Table6[[#This Row],[Error Code]],'Basic Data'!$AA:$AA,'Basic Data'!$AB:$AB),"Incorrect Error Code")</f>
        <v>Frequency converter error</v>
      </c>
      <c r="M23" s="35" t="s">
        <v>291</v>
      </c>
      <c r="N23" s="475"/>
      <c r="O23" s="476">
        <v>0.74375000000000002</v>
      </c>
      <c r="P23" s="476">
        <v>0.74375000000000002</v>
      </c>
      <c r="Q23" s="477">
        <v>0.74722222222222223</v>
      </c>
      <c r="R23" s="472">
        <f>IF(Table6[[#This Row],[Work Start TimeStamp]]="","",(Table6[[#This Row],[Work Start TimeStamp]]-Table6[[#This Row],[Fault Start TimeStamp]])*24)</f>
        <v>0</v>
      </c>
      <c r="S23" s="472">
        <f>(Table6[[#This Row],[Fault Clearance time]]-Table6[[#This Row],[Work Start TimeStamp]])*24</f>
        <v>8.3333333333333037E-2</v>
      </c>
      <c r="T23" s="472">
        <f>(Table6[[#This Row],[Fault Clearance time]]-Table6[[#This Row],[Fault Start TimeStamp]])*24</f>
        <v>8.3333333333333037E-2</v>
      </c>
      <c r="U23" s="35" t="s">
        <v>349</v>
      </c>
      <c r="V23" s="102" t="s">
        <v>293</v>
      </c>
      <c r="W23" s="478">
        <f>IFERROR(Table6[[#This Row],[Breakdown Time]]*Table6[[#This Row],[Plant Equivalent Weightage]],"")</f>
        <v>3.2051282051281929E-3</v>
      </c>
      <c r="X23" s="473" t="s">
        <v>294</v>
      </c>
      <c r="Y23" s="474" t="s">
        <v>315</v>
      </c>
      <c r="Z23" s="102">
        <v>15390</v>
      </c>
      <c r="AA23" s="468">
        <f>(Table6[[#This Row],[Paired WTG Generation for loss calculation]]/24)*Table6[[#This Row],[Breakdown Time]]</f>
        <v>53.437499999999808</v>
      </c>
      <c r="AB23" s="102"/>
      <c r="AC23" s="35"/>
      <c r="AD23" s="35"/>
    </row>
    <row r="24" spans="1:30">
      <c r="A24" s="102">
        <f t="shared" si="1"/>
        <v>23</v>
      </c>
      <c r="B24" s="468">
        <f>YEAR(Table6[[#This Row],[Date]])+IF(MONTH(Table6[[#This Row],[Date]])&gt;=4,1,0)</f>
        <v>2026</v>
      </c>
      <c r="C24" s="102">
        <f>YEAR(Table6[[#This Row],[Date]])</f>
        <v>2025</v>
      </c>
      <c r="D24" s="102" t="s">
        <v>1992</v>
      </c>
      <c r="E24" s="469">
        <f>Table6[[#This Row],[Date]]-DAY(Table6[[#This Row],[Date]])+1</f>
        <v>45748</v>
      </c>
      <c r="F24" s="470">
        <v>45750</v>
      </c>
      <c r="G24" s="35" t="s">
        <v>74</v>
      </c>
      <c r="H24" s="35" t="str">
        <f>IFERROR(_xlfn.XLOOKUP(Table6[[#This Row],[Affected WTG]],'Basic Data'!$A:$A,'Basic Data'!$B:$B),"")</f>
        <v>TQGXIIPL</v>
      </c>
      <c r="I24" s="35" t="str">
        <f>IFERROR(_xlfn.XLOOKUP(Table6[[#This Row],[Affected WTG]],'Basic Data'!$A:$A,'Basic Data'!$C:$C),"")</f>
        <v>GEDA</v>
      </c>
      <c r="J24" s="471">
        <f>IFERROR(_xlfn.XLOOKUP(Table6[[#This Row],[Affected WTG]],'Basic Data'!$A:$A,'Basic Data'!$E:$E),"")</f>
        <v>3.846153846153845E-2</v>
      </c>
      <c r="K24" s="102">
        <v>55</v>
      </c>
      <c r="L24" s="35" t="str">
        <f>IFERROR(_xlfn.XLOOKUP(Table6[[#This Row],[Error Code]],'Basic Data'!$AA:$AA,'Basic Data'!$AB:$AB),"Incorrect Error Code")</f>
        <v>WTG shut down</v>
      </c>
      <c r="M24" s="35" t="s">
        <v>304</v>
      </c>
      <c r="N24" s="475"/>
      <c r="O24" s="476">
        <v>0.38124999999999998</v>
      </c>
      <c r="P24" s="476">
        <v>0.38124999999999998</v>
      </c>
      <c r="Q24" s="477">
        <v>0.77777777777777779</v>
      </c>
      <c r="R24" s="472">
        <f>IF(Table6[[#This Row],[Work Start TimeStamp]]="","",(Table6[[#This Row],[Work Start TimeStamp]]-Table6[[#This Row],[Fault Start TimeStamp]])*24)</f>
        <v>0</v>
      </c>
      <c r="S24" s="472">
        <f>(Table6[[#This Row],[Fault Clearance time]]-Table6[[#This Row],[Work Start TimeStamp]])*24</f>
        <v>9.5166666666666675</v>
      </c>
      <c r="T24" s="472">
        <f>(Table6[[#This Row],[Fault Clearance time]]-Table6[[#This Row],[Fault Start TimeStamp]])*24</f>
        <v>9.5166666666666675</v>
      </c>
      <c r="U24" s="35" t="s">
        <v>351</v>
      </c>
      <c r="V24" s="102" t="s">
        <v>293</v>
      </c>
      <c r="W24" s="478">
        <f>IFERROR(Table6[[#This Row],[Breakdown Time]]*Table6[[#This Row],[Plant Equivalent Weightage]],"")</f>
        <v>0.36602564102564095</v>
      </c>
      <c r="X24" s="473" t="s">
        <v>305</v>
      </c>
      <c r="Y24" s="474" t="s">
        <v>321</v>
      </c>
      <c r="Z24" s="102">
        <v>13667</v>
      </c>
      <c r="AA24" s="468">
        <f>(Table6[[#This Row],[Paired WTG Generation for loss calculation]]/24)*Table6[[#This Row],[Breakdown Time]]</f>
        <v>5419.3451388888898</v>
      </c>
      <c r="AB24" s="102"/>
      <c r="AC24" s="35"/>
      <c r="AD24" s="35"/>
    </row>
    <row r="25" spans="1:30">
      <c r="A25" s="102">
        <f t="shared" si="1"/>
        <v>24</v>
      </c>
      <c r="B25" s="468">
        <f>YEAR(Table6[[#This Row],[Date]])+IF(MONTH(Table6[[#This Row],[Date]])&gt;=4,1,0)</f>
        <v>2026</v>
      </c>
      <c r="C25" s="102">
        <f>YEAR(Table6[[#This Row],[Date]])</f>
        <v>2025</v>
      </c>
      <c r="D25" s="102" t="s">
        <v>1992</v>
      </c>
      <c r="E25" s="469">
        <f>Table6[[#This Row],[Date]]-DAY(Table6[[#This Row],[Date]])+1</f>
        <v>45748</v>
      </c>
      <c r="F25" s="470">
        <v>45750</v>
      </c>
      <c r="G25" s="35" t="s">
        <v>80</v>
      </c>
      <c r="H25" s="35" t="str">
        <f>IFERROR(_xlfn.XLOOKUP(Table6[[#This Row],[Affected WTG]],'Basic Data'!$A:$A,'Basic Data'!$B:$B),"")</f>
        <v>TQGXIIPL</v>
      </c>
      <c r="I25" s="35" t="str">
        <f>IFERROR(_xlfn.XLOOKUP(Table6[[#This Row],[Affected WTG]],'Basic Data'!$A:$A,'Basic Data'!$C:$C),"")</f>
        <v>GEDA</v>
      </c>
      <c r="J25" s="471">
        <f>IFERROR(_xlfn.XLOOKUP(Table6[[#This Row],[Affected WTG]],'Basic Data'!$A:$A,'Basic Data'!$E:$E),"")</f>
        <v>3.846153846153845E-2</v>
      </c>
      <c r="K25" s="102">
        <v>175</v>
      </c>
      <c r="L25" s="35" t="str">
        <f>IFERROR(_xlfn.XLOOKUP(Table6[[#This Row],[Error Code]],'Basic Data'!$AA:$AA,'Basic Data'!$AB:$AB),"Incorrect Error Code")</f>
        <v>SLC error</v>
      </c>
      <c r="M25" s="35" t="s">
        <v>291</v>
      </c>
      <c r="N25" s="475"/>
      <c r="O25" s="476">
        <v>0.5</v>
      </c>
      <c r="P25" s="476">
        <v>0.5</v>
      </c>
      <c r="Q25" s="477">
        <v>0.50277777777777777</v>
      </c>
      <c r="R25" s="472">
        <f>IF(Table6[[#This Row],[Work Start TimeStamp]]="","",(Table6[[#This Row],[Work Start TimeStamp]]-Table6[[#This Row],[Fault Start TimeStamp]])*24)</f>
        <v>0</v>
      </c>
      <c r="S25" s="472">
        <f>(Table6[[#This Row],[Fault Clearance time]]-Table6[[#This Row],[Work Start TimeStamp]])*24</f>
        <v>6.666666666666643E-2</v>
      </c>
      <c r="T25" s="472">
        <f>(Table6[[#This Row],[Fault Clearance time]]-Table6[[#This Row],[Fault Start TimeStamp]])*24</f>
        <v>6.666666666666643E-2</v>
      </c>
      <c r="U25" s="35" t="s">
        <v>349</v>
      </c>
      <c r="V25" s="102" t="s">
        <v>293</v>
      </c>
      <c r="W25" s="478">
        <f>IFERROR(Table6[[#This Row],[Breakdown Time]]*Table6[[#This Row],[Plant Equivalent Weightage]],"")</f>
        <v>2.5641025641025541E-3</v>
      </c>
      <c r="X25" s="473" t="s">
        <v>294</v>
      </c>
      <c r="Y25" s="474" t="s">
        <v>317</v>
      </c>
      <c r="Z25" s="102">
        <v>11906</v>
      </c>
      <c r="AA25" s="468">
        <f>(Table6[[#This Row],[Paired WTG Generation for loss calculation]]/24)*Table6[[#This Row],[Breakdown Time]]</f>
        <v>33.072222222222102</v>
      </c>
      <c r="AB25" s="102"/>
      <c r="AC25" s="35"/>
      <c r="AD25" s="35"/>
    </row>
    <row r="26" spans="1:30">
      <c r="A26" s="102">
        <f t="shared" si="1"/>
        <v>25</v>
      </c>
      <c r="B26" s="468">
        <f>YEAR(Table6[[#This Row],[Date]])+IF(MONTH(Table6[[#This Row],[Date]])&gt;=4,1,0)</f>
        <v>2026</v>
      </c>
      <c r="C26" s="102">
        <f>YEAR(Table6[[#This Row],[Date]])</f>
        <v>2025</v>
      </c>
      <c r="D26" s="102" t="s">
        <v>1992</v>
      </c>
      <c r="E26" s="469">
        <f>Table6[[#This Row],[Date]]-DAY(Table6[[#This Row],[Date]])+1</f>
        <v>45748</v>
      </c>
      <c r="F26" s="470">
        <v>45750</v>
      </c>
      <c r="G26" s="35" t="s">
        <v>81</v>
      </c>
      <c r="H26" s="35" t="str">
        <f>IFERROR(_xlfn.XLOOKUP(Table6[[#This Row],[Affected WTG]],'Basic Data'!$A:$A,'Basic Data'!$B:$B),"")</f>
        <v>TQGXIIPL</v>
      </c>
      <c r="I26" s="35" t="str">
        <f>IFERROR(_xlfn.XLOOKUP(Table6[[#This Row],[Affected WTG]],'Basic Data'!$A:$A,'Basic Data'!$C:$C),"")</f>
        <v>GEDA</v>
      </c>
      <c r="J26" s="471">
        <f>IFERROR(_xlfn.XLOOKUP(Table6[[#This Row],[Affected WTG]],'Basic Data'!$A:$A,'Basic Data'!$E:$E),"")</f>
        <v>3.846153846153845E-2</v>
      </c>
      <c r="K26" s="102">
        <v>153</v>
      </c>
      <c r="L26" s="35" t="str">
        <f>IFERROR(_xlfn.XLOOKUP(Table6[[#This Row],[Error Code]],'Basic Data'!$AA:$AA,'Basic Data'!$AB:$AB),"Incorrect Error Code")</f>
        <v>SLC SF max. cable winding</v>
      </c>
      <c r="M26" s="35" t="s">
        <v>291</v>
      </c>
      <c r="N26" s="475"/>
      <c r="O26" s="476">
        <v>0.94097222222222221</v>
      </c>
      <c r="P26" s="476">
        <v>0.94097222222222221</v>
      </c>
      <c r="Q26" s="477">
        <v>0.95694444444444449</v>
      </c>
      <c r="R26" s="472">
        <f>IF(Table6[[#This Row],[Work Start TimeStamp]]="","",(Table6[[#This Row],[Work Start TimeStamp]]-Table6[[#This Row],[Fault Start TimeStamp]])*24)</f>
        <v>0</v>
      </c>
      <c r="S26" s="472">
        <f>(Table6[[#This Row],[Fault Clearance time]]-Table6[[#This Row],[Work Start TimeStamp]])*24</f>
        <v>0.38333333333333464</v>
      </c>
      <c r="T26" s="472">
        <f>(Table6[[#This Row],[Fault Clearance time]]-Table6[[#This Row],[Fault Start TimeStamp]])*24</f>
        <v>0.38333333333333464</v>
      </c>
      <c r="U26" s="35" t="s">
        <v>359</v>
      </c>
      <c r="V26" s="102" t="s">
        <v>293</v>
      </c>
      <c r="W26" s="478">
        <f>IFERROR(Table6[[#This Row],[Breakdown Time]]*Table6[[#This Row],[Plant Equivalent Weightage]],"")</f>
        <v>1.4743589743589788E-2</v>
      </c>
      <c r="X26" s="473" t="s">
        <v>294</v>
      </c>
      <c r="Y26" s="474" t="s">
        <v>321</v>
      </c>
      <c r="Z26" s="102">
        <v>13667</v>
      </c>
      <c r="AA26" s="468">
        <f>(Table6[[#This Row],[Paired WTG Generation for loss calculation]]/24)*Table6[[#This Row],[Breakdown Time]]</f>
        <v>218.29236111111186</v>
      </c>
      <c r="AB26" s="102"/>
      <c r="AC26" s="35"/>
      <c r="AD26" s="35"/>
    </row>
    <row r="27" spans="1:30">
      <c r="A27" s="102">
        <f t="shared" si="1"/>
        <v>26</v>
      </c>
      <c r="B27" s="468">
        <f>YEAR(Table6[[#This Row],[Date]])+IF(MONTH(Table6[[#This Row],[Date]])&gt;=4,1,0)</f>
        <v>2026</v>
      </c>
      <c r="C27" s="102">
        <f>YEAR(Table6[[#This Row],[Date]])</f>
        <v>2025</v>
      </c>
      <c r="D27" s="102" t="s">
        <v>1992</v>
      </c>
      <c r="E27" s="469">
        <f>Table6[[#This Row],[Date]]-DAY(Table6[[#This Row],[Date]])+1</f>
        <v>45748</v>
      </c>
      <c r="F27" s="470">
        <v>45750</v>
      </c>
      <c r="G27" s="35" t="s">
        <v>83</v>
      </c>
      <c r="H27" s="35" t="str">
        <f>IFERROR(_xlfn.XLOOKUP(Table6[[#This Row],[Affected WTG]],'Basic Data'!$A:$A,'Basic Data'!$B:$B),"")</f>
        <v>TQGXIIPL</v>
      </c>
      <c r="I27" s="35" t="str">
        <f>IFERROR(_xlfn.XLOOKUP(Table6[[#This Row],[Affected WTG]],'Basic Data'!$A:$A,'Basic Data'!$C:$C),"")</f>
        <v>GEDA</v>
      </c>
      <c r="J27" s="471">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292</v>
      </c>
      <c r="N27" s="475"/>
      <c r="O27" s="476">
        <v>0.45902777777777776</v>
      </c>
      <c r="P27" s="476">
        <v>0.45902777777777776</v>
      </c>
      <c r="Q27" s="477">
        <v>0.4597222222222222</v>
      </c>
      <c r="R27" s="472">
        <f>IF(Table6[[#This Row],[Work Start TimeStamp]]="","",(Table6[[#This Row],[Work Start TimeStamp]]-Table6[[#This Row],[Fault Start TimeStamp]])*24)</f>
        <v>0</v>
      </c>
      <c r="S27" s="472">
        <f>(Table6[[#This Row],[Fault Clearance time]]-Table6[[#This Row],[Work Start TimeStamp]])*24</f>
        <v>1.6666666666666607E-2</v>
      </c>
      <c r="T27" s="472">
        <f>(Table6[[#This Row],[Fault Clearance time]]-Table6[[#This Row],[Fault Start TimeStamp]])*24</f>
        <v>1.6666666666666607E-2</v>
      </c>
      <c r="U27" s="35" t="s">
        <v>336</v>
      </c>
      <c r="V27" s="102" t="s">
        <v>293</v>
      </c>
      <c r="W27" s="478">
        <f>IFERROR(Table6[[#This Row],[Breakdown Time]]*Table6[[#This Row],[Plant Equivalent Weightage]],"")</f>
        <v>6.4102564102563853E-4</v>
      </c>
      <c r="X27" s="473" t="s">
        <v>294</v>
      </c>
      <c r="Y27" s="474" t="s">
        <v>312</v>
      </c>
      <c r="Z27" s="102">
        <v>16142</v>
      </c>
      <c r="AA27" s="468">
        <f>(Table6[[#This Row],[Paired WTG Generation for loss calculation]]/24)*Table6[[#This Row],[Breakdown Time]]</f>
        <v>11.209722222222183</v>
      </c>
      <c r="AB27" s="102"/>
      <c r="AC27" s="35"/>
      <c r="AD27" s="35"/>
    </row>
    <row r="28" spans="1:30">
      <c r="A28" s="102">
        <f t="shared" si="1"/>
        <v>27</v>
      </c>
      <c r="B28" s="468">
        <f>YEAR(Table6[[#This Row],[Date]])+IF(MONTH(Table6[[#This Row],[Date]])&gt;=4,1,0)</f>
        <v>2026</v>
      </c>
      <c r="C28" s="102">
        <f>YEAR(Table6[[#This Row],[Date]])</f>
        <v>2025</v>
      </c>
      <c r="D28" s="102" t="s">
        <v>1992</v>
      </c>
      <c r="E28" s="469">
        <f>Table6[[#This Row],[Date]]-DAY(Table6[[#This Row],[Date]])+1</f>
        <v>45748</v>
      </c>
      <c r="F28" s="470">
        <v>45750</v>
      </c>
      <c r="G28" s="35" t="s">
        <v>83</v>
      </c>
      <c r="H28" s="35" t="str">
        <f>IFERROR(_xlfn.XLOOKUP(Table6[[#This Row],[Affected WTG]],'Basic Data'!$A:$A,'Basic Data'!$B:$B),"")</f>
        <v>TQGXIIPL</v>
      </c>
      <c r="I28" s="35" t="str">
        <f>IFERROR(_xlfn.XLOOKUP(Table6[[#This Row],[Affected WTG]],'Basic Data'!$A:$A,'Basic Data'!$C:$C),"")</f>
        <v>GEDA</v>
      </c>
      <c r="J28" s="471">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292</v>
      </c>
      <c r="N28" s="475"/>
      <c r="O28" s="476">
        <v>0.46736111111111112</v>
      </c>
      <c r="P28" s="476">
        <v>0.46736111111111112</v>
      </c>
      <c r="Q28" s="477">
        <v>0.46805555555555556</v>
      </c>
      <c r="R28" s="472">
        <f>IF(Table6[[#This Row],[Work Start TimeStamp]]="","",(Table6[[#This Row],[Work Start TimeStamp]]-Table6[[#This Row],[Fault Start TimeStamp]])*24)</f>
        <v>0</v>
      </c>
      <c r="S28" s="472">
        <f>(Table6[[#This Row],[Fault Clearance time]]-Table6[[#This Row],[Work Start TimeStamp]])*24</f>
        <v>1.6666666666666607E-2</v>
      </c>
      <c r="T28" s="472">
        <f>(Table6[[#This Row],[Fault Clearance time]]-Table6[[#This Row],[Fault Start TimeStamp]])*24</f>
        <v>1.6666666666666607E-2</v>
      </c>
      <c r="U28" s="35" t="s">
        <v>336</v>
      </c>
      <c r="V28" s="102" t="s">
        <v>293</v>
      </c>
      <c r="W28" s="478">
        <f>IFERROR(Table6[[#This Row],[Breakdown Time]]*Table6[[#This Row],[Plant Equivalent Weightage]],"")</f>
        <v>6.4102564102563853E-4</v>
      </c>
      <c r="X28" s="473" t="s">
        <v>294</v>
      </c>
      <c r="Y28" s="474" t="s">
        <v>312</v>
      </c>
      <c r="Z28" s="102">
        <v>16142</v>
      </c>
      <c r="AA28" s="468">
        <f>(Table6[[#This Row],[Paired WTG Generation for loss calculation]]/24)*Table6[[#This Row],[Breakdown Time]]</f>
        <v>11.209722222222183</v>
      </c>
      <c r="AB28" s="102"/>
      <c r="AC28" s="35"/>
      <c r="AD28" s="35"/>
    </row>
    <row r="29" spans="1:30">
      <c r="A29" s="102">
        <f t="shared" si="1"/>
        <v>28</v>
      </c>
      <c r="B29" s="468">
        <f>YEAR(Table6[[#This Row],[Date]])+IF(MONTH(Table6[[#This Row],[Date]])&gt;=4,1,0)</f>
        <v>2026</v>
      </c>
      <c r="C29" s="102">
        <f>YEAR(Table6[[#This Row],[Date]])</f>
        <v>2025</v>
      </c>
      <c r="D29" s="102" t="s">
        <v>1992</v>
      </c>
      <c r="E29" s="469">
        <f>Table6[[#This Row],[Date]]-DAY(Table6[[#This Row],[Date]])+1</f>
        <v>45748</v>
      </c>
      <c r="F29" s="470">
        <v>45750</v>
      </c>
      <c r="G29" s="35" t="s">
        <v>87</v>
      </c>
      <c r="H29" s="35" t="str">
        <f>IFERROR(_xlfn.XLOOKUP(Table6[[#This Row],[Affected WTG]],'Basic Data'!$A:$A,'Basic Data'!$B:$B),"")</f>
        <v>TQGXIIPL</v>
      </c>
      <c r="I29" s="35" t="str">
        <f>IFERROR(_xlfn.XLOOKUP(Table6[[#This Row],[Affected WTG]],'Basic Data'!$A:$A,'Basic Data'!$C:$C),"")</f>
        <v>GEDA</v>
      </c>
      <c r="J29" s="471">
        <f>IFERROR(_xlfn.XLOOKUP(Table6[[#This Row],[Affected WTG]],'Basic Data'!$A:$A,'Basic Data'!$E:$E),"")</f>
        <v>3.846153846153845E-2</v>
      </c>
      <c r="K29" s="102">
        <v>3211</v>
      </c>
      <c r="L29" s="35" t="str">
        <f>IFERROR(_xlfn.XLOOKUP(Table6[[#This Row],[Error Code]],'Basic Data'!$AA:$AA,'Basic Data'!$AB:$AB),"Incorrect Error Code")</f>
        <v>Conv. load shedding (CAN)</v>
      </c>
      <c r="M29" s="35" t="s">
        <v>291</v>
      </c>
      <c r="N29" s="475"/>
      <c r="O29" s="476">
        <v>0.52777777777777779</v>
      </c>
      <c r="P29" s="476">
        <v>0.52777777777777779</v>
      </c>
      <c r="Q29" s="477">
        <v>0.53680555555555554</v>
      </c>
      <c r="R29" s="472">
        <f>IF(Table6[[#This Row],[Work Start TimeStamp]]="","",(Table6[[#This Row],[Work Start TimeStamp]]-Table6[[#This Row],[Fault Start TimeStamp]])*24)</f>
        <v>0</v>
      </c>
      <c r="S29" s="472">
        <f>(Table6[[#This Row],[Fault Clearance time]]-Table6[[#This Row],[Work Start TimeStamp]])*24</f>
        <v>0.2166666666666659</v>
      </c>
      <c r="T29" s="472">
        <f>(Table6[[#This Row],[Fault Clearance time]]-Table6[[#This Row],[Fault Start TimeStamp]])*24</f>
        <v>0.2166666666666659</v>
      </c>
      <c r="U29" s="35" t="s">
        <v>360</v>
      </c>
      <c r="V29" s="102" t="s">
        <v>293</v>
      </c>
      <c r="W29" s="478">
        <f>IFERROR(Table6[[#This Row],[Breakdown Time]]*Table6[[#This Row],[Plant Equivalent Weightage]],"")</f>
        <v>8.333333333333302E-3</v>
      </c>
      <c r="X29" s="473" t="s">
        <v>294</v>
      </c>
      <c r="Y29" s="474" t="s">
        <v>327</v>
      </c>
      <c r="Z29" s="102">
        <v>14465</v>
      </c>
      <c r="AA29" s="468">
        <f>(Table6[[#This Row],[Paired WTG Generation for loss calculation]]/24)*Table6[[#This Row],[Breakdown Time]]</f>
        <v>130.58680555555509</v>
      </c>
      <c r="AB29" s="102"/>
      <c r="AC29" s="35"/>
      <c r="AD29" s="35"/>
    </row>
    <row r="30" spans="1:30">
      <c r="A30" s="102">
        <f t="shared" si="1"/>
        <v>29</v>
      </c>
      <c r="B30" s="468">
        <f>YEAR(Table6[[#This Row],[Date]])+IF(MONTH(Table6[[#This Row],[Date]])&gt;=4,1,0)</f>
        <v>2026</v>
      </c>
      <c r="C30" s="102">
        <f>YEAR(Table6[[#This Row],[Date]])</f>
        <v>2025</v>
      </c>
      <c r="D30" s="102" t="s">
        <v>1992</v>
      </c>
      <c r="E30" s="469">
        <f>Table6[[#This Row],[Date]]-DAY(Table6[[#This Row],[Date]])+1</f>
        <v>45748</v>
      </c>
      <c r="F30" s="470">
        <v>45750</v>
      </c>
      <c r="G30" s="35" t="s">
        <v>89</v>
      </c>
      <c r="H30" s="35" t="str">
        <f>IFERROR(_xlfn.XLOOKUP(Table6[[#This Row],[Affected WTG]],'Basic Data'!$A:$A,'Basic Data'!$B:$B),"")</f>
        <v>TQGXIIPL</v>
      </c>
      <c r="I30" s="35" t="str">
        <f>IFERROR(_xlfn.XLOOKUP(Table6[[#This Row],[Affected WTG]],'Basic Data'!$A:$A,'Basic Data'!$C:$C),"")</f>
        <v>GEDA</v>
      </c>
      <c r="J30" s="471">
        <f>IFERROR(_xlfn.XLOOKUP(Table6[[#This Row],[Affected WTG]],'Basic Data'!$A:$A,'Basic Data'!$E:$E),"")</f>
        <v>3.846153846153845E-2</v>
      </c>
      <c r="K30" s="102">
        <v>3000</v>
      </c>
      <c r="L30" s="35" t="str">
        <f>IFERROR(_xlfn.XLOOKUP(Table6[[#This Row],[Error Code]],'Basic Data'!$AA:$AA,'Basic Data'!$AB:$AB),"Incorrect Error Code")</f>
        <v>Frequency converter not ready</v>
      </c>
      <c r="M30" s="35" t="s">
        <v>291</v>
      </c>
      <c r="N30" s="475"/>
      <c r="O30" s="476">
        <v>0.44791666666666669</v>
      </c>
      <c r="P30" s="476">
        <v>0.44791666666666669</v>
      </c>
      <c r="Q30" s="477">
        <v>0.66111111111111109</v>
      </c>
      <c r="R30" s="472">
        <f>IF(Table6[[#This Row],[Work Start TimeStamp]]="","",(Table6[[#This Row],[Work Start TimeStamp]]-Table6[[#This Row],[Fault Start TimeStamp]])*24)</f>
        <v>0</v>
      </c>
      <c r="S30" s="472">
        <f>(Table6[[#This Row],[Fault Clearance time]]-Table6[[#This Row],[Work Start TimeStamp]])*24</f>
        <v>5.1166666666666654</v>
      </c>
      <c r="T30" s="472">
        <f>(Table6[[#This Row],[Fault Clearance time]]-Table6[[#This Row],[Fault Start TimeStamp]])*24</f>
        <v>5.1166666666666654</v>
      </c>
      <c r="U30" s="35" t="s">
        <v>361</v>
      </c>
      <c r="V30" s="102" t="s">
        <v>293</v>
      </c>
      <c r="W30" s="478">
        <f>IFERROR(Table6[[#This Row],[Breakdown Time]]*Table6[[#This Row],[Plant Equivalent Weightage]],"")</f>
        <v>0.19679487179487168</v>
      </c>
      <c r="X30" s="473" t="s">
        <v>294</v>
      </c>
      <c r="Y30" s="474" t="s">
        <v>325</v>
      </c>
      <c r="Z30" s="102">
        <v>11665</v>
      </c>
      <c r="AA30" s="468">
        <f>(Table6[[#This Row],[Paired WTG Generation for loss calculation]]/24)*Table6[[#This Row],[Breakdown Time]]</f>
        <v>2486.9131944444439</v>
      </c>
      <c r="AB30" s="102"/>
      <c r="AC30" s="35"/>
      <c r="AD30" s="35"/>
    </row>
    <row r="31" spans="1:30">
      <c r="A31" s="102">
        <f t="shared" si="1"/>
        <v>30</v>
      </c>
      <c r="B31" s="468">
        <f>YEAR(Table6[[#This Row],[Date]])+IF(MONTH(Table6[[#This Row],[Date]])&gt;=4,1,0)</f>
        <v>2026</v>
      </c>
      <c r="C31" s="102">
        <f>YEAR(Table6[[#This Row],[Date]])</f>
        <v>2025</v>
      </c>
      <c r="D31" s="102" t="s">
        <v>1992</v>
      </c>
      <c r="E31" s="469">
        <f>Table6[[#This Row],[Date]]-DAY(Table6[[#This Row],[Date]])+1</f>
        <v>45748</v>
      </c>
      <c r="F31" s="470">
        <v>45751</v>
      </c>
      <c r="G31" s="35" t="s">
        <v>74</v>
      </c>
      <c r="H31" s="35" t="str">
        <f>IFERROR(_xlfn.XLOOKUP(Table6[[#This Row],[Affected WTG]],'Basic Data'!$A:$A,'Basic Data'!$B:$B),"")</f>
        <v>TQGXIIPL</v>
      </c>
      <c r="I31" s="35" t="str">
        <f>IFERROR(_xlfn.XLOOKUP(Table6[[#This Row],[Affected WTG]],'Basic Data'!$A:$A,'Basic Data'!$C:$C),"")</f>
        <v>GEDA</v>
      </c>
      <c r="J31" s="471">
        <f>IFERROR(_xlfn.XLOOKUP(Table6[[#This Row],[Affected WTG]],'Basic Data'!$A:$A,'Basic Data'!$E:$E),"")</f>
        <v>3.846153846153845E-2</v>
      </c>
      <c r="K31" s="102">
        <v>5550</v>
      </c>
      <c r="L31" s="35" t="str">
        <f>IFERROR(_xlfn.XLOOKUP(Table6[[#This Row],[Error Code]],'Basic Data'!$AA:$AA,'Basic Data'!$AB:$AB),"Incorrect Error Code")</f>
        <v>Low hydraulic oil level</v>
      </c>
      <c r="M31" s="35" t="s">
        <v>291</v>
      </c>
      <c r="N31" s="475"/>
      <c r="O31" s="476">
        <v>0.17083333333333334</v>
      </c>
      <c r="P31" s="476">
        <v>0.17083333333333334</v>
      </c>
      <c r="Q31" s="477">
        <v>0.26250000000000001</v>
      </c>
      <c r="R31" s="472">
        <f>IF(Table6[[#This Row],[Work Start TimeStamp]]="","",(Table6[[#This Row],[Work Start TimeStamp]]-Table6[[#This Row],[Fault Start TimeStamp]])*24)</f>
        <v>0</v>
      </c>
      <c r="S31" s="472">
        <f>(Table6[[#This Row],[Fault Clearance time]]-Table6[[#This Row],[Work Start TimeStamp]])*24</f>
        <v>2.2000000000000002</v>
      </c>
      <c r="T31" s="472">
        <f>(Table6[[#This Row],[Fault Clearance time]]-Table6[[#This Row],[Fault Start TimeStamp]])*24</f>
        <v>2.2000000000000002</v>
      </c>
      <c r="U31" s="35" t="s">
        <v>362</v>
      </c>
      <c r="V31" s="102" t="s">
        <v>293</v>
      </c>
      <c r="W31" s="478">
        <f>IFERROR(Table6[[#This Row],[Breakdown Time]]*Table6[[#This Row],[Plant Equivalent Weightage]],"")</f>
        <v>8.4615384615384592E-2</v>
      </c>
      <c r="X31" s="473" t="s">
        <v>294</v>
      </c>
      <c r="Y31" s="474" t="s">
        <v>321</v>
      </c>
      <c r="Z31" s="102">
        <v>7143</v>
      </c>
      <c r="AA31" s="468">
        <f>(Table6[[#This Row],[Paired WTG Generation for loss calculation]]/24)*Table6[[#This Row],[Breakdown Time]]</f>
        <v>654.77500000000009</v>
      </c>
      <c r="AB31" s="102"/>
      <c r="AC31" s="35"/>
      <c r="AD31" s="35"/>
    </row>
    <row r="32" spans="1:30">
      <c r="A32" s="102">
        <f t="shared" si="1"/>
        <v>31</v>
      </c>
      <c r="B32" s="468">
        <f>YEAR(Table6[[#This Row],[Date]])+IF(MONTH(Table6[[#This Row],[Date]])&gt;=4,1,0)</f>
        <v>2026</v>
      </c>
      <c r="C32" s="102">
        <f>YEAR(Table6[[#This Row],[Date]])</f>
        <v>2025</v>
      </c>
      <c r="D32" s="102" t="s">
        <v>1992</v>
      </c>
      <c r="E32" s="469">
        <f>Table6[[#This Row],[Date]]-DAY(Table6[[#This Row],[Date]])+1</f>
        <v>45748</v>
      </c>
      <c r="F32" s="470">
        <v>45751</v>
      </c>
      <c r="G32" s="35" t="s">
        <v>74</v>
      </c>
      <c r="H32" s="35" t="str">
        <f>IFERROR(_xlfn.XLOOKUP(Table6[[#This Row],[Affected WTG]],'Basic Data'!$A:$A,'Basic Data'!$B:$B),"")</f>
        <v>TQGXIIPL</v>
      </c>
      <c r="I32" s="35" t="str">
        <f>IFERROR(_xlfn.XLOOKUP(Table6[[#This Row],[Affected WTG]],'Basic Data'!$A:$A,'Basic Data'!$C:$C),"")</f>
        <v>GEDA</v>
      </c>
      <c r="J32" s="471">
        <f>IFERROR(_xlfn.XLOOKUP(Table6[[#This Row],[Affected WTG]],'Basic Data'!$A:$A,'Basic Data'!$E:$E),"")</f>
        <v>3.846153846153845E-2</v>
      </c>
      <c r="K32" s="102">
        <v>55</v>
      </c>
      <c r="L32" s="35" t="str">
        <f>IFERROR(_xlfn.XLOOKUP(Table6[[#This Row],[Error Code]],'Basic Data'!$AA:$AA,'Basic Data'!$AB:$AB),"Incorrect Error Code")</f>
        <v>WTG shut down</v>
      </c>
      <c r="M32" s="35" t="s">
        <v>304</v>
      </c>
      <c r="N32" s="475"/>
      <c r="O32" s="476">
        <v>0.40972222222222221</v>
      </c>
      <c r="P32" s="476">
        <v>0.40972222222222221</v>
      </c>
      <c r="Q32" s="477">
        <v>0.64097222222222228</v>
      </c>
      <c r="R32" s="472">
        <f>IF(Table6[[#This Row],[Work Start TimeStamp]]="","",(Table6[[#This Row],[Work Start TimeStamp]]-Table6[[#This Row],[Fault Start TimeStamp]])*24)</f>
        <v>0</v>
      </c>
      <c r="S32" s="472">
        <f>(Table6[[#This Row],[Fault Clearance time]]-Table6[[#This Row],[Work Start TimeStamp]])*24</f>
        <v>5.5500000000000016</v>
      </c>
      <c r="T32" s="472">
        <f>(Table6[[#This Row],[Fault Clearance time]]-Table6[[#This Row],[Fault Start TimeStamp]])*24</f>
        <v>5.5500000000000016</v>
      </c>
      <c r="U32" s="35" t="s">
        <v>357</v>
      </c>
      <c r="V32" s="102" t="s">
        <v>293</v>
      </c>
      <c r="W32" s="478">
        <f>IFERROR(Table6[[#This Row],[Breakdown Time]]*Table6[[#This Row],[Plant Equivalent Weightage]],"")</f>
        <v>0.21346153846153845</v>
      </c>
      <c r="X32" s="473" t="s">
        <v>305</v>
      </c>
      <c r="Y32" s="474" t="s">
        <v>321</v>
      </c>
      <c r="Z32" s="102">
        <v>7143</v>
      </c>
      <c r="AA32" s="468">
        <f>(Table6[[#This Row],[Paired WTG Generation for loss calculation]]/24)*Table6[[#This Row],[Breakdown Time]]</f>
        <v>1651.8187500000004</v>
      </c>
      <c r="AB32" s="102"/>
      <c r="AC32" s="35"/>
      <c r="AD32" s="35"/>
    </row>
    <row r="33" spans="1:30">
      <c r="A33" s="102">
        <f t="shared" si="1"/>
        <v>32</v>
      </c>
      <c r="B33" s="468">
        <f>YEAR(Table6[[#This Row],[Date]])+IF(MONTH(Table6[[#This Row],[Date]])&gt;=4,1,0)</f>
        <v>2026</v>
      </c>
      <c r="C33" s="102">
        <f>YEAR(Table6[[#This Row],[Date]])</f>
        <v>2025</v>
      </c>
      <c r="D33" s="102" t="s">
        <v>1992</v>
      </c>
      <c r="E33" s="469">
        <f>Table6[[#This Row],[Date]]-DAY(Table6[[#This Row],[Date]])+1</f>
        <v>45748</v>
      </c>
      <c r="F33" s="470">
        <v>45751</v>
      </c>
      <c r="G33" s="35" t="s">
        <v>78</v>
      </c>
      <c r="H33" s="35" t="str">
        <f>IFERROR(_xlfn.XLOOKUP(Table6[[#This Row],[Affected WTG]],'Basic Data'!$A:$A,'Basic Data'!$B:$B),"")</f>
        <v>TQGXIIPL</v>
      </c>
      <c r="I33" s="35" t="str">
        <f>IFERROR(_xlfn.XLOOKUP(Table6[[#This Row],[Affected WTG]],'Basic Data'!$A:$A,'Basic Data'!$C:$C),"")</f>
        <v>GEDA</v>
      </c>
      <c r="J33" s="471">
        <f>IFERROR(_xlfn.XLOOKUP(Table6[[#This Row],[Affected WTG]],'Basic Data'!$A:$A,'Basic Data'!$E:$E),"")</f>
        <v>3.846153846153845E-2</v>
      </c>
      <c r="K33" s="102">
        <v>3000</v>
      </c>
      <c r="L33" s="35" t="str">
        <f>IFERROR(_xlfn.XLOOKUP(Table6[[#This Row],[Error Code]],'Basic Data'!$AA:$AA,'Basic Data'!$AB:$AB),"Incorrect Error Code")</f>
        <v>Frequency converter not ready</v>
      </c>
      <c r="M33" s="35" t="s">
        <v>292</v>
      </c>
      <c r="N33" s="475"/>
      <c r="O33" s="476">
        <v>0.21180555555555555</v>
      </c>
      <c r="P33" s="476">
        <v>0.21180555555555555</v>
      </c>
      <c r="Q33" s="477">
        <v>0.21388888888888888</v>
      </c>
      <c r="R33" s="472">
        <f>IF(Table6[[#This Row],[Work Start TimeStamp]]="","",(Table6[[#This Row],[Work Start TimeStamp]]-Table6[[#This Row],[Fault Start TimeStamp]])*24)</f>
        <v>0</v>
      </c>
      <c r="S33" s="472">
        <f>(Table6[[#This Row],[Fault Clearance time]]-Table6[[#This Row],[Work Start TimeStamp]])*24</f>
        <v>4.9999999999999822E-2</v>
      </c>
      <c r="T33" s="472">
        <f>(Table6[[#This Row],[Fault Clearance time]]-Table6[[#This Row],[Fault Start TimeStamp]])*24</f>
        <v>4.9999999999999822E-2</v>
      </c>
      <c r="U33" s="35" t="s">
        <v>336</v>
      </c>
      <c r="V33" s="102" t="s">
        <v>293</v>
      </c>
      <c r="W33" s="478">
        <f>IFERROR(Table6[[#This Row],[Breakdown Time]]*Table6[[#This Row],[Plant Equivalent Weightage]],"")</f>
        <v>1.9230769230769156E-3</v>
      </c>
      <c r="X33" s="473" t="s">
        <v>294</v>
      </c>
      <c r="Y33" s="474" t="s">
        <v>333</v>
      </c>
      <c r="Z33" s="102">
        <v>13454</v>
      </c>
      <c r="AA33" s="468">
        <f>(Table6[[#This Row],[Paired WTG Generation for loss calculation]]/24)*Table6[[#This Row],[Breakdown Time]]</f>
        <v>28.029166666666569</v>
      </c>
      <c r="AB33" s="102"/>
      <c r="AC33" s="35"/>
      <c r="AD33" s="35"/>
    </row>
    <row r="34" spans="1:30">
      <c r="A34" s="102">
        <f t="shared" si="1"/>
        <v>33</v>
      </c>
      <c r="B34" s="468">
        <f>YEAR(Table6[[#This Row],[Date]])+IF(MONTH(Table6[[#This Row],[Date]])&gt;=4,1,0)</f>
        <v>2026</v>
      </c>
      <c r="C34" s="102">
        <f>YEAR(Table6[[#This Row],[Date]])</f>
        <v>2025</v>
      </c>
      <c r="D34" s="102" t="s">
        <v>1992</v>
      </c>
      <c r="E34" s="469">
        <f>Table6[[#This Row],[Date]]-DAY(Table6[[#This Row],[Date]])+1</f>
        <v>45748</v>
      </c>
      <c r="F34" s="470">
        <v>45751</v>
      </c>
      <c r="G34" s="35" t="s">
        <v>81</v>
      </c>
      <c r="H34" s="35" t="str">
        <f>IFERROR(_xlfn.XLOOKUP(Table6[[#This Row],[Affected WTG]],'Basic Data'!$A:$A,'Basic Data'!$B:$B),"")</f>
        <v>TQGXIIPL</v>
      </c>
      <c r="I34" s="35" t="str">
        <f>IFERROR(_xlfn.XLOOKUP(Table6[[#This Row],[Affected WTG]],'Basic Data'!$A:$A,'Basic Data'!$C:$C),"")</f>
        <v>GEDA</v>
      </c>
      <c r="J34" s="471">
        <f>IFERROR(_xlfn.XLOOKUP(Table6[[#This Row],[Affected WTG]],'Basic Data'!$A:$A,'Basic Data'!$E:$E),"")</f>
        <v>3.846153846153845E-2</v>
      </c>
      <c r="K34" s="102">
        <v>4520</v>
      </c>
      <c r="L34" s="35" t="str">
        <f>IFERROR(_xlfn.XLOOKUP(Table6[[#This Row],[Error Code]],'Basic Data'!$AA:$AA,'Basic Data'!$AB:$AB),"Incorrect Error Code")</f>
        <v>Tower oscillation X level 1</v>
      </c>
      <c r="M34" s="35" t="s">
        <v>292</v>
      </c>
      <c r="N34" s="475"/>
      <c r="O34" s="476">
        <v>6.25E-2</v>
      </c>
      <c r="P34" s="476">
        <v>6.25E-2</v>
      </c>
      <c r="Q34" s="477">
        <v>7.013888888888889E-2</v>
      </c>
      <c r="R34" s="472">
        <f>IF(Table6[[#This Row],[Work Start TimeStamp]]="","",(Table6[[#This Row],[Work Start TimeStamp]]-Table6[[#This Row],[Fault Start TimeStamp]])*24)</f>
        <v>0</v>
      </c>
      <c r="S34" s="472">
        <f>(Table6[[#This Row],[Fault Clearance time]]-Table6[[#This Row],[Work Start TimeStamp]])*24</f>
        <v>0.18333333333333335</v>
      </c>
      <c r="T34" s="472">
        <f>(Table6[[#This Row],[Fault Clearance time]]-Table6[[#This Row],[Fault Start TimeStamp]])*24</f>
        <v>0.18333333333333335</v>
      </c>
      <c r="U34" s="35" t="s">
        <v>336</v>
      </c>
      <c r="V34" s="102" t="s">
        <v>293</v>
      </c>
      <c r="W34" s="478">
        <f>IFERROR(Table6[[#This Row],[Breakdown Time]]*Table6[[#This Row],[Plant Equivalent Weightage]],"")</f>
        <v>7.0512820512820496E-3</v>
      </c>
      <c r="X34" s="473" t="s">
        <v>294</v>
      </c>
      <c r="Y34" s="474" t="s">
        <v>321</v>
      </c>
      <c r="Z34" s="102">
        <v>7143</v>
      </c>
      <c r="AA34" s="468">
        <f>(Table6[[#This Row],[Paired WTG Generation for loss calculation]]/24)*Table6[[#This Row],[Breakdown Time]]</f>
        <v>54.564583333333339</v>
      </c>
      <c r="AB34" s="102"/>
      <c r="AC34" s="35"/>
      <c r="AD34" s="35"/>
    </row>
    <row r="35" spans="1:30">
      <c r="A35" s="102">
        <f t="shared" si="1"/>
        <v>34</v>
      </c>
      <c r="B35" s="468">
        <f>YEAR(Table6[[#This Row],[Date]])+IF(MONTH(Table6[[#This Row],[Date]])&gt;=4,1,0)</f>
        <v>2026</v>
      </c>
      <c r="C35" s="102">
        <f>YEAR(Table6[[#This Row],[Date]])</f>
        <v>2025</v>
      </c>
      <c r="D35" s="102" t="s">
        <v>1992</v>
      </c>
      <c r="E35" s="469">
        <f>Table6[[#This Row],[Date]]-DAY(Table6[[#This Row],[Date]])+1</f>
        <v>45748</v>
      </c>
      <c r="F35" s="470">
        <v>45751</v>
      </c>
      <c r="G35" s="35" t="s">
        <v>81</v>
      </c>
      <c r="H35" s="35" t="str">
        <f>IFERROR(_xlfn.XLOOKUP(Table6[[#This Row],[Affected WTG]],'Basic Data'!$A:$A,'Basic Data'!$B:$B),"")</f>
        <v>TQGXIIPL</v>
      </c>
      <c r="I35" s="35" t="str">
        <f>IFERROR(_xlfn.XLOOKUP(Table6[[#This Row],[Affected WTG]],'Basic Data'!$A:$A,'Basic Data'!$C:$C),"")</f>
        <v>GEDA</v>
      </c>
      <c r="J35" s="471">
        <f>IFERROR(_xlfn.XLOOKUP(Table6[[#This Row],[Affected WTG]],'Basic Data'!$A:$A,'Basic Data'!$E:$E),"")</f>
        <v>3.846153846153845E-2</v>
      </c>
      <c r="K35" s="102">
        <v>4520</v>
      </c>
      <c r="L35" s="35" t="str">
        <f>IFERROR(_xlfn.XLOOKUP(Table6[[#This Row],[Error Code]],'Basic Data'!$AA:$AA,'Basic Data'!$AB:$AB),"Incorrect Error Code")</f>
        <v>Tower oscillation X level 1</v>
      </c>
      <c r="M35" s="35" t="s">
        <v>291</v>
      </c>
      <c r="N35" s="475"/>
      <c r="O35" s="476">
        <v>9.4444444444444442E-2</v>
      </c>
      <c r="P35" s="476">
        <v>9.4444444444444442E-2</v>
      </c>
      <c r="Q35" s="477">
        <v>0.11180555555555556</v>
      </c>
      <c r="R35" s="472">
        <f>IF(Table6[[#This Row],[Work Start TimeStamp]]="","",(Table6[[#This Row],[Work Start TimeStamp]]-Table6[[#This Row],[Fault Start TimeStamp]])*24)</f>
        <v>0</v>
      </c>
      <c r="S35" s="472">
        <f>(Table6[[#This Row],[Fault Clearance time]]-Table6[[#This Row],[Work Start TimeStamp]])*24</f>
        <v>0.41666666666666685</v>
      </c>
      <c r="T35" s="472">
        <f>(Table6[[#This Row],[Fault Clearance time]]-Table6[[#This Row],[Fault Start TimeStamp]])*24</f>
        <v>0.41666666666666685</v>
      </c>
      <c r="U35" s="35" t="s">
        <v>349</v>
      </c>
      <c r="V35" s="102" t="s">
        <v>293</v>
      </c>
      <c r="W35" s="478">
        <f>IFERROR(Table6[[#This Row],[Breakdown Time]]*Table6[[#This Row],[Plant Equivalent Weightage]],"")</f>
        <v>1.6025641025641028E-2</v>
      </c>
      <c r="X35" s="473" t="s">
        <v>294</v>
      </c>
      <c r="Y35" s="474" t="s">
        <v>321</v>
      </c>
      <c r="Z35" s="102">
        <v>7143</v>
      </c>
      <c r="AA35" s="468">
        <f>(Table6[[#This Row],[Paired WTG Generation for loss calculation]]/24)*Table6[[#This Row],[Breakdown Time]]</f>
        <v>124.01041666666673</v>
      </c>
      <c r="AB35" s="102"/>
      <c r="AC35" s="35"/>
      <c r="AD35" s="35"/>
    </row>
    <row r="36" spans="1:30">
      <c r="A36" s="102">
        <f t="shared" si="1"/>
        <v>35</v>
      </c>
      <c r="B36" s="468">
        <f>YEAR(Table6[[#This Row],[Date]])+IF(MONTH(Table6[[#This Row],[Date]])&gt;=4,1,0)</f>
        <v>2026</v>
      </c>
      <c r="C36" s="102">
        <f>YEAR(Table6[[#This Row],[Date]])</f>
        <v>2025</v>
      </c>
      <c r="D36" s="102" t="s">
        <v>1992</v>
      </c>
      <c r="E36" s="469">
        <f>Table6[[#This Row],[Date]]-DAY(Table6[[#This Row],[Date]])+1</f>
        <v>45748</v>
      </c>
      <c r="F36" s="470">
        <v>45751</v>
      </c>
      <c r="G36" s="35" t="s">
        <v>81</v>
      </c>
      <c r="H36" s="35" t="str">
        <f>IFERROR(_xlfn.XLOOKUP(Table6[[#This Row],[Affected WTG]],'Basic Data'!$A:$A,'Basic Data'!$B:$B),"")</f>
        <v>TQGXIIPL</v>
      </c>
      <c r="I36" s="35" t="str">
        <f>IFERROR(_xlfn.XLOOKUP(Table6[[#This Row],[Affected WTG]],'Basic Data'!$A:$A,'Basic Data'!$C:$C),"")</f>
        <v>GEDA</v>
      </c>
      <c r="J36" s="471">
        <f>IFERROR(_xlfn.XLOOKUP(Table6[[#This Row],[Affected WTG]],'Basic Data'!$A:$A,'Basic Data'!$E:$E),"")</f>
        <v>3.846153846153845E-2</v>
      </c>
      <c r="K36" s="102">
        <v>153</v>
      </c>
      <c r="L36" s="35" t="str">
        <f>IFERROR(_xlfn.XLOOKUP(Table6[[#This Row],[Error Code]],'Basic Data'!$AA:$AA,'Basic Data'!$AB:$AB),"Incorrect Error Code")</f>
        <v>SLC SF max. cable winding</v>
      </c>
      <c r="M36" s="35" t="s">
        <v>291</v>
      </c>
      <c r="N36" s="475"/>
      <c r="O36" s="476">
        <v>0.95416666666666672</v>
      </c>
      <c r="P36" s="476">
        <v>0.95416666666666672</v>
      </c>
      <c r="Q36" s="477">
        <v>1</v>
      </c>
      <c r="R36" s="472">
        <f>IF(Table6[[#This Row],[Work Start TimeStamp]]="","",(Table6[[#This Row],[Work Start TimeStamp]]-Table6[[#This Row],[Fault Start TimeStamp]])*24)</f>
        <v>0</v>
      </c>
      <c r="S36" s="472">
        <f>(Table6[[#This Row],[Fault Clearance time]]-Table6[[#This Row],[Work Start TimeStamp]])*24</f>
        <v>1.0999999999999988</v>
      </c>
      <c r="T36" s="472">
        <f>(Table6[[#This Row],[Fault Clearance time]]-Table6[[#This Row],[Fault Start TimeStamp]])*24</f>
        <v>1.0999999999999988</v>
      </c>
      <c r="U36" s="35" t="s">
        <v>359</v>
      </c>
      <c r="V36" s="102" t="s">
        <v>293</v>
      </c>
      <c r="W36" s="478">
        <f>IFERROR(Table6[[#This Row],[Breakdown Time]]*Table6[[#This Row],[Plant Equivalent Weightage]],"")</f>
        <v>4.2307692307692248E-2</v>
      </c>
      <c r="X36" s="473" t="s">
        <v>294</v>
      </c>
      <c r="Y36" s="474" t="s">
        <v>321</v>
      </c>
      <c r="Z36" s="102">
        <v>7143</v>
      </c>
      <c r="AA36" s="468">
        <f>(Table6[[#This Row],[Paired WTG Generation for loss calculation]]/24)*Table6[[#This Row],[Breakdown Time]]</f>
        <v>327.38749999999965</v>
      </c>
      <c r="AB36" s="102"/>
      <c r="AC36" s="35"/>
      <c r="AD36" s="35"/>
    </row>
    <row r="37" spans="1:30">
      <c r="A37" s="102">
        <f t="shared" si="1"/>
        <v>36</v>
      </c>
      <c r="B37" s="468">
        <f>YEAR(Table6[[#This Row],[Date]])+IF(MONTH(Table6[[#This Row],[Date]])&gt;=4,1,0)</f>
        <v>2026</v>
      </c>
      <c r="C37" s="102">
        <f>YEAR(Table6[[#This Row],[Date]])</f>
        <v>2025</v>
      </c>
      <c r="D37" s="102" t="s">
        <v>1992</v>
      </c>
      <c r="E37" s="469">
        <f>Table6[[#This Row],[Date]]-DAY(Table6[[#This Row],[Date]])+1</f>
        <v>45748</v>
      </c>
      <c r="F37" s="470">
        <v>45751</v>
      </c>
      <c r="G37" s="35" t="s">
        <v>85</v>
      </c>
      <c r="H37" s="35" t="str">
        <f>IFERROR(_xlfn.XLOOKUP(Table6[[#This Row],[Affected WTG]],'Basic Data'!$A:$A,'Basic Data'!$B:$B),"")</f>
        <v>TQGXIIPL</v>
      </c>
      <c r="I37" s="35" t="str">
        <f>IFERROR(_xlfn.XLOOKUP(Table6[[#This Row],[Affected WTG]],'Basic Data'!$A:$A,'Basic Data'!$C:$C),"")</f>
        <v>GEDA</v>
      </c>
      <c r="J37" s="471">
        <f>IFERROR(_xlfn.XLOOKUP(Table6[[#This Row],[Affected WTG]],'Basic Data'!$A:$A,'Basic Data'!$E:$E),"")</f>
        <v>3.846153846153845E-2</v>
      </c>
      <c r="K37" s="102">
        <v>5510</v>
      </c>
      <c r="L37" s="35" t="str">
        <f>IFERROR(_xlfn.XLOOKUP(Table6[[#This Row],[Error Code]],'Basic Data'!$AA:$AA,'Basic Data'!$AB:$AB),"Incorrect Error Code")</f>
        <v>Low hydraulic pressure</v>
      </c>
      <c r="M37" s="35" t="s">
        <v>291</v>
      </c>
      <c r="N37" s="475"/>
      <c r="O37" s="476">
        <v>0.19166666666666668</v>
      </c>
      <c r="P37" s="476">
        <v>0.19166666666666668</v>
      </c>
      <c r="Q37" s="477">
        <v>0.34375</v>
      </c>
      <c r="R37" s="472">
        <f>IF(Table6[[#This Row],[Work Start TimeStamp]]="","",(Table6[[#This Row],[Work Start TimeStamp]]-Table6[[#This Row],[Fault Start TimeStamp]])*24)</f>
        <v>0</v>
      </c>
      <c r="S37" s="472">
        <f>(Table6[[#This Row],[Fault Clearance time]]-Table6[[#This Row],[Work Start TimeStamp]])*24</f>
        <v>3.6499999999999995</v>
      </c>
      <c r="T37" s="472">
        <f>(Table6[[#This Row],[Fault Clearance time]]-Table6[[#This Row],[Fault Start TimeStamp]])*24</f>
        <v>3.6499999999999995</v>
      </c>
      <c r="U37" s="35" t="s">
        <v>363</v>
      </c>
      <c r="V37" s="102" t="s">
        <v>293</v>
      </c>
      <c r="W37" s="478">
        <f>IFERROR(Table6[[#This Row],[Breakdown Time]]*Table6[[#This Row],[Plant Equivalent Weightage]],"")</f>
        <v>0.14038461538461533</v>
      </c>
      <c r="X37" s="473" t="s">
        <v>294</v>
      </c>
      <c r="Y37" s="474" t="s">
        <v>322</v>
      </c>
      <c r="Z37" s="102">
        <v>9746</v>
      </c>
      <c r="AA37" s="468">
        <f>(Table6[[#This Row],[Paired WTG Generation for loss calculation]]/24)*Table6[[#This Row],[Breakdown Time]]</f>
        <v>1482.2041666666664</v>
      </c>
      <c r="AB37" s="102"/>
      <c r="AC37" s="35"/>
      <c r="AD37" s="35"/>
    </row>
    <row r="38" spans="1:30">
      <c r="A38" s="102">
        <f t="shared" si="1"/>
        <v>37</v>
      </c>
      <c r="B38" s="468">
        <f>YEAR(Table6[[#This Row],[Date]])+IF(MONTH(Table6[[#This Row],[Date]])&gt;=4,1,0)</f>
        <v>2026</v>
      </c>
      <c r="C38" s="102">
        <f>YEAR(Table6[[#This Row],[Date]])</f>
        <v>2025</v>
      </c>
      <c r="D38" s="102" t="s">
        <v>1992</v>
      </c>
      <c r="E38" s="469">
        <f>Table6[[#This Row],[Date]]-DAY(Table6[[#This Row],[Date]])+1</f>
        <v>45748</v>
      </c>
      <c r="F38" s="470">
        <v>45751</v>
      </c>
      <c r="G38" s="35" t="s">
        <v>97</v>
      </c>
      <c r="H38" s="35" t="str">
        <f>IFERROR(_xlfn.XLOOKUP(Table6[[#This Row],[Affected WTG]],'Basic Data'!$A:$A,'Basic Data'!$B:$B),"")</f>
        <v>TQGXIIPL</v>
      </c>
      <c r="I38" s="35" t="str">
        <f>IFERROR(_xlfn.XLOOKUP(Table6[[#This Row],[Affected WTG]],'Basic Data'!$A:$A,'Basic Data'!$C:$C),"")</f>
        <v>GEDA</v>
      </c>
      <c r="J38" s="471">
        <f>IFERROR(_xlfn.XLOOKUP(Table6[[#This Row],[Affected WTG]],'Basic Data'!$A:$A,'Basic Data'!$E:$E),"")</f>
        <v>3.846153846153845E-2</v>
      </c>
      <c r="K38" s="102">
        <v>3211</v>
      </c>
      <c r="L38" s="35" t="str">
        <f>IFERROR(_xlfn.XLOOKUP(Table6[[#This Row],[Error Code]],'Basic Data'!$AA:$AA,'Basic Data'!$AB:$AB),"Incorrect Error Code")</f>
        <v>Conv. load shedding (CAN)</v>
      </c>
      <c r="M38" s="35" t="s">
        <v>292</v>
      </c>
      <c r="N38" s="475"/>
      <c r="O38" s="476">
        <v>0.48819444444444443</v>
      </c>
      <c r="P38" s="476">
        <v>0.48819444444444443</v>
      </c>
      <c r="Q38" s="477">
        <v>0.48958333333333331</v>
      </c>
      <c r="R38" s="472">
        <f>IF(Table6[[#This Row],[Work Start TimeStamp]]="","",(Table6[[#This Row],[Work Start TimeStamp]]-Table6[[#This Row],[Fault Start TimeStamp]])*24)</f>
        <v>0</v>
      </c>
      <c r="S38" s="472">
        <f>(Table6[[#This Row],[Fault Clearance time]]-Table6[[#This Row],[Work Start TimeStamp]])*24</f>
        <v>3.3333333333333215E-2</v>
      </c>
      <c r="T38" s="472">
        <f>(Table6[[#This Row],[Fault Clearance time]]-Table6[[#This Row],[Fault Start TimeStamp]])*24</f>
        <v>3.3333333333333215E-2</v>
      </c>
      <c r="U38" s="35" t="s">
        <v>336</v>
      </c>
      <c r="V38" s="102" t="s">
        <v>293</v>
      </c>
      <c r="W38" s="478">
        <f>IFERROR(Table6[[#This Row],[Breakdown Time]]*Table6[[#This Row],[Plant Equivalent Weightage]],"")</f>
        <v>1.2820512820512771E-3</v>
      </c>
      <c r="X38" s="473" t="s">
        <v>294</v>
      </c>
      <c r="Y38" s="474" t="s">
        <v>320</v>
      </c>
      <c r="Z38" s="102">
        <v>10901</v>
      </c>
      <c r="AA38" s="468">
        <f>(Table6[[#This Row],[Paired WTG Generation for loss calculation]]/24)*Table6[[#This Row],[Breakdown Time]]</f>
        <v>15.140277777777724</v>
      </c>
      <c r="AB38" s="102"/>
      <c r="AC38" s="35"/>
      <c r="AD38" s="35"/>
    </row>
    <row r="39" spans="1:30">
      <c r="A39" s="102">
        <f t="shared" si="1"/>
        <v>38</v>
      </c>
      <c r="B39" s="468">
        <f>YEAR(Table6[[#This Row],[Date]])+IF(MONTH(Table6[[#This Row],[Date]])&gt;=4,1,0)</f>
        <v>2026</v>
      </c>
      <c r="C39" s="102">
        <f>YEAR(Table6[[#This Row],[Date]])</f>
        <v>2025</v>
      </c>
      <c r="D39" s="102" t="s">
        <v>1992</v>
      </c>
      <c r="E39" s="469">
        <f>Table6[[#This Row],[Date]]-DAY(Table6[[#This Row],[Date]])+1</f>
        <v>45748</v>
      </c>
      <c r="F39" s="470">
        <v>45751</v>
      </c>
      <c r="G39" s="35" t="s">
        <v>97</v>
      </c>
      <c r="H39" s="35" t="str">
        <f>IFERROR(_xlfn.XLOOKUP(Table6[[#This Row],[Affected WTG]],'Basic Data'!$A:$A,'Basic Data'!$B:$B),"")</f>
        <v>TQGXIIPL</v>
      </c>
      <c r="I39" s="35" t="str">
        <f>IFERROR(_xlfn.XLOOKUP(Table6[[#This Row],[Affected WTG]],'Basic Data'!$A:$A,'Basic Data'!$C:$C),"")</f>
        <v>GEDA</v>
      </c>
      <c r="J39" s="471">
        <f>IFERROR(_xlfn.XLOOKUP(Table6[[#This Row],[Affected WTG]],'Basic Data'!$A:$A,'Basic Data'!$E:$E),"")</f>
        <v>3.846153846153845E-2</v>
      </c>
      <c r="K39" s="102">
        <v>5510</v>
      </c>
      <c r="L39" s="35" t="str">
        <f>IFERROR(_xlfn.XLOOKUP(Table6[[#This Row],[Error Code]],'Basic Data'!$AA:$AA,'Basic Data'!$AB:$AB),"Incorrect Error Code")</f>
        <v>Low hydraulic pressure</v>
      </c>
      <c r="M39" s="35" t="s">
        <v>291</v>
      </c>
      <c r="N39" s="475"/>
      <c r="O39" s="476">
        <v>0.81597222222222221</v>
      </c>
      <c r="P39" s="476">
        <v>0.81597222222222221</v>
      </c>
      <c r="Q39" s="477">
        <v>1</v>
      </c>
      <c r="R39" s="472">
        <f>IF(Table6[[#This Row],[Work Start TimeStamp]]="","",(Table6[[#This Row],[Work Start TimeStamp]]-Table6[[#This Row],[Fault Start TimeStamp]])*24)</f>
        <v>0</v>
      </c>
      <c r="S39" s="472">
        <f>(Table6[[#This Row],[Fault Clearance time]]-Table6[[#This Row],[Work Start TimeStamp]])*24</f>
        <v>4.416666666666667</v>
      </c>
      <c r="T39" s="472">
        <f>(Table6[[#This Row],[Fault Clearance time]]-Table6[[#This Row],[Fault Start TimeStamp]])*24</f>
        <v>4.416666666666667</v>
      </c>
      <c r="U39" s="35" t="s">
        <v>364</v>
      </c>
      <c r="V39" s="102" t="s">
        <v>335</v>
      </c>
      <c r="W39" s="478">
        <f>IFERROR(Table6[[#This Row],[Breakdown Time]]*Table6[[#This Row],[Plant Equivalent Weightage]],"")</f>
        <v>0.16987179487179482</v>
      </c>
      <c r="X39" s="473" t="s">
        <v>294</v>
      </c>
      <c r="Y39" s="474" t="s">
        <v>320</v>
      </c>
      <c r="Z39" s="102">
        <v>10901</v>
      </c>
      <c r="AA39" s="468">
        <f>(Table6[[#This Row],[Paired WTG Generation for loss calculation]]/24)*Table6[[#This Row],[Breakdown Time]]</f>
        <v>2006.0868055555557</v>
      </c>
      <c r="AB39" s="102"/>
      <c r="AC39" s="35"/>
      <c r="AD39" s="35"/>
    </row>
    <row r="40" spans="1:30">
      <c r="A40" s="102">
        <f t="shared" si="1"/>
        <v>39</v>
      </c>
      <c r="B40" s="468">
        <f>YEAR(Table6[[#This Row],[Date]])+IF(MONTH(Table6[[#This Row],[Date]])&gt;=4,1,0)</f>
        <v>2026</v>
      </c>
      <c r="C40" s="102">
        <f>YEAR(Table6[[#This Row],[Date]])</f>
        <v>2025</v>
      </c>
      <c r="D40" s="102" t="s">
        <v>1992</v>
      </c>
      <c r="E40" s="469">
        <f>Table6[[#This Row],[Date]]-DAY(Table6[[#This Row],[Date]])+1</f>
        <v>45748</v>
      </c>
      <c r="F40" s="470">
        <v>45752</v>
      </c>
      <c r="G40" s="35" t="s">
        <v>76</v>
      </c>
      <c r="H40" s="35" t="str">
        <f>IFERROR(_xlfn.XLOOKUP(Table6[[#This Row],[Affected WTG]],'Basic Data'!$A:$A,'Basic Data'!$B:$B),"")</f>
        <v>TQGXIIPL</v>
      </c>
      <c r="I40" s="35" t="str">
        <f>IFERROR(_xlfn.XLOOKUP(Table6[[#This Row],[Affected WTG]],'Basic Data'!$A:$A,'Basic Data'!$C:$C),"")</f>
        <v>GEDA</v>
      </c>
      <c r="J40" s="471">
        <f>IFERROR(_xlfn.XLOOKUP(Table6[[#This Row],[Affected WTG]],'Basic Data'!$A:$A,'Basic Data'!$E:$E),"")</f>
        <v>3.846153846153845E-2</v>
      </c>
      <c r="K40" s="102">
        <v>55</v>
      </c>
      <c r="L40" s="35" t="str">
        <f>IFERROR(_xlfn.XLOOKUP(Table6[[#This Row],[Error Code]],'Basic Data'!$AA:$AA,'Basic Data'!$AB:$AB),"Incorrect Error Code")</f>
        <v>WTG shut down</v>
      </c>
      <c r="M40" s="35" t="s">
        <v>304</v>
      </c>
      <c r="N40" s="475"/>
      <c r="O40" s="476">
        <v>0.25972222222222224</v>
      </c>
      <c r="P40" s="476">
        <v>0.25972222222222224</v>
      </c>
      <c r="Q40" s="477">
        <v>0.32291666666666669</v>
      </c>
      <c r="R40" s="472">
        <f>IF(Table6[[#This Row],[Work Start TimeStamp]]="","",(Table6[[#This Row],[Work Start TimeStamp]]-Table6[[#This Row],[Fault Start TimeStamp]])*24)</f>
        <v>0</v>
      </c>
      <c r="S40" s="472">
        <f>(Table6[[#This Row],[Fault Clearance time]]-Table6[[#This Row],[Work Start TimeStamp]])*24</f>
        <v>1.5166666666666666</v>
      </c>
      <c r="T40" s="472">
        <f>(Table6[[#This Row],[Fault Clearance time]]-Table6[[#This Row],[Fault Start TimeStamp]])*24</f>
        <v>1.5166666666666666</v>
      </c>
      <c r="U40" s="35" t="s">
        <v>351</v>
      </c>
      <c r="V40" s="102" t="s">
        <v>293</v>
      </c>
      <c r="W40" s="478">
        <f>IFERROR(Table6[[#This Row],[Breakdown Time]]*Table6[[#This Row],[Plant Equivalent Weightage]],"")</f>
        <v>5.8333333333333313E-2</v>
      </c>
      <c r="X40" s="473" t="s">
        <v>305</v>
      </c>
      <c r="Y40" s="474" t="s">
        <v>309</v>
      </c>
      <c r="Z40" s="102">
        <v>10832</v>
      </c>
      <c r="AA40" s="468">
        <f>(Table6[[#This Row],[Paired WTG Generation for loss calculation]]/24)*Table6[[#This Row],[Breakdown Time]]</f>
        <v>684.52222222222213</v>
      </c>
      <c r="AB40" s="102"/>
      <c r="AC40" s="35"/>
      <c r="AD40" s="35"/>
    </row>
    <row r="41" spans="1:30">
      <c r="A41" s="102">
        <f t="shared" si="1"/>
        <v>40</v>
      </c>
      <c r="B41" s="468">
        <f>YEAR(Table6[[#This Row],[Date]])+IF(MONTH(Table6[[#This Row],[Date]])&gt;=4,1,0)</f>
        <v>2026</v>
      </c>
      <c r="C41" s="102">
        <f>YEAR(Table6[[#This Row],[Date]])</f>
        <v>2025</v>
      </c>
      <c r="D41" s="102" t="s">
        <v>1992</v>
      </c>
      <c r="E41" s="469">
        <f>Table6[[#This Row],[Date]]-DAY(Table6[[#This Row],[Date]])+1</f>
        <v>45748</v>
      </c>
      <c r="F41" s="470">
        <v>45752</v>
      </c>
      <c r="G41" s="35" t="s">
        <v>76</v>
      </c>
      <c r="H41" s="35" t="str">
        <f>IFERROR(_xlfn.XLOOKUP(Table6[[#This Row],[Affected WTG]],'Basic Data'!$A:$A,'Basic Data'!$B:$B),"")</f>
        <v>TQGXIIPL</v>
      </c>
      <c r="I41" s="35" t="str">
        <f>IFERROR(_xlfn.XLOOKUP(Table6[[#This Row],[Affected WTG]],'Basic Data'!$A:$A,'Basic Data'!$C:$C),"")</f>
        <v>GEDA</v>
      </c>
      <c r="J41" s="471">
        <f>IFERROR(_xlfn.XLOOKUP(Table6[[#This Row],[Affected WTG]],'Basic Data'!$A:$A,'Basic Data'!$E:$E),"")</f>
        <v>3.846153846153845E-2</v>
      </c>
      <c r="K41" s="102">
        <v>55</v>
      </c>
      <c r="L41" s="35" t="str">
        <f>IFERROR(_xlfn.XLOOKUP(Table6[[#This Row],[Error Code]],'Basic Data'!$AA:$AA,'Basic Data'!$AB:$AB),"Incorrect Error Code")</f>
        <v>WTG shut down</v>
      </c>
      <c r="M41" s="35" t="s">
        <v>304</v>
      </c>
      <c r="N41" s="475"/>
      <c r="O41" s="476">
        <v>0.34722222222222221</v>
      </c>
      <c r="P41" s="476">
        <v>0.34722222222222221</v>
      </c>
      <c r="Q41" s="477">
        <v>0.62083333333333335</v>
      </c>
      <c r="R41" s="472">
        <f>IF(Table6[[#This Row],[Work Start TimeStamp]]="","",(Table6[[#This Row],[Work Start TimeStamp]]-Table6[[#This Row],[Fault Start TimeStamp]])*24)</f>
        <v>0</v>
      </c>
      <c r="S41" s="472">
        <f>(Table6[[#This Row],[Fault Clearance time]]-Table6[[#This Row],[Work Start TimeStamp]])*24</f>
        <v>6.5666666666666673</v>
      </c>
      <c r="T41" s="472">
        <f>(Table6[[#This Row],[Fault Clearance time]]-Table6[[#This Row],[Fault Start TimeStamp]])*24</f>
        <v>6.5666666666666673</v>
      </c>
      <c r="U41" s="35" t="s">
        <v>351</v>
      </c>
      <c r="V41" s="102" t="s">
        <v>293</v>
      </c>
      <c r="W41" s="478">
        <f>IFERROR(Table6[[#This Row],[Breakdown Time]]*Table6[[#This Row],[Plant Equivalent Weightage]],"")</f>
        <v>0.2525641025641025</v>
      </c>
      <c r="X41" s="473" t="s">
        <v>305</v>
      </c>
      <c r="Y41" s="474" t="s">
        <v>82</v>
      </c>
      <c r="Z41" s="102">
        <v>10832</v>
      </c>
      <c r="AA41" s="468">
        <f>(Table6[[#This Row],[Paired WTG Generation for loss calculation]]/24)*Table6[[#This Row],[Breakdown Time]]</f>
        <v>2963.7555555555559</v>
      </c>
      <c r="AB41" s="102"/>
      <c r="AC41" s="35"/>
      <c r="AD41" s="35"/>
    </row>
    <row r="42" spans="1:30">
      <c r="A42" s="102">
        <f t="shared" si="1"/>
        <v>41</v>
      </c>
      <c r="B42" s="468">
        <f>YEAR(Table6[[#This Row],[Date]])+IF(MONTH(Table6[[#This Row],[Date]])&gt;=4,1,0)</f>
        <v>2026</v>
      </c>
      <c r="C42" s="102">
        <f>YEAR(Table6[[#This Row],[Date]])</f>
        <v>2025</v>
      </c>
      <c r="D42" s="102" t="s">
        <v>1992</v>
      </c>
      <c r="E42" s="469">
        <f>Table6[[#This Row],[Date]]-DAY(Table6[[#This Row],[Date]])+1</f>
        <v>45748</v>
      </c>
      <c r="F42" s="470">
        <v>45752</v>
      </c>
      <c r="G42" s="35" t="s">
        <v>80</v>
      </c>
      <c r="H42" s="35" t="str">
        <f>IFERROR(_xlfn.XLOOKUP(Table6[[#This Row],[Affected WTG]],'Basic Data'!$A:$A,'Basic Data'!$B:$B),"")</f>
        <v>TQGXIIPL</v>
      </c>
      <c r="I42" s="35" t="str">
        <f>IFERROR(_xlfn.XLOOKUP(Table6[[#This Row],[Affected WTG]],'Basic Data'!$A:$A,'Basic Data'!$C:$C),"")</f>
        <v>GEDA</v>
      </c>
      <c r="J42" s="471">
        <f>IFERROR(_xlfn.XLOOKUP(Table6[[#This Row],[Affected WTG]],'Basic Data'!$A:$A,'Basic Data'!$E:$E),"")</f>
        <v>3.846153846153845E-2</v>
      </c>
      <c r="K42" s="102">
        <v>3110</v>
      </c>
      <c r="L42" s="35" t="str">
        <f>IFERROR(_xlfn.XLOOKUP(Table6[[#This Row],[Error Code]],'Basic Data'!$AA:$AA,'Basic Data'!$AB:$AB),"Incorrect Error Code")</f>
        <v>Frequency converter error</v>
      </c>
      <c r="M42" s="35" t="s">
        <v>291</v>
      </c>
      <c r="N42" s="475"/>
      <c r="O42" s="476">
        <v>0.92361111111111116</v>
      </c>
      <c r="P42" s="476">
        <v>0.92361111111111116</v>
      </c>
      <c r="Q42" s="477">
        <v>0.94722222222222219</v>
      </c>
      <c r="R42" s="472">
        <f>IF(Table6[[#This Row],[Work Start TimeStamp]]="","",(Table6[[#This Row],[Work Start TimeStamp]]-Table6[[#This Row],[Fault Start TimeStamp]])*24)</f>
        <v>0</v>
      </c>
      <c r="S42" s="472">
        <f>(Table6[[#This Row],[Fault Clearance time]]-Table6[[#This Row],[Work Start TimeStamp]])*24</f>
        <v>0.56666666666666465</v>
      </c>
      <c r="T42" s="472">
        <f>(Table6[[#This Row],[Fault Clearance time]]-Table6[[#This Row],[Fault Start TimeStamp]])*24</f>
        <v>0.56666666666666465</v>
      </c>
      <c r="U42" s="35" t="s">
        <v>359</v>
      </c>
      <c r="V42" s="102" t="s">
        <v>293</v>
      </c>
      <c r="W42" s="478">
        <f>IFERROR(Table6[[#This Row],[Breakdown Time]]*Table6[[#This Row],[Plant Equivalent Weightage]],"")</f>
        <v>2.1794871794871711E-2</v>
      </c>
      <c r="X42" s="473" t="s">
        <v>294</v>
      </c>
      <c r="Y42" s="474" t="s">
        <v>317</v>
      </c>
      <c r="Z42" s="102">
        <v>9733</v>
      </c>
      <c r="AA42" s="468">
        <f>(Table6[[#This Row],[Paired WTG Generation for loss calculation]]/24)*Table6[[#This Row],[Breakdown Time]]</f>
        <v>229.80694444444364</v>
      </c>
      <c r="AB42" s="102"/>
      <c r="AC42" s="35"/>
      <c r="AD42" s="35"/>
    </row>
    <row r="43" spans="1:30">
      <c r="A43" s="102">
        <f t="shared" si="1"/>
        <v>42</v>
      </c>
      <c r="B43" s="468">
        <f>YEAR(Table6[[#This Row],[Date]])+IF(MONTH(Table6[[#This Row],[Date]])&gt;=4,1,0)</f>
        <v>2026</v>
      </c>
      <c r="C43" s="102">
        <f>YEAR(Table6[[#This Row],[Date]])</f>
        <v>2025</v>
      </c>
      <c r="D43" s="102" t="s">
        <v>1992</v>
      </c>
      <c r="E43" s="469">
        <f>Table6[[#This Row],[Date]]-DAY(Table6[[#This Row],[Date]])+1</f>
        <v>45748</v>
      </c>
      <c r="F43" s="470">
        <v>45752</v>
      </c>
      <c r="G43" s="35" t="s">
        <v>81</v>
      </c>
      <c r="H43" s="35" t="str">
        <f>IFERROR(_xlfn.XLOOKUP(Table6[[#This Row],[Affected WTG]],'Basic Data'!$A:$A,'Basic Data'!$B:$B),"")</f>
        <v>TQGXIIPL</v>
      </c>
      <c r="I43" s="35" t="str">
        <f>IFERROR(_xlfn.XLOOKUP(Table6[[#This Row],[Affected WTG]],'Basic Data'!$A:$A,'Basic Data'!$C:$C),"")</f>
        <v>GEDA</v>
      </c>
      <c r="J43" s="471">
        <f>IFERROR(_xlfn.XLOOKUP(Table6[[#This Row],[Affected WTG]],'Basic Data'!$A:$A,'Basic Data'!$E:$E),"")</f>
        <v>3.846153846153845E-2</v>
      </c>
      <c r="K43" s="102">
        <v>153</v>
      </c>
      <c r="L43" s="35" t="str">
        <f>IFERROR(_xlfn.XLOOKUP(Table6[[#This Row],[Error Code]],'Basic Data'!$AA:$AA,'Basic Data'!$AB:$AB),"Incorrect Error Code")</f>
        <v>SLC SF max. cable winding</v>
      </c>
      <c r="M43" s="35" t="s">
        <v>291</v>
      </c>
      <c r="N43" s="475"/>
      <c r="O43" s="476">
        <v>0</v>
      </c>
      <c r="P43" s="476">
        <v>0</v>
      </c>
      <c r="Q43" s="477">
        <v>6.1805555555555558E-2</v>
      </c>
      <c r="R43" s="472">
        <f>IF(Table6[[#This Row],[Work Start TimeStamp]]="","",(Table6[[#This Row],[Work Start TimeStamp]]-Table6[[#This Row],[Fault Start TimeStamp]])*24)</f>
        <v>0</v>
      </c>
      <c r="S43" s="472">
        <f>(Table6[[#This Row],[Fault Clearance time]]-Table6[[#This Row],[Work Start TimeStamp]])*24</f>
        <v>1.4833333333333334</v>
      </c>
      <c r="T43" s="472">
        <f>(Table6[[#This Row],[Fault Clearance time]]-Table6[[#This Row],[Fault Start TimeStamp]])*24</f>
        <v>1.4833333333333334</v>
      </c>
      <c r="U43" s="35" t="s">
        <v>359</v>
      </c>
      <c r="V43" s="102" t="s">
        <v>293</v>
      </c>
      <c r="W43" s="478">
        <f>IFERROR(Table6[[#This Row],[Breakdown Time]]*Table6[[#This Row],[Plant Equivalent Weightage]],"")</f>
        <v>5.7051282051282036E-2</v>
      </c>
      <c r="X43" s="473" t="s">
        <v>294</v>
      </c>
      <c r="Y43" s="474" t="s">
        <v>321</v>
      </c>
      <c r="Z43" s="102">
        <v>8683</v>
      </c>
      <c r="AA43" s="468">
        <f>(Table6[[#This Row],[Paired WTG Generation for loss calculation]]/24)*Table6[[#This Row],[Breakdown Time]]</f>
        <v>536.65763888888898</v>
      </c>
      <c r="AB43" s="102"/>
      <c r="AC43" s="35"/>
      <c r="AD43" s="35"/>
    </row>
    <row r="44" spans="1:30">
      <c r="A44" s="102">
        <f t="shared" si="1"/>
        <v>43</v>
      </c>
      <c r="B44" s="468">
        <f>YEAR(Table6[[#This Row],[Date]])+IF(MONTH(Table6[[#This Row],[Date]])&gt;=4,1,0)</f>
        <v>2026</v>
      </c>
      <c r="C44" s="102">
        <f>YEAR(Table6[[#This Row],[Date]])</f>
        <v>2025</v>
      </c>
      <c r="D44" s="102" t="s">
        <v>1992</v>
      </c>
      <c r="E44" s="469">
        <f>Table6[[#This Row],[Date]]-DAY(Table6[[#This Row],[Date]])+1</f>
        <v>45748</v>
      </c>
      <c r="F44" s="470">
        <v>45752</v>
      </c>
      <c r="G44" s="35" t="s">
        <v>87</v>
      </c>
      <c r="H44" s="35" t="str">
        <f>IFERROR(_xlfn.XLOOKUP(Table6[[#This Row],[Affected WTG]],'Basic Data'!$A:$A,'Basic Data'!$B:$B),"")</f>
        <v>TQGXIIPL</v>
      </c>
      <c r="I44" s="35" t="str">
        <f>IFERROR(_xlfn.XLOOKUP(Table6[[#This Row],[Affected WTG]],'Basic Data'!$A:$A,'Basic Data'!$C:$C),"")</f>
        <v>GEDA</v>
      </c>
      <c r="J44" s="471">
        <f>IFERROR(_xlfn.XLOOKUP(Table6[[#This Row],[Affected WTG]],'Basic Data'!$A:$A,'Basic Data'!$E:$E),"")</f>
        <v>3.846153846153845E-2</v>
      </c>
      <c r="K44" s="102">
        <v>175</v>
      </c>
      <c r="L44" s="35" t="str">
        <f>IFERROR(_xlfn.XLOOKUP(Table6[[#This Row],[Error Code]],'Basic Data'!$AA:$AA,'Basic Data'!$AB:$AB),"Incorrect Error Code")</f>
        <v>SLC error</v>
      </c>
      <c r="M44" s="35" t="s">
        <v>292</v>
      </c>
      <c r="N44" s="475"/>
      <c r="O44" s="476">
        <v>0.29652777777777778</v>
      </c>
      <c r="P44" s="476">
        <v>0.29652777777777778</v>
      </c>
      <c r="Q44" s="477">
        <v>0.29722222222222222</v>
      </c>
      <c r="R44" s="472">
        <f>IF(Table6[[#This Row],[Work Start TimeStamp]]="","",(Table6[[#This Row],[Work Start TimeStamp]]-Table6[[#This Row],[Fault Start TimeStamp]])*24)</f>
        <v>0</v>
      </c>
      <c r="S44" s="472">
        <f>(Table6[[#This Row],[Fault Clearance time]]-Table6[[#This Row],[Work Start TimeStamp]])*24</f>
        <v>1.6666666666666607E-2</v>
      </c>
      <c r="T44" s="472">
        <f>(Table6[[#This Row],[Fault Clearance time]]-Table6[[#This Row],[Fault Start TimeStamp]])*24</f>
        <v>1.6666666666666607E-2</v>
      </c>
      <c r="U44" s="35" t="s">
        <v>300</v>
      </c>
      <c r="V44" s="102" t="s">
        <v>293</v>
      </c>
      <c r="W44" s="478">
        <f>IFERROR(Table6[[#This Row],[Breakdown Time]]*Table6[[#This Row],[Plant Equivalent Weightage]],"")</f>
        <v>6.4102564102563853E-4</v>
      </c>
      <c r="X44" s="473" t="s">
        <v>294</v>
      </c>
      <c r="Y44" s="474" t="s">
        <v>327</v>
      </c>
      <c r="Z44" s="102">
        <v>9113</v>
      </c>
      <c r="AA44" s="468">
        <f>(Table6[[#This Row],[Paired WTG Generation for loss calculation]]/24)*Table6[[#This Row],[Breakdown Time]]</f>
        <v>6.3284722222221994</v>
      </c>
      <c r="AB44" s="102"/>
      <c r="AC44" s="35"/>
      <c r="AD44" s="35"/>
    </row>
    <row r="45" spans="1:30">
      <c r="A45" s="102">
        <f t="shared" si="1"/>
        <v>44</v>
      </c>
      <c r="B45" s="468">
        <f>YEAR(Table6[[#This Row],[Date]])+IF(MONTH(Table6[[#This Row],[Date]])&gt;=4,1,0)</f>
        <v>2026</v>
      </c>
      <c r="C45" s="102">
        <f>YEAR(Table6[[#This Row],[Date]])</f>
        <v>2025</v>
      </c>
      <c r="D45" s="102" t="s">
        <v>1992</v>
      </c>
      <c r="E45" s="469">
        <f>Table6[[#This Row],[Date]]-DAY(Table6[[#This Row],[Date]])+1</f>
        <v>45748</v>
      </c>
      <c r="F45" s="470">
        <v>45752</v>
      </c>
      <c r="G45" s="35" t="s">
        <v>96</v>
      </c>
      <c r="H45" s="35" t="str">
        <f>IFERROR(_xlfn.XLOOKUP(Table6[[#This Row],[Affected WTG]],'Basic Data'!$A:$A,'Basic Data'!$B:$B),"")</f>
        <v>TQGXIIPL</v>
      </c>
      <c r="I45" s="35" t="str">
        <f>IFERROR(_xlfn.XLOOKUP(Table6[[#This Row],[Affected WTG]],'Basic Data'!$A:$A,'Basic Data'!$C:$C),"")</f>
        <v>GEDA</v>
      </c>
      <c r="J45" s="471">
        <f>IFERROR(_xlfn.XLOOKUP(Table6[[#This Row],[Affected WTG]],'Basic Data'!$A:$A,'Basic Data'!$E:$E),"")</f>
        <v>3.846153846153845E-2</v>
      </c>
      <c r="K45" s="102">
        <v>3000</v>
      </c>
      <c r="L45" s="35" t="str">
        <f>IFERROR(_xlfn.XLOOKUP(Table6[[#This Row],[Error Code]],'Basic Data'!$AA:$AA,'Basic Data'!$AB:$AB),"Incorrect Error Code")</f>
        <v>Frequency converter not ready</v>
      </c>
      <c r="M45" s="35" t="s">
        <v>292</v>
      </c>
      <c r="N45" s="475"/>
      <c r="O45" s="476">
        <v>0.37291666666666667</v>
      </c>
      <c r="P45" s="476">
        <v>0.37291666666666667</v>
      </c>
      <c r="Q45" s="477">
        <v>0.375</v>
      </c>
      <c r="R45" s="472">
        <f>IF(Table6[[#This Row],[Work Start TimeStamp]]="","",(Table6[[#This Row],[Work Start TimeStamp]]-Table6[[#This Row],[Fault Start TimeStamp]])*24)</f>
        <v>0</v>
      </c>
      <c r="S45" s="472">
        <f>(Table6[[#This Row],[Fault Clearance time]]-Table6[[#This Row],[Work Start TimeStamp]])*24</f>
        <v>4.9999999999999822E-2</v>
      </c>
      <c r="T45" s="472">
        <f>(Table6[[#This Row],[Fault Clearance time]]-Table6[[#This Row],[Fault Start TimeStamp]])*24</f>
        <v>4.9999999999999822E-2</v>
      </c>
      <c r="U45" s="35" t="s">
        <v>336</v>
      </c>
      <c r="V45" s="102" t="s">
        <v>293</v>
      </c>
      <c r="W45" s="478">
        <f>IFERROR(Table6[[#This Row],[Breakdown Time]]*Table6[[#This Row],[Plant Equivalent Weightage]],"")</f>
        <v>1.9230769230769156E-3</v>
      </c>
      <c r="X45" s="473" t="s">
        <v>294</v>
      </c>
      <c r="Y45" s="474" t="s">
        <v>313</v>
      </c>
      <c r="Z45" s="102">
        <v>9830</v>
      </c>
      <c r="AA45" s="468">
        <f>(Table6[[#This Row],[Paired WTG Generation for loss calculation]]/24)*Table6[[#This Row],[Breakdown Time]]</f>
        <v>20.479166666666593</v>
      </c>
      <c r="AB45" s="102"/>
      <c r="AC45" s="35"/>
      <c r="AD45" s="35"/>
    </row>
    <row r="46" spans="1:30">
      <c r="A46" s="102">
        <f t="shared" si="1"/>
        <v>45</v>
      </c>
      <c r="B46" s="468">
        <f>YEAR(Table6[[#This Row],[Date]])+IF(MONTH(Table6[[#This Row],[Date]])&gt;=4,1,0)</f>
        <v>2026</v>
      </c>
      <c r="C46" s="102">
        <f>YEAR(Table6[[#This Row],[Date]])</f>
        <v>2025</v>
      </c>
      <c r="D46" s="102" t="s">
        <v>1992</v>
      </c>
      <c r="E46" s="469">
        <f>Table6[[#This Row],[Date]]-DAY(Table6[[#This Row],[Date]])+1</f>
        <v>45748</v>
      </c>
      <c r="F46" s="470">
        <v>45752</v>
      </c>
      <c r="G46" s="35" t="s">
        <v>97</v>
      </c>
      <c r="H46" s="35" t="str">
        <f>IFERROR(_xlfn.XLOOKUP(Table6[[#This Row],[Affected WTG]],'Basic Data'!$A:$A,'Basic Data'!$B:$B),"")</f>
        <v>TQGXIIPL</v>
      </c>
      <c r="I46" s="35" t="str">
        <f>IFERROR(_xlfn.XLOOKUP(Table6[[#This Row],[Affected WTG]],'Basic Data'!$A:$A,'Basic Data'!$C:$C),"")</f>
        <v>GEDA</v>
      </c>
      <c r="J46" s="471">
        <f>IFERROR(_xlfn.XLOOKUP(Table6[[#This Row],[Affected WTG]],'Basic Data'!$A:$A,'Basic Data'!$E:$E),"")</f>
        <v>3.846153846153845E-2</v>
      </c>
      <c r="K46" s="102">
        <v>5510</v>
      </c>
      <c r="L46" s="35" t="str">
        <f>IFERROR(_xlfn.XLOOKUP(Table6[[#This Row],[Error Code]],'Basic Data'!$AA:$AA,'Basic Data'!$AB:$AB),"Incorrect Error Code")</f>
        <v>Low hydraulic pressure</v>
      </c>
      <c r="M46" s="35" t="s">
        <v>295</v>
      </c>
      <c r="N46" s="475"/>
      <c r="O46" s="476">
        <v>0</v>
      </c>
      <c r="P46" s="476">
        <v>0</v>
      </c>
      <c r="Q46" s="477">
        <v>0.69791666666666663</v>
      </c>
      <c r="R46" s="472">
        <f>IF(Table6[[#This Row],[Work Start TimeStamp]]="","",(Table6[[#This Row],[Work Start TimeStamp]]-Table6[[#This Row],[Fault Start TimeStamp]])*24)</f>
        <v>0</v>
      </c>
      <c r="S46" s="472">
        <f>(Table6[[#This Row],[Fault Clearance time]]-Table6[[#This Row],[Work Start TimeStamp]])*24</f>
        <v>16.75</v>
      </c>
      <c r="T46" s="472">
        <f>(Table6[[#This Row],[Fault Clearance time]]-Table6[[#This Row],[Fault Start TimeStamp]])*24</f>
        <v>16.75</v>
      </c>
      <c r="U46" s="35" t="s">
        <v>365</v>
      </c>
      <c r="V46" s="102" t="s">
        <v>293</v>
      </c>
      <c r="W46" s="478">
        <f>IFERROR(Table6[[#This Row],[Breakdown Time]]*Table6[[#This Row],[Plant Equivalent Weightage]],"")</f>
        <v>0.64423076923076905</v>
      </c>
      <c r="X46" s="473" t="s">
        <v>294</v>
      </c>
      <c r="Y46" s="474" t="s">
        <v>320</v>
      </c>
      <c r="Z46" s="102">
        <v>7721</v>
      </c>
      <c r="AA46" s="468">
        <f>(Table6[[#This Row],[Paired WTG Generation for loss calculation]]/24)*Table6[[#This Row],[Breakdown Time]]</f>
        <v>5388.614583333333</v>
      </c>
      <c r="AB46" s="102"/>
      <c r="AC46" s="35"/>
      <c r="AD46" s="35"/>
    </row>
    <row r="47" spans="1:30">
      <c r="A47" s="102">
        <f t="shared" si="1"/>
        <v>46</v>
      </c>
      <c r="B47" s="468">
        <f>YEAR(Table6[[#This Row],[Date]])+IF(MONTH(Table6[[#This Row],[Date]])&gt;=4,1,0)</f>
        <v>2026</v>
      </c>
      <c r="C47" s="102">
        <f>YEAR(Table6[[#This Row],[Date]])</f>
        <v>2025</v>
      </c>
      <c r="D47" s="102" t="s">
        <v>1992</v>
      </c>
      <c r="E47" s="469">
        <f>Table6[[#This Row],[Date]]-DAY(Table6[[#This Row],[Date]])+1</f>
        <v>45748</v>
      </c>
      <c r="F47" s="470">
        <v>45752</v>
      </c>
      <c r="G47" s="35" t="s">
        <v>99</v>
      </c>
      <c r="H47" s="35" t="str">
        <f>IFERROR(_xlfn.XLOOKUP(Table6[[#This Row],[Affected WTG]],'Basic Data'!$A:$A,'Basic Data'!$B:$B),"")</f>
        <v>TQGXIIPL</v>
      </c>
      <c r="I47" s="35" t="str">
        <f>IFERROR(_xlfn.XLOOKUP(Table6[[#This Row],[Affected WTG]],'Basic Data'!$A:$A,'Basic Data'!$C:$C),"")</f>
        <v>GEDA</v>
      </c>
      <c r="J47" s="471">
        <f>IFERROR(_xlfn.XLOOKUP(Table6[[#This Row],[Affected WTG]],'Basic Data'!$A:$A,'Basic Data'!$E:$E),"")</f>
        <v>3.846153846153845E-2</v>
      </c>
      <c r="K47" s="102">
        <v>3000</v>
      </c>
      <c r="L47" s="35" t="str">
        <f>IFERROR(_xlfn.XLOOKUP(Table6[[#This Row],[Error Code]],'Basic Data'!$AA:$AA,'Basic Data'!$AB:$AB),"Incorrect Error Code")</f>
        <v>Frequency converter not ready</v>
      </c>
      <c r="M47" s="35" t="s">
        <v>292</v>
      </c>
      <c r="N47" s="475"/>
      <c r="O47" s="476">
        <v>0.37291666666666667</v>
      </c>
      <c r="P47" s="476">
        <v>0.37291666666666667</v>
      </c>
      <c r="Q47" s="477">
        <v>0.375</v>
      </c>
      <c r="R47" s="472">
        <f>IF(Table6[[#This Row],[Work Start TimeStamp]]="","",(Table6[[#This Row],[Work Start TimeStamp]]-Table6[[#This Row],[Fault Start TimeStamp]])*24)</f>
        <v>0</v>
      </c>
      <c r="S47" s="472">
        <f>(Table6[[#This Row],[Fault Clearance time]]-Table6[[#This Row],[Work Start TimeStamp]])*24</f>
        <v>4.9999999999999822E-2</v>
      </c>
      <c r="T47" s="472">
        <f>(Table6[[#This Row],[Fault Clearance time]]-Table6[[#This Row],[Fault Start TimeStamp]])*24</f>
        <v>4.9999999999999822E-2</v>
      </c>
      <c r="U47" s="35" t="s">
        <v>346</v>
      </c>
      <c r="V47" s="102" t="s">
        <v>293</v>
      </c>
      <c r="W47" s="478">
        <f>IFERROR(Table6[[#This Row],[Breakdown Time]]*Table6[[#This Row],[Plant Equivalent Weightage]],"")</f>
        <v>1.9230769230769156E-3</v>
      </c>
      <c r="X47" s="473" t="s">
        <v>294</v>
      </c>
      <c r="Y47" s="474" t="s">
        <v>315</v>
      </c>
      <c r="Z47" s="102">
        <v>10770</v>
      </c>
      <c r="AA47" s="468">
        <f>(Table6[[#This Row],[Paired WTG Generation for loss calculation]]/24)*Table6[[#This Row],[Breakdown Time]]</f>
        <v>22.437499999999922</v>
      </c>
      <c r="AB47" s="102"/>
      <c r="AC47" s="35"/>
      <c r="AD47" s="35"/>
    </row>
    <row r="48" spans="1:30">
      <c r="A48" s="102">
        <f t="shared" si="1"/>
        <v>47</v>
      </c>
      <c r="B48" s="468">
        <f>YEAR(Table6[[#This Row],[Date]])+IF(MONTH(Table6[[#This Row],[Date]])&gt;=4,1,0)</f>
        <v>2026</v>
      </c>
      <c r="C48" s="102">
        <f>YEAR(Table6[[#This Row],[Date]])</f>
        <v>2025</v>
      </c>
      <c r="D48" s="102" t="s">
        <v>1992</v>
      </c>
      <c r="E48" s="469">
        <f>Table6[[#This Row],[Date]]-DAY(Table6[[#This Row],[Date]])+1</f>
        <v>45748</v>
      </c>
      <c r="F48" s="470">
        <v>45753</v>
      </c>
      <c r="G48" s="35" t="s">
        <v>74</v>
      </c>
      <c r="H48" s="35" t="str">
        <f>IFERROR(_xlfn.XLOOKUP(Table6[[#This Row],[Affected WTG]],'Basic Data'!$A:$A,'Basic Data'!$B:$B),"")</f>
        <v>TQGXIIPL</v>
      </c>
      <c r="I48" s="35" t="str">
        <f>IFERROR(_xlfn.XLOOKUP(Table6[[#This Row],[Affected WTG]],'Basic Data'!$A:$A,'Basic Data'!$C:$C),"")</f>
        <v>GEDA</v>
      </c>
      <c r="J48" s="471">
        <f>IFERROR(_xlfn.XLOOKUP(Table6[[#This Row],[Affected WTG]],'Basic Data'!$A:$A,'Basic Data'!$E:$E),"")</f>
        <v>3.846153846153845E-2</v>
      </c>
      <c r="K48" s="102">
        <v>4520</v>
      </c>
      <c r="L48" s="35" t="str">
        <f>IFERROR(_xlfn.XLOOKUP(Table6[[#This Row],[Error Code]],'Basic Data'!$AA:$AA,'Basic Data'!$AB:$AB),"Incorrect Error Code")</f>
        <v>Tower oscillation X level 1</v>
      </c>
      <c r="M48" s="35" t="s">
        <v>292</v>
      </c>
      <c r="N48" s="475"/>
      <c r="O48" s="476">
        <v>0.28888888888888886</v>
      </c>
      <c r="P48" s="476">
        <v>0.28888888888888886</v>
      </c>
      <c r="Q48" s="477">
        <v>0.29652777777777778</v>
      </c>
      <c r="R48" s="472">
        <f>IF(Table6[[#This Row],[Work Start TimeStamp]]="","",(Table6[[#This Row],[Work Start TimeStamp]]-Table6[[#This Row],[Fault Start TimeStamp]])*24)</f>
        <v>0</v>
      </c>
      <c r="S48" s="472">
        <f>(Table6[[#This Row],[Fault Clearance time]]-Table6[[#This Row],[Work Start TimeStamp]])*24</f>
        <v>0.18333333333333401</v>
      </c>
      <c r="T48" s="472">
        <f>(Table6[[#This Row],[Fault Clearance time]]-Table6[[#This Row],[Fault Start TimeStamp]])*24</f>
        <v>0.18333333333333401</v>
      </c>
      <c r="U48" s="35" t="s">
        <v>346</v>
      </c>
      <c r="V48" s="102" t="s">
        <v>293</v>
      </c>
      <c r="W48" s="478">
        <f>IFERROR(Table6[[#This Row],[Breakdown Time]]*Table6[[#This Row],[Plant Equivalent Weightage]],"")</f>
        <v>7.0512820512820757E-3</v>
      </c>
      <c r="X48" s="473" t="s">
        <v>294</v>
      </c>
      <c r="Y48" s="474" t="s">
        <v>321</v>
      </c>
      <c r="Z48" s="102">
        <v>14855</v>
      </c>
      <c r="AA48" s="468">
        <f>(Table6[[#This Row],[Paired WTG Generation for loss calculation]]/24)*Table6[[#This Row],[Breakdown Time]]</f>
        <v>113.47569444444487</v>
      </c>
      <c r="AB48" s="102"/>
      <c r="AC48" s="35"/>
      <c r="AD48" s="35"/>
    </row>
    <row r="49" spans="1:30">
      <c r="A49" s="102">
        <f t="shared" si="1"/>
        <v>48</v>
      </c>
      <c r="B49" s="468">
        <f>YEAR(Table6[[#This Row],[Date]])+IF(MONTH(Table6[[#This Row],[Date]])&gt;=4,1,0)</f>
        <v>2026</v>
      </c>
      <c r="C49" s="102">
        <f>YEAR(Table6[[#This Row],[Date]])</f>
        <v>2025</v>
      </c>
      <c r="D49" s="102" t="s">
        <v>1992</v>
      </c>
      <c r="E49" s="469">
        <f>Table6[[#This Row],[Date]]-DAY(Table6[[#This Row],[Date]])+1</f>
        <v>45748</v>
      </c>
      <c r="F49" s="470">
        <v>45753</v>
      </c>
      <c r="G49" s="35" t="s">
        <v>74</v>
      </c>
      <c r="H49" s="35" t="str">
        <f>IFERROR(_xlfn.XLOOKUP(Table6[[#This Row],[Affected WTG]],'Basic Data'!$A:$A,'Basic Data'!$B:$B),"")</f>
        <v>TQGXIIPL</v>
      </c>
      <c r="I49" s="35" t="str">
        <f>IFERROR(_xlfn.XLOOKUP(Table6[[#This Row],[Affected WTG]],'Basic Data'!$A:$A,'Basic Data'!$C:$C),"")</f>
        <v>GEDA</v>
      </c>
      <c r="J49" s="471">
        <f>IFERROR(_xlfn.XLOOKUP(Table6[[#This Row],[Affected WTG]],'Basic Data'!$A:$A,'Basic Data'!$E:$E),"")</f>
        <v>3.846153846153845E-2</v>
      </c>
      <c r="K49" s="102">
        <v>4520</v>
      </c>
      <c r="L49" s="35" t="str">
        <f>IFERROR(_xlfn.XLOOKUP(Table6[[#This Row],[Error Code]],'Basic Data'!$AA:$AA,'Basic Data'!$AB:$AB),"Incorrect Error Code")</f>
        <v>Tower oscillation X level 1</v>
      </c>
      <c r="M49" s="35" t="s">
        <v>292</v>
      </c>
      <c r="N49" s="475"/>
      <c r="O49" s="476">
        <v>0.375</v>
      </c>
      <c r="P49" s="476">
        <v>0.375</v>
      </c>
      <c r="Q49" s="477">
        <v>0.38263888888888886</v>
      </c>
      <c r="R49" s="472">
        <f>IF(Table6[[#This Row],[Work Start TimeStamp]]="","",(Table6[[#This Row],[Work Start TimeStamp]]-Table6[[#This Row],[Fault Start TimeStamp]])*24)</f>
        <v>0</v>
      </c>
      <c r="S49" s="472">
        <f>(Table6[[#This Row],[Fault Clearance time]]-Table6[[#This Row],[Work Start TimeStamp]])*24</f>
        <v>0.18333333333333268</v>
      </c>
      <c r="T49" s="472">
        <f>(Table6[[#This Row],[Fault Clearance time]]-Table6[[#This Row],[Fault Start TimeStamp]])*24</f>
        <v>0.18333333333333268</v>
      </c>
      <c r="U49" s="35" t="s">
        <v>346</v>
      </c>
      <c r="V49" s="102" t="s">
        <v>293</v>
      </c>
      <c r="W49" s="478">
        <f>IFERROR(Table6[[#This Row],[Breakdown Time]]*Table6[[#This Row],[Plant Equivalent Weightage]],"")</f>
        <v>7.0512820512820245E-3</v>
      </c>
      <c r="X49" s="473" t="s">
        <v>294</v>
      </c>
      <c r="Y49" s="474" t="s">
        <v>321</v>
      </c>
      <c r="Z49" s="102">
        <v>14855</v>
      </c>
      <c r="AA49" s="468">
        <f>(Table6[[#This Row],[Paired WTG Generation for loss calculation]]/24)*Table6[[#This Row],[Breakdown Time]]</f>
        <v>113.47569444444404</v>
      </c>
      <c r="AB49" s="102"/>
      <c r="AC49" s="35"/>
      <c r="AD49" s="35"/>
    </row>
    <row r="50" spans="1:30">
      <c r="A50" s="102">
        <f t="shared" si="1"/>
        <v>49</v>
      </c>
      <c r="B50" s="468">
        <f>YEAR(Table6[[#This Row],[Date]])+IF(MONTH(Table6[[#This Row],[Date]])&gt;=4,1,0)</f>
        <v>2026</v>
      </c>
      <c r="C50" s="102">
        <f>YEAR(Table6[[#This Row],[Date]])</f>
        <v>2025</v>
      </c>
      <c r="D50" s="102" t="s">
        <v>1992</v>
      </c>
      <c r="E50" s="469">
        <f>Table6[[#This Row],[Date]]-DAY(Table6[[#This Row],[Date]])+1</f>
        <v>45748</v>
      </c>
      <c r="F50" s="470">
        <v>45753</v>
      </c>
      <c r="G50" s="35" t="s">
        <v>76</v>
      </c>
      <c r="H50" s="35" t="str">
        <f>IFERROR(_xlfn.XLOOKUP(Table6[[#This Row],[Affected WTG]],'Basic Data'!$A:$A,'Basic Data'!$B:$B),"")</f>
        <v>TQGXIIPL</v>
      </c>
      <c r="I50" s="35" t="str">
        <f>IFERROR(_xlfn.XLOOKUP(Table6[[#This Row],[Affected WTG]],'Basic Data'!$A:$A,'Basic Data'!$C:$C),"")</f>
        <v>GEDA</v>
      </c>
      <c r="J50" s="471">
        <f>IFERROR(_xlfn.XLOOKUP(Table6[[#This Row],[Affected WTG]],'Basic Data'!$A:$A,'Basic Data'!$E:$E),"")</f>
        <v>3.846153846153845E-2</v>
      </c>
      <c r="K50" s="102">
        <v>55</v>
      </c>
      <c r="L50" s="35" t="str">
        <f>IFERROR(_xlfn.XLOOKUP(Table6[[#This Row],[Error Code]],'Basic Data'!$AA:$AA,'Basic Data'!$AB:$AB),"Incorrect Error Code")</f>
        <v>WTG shut down</v>
      </c>
      <c r="M50" s="35" t="s">
        <v>304</v>
      </c>
      <c r="N50" s="475"/>
      <c r="O50" s="476">
        <v>0.40277777777777779</v>
      </c>
      <c r="P50" s="476">
        <v>0.40277777777777779</v>
      </c>
      <c r="Q50" s="477">
        <v>0.6333333333333333</v>
      </c>
      <c r="R50" s="472">
        <f>IF(Table6[[#This Row],[Work Start TimeStamp]]="","",(Table6[[#This Row],[Work Start TimeStamp]]-Table6[[#This Row],[Fault Start TimeStamp]])*24)</f>
        <v>0</v>
      </c>
      <c r="S50" s="472">
        <f>(Table6[[#This Row],[Fault Clearance time]]-Table6[[#This Row],[Work Start TimeStamp]])*24</f>
        <v>5.5333333333333323</v>
      </c>
      <c r="T50" s="472">
        <f>(Table6[[#This Row],[Fault Clearance time]]-Table6[[#This Row],[Fault Start TimeStamp]])*24</f>
        <v>5.5333333333333323</v>
      </c>
      <c r="U50" s="35" t="s">
        <v>357</v>
      </c>
      <c r="V50" s="102" t="s">
        <v>293</v>
      </c>
      <c r="W50" s="478">
        <f>IFERROR(Table6[[#This Row],[Breakdown Time]]*Table6[[#This Row],[Plant Equivalent Weightage]],"")</f>
        <v>0.21282051282051273</v>
      </c>
      <c r="X50" s="473" t="s">
        <v>305</v>
      </c>
      <c r="Y50" s="474" t="s">
        <v>309</v>
      </c>
      <c r="Z50" s="102">
        <v>19159</v>
      </c>
      <c r="AA50" s="468">
        <f>(Table6[[#This Row],[Paired WTG Generation for loss calculation]]/24)*Table6[[#This Row],[Breakdown Time]]</f>
        <v>4417.2138888888876</v>
      </c>
      <c r="AB50" s="102"/>
      <c r="AC50" s="35"/>
      <c r="AD50" s="35"/>
    </row>
    <row r="51" spans="1:30">
      <c r="A51" s="102">
        <f t="shared" si="1"/>
        <v>50</v>
      </c>
      <c r="B51" s="468">
        <f>YEAR(Table6[[#This Row],[Date]])+IF(MONTH(Table6[[#This Row],[Date]])&gt;=4,1,0)</f>
        <v>2026</v>
      </c>
      <c r="C51" s="102">
        <f>YEAR(Table6[[#This Row],[Date]])</f>
        <v>2025</v>
      </c>
      <c r="D51" s="102" t="s">
        <v>1992</v>
      </c>
      <c r="E51" s="469">
        <f>Table6[[#This Row],[Date]]-DAY(Table6[[#This Row],[Date]])+1</f>
        <v>45748</v>
      </c>
      <c r="F51" s="470">
        <v>45753</v>
      </c>
      <c r="G51" s="35" t="s">
        <v>77</v>
      </c>
      <c r="H51" s="35" t="str">
        <f>IFERROR(_xlfn.XLOOKUP(Table6[[#This Row],[Affected WTG]],'Basic Data'!$A:$A,'Basic Data'!$B:$B),"")</f>
        <v>TQGXIIPL</v>
      </c>
      <c r="I51" s="35" t="str">
        <f>IFERROR(_xlfn.XLOOKUP(Table6[[#This Row],[Affected WTG]],'Basic Data'!$A:$A,'Basic Data'!$C:$C),"")</f>
        <v>GEDA</v>
      </c>
      <c r="J51" s="471">
        <f>IFERROR(_xlfn.XLOOKUP(Table6[[#This Row],[Affected WTG]],'Basic Data'!$A:$A,'Basic Data'!$E:$E),"")</f>
        <v>3.846153846153845E-2</v>
      </c>
      <c r="K51" s="102">
        <v>5700</v>
      </c>
      <c r="L51" s="35" t="str">
        <f>IFERROR(_xlfn.XLOOKUP(Table6[[#This Row],[Error Code]],'Basic Data'!$AA:$AA,'Basic Data'!$AB:$AB),"Incorrect Error Code")</f>
        <v>Max. operation time hydraulic</v>
      </c>
      <c r="M51" s="35" t="s">
        <v>291</v>
      </c>
      <c r="N51" s="475"/>
      <c r="O51" s="476">
        <v>0.56944444444444442</v>
      </c>
      <c r="P51" s="476">
        <v>0.56944444444444442</v>
      </c>
      <c r="Q51" s="477">
        <v>0.59097222222222223</v>
      </c>
      <c r="R51" s="472">
        <f>IF(Table6[[#This Row],[Work Start TimeStamp]]="","",(Table6[[#This Row],[Work Start TimeStamp]]-Table6[[#This Row],[Fault Start TimeStamp]])*24)</f>
        <v>0</v>
      </c>
      <c r="S51" s="472">
        <f>(Table6[[#This Row],[Fault Clearance time]]-Table6[[#This Row],[Work Start TimeStamp]])*24</f>
        <v>0.5166666666666675</v>
      </c>
      <c r="T51" s="472">
        <f>(Table6[[#This Row],[Fault Clearance time]]-Table6[[#This Row],[Fault Start TimeStamp]])*24</f>
        <v>0.5166666666666675</v>
      </c>
      <c r="U51" s="35" t="s">
        <v>366</v>
      </c>
      <c r="V51" s="102" t="s">
        <v>293</v>
      </c>
      <c r="W51" s="478">
        <f>IFERROR(Table6[[#This Row],[Breakdown Time]]*Table6[[#This Row],[Plant Equivalent Weightage]],"")</f>
        <v>1.9871794871794898E-2</v>
      </c>
      <c r="X51" s="473" t="s">
        <v>294</v>
      </c>
      <c r="Y51" s="474" t="s">
        <v>310</v>
      </c>
      <c r="Z51" s="102">
        <v>27191</v>
      </c>
      <c r="AA51" s="468">
        <f>(Table6[[#This Row],[Paired WTG Generation for loss calculation]]/24)*Table6[[#This Row],[Breakdown Time]]</f>
        <v>585.36180555555643</v>
      </c>
      <c r="AB51" s="102"/>
      <c r="AC51" s="35"/>
      <c r="AD51" s="35"/>
    </row>
    <row r="52" spans="1:30">
      <c r="A52" s="102">
        <f t="shared" si="1"/>
        <v>51</v>
      </c>
      <c r="B52" s="468">
        <f>YEAR(Table6[[#This Row],[Date]])+IF(MONTH(Table6[[#This Row],[Date]])&gt;=4,1,0)</f>
        <v>2026</v>
      </c>
      <c r="C52" s="102">
        <f>YEAR(Table6[[#This Row],[Date]])</f>
        <v>2025</v>
      </c>
      <c r="D52" s="102" t="s">
        <v>1992</v>
      </c>
      <c r="E52" s="469">
        <f>Table6[[#This Row],[Date]]-DAY(Table6[[#This Row],[Date]])+1</f>
        <v>45748</v>
      </c>
      <c r="F52" s="470">
        <v>45753</v>
      </c>
      <c r="G52" s="35" t="s">
        <v>77</v>
      </c>
      <c r="H52" s="35" t="str">
        <f>IFERROR(_xlfn.XLOOKUP(Table6[[#This Row],[Affected WTG]],'Basic Data'!$A:$A,'Basic Data'!$B:$B),"")</f>
        <v>TQGXIIPL</v>
      </c>
      <c r="I52" s="35" t="str">
        <f>IFERROR(_xlfn.XLOOKUP(Table6[[#This Row],[Affected WTG]],'Basic Data'!$A:$A,'Basic Data'!$C:$C),"")</f>
        <v>GEDA</v>
      </c>
      <c r="J52" s="471">
        <f>IFERROR(_xlfn.XLOOKUP(Table6[[#This Row],[Affected WTG]],'Basic Data'!$A:$A,'Basic Data'!$E:$E),"")</f>
        <v>3.846153846153845E-2</v>
      </c>
      <c r="K52" s="102">
        <v>5700</v>
      </c>
      <c r="L52" s="35" t="str">
        <f>IFERROR(_xlfn.XLOOKUP(Table6[[#This Row],[Error Code]],'Basic Data'!$AA:$AA,'Basic Data'!$AB:$AB),"Incorrect Error Code")</f>
        <v>Max. operation time hydraulic</v>
      </c>
      <c r="M52" s="35" t="s">
        <v>291</v>
      </c>
      <c r="N52" s="475"/>
      <c r="O52" s="476">
        <v>0.7368055555555556</v>
      </c>
      <c r="P52" s="476">
        <v>0.7368055555555556</v>
      </c>
      <c r="Q52" s="477">
        <v>0.76111111111111107</v>
      </c>
      <c r="R52" s="472">
        <f>IF(Table6[[#This Row],[Work Start TimeStamp]]="","",(Table6[[#This Row],[Work Start TimeStamp]]-Table6[[#This Row],[Fault Start TimeStamp]])*24)</f>
        <v>0</v>
      </c>
      <c r="S52" s="472">
        <f>(Table6[[#This Row],[Fault Clearance time]]-Table6[[#This Row],[Work Start TimeStamp]])*24</f>
        <v>0.58333333333333126</v>
      </c>
      <c r="T52" s="472">
        <f>(Table6[[#This Row],[Fault Clearance time]]-Table6[[#This Row],[Fault Start TimeStamp]])*24</f>
        <v>0.58333333333333126</v>
      </c>
      <c r="U52" s="35" t="s">
        <v>366</v>
      </c>
      <c r="V52" s="102" t="s">
        <v>293</v>
      </c>
      <c r="W52" s="478">
        <f>IFERROR(Table6[[#This Row],[Breakdown Time]]*Table6[[#This Row],[Plant Equivalent Weightage]],"")</f>
        <v>2.2435897435897349E-2</v>
      </c>
      <c r="X52" s="473" t="s">
        <v>294</v>
      </c>
      <c r="Y52" s="474" t="s">
        <v>310</v>
      </c>
      <c r="Z52" s="102">
        <v>27191</v>
      </c>
      <c r="AA52" s="468">
        <f>(Table6[[#This Row],[Paired WTG Generation for loss calculation]]/24)*Table6[[#This Row],[Breakdown Time]]</f>
        <v>660.8923611111087</v>
      </c>
      <c r="AB52" s="102"/>
      <c r="AC52" s="35"/>
      <c r="AD52" s="35"/>
    </row>
    <row r="53" spans="1:30">
      <c r="A53" s="102">
        <f t="shared" si="1"/>
        <v>52</v>
      </c>
      <c r="B53" s="468">
        <f>YEAR(Table6[[#This Row],[Date]])+IF(MONTH(Table6[[#This Row],[Date]])&gt;=4,1,0)</f>
        <v>2026</v>
      </c>
      <c r="C53" s="102">
        <f>YEAR(Table6[[#This Row],[Date]])</f>
        <v>2025</v>
      </c>
      <c r="D53" s="102" t="s">
        <v>1992</v>
      </c>
      <c r="E53" s="469">
        <f>Table6[[#This Row],[Date]]-DAY(Table6[[#This Row],[Date]])+1</f>
        <v>45748</v>
      </c>
      <c r="F53" s="470">
        <v>45753</v>
      </c>
      <c r="G53" s="35" t="s">
        <v>79</v>
      </c>
      <c r="H53" s="35" t="str">
        <f>IFERROR(_xlfn.XLOOKUP(Table6[[#This Row],[Affected WTG]],'Basic Data'!$A:$A,'Basic Data'!$B:$B),"")</f>
        <v>TQGXIIPL</v>
      </c>
      <c r="I53" s="35" t="str">
        <f>IFERROR(_xlfn.XLOOKUP(Table6[[#This Row],[Affected WTG]],'Basic Data'!$A:$A,'Basic Data'!$C:$C),"")</f>
        <v>GEDA</v>
      </c>
      <c r="J53" s="471">
        <f>IFERROR(_xlfn.XLOOKUP(Table6[[#This Row],[Affected WTG]],'Basic Data'!$A:$A,'Basic Data'!$E:$E),"")</f>
        <v>3.846153846153845E-2</v>
      </c>
      <c r="K53" s="102">
        <v>6130</v>
      </c>
      <c r="L53" s="35" t="str">
        <f>IFERROR(_xlfn.XLOOKUP(Table6[[#This Row],[Error Code]],'Basic Data'!$AA:$AA,'Basic Data'!$AB:$AB),"Incorrect Error Code")</f>
        <v>Yaw speed high</v>
      </c>
      <c r="M53" s="35" t="s">
        <v>292</v>
      </c>
      <c r="N53" s="475"/>
      <c r="O53" s="476">
        <v>0.43125000000000002</v>
      </c>
      <c r="P53" s="476">
        <v>0.43125000000000002</v>
      </c>
      <c r="Q53" s="477">
        <v>0.43541666666666667</v>
      </c>
      <c r="R53" s="472">
        <f>IF(Table6[[#This Row],[Work Start TimeStamp]]="","",(Table6[[#This Row],[Work Start TimeStamp]]-Table6[[#This Row],[Fault Start TimeStamp]])*24)</f>
        <v>0</v>
      </c>
      <c r="S53" s="472">
        <f>(Table6[[#This Row],[Fault Clearance time]]-Table6[[#This Row],[Work Start TimeStamp]])*24</f>
        <v>9.9999999999999645E-2</v>
      </c>
      <c r="T53" s="472">
        <f>(Table6[[#This Row],[Fault Clearance time]]-Table6[[#This Row],[Fault Start TimeStamp]])*24</f>
        <v>9.9999999999999645E-2</v>
      </c>
      <c r="U53" s="35" t="s">
        <v>346</v>
      </c>
      <c r="V53" s="102" t="s">
        <v>293</v>
      </c>
      <c r="W53" s="478">
        <f>IFERROR(Table6[[#This Row],[Breakdown Time]]*Table6[[#This Row],[Plant Equivalent Weightage]],"")</f>
        <v>3.8461538461538312E-3</v>
      </c>
      <c r="X53" s="473" t="s">
        <v>294</v>
      </c>
      <c r="Y53" s="474" t="s">
        <v>325</v>
      </c>
      <c r="Z53" s="102">
        <v>23865</v>
      </c>
      <c r="AA53" s="468">
        <f>(Table6[[#This Row],[Paired WTG Generation for loss calculation]]/24)*Table6[[#This Row],[Breakdown Time]]</f>
        <v>99.437499999999645</v>
      </c>
      <c r="AB53" s="102"/>
      <c r="AC53" s="35"/>
      <c r="AD53" s="35"/>
    </row>
    <row r="54" spans="1:30">
      <c r="A54" s="102">
        <f t="shared" si="1"/>
        <v>53</v>
      </c>
      <c r="B54" s="468">
        <f>YEAR(Table6[[#This Row],[Date]])+IF(MONTH(Table6[[#This Row],[Date]])&gt;=4,1,0)</f>
        <v>2026</v>
      </c>
      <c r="C54" s="102">
        <f>YEAR(Table6[[#This Row],[Date]])</f>
        <v>2025</v>
      </c>
      <c r="D54" s="102" t="s">
        <v>1992</v>
      </c>
      <c r="E54" s="469">
        <f>Table6[[#This Row],[Date]]-DAY(Table6[[#This Row],[Date]])+1</f>
        <v>45748</v>
      </c>
      <c r="F54" s="470">
        <v>45753</v>
      </c>
      <c r="G54" s="35" t="s">
        <v>80</v>
      </c>
      <c r="H54" s="35" t="str">
        <f>IFERROR(_xlfn.XLOOKUP(Table6[[#This Row],[Affected WTG]],'Basic Data'!$A:$A,'Basic Data'!$B:$B),"")</f>
        <v>TQGXIIPL</v>
      </c>
      <c r="I54" s="35" t="str">
        <f>IFERROR(_xlfn.XLOOKUP(Table6[[#This Row],[Affected WTG]],'Basic Data'!$A:$A,'Basic Data'!$C:$C),"")</f>
        <v>GEDA</v>
      </c>
      <c r="J54" s="471">
        <f>IFERROR(_xlfn.XLOOKUP(Table6[[#This Row],[Affected WTG]],'Basic Data'!$A:$A,'Basic Data'!$E:$E),"")</f>
        <v>3.846153846153845E-2</v>
      </c>
      <c r="K54" s="102">
        <v>175</v>
      </c>
      <c r="L54" s="35" t="str">
        <f>IFERROR(_xlfn.XLOOKUP(Table6[[#This Row],[Error Code]],'Basic Data'!$AA:$AA,'Basic Data'!$AB:$AB),"Incorrect Error Code")</f>
        <v>SLC error</v>
      </c>
      <c r="M54" s="35" t="s">
        <v>291</v>
      </c>
      <c r="N54" s="475"/>
      <c r="O54" s="476">
        <v>0.44166666666666665</v>
      </c>
      <c r="P54" s="476">
        <v>0.44166666666666665</v>
      </c>
      <c r="Q54" s="477">
        <v>0.4597222222222222</v>
      </c>
      <c r="R54" s="472">
        <f>IF(Table6[[#This Row],[Work Start TimeStamp]]="","",(Table6[[#This Row],[Work Start TimeStamp]]-Table6[[#This Row],[Fault Start TimeStamp]])*24)</f>
        <v>0</v>
      </c>
      <c r="S54" s="472">
        <f>(Table6[[#This Row],[Fault Clearance time]]-Table6[[#This Row],[Work Start TimeStamp]])*24</f>
        <v>0.43333333333333313</v>
      </c>
      <c r="T54" s="472">
        <f>(Table6[[#This Row],[Fault Clearance time]]-Table6[[#This Row],[Fault Start TimeStamp]])*24</f>
        <v>0.43333333333333313</v>
      </c>
      <c r="U54" s="35" t="s">
        <v>349</v>
      </c>
      <c r="V54" s="102" t="s">
        <v>293</v>
      </c>
      <c r="W54" s="478">
        <f>IFERROR(Table6[[#This Row],[Breakdown Time]]*Table6[[#This Row],[Plant Equivalent Weightage]],"")</f>
        <v>1.6666666666666653E-2</v>
      </c>
      <c r="X54" s="473" t="s">
        <v>294</v>
      </c>
      <c r="Y54" s="474" t="s">
        <v>317</v>
      </c>
      <c r="Z54" s="102">
        <v>28588</v>
      </c>
      <c r="AA54" s="468">
        <f>(Table6[[#This Row],[Paired WTG Generation for loss calculation]]/24)*Table6[[#This Row],[Breakdown Time]]</f>
        <v>516.17222222222199</v>
      </c>
      <c r="AB54" s="102"/>
      <c r="AC54" s="35"/>
      <c r="AD54" s="35"/>
    </row>
    <row r="55" spans="1:30">
      <c r="A55" s="102">
        <f t="shared" si="1"/>
        <v>54</v>
      </c>
      <c r="B55" s="468">
        <f>YEAR(Table6[[#This Row],[Date]])+IF(MONTH(Table6[[#This Row],[Date]])&gt;=4,1,0)</f>
        <v>2026</v>
      </c>
      <c r="C55" s="102">
        <f>YEAR(Table6[[#This Row],[Date]])</f>
        <v>2025</v>
      </c>
      <c r="D55" s="102" t="s">
        <v>1992</v>
      </c>
      <c r="E55" s="469">
        <f>Table6[[#This Row],[Date]]-DAY(Table6[[#This Row],[Date]])+1</f>
        <v>45748</v>
      </c>
      <c r="F55" s="470">
        <v>45753</v>
      </c>
      <c r="G55" s="35" t="s">
        <v>81</v>
      </c>
      <c r="H55" s="35" t="str">
        <f>IFERROR(_xlfn.XLOOKUP(Table6[[#This Row],[Affected WTG]],'Basic Data'!$A:$A,'Basic Data'!$B:$B),"")</f>
        <v>TQGXIIPL</v>
      </c>
      <c r="I55" s="35" t="str">
        <f>IFERROR(_xlfn.XLOOKUP(Table6[[#This Row],[Affected WTG]],'Basic Data'!$A:$A,'Basic Data'!$C:$C),"")</f>
        <v>GEDA</v>
      </c>
      <c r="J55" s="471">
        <f>IFERROR(_xlfn.XLOOKUP(Table6[[#This Row],[Affected WTG]],'Basic Data'!$A:$A,'Basic Data'!$E:$E),"")</f>
        <v>3.846153846153845E-2</v>
      </c>
      <c r="K55" s="102">
        <v>4520</v>
      </c>
      <c r="L55" s="35" t="str">
        <f>IFERROR(_xlfn.XLOOKUP(Table6[[#This Row],[Error Code]],'Basic Data'!$AA:$AA,'Basic Data'!$AB:$AB),"Incorrect Error Code")</f>
        <v>Tower oscillation X level 1</v>
      </c>
      <c r="M55" s="35" t="s">
        <v>292</v>
      </c>
      <c r="N55" s="475"/>
      <c r="O55" s="476">
        <v>0.25833333333333336</v>
      </c>
      <c r="P55" s="476">
        <v>0.25833333333333336</v>
      </c>
      <c r="Q55" s="477">
        <v>0.26597222222222222</v>
      </c>
      <c r="R55" s="472">
        <f>IF(Table6[[#This Row],[Work Start TimeStamp]]="","",(Table6[[#This Row],[Work Start TimeStamp]]-Table6[[#This Row],[Fault Start TimeStamp]])*24)</f>
        <v>0</v>
      </c>
      <c r="S55" s="472">
        <f>(Table6[[#This Row],[Fault Clearance time]]-Table6[[#This Row],[Work Start TimeStamp]])*24</f>
        <v>0.18333333333333268</v>
      </c>
      <c r="T55" s="472">
        <f>(Table6[[#This Row],[Fault Clearance time]]-Table6[[#This Row],[Fault Start TimeStamp]])*24</f>
        <v>0.18333333333333268</v>
      </c>
      <c r="U55" s="35" t="s">
        <v>346</v>
      </c>
      <c r="V55" s="102" t="s">
        <v>293</v>
      </c>
      <c r="W55" s="478">
        <f>IFERROR(Table6[[#This Row],[Breakdown Time]]*Table6[[#This Row],[Plant Equivalent Weightage]],"")</f>
        <v>7.0512820512820245E-3</v>
      </c>
      <c r="X55" s="473" t="s">
        <v>294</v>
      </c>
      <c r="Y55" s="474" t="s">
        <v>321</v>
      </c>
      <c r="Z55" s="102">
        <v>14855</v>
      </c>
      <c r="AA55" s="468">
        <f>(Table6[[#This Row],[Paired WTG Generation for loss calculation]]/24)*Table6[[#This Row],[Breakdown Time]]</f>
        <v>113.47569444444404</v>
      </c>
      <c r="AB55" s="102"/>
      <c r="AC55" s="35"/>
      <c r="AD55" s="35"/>
    </row>
    <row r="56" spans="1:30">
      <c r="A56" s="102">
        <f t="shared" si="1"/>
        <v>55</v>
      </c>
      <c r="B56" s="468">
        <f>YEAR(Table6[[#This Row],[Date]])+IF(MONTH(Table6[[#This Row],[Date]])&gt;=4,1,0)</f>
        <v>2026</v>
      </c>
      <c r="C56" s="102">
        <f>YEAR(Table6[[#This Row],[Date]])</f>
        <v>2025</v>
      </c>
      <c r="D56" s="102" t="s">
        <v>1992</v>
      </c>
      <c r="E56" s="469">
        <f>Table6[[#This Row],[Date]]-DAY(Table6[[#This Row],[Date]])+1</f>
        <v>45748</v>
      </c>
      <c r="F56" s="470">
        <v>45753</v>
      </c>
      <c r="G56" s="35" t="s">
        <v>83</v>
      </c>
      <c r="H56" s="35" t="str">
        <f>IFERROR(_xlfn.XLOOKUP(Table6[[#This Row],[Affected WTG]],'Basic Data'!$A:$A,'Basic Data'!$B:$B),"")</f>
        <v>TQGXIIPL</v>
      </c>
      <c r="I56" s="35" t="str">
        <f>IFERROR(_xlfn.XLOOKUP(Table6[[#This Row],[Affected WTG]],'Basic Data'!$A:$A,'Basic Data'!$C:$C),"")</f>
        <v>GEDA</v>
      </c>
      <c r="J56" s="471">
        <f>IFERROR(_xlfn.XLOOKUP(Table6[[#This Row],[Affected WTG]],'Basic Data'!$A:$A,'Basic Data'!$E:$E),"")</f>
        <v>3.846153846153845E-2</v>
      </c>
      <c r="K56" s="102">
        <v>6130</v>
      </c>
      <c r="L56" s="35" t="str">
        <f>IFERROR(_xlfn.XLOOKUP(Table6[[#This Row],[Error Code]],'Basic Data'!$AA:$AA,'Basic Data'!$AB:$AB),"Incorrect Error Code")</f>
        <v>Yaw speed high</v>
      </c>
      <c r="M56" s="35" t="s">
        <v>292</v>
      </c>
      <c r="N56" s="475"/>
      <c r="O56" s="476">
        <v>0.10277777777777777</v>
      </c>
      <c r="P56" s="476">
        <v>0.10277777777777777</v>
      </c>
      <c r="Q56" s="477">
        <v>0.10555555555555556</v>
      </c>
      <c r="R56" s="472">
        <f>IF(Table6[[#This Row],[Work Start TimeStamp]]="","",(Table6[[#This Row],[Work Start TimeStamp]]-Table6[[#This Row],[Fault Start TimeStamp]])*24)</f>
        <v>0</v>
      </c>
      <c r="S56" s="472">
        <f>(Table6[[#This Row],[Fault Clearance time]]-Table6[[#This Row],[Work Start TimeStamp]])*24</f>
        <v>6.6666666666666763E-2</v>
      </c>
      <c r="T56" s="472">
        <f>(Table6[[#This Row],[Fault Clearance time]]-Table6[[#This Row],[Fault Start TimeStamp]])*24</f>
        <v>6.6666666666666763E-2</v>
      </c>
      <c r="U56" s="35" t="s">
        <v>346</v>
      </c>
      <c r="V56" s="102" t="s">
        <v>293</v>
      </c>
      <c r="W56" s="478">
        <f>IFERROR(Table6[[#This Row],[Breakdown Time]]*Table6[[#This Row],[Plant Equivalent Weightage]],"")</f>
        <v>2.5641025641025671E-3</v>
      </c>
      <c r="X56" s="473" t="s">
        <v>294</v>
      </c>
      <c r="Y56" s="474" t="s">
        <v>312</v>
      </c>
      <c r="Z56" s="102">
        <v>24021</v>
      </c>
      <c r="AA56" s="468">
        <f>(Table6[[#This Row],[Paired WTG Generation for loss calculation]]/24)*Table6[[#This Row],[Breakdown Time]]</f>
        <v>66.725000000000094</v>
      </c>
      <c r="AB56" s="102"/>
      <c r="AC56" s="35"/>
      <c r="AD56" s="35"/>
    </row>
    <row r="57" spans="1:30">
      <c r="A57" s="102">
        <f t="shared" si="1"/>
        <v>56</v>
      </c>
      <c r="B57" s="468">
        <f>YEAR(Table6[[#This Row],[Date]])+IF(MONTH(Table6[[#This Row],[Date]])&gt;=4,1,0)</f>
        <v>2026</v>
      </c>
      <c r="C57" s="102">
        <f>YEAR(Table6[[#This Row],[Date]])</f>
        <v>2025</v>
      </c>
      <c r="D57" s="102" t="s">
        <v>1992</v>
      </c>
      <c r="E57" s="469">
        <f>Table6[[#This Row],[Date]]-DAY(Table6[[#This Row],[Date]])+1</f>
        <v>45748</v>
      </c>
      <c r="F57" s="470">
        <v>45753</v>
      </c>
      <c r="G57" s="35" t="s">
        <v>85</v>
      </c>
      <c r="H57" s="35" t="str">
        <f>IFERROR(_xlfn.XLOOKUP(Table6[[#This Row],[Affected WTG]],'Basic Data'!$A:$A,'Basic Data'!$B:$B),"")</f>
        <v>TQGXIIPL</v>
      </c>
      <c r="I57" s="35" t="str">
        <f>IFERROR(_xlfn.XLOOKUP(Table6[[#This Row],[Affected WTG]],'Basic Data'!$A:$A,'Basic Data'!$C:$C),"")</f>
        <v>GEDA</v>
      </c>
      <c r="J57" s="471">
        <f>IFERROR(_xlfn.XLOOKUP(Table6[[#This Row],[Affected WTG]],'Basic Data'!$A:$A,'Basic Data'!$E:$E),"")</f>
        <v>3.846153846153845E-2</v>
      </c>
      <c r="K57" s="102">
        <v>6130</v>
      </c>
      <c r="L57" s="35" t="str">
        <f>IFERROR(_xlfn.XLOOKUP(Table6[[#This Row],[Error Code]],'Basic Data'!$AA:$AA,'Basic Data'!$AB:$AB),"Incorrect Error Code")</f>
        <v>Yaw speed high</v>
      </c>
      <c r="M57" s="35" t="s">
        <v>292</v>
      </c>
      <c r="N57" s="475"/>
      <c r="O57" s="476">
        <v>0.11944444444444445</v>
      </c>
      <c r="P57" s="476">
        <v>0.11944444444444445</v>
      </c>
      <c r="Q57" s="477">
        <v>0.12361111111111112</v>
      </c>
      <c r="R57" s="472">
        <f>IF(Table6[[#This Row],[Work Start TimeStamp]]="","",(Table6[[#This Row],[Work Start TimeStamp]]-Table6[[#This Row],[Fault Start TimeStamp]])*24)</f>
        <v>0</v>
      </c>
      <c r="S57" s="472">
        <f>(Table6[[#This Row],[Fault Clearance time]]-Table6[[#This Row],[Work Start TimeStamp]])*24</f>
        <v>9.9999999999999978E-2</v>
      </c>
      <c r="T57" s="472">
        <f>(Table6[[#This Row],[Fault Clearance time]]-Table6[[#This Row],[Fault Start TimeStamp]])*24</f>
        <v>9.9999999999999978E-2</v>
      </c>
      <c r="U57" s="35" t="s">
        <v>346</v>
      </c>
      <c r="V57" s="102" t="s">
        <v>293</v>
      </c>
      <c r="W57" s="478">
        <f>IFERROR(Table6[[#This Row],[Breakdown Time]]*Table6[[#This Row],[Plant Equivalent Weightage]],"")</f>
        <v>3.8461538461538442E-3</v>
      </c>
      <c r="X57" s="473" t="s">
        <v>294</v>
      </c>
      <c r="Y57" s="474" t="s">
        <v>322</v>
      </c>
      <c r="Z57" s="102">
        <v>20710</v>
      </c>
      <c r="AA57" s="468">
        <f>(Table6[[#This Row],[Paired WTG Generation for loss calculation]]/24)*Table6[[#This Row],[Breakdown Time]]</f>
        <v>86.291666666666643</v>
      </c>
      <c r="AB57" s="102"/>
      <c r="AC57" s="35"/>
      <c r="AD57" s="35"/>
    </row>
    <row r="58" spans="1:30">
      <c r="A58" s="102">
        <f t="shared" si="1"/>
        <v>57</v>
      </c>
      <c r="B58" s="468">
        <f>YEAR(Table6[[#This Row],[Date]])+IF(MONTH(Table6[[#This Row],[Date]])&gt;=4,1,0)</f>
        <v>2026</v>
      </c>
      <c r="C58" s="102">
        <f>YEAR(Table6[[#This Row],[Date]])</f>
        <v>2025</v>
      </c>
      <c r="D58" s="102" t="s">
        <v>1992</v>
      </c>
      <c r="E58" s="469">
        <f>Table6[[#This Row],[Date]]-DAY(Table6[[#This Row],[Date]])+1</f>
        <v>45748</v>
      </c>
      <c r="F58" s="470">
        <v>45753</v>
      </c>
      <c r="G58" s="35" t="s">
        <v>86</v>
      </c>
      <c r="H58" s="35" t="str">
        <f>IFERROR(_xlfn.XLOOKUP(Table6[[#This Row],[Affected WTG]],'Basic Data'!$A:$A,'Basic Data'!$B:$B),"")</f>
        <v>TQGXIIPL</v>
      </c>
      <c r="I58" s="35" t="str">
        <f>IFERROR(_xlfn.XLOOKUP(Table6[[#This Row],[Affected WTG]],'Basic Data'!$A:$A,'Basic Data'!$C:$C),"")</f>
        <v>GEDA</v>
      </c>
      <c r="J58" s="471">
        <f>IFERROR(_xlfn.XLOOKUP(Table6[[#This Row],[Affected WTG]],'Basic Data'!$A:$A,'Basic Data'!$E:$E),"")</f>
        <v>3.846153846153845E-2</v>
      </c>
      <c r="K58" s="102">
        <v>55</v>
      </c>
      <c r="L58" s="35" t="str">
        <f>IFERROR(_xlfn.XLOOKUP(Table6[[#This Row],[Error Code]],'Basic Data'!$AA:$AA,'Basic Data'!$AB:$AB),"Incorrect Error Code")</f>
        <v>WTG shut down</v>
      </c>
      <c r="M58" s="35" t="s">
        <v>291</v>
      </c>
      <c r="N58" s="475"/>
      <c r="O58" s="476">
        <v>0.43055555555555558</v>
      </c>
      <c r="P58" s="476">
        <v>0.43055555555555558</v>
      </c>
      <c r="Q58" s="477">
        <v>0.48472222222222222</v>
      </c>
      <c r="R58" s="472">
        <f>IF(Table6[[#This Row],[Work Start TimeStamp]]="","",(Table6[[#This Row],[Work Start TimeStamp]]-Table6[[#This Row],[Fault Start TimeStamp]])*24)</f>
        <v>0</v>
      </c>
      <c r="S58" s="472">
        <f>(Table6[[#This Row],[Fault Clearance time]]-Table6[[#This Row],[Work Start TimeStamp]])*24</f>
        <v>1.2999999999999994</v>
      </c>
      <c r="T58" s="472">
        <f>(Table6[[#This Row],[Fault Clearance time]]-Table6[[#This Row],[Fault Start TimeStamp]])*24</f>
        <v>1.2999999999999994</v>
      </c>
      <c r="U58" s="35" t="s">
        <v>367</v>
      </c>
      <c r="V58" s="102" t="s">
        <v>293</v>
      </c>
      <c r="W58" s="478">
        <f>IFERROR(Table6[[#This Row],[Breakdown Time]]*Table6[[#This Row],[Plant Equivalent Weightage]],"")</f>
        <v>4.9999999999999961E-2</v>
      </c>
      <c r="X58" s="473" t="s">
        <v>290</v>
      </c>
      <c r="Y58" s="474" t="s">
        <v>313</v>
      </c>
      <c r="Z58" s="102">
        <v>21595</v>
      </c>
      <c r="AA58" s="468">
        <f>(Table6[[#This Row],[Paired WTG Generation for loss calculation]]/24)*Table6[[#This Row],[Breakdown Time]]</f>
        <v>1169.7291666666661</v>
      </c>
      <c r="AB58" s="102"/>
      <c r="AC58" s="35"/>
      <c r="AD58" s="35"/>
    </row>
    <row r="59" spans="1:30">
      <c r="A59" s="102">
        <f t="shared" si="1"/>
        <v>58</v>
      </c>
      <c r="B59" s="468">
        <f>YEAR(Table6[[#This Row],[Date]])+IF(MONTH(Table6[[#This Row],[Date]])&gt;=4,1,0)</f>
        <v>2026</v>
      </c>
      <c r="C59" s="102">
        <f>YEAR(Table6[[#This Row],[Date]])</f>
        <v>2025</v>
      </c>
      <c r="D59" s="102" t="s">
        <v>1992</v>
      </c>
      <c r="E59" s="469">
        <f>Table6[[#This Row],[Date]]-DAY(Table6[[#This Row],[Date]])+1</f>
        <v>45748</v>
      </c>
      <c r="F59" s="470">
        <v>45753</v>
      </c>
      <c r="G59" s="35" t="s">
        <v>90</v>
      </c>
      <c r="H59" s="35" t="str">
        <f>IFERROR(_xlfn.XLOOKUP(Table6[[#This Row],[Affected WTG]],'Basic Data'!$A:$A,'Basic Data'!$B:$B),"")</f>
        <v>TQGXIIPL</v>
      </c>
      <c r="I59" s="35" t="str">
        <f>IFERROR(_xlfn.XLOOKUP(Table6[[#This Row],[Affected WTG]],'Basic Data'!$A:$A,'Basic Data'!$C:$C),"")</f>
        <v>GEDA</v>
      </c>
      <c r="J59" s="471">
        <f>IFERROR(_xlfn.XLOOKUP(Table6[[#This Row],[Affected WTG]],'Basic Data'!$A:$A,'Basic Data'!$E:$E),"")</f>
        <v>3.846153846153845E-2</v>
      </c>
      <c r="K59" s="102">
        <v>657</v>
      </c>
      <c r="L59" s="35" t="str">
        <f>IFERROR(_xlfn.XLOOKUP(Table6[[#This Row],[Error Code]],'Basic Data'!$AA:$AA,'Basic Data'!$AB:$AB),"Incorrect Error Code")</f>
        <v>Error pitch converter 2</v>
      </c>
      <c r="M59" s="35" t="s">
        <v>292</v>
      </c>
      <c r="N59" s="475"/>
      <c r="O59" s="476">
        <v>0.49861111111111112</v>
      </c>
      <c r="P59" s="476">
        <v>0.49861111111111112</v>
      </c>
      <c r="Q59" s="477">
        <v>0.5</v>
      </c>
      <c r="R59" s="472">
        <f>IF(Table6[[#This Row],[Work Start TimeStamp]]="","",(Table6[[#This Row],[Work Start TimeStamp]]-Table6[[#This Row],[Fault Start TimeStamp]])*24)</f>
        <v>0</v>
      </c>
      <c r="S59" s="472">
        <f>(Table6[[#This Row],[Fault Clearance time]]-Table6[[#This Row],[Work Start TimeStamp]])*24</f>
        <v>3.3333333333333215E-2</v>
      </c>
      <c r="T59" s="472">
        <f>(Table6[[#This Row],[Fault Clearance time]]-Table6[[#This Row],[Fault Start TimeStamp]])*24</f>
        <v>3.3333333333333215E-2</v>
      </c>
      <c r="U59" s="35" t="s">
        <v>346</v>
      </c>
      <c r="V59" s="102" t="s">
        <v>293</v>
      </c>
      <c r="W59" s="478">
        <f>IFERROR(Table6[[#This Row],[Breakdown Time]]*Table6[[#This Row],[Plant Equivalent Weightage]],"")</f>
        <v>1.2820512820512771E-3</v>
      </c>
      <c r="X59" s="473" t="s">
        <v>294</v>
      </c>
      <c r="Y59" s="474" t="s">
        <v>339</v>
      </c>
      <c r="Z59" s="102">
        <v>29600</v>
      </c>
      <c r="AA59" s="468">
        <f>(Table6[[#This Row],[Paired WTG Generation for loss calculation]]/24)*Table6[[#This Row],[Breakdown Time]]</f>
        <v>41.111111111110965</v>
      </c>
      <c r="AB59" s="102"/>
      <c r="AC59" s="35"/>
      <c r="AD59" s="35"/>
    </row>
    <row r="60" spans="1:30">
      <c r="A60" s="102">
        <f t="shared" si="1"/>
        <v>59</v>
      </c>
      <c r="B60" s="468">
        <f>YEAR(Table6[[#This Row],[Date]])+IF(MONTH(Table6[[#This Row],[Date]])&gt;=4,1,0)</f>
        <v>2026</v>
      </c>
      <c r="C60" s="102">
        <f>YEAR(Table6[[#This Row],[Date]])</f>
        <v>2025</v>
      </c>
      <c r="D60" s="102" t="s">
        <v>1992</v>
      </c>
      <c r="E60" s="469">
        <f>Table6[[#This Row],[Date]]-DAY(Table6[[#This Row],[Date]])+1</f>
        <v>45748</v>
      </c>
      <c r="F60" s="470">
        <v>45753</v>
      </c>
      <c r="G60" s="35" t="s">
        <v>91</v>
      </c>
      <c r="H60" s="35" t="str">
        <f>IFERROR(_xlfn.XLOOKUP(Table6[[#This Row],[Affected WTG]],'Basic Data'!$A:$A,'Basic Data'!$B:$B),"")</f>
        <v>TQGXIIPL</v>
      </c>
      <c r="I60" s="35" t="str">
        <f>IFERROR(_xlfn.XLOOKUP(Table6[[#This Row],[Affected WTG]],'Basic Data'!$A:$A,'Basic Data'!$C:$C),"")</f>
        <v>GEDA</v>
      </c>
      <c r="J60" s="471">
        <f>IFERROR(_xlfn.XLOOKUP(Table6[[#This Row],[Affected WTG]],'Basic Data'!$A:$A,'Basic Data'!$E:$E),"")</f>
        <v>3.846153846153845E-2</v>
      </c>
      <c r="K60" s="102">
        <v>3211</v>
      </c>
      <c r="L60" s="35" t="str">
        <f>IFERROR(_xlfn.XLOOKUP(Table6[[#This Row],[Error Code]],'Basic Data'!$AA:$AA,'Basic Data'!$AB:$AB),"Incorrect Error Code")</f>
        <v>Conv. load shedding (CAN)</v>
      </c>
      <c r="M60" s="35" t="s">
        <v>291</v>
      </c>
      <c r="N60" s="475"/>
      <c r="O60" s="476">
        <v>0.80138888888888893</v>
      </c>
      <c r="P60" s="476">
        <v>0.80138888888888893</v>
      </c>
      <c r="Q60" s="477">
        <v>0.81180555555555556</v>
      </c>
      <c r="R60" s="472">
        <f>IF(Table6[[#This Row],[Work Start TimeStamp]]="","",(Table6[[#This Row],[Work Start TimeStamp]]-Table6[[#This Row],[Fault Start TimeStamp]])*24)</f>
        <v>0</v>
      </c>
      <c r="S60" s="472">
        <f>(Table6[[#This Row],[Fault Clearance time]]-Table6[[#This Row],[Work Start TimeStamp]])*24</f>
        <v>0.24999999999999911</v>
      </c>
      <c r="T60" s="472">
        <f>(Table6[[#This Row],[Fault Clearance time]]-Table6[[#This Row],[Fault Start TimeStamp]])*24</f>
        <v>0.24999999999999911</v>
      </c>
      <c r="U60" s="35" t="s">
        <v>368</v>
      </c>
      <c r="V60" s="102" t="s">
        <v>293</v>
      </c>
      <c r="W60" s="478">
        <f>IFERROR(Table6[[#This Row],[Breakdown Time]]*Table6[[#This Row],[Plant Equivalent Weightage]],"")</f>
        <v>9.6153846153845778E-3</v>
      </c>
      <c r="X60" s="473" t="s">
        <v>294</v>
      </c>
      <c r="Y60" s="474" t="s">
        <v>319</v>
      </c>
      <c r="Z60" s="102">
        <v>24449</v>
      </c>
      <c r="AA60" s="468">
        <f>(Table6[[#This Row],[Paired WTG Generation for loss calculation]]/24)*Table6[[#This Row],[Breakdown Time]]</f>
        <v>254.67708333333243</v>
      </c>
      <c r="AB60" s="102"/>
      <c r="AC60" s="35"/>
      <c r="AD60" s="35"/>
    </row>
    <row r="61" spans="1:30">
      <c r="A61" s="102">
        <f t="shared" si="1"/>
        <v>60</v>
      </c>
      <c r="B61" s="468">
        <f>YEAR(Table6[[#This Row],[Date]])+IF(MONTH(Table6[[#This Row],[Date]])&gt;=4,1,0)</f>
        <v>2026</v>
      </c>
      <c r="C61" s="102">
        <f>YEAR(Table6[[#This Row],[Date]])</f>
        <v>2025</v>
      </c>
      <c r="D61" s="102" t="s">
        <v>1992</v>
      </c>
      <c r="E61" s="469">
        <f>Table6[[#This Row],[Date]]-DAY(Table6[[#This Row],[Date]])+1</f>
        <v>45748</v>
      </c>
      <c r="F61" s="470">
        <v>45753</v>
      </c>
      <c r="G61" s="35" t="s">
        <v>93</v>
      </c>
      <c r="H61" s="35" t="str">
        <f>IFERROR(_xlfn.XLOOKUP(Table6[[#This Row],[Affected WTG]],'Basic Data'!$A:$A,'Basic Data'!$B:$B),"")</f>
        <v>TQGXIIPL</v>
      </c>
      <c r="I61" s="35" t="str">
        <f>IFERROR(_xlfn.XLOOKUP(Table6[[#This Row],[Affected WTG]],'Basic Data'!$A:$A,'Basic Data'!$C:$C),"")</f>
        <v>GEDA</v>
      </c>
      <c r="J61" s="471">
        <f>IFERROR(_xlfn.XLOOKUP(Table6[[#This Row],[Affected WTG]],'Basic Data'!$A:$A,'Basic Data'!$E:$E),"")</f>
        <v>3.846153846153845E-2</v>
      </c>
      <c r="K61" s="102">
        <v>3211</v>
      </c>
      <c r="L61" s="35" t="str">
        <f>IFERROR(_xlfn.XLOOKUP(Table6[[#This Row],[Error Code]],'Basic Data'!$AA:$AA,'Basic Data'!$AB:$AB),"Incorrect Error Code")</f>
        <v>Conv. load shedding (CAN)</v>
      </c>
      <c r="M61" s="35" t="s">
        <v>291</v>
      </c>
      <c r="N61" s="475"/>
      <c r="O61" s="476">
        <v>0.82152777777777775</v>
      </c>
      <c r="P61" s="476">
        <v>0.82152777777777775</v>
      </c>
      <c r="Q61" s="477">
        <v>0.85486111111111107</v>
      </c>
      <c r="R61" s="472">
        <f>IF(Table6[[#This Row],[Work Start TimeStamp]]="","",(Table6[[#This Row],[Work Start TimeStamp]]-Table6[[#This Row],[Fault Start TimeStamp]])*24)</f>
        <v>0</v>
      </c>
      <c r="S61" s="472">
        <f>(Table6[[#This Row],[Fault Clearance time]]-Table6[[#This Row],[Work Start TimeStamp]])*24</f>
        <v>0.79999999999999982</v>
      </c>
      <c r="T61" s="472">
        <f>(Table6[[#This Row],[Fault Clearance time]]-Table6[[#This Row],[Fault Start TimeStamp]])*24</f>
        <v>0.79999999999999982</v>
      </c>
      <c r="U61" s="35" t="s">
        <v>369</v>
      </c>
      <c r="V61" s="102" t="s">
        <v>293</v>
      </c>
      <c r="W61" s="478">
        <f>IFERROR(Table6[[#This Row],[Breakdown Time]]*Table6[[#This Row],[Plant Equivalent Weightage]],"")</f>
        <v>3.0769230769230754E-2</v>
      </c>
      <c r="X61" s="473" t="s">
        <v>294</v>
      </c>
      <c r="Y61" s="474" t="s">
        <v>314</v>
      </c>
      <c r="Z61" s="102">
        <v>24582</v>
      </c>
      <c r="AA61" s="468">
        <f>(Table6[[#This Row],[Paired WTG Generation for loss calculation]]/24)*Table6[[#This Row],[Breakdown Time]]</f>
        <v>819.39999999999986</v>
      </c>
      <c r="AB61" s="102"/>
      <c r="AC61" s="35"/>
      <c r="AD61" s="35"/>
    </row>
    <row r="62" spans="1:30">
      <c r="A62" s="102">
        <f t="shared" si="1"/>
        <v>61</v>
      </c>
      <c r="B62" s="468">
        <f>YEAR(Table6[[#This Row],[Date]])+IF(MONTH(Table6[[#This Row],[Date]])&gt;=4,1,0)</f>
        <v>2026</v>
      </c>
      <c r="C62" s="102">
        <f>YEAR(Table6[[#This Row],[Date]])</f>
        <v>2025</v>
      </c>
      <c r="D62" s="102" t="s">
        <v>1992</v>
      </c>
      <c r="E62" s="469">
        <f>Table6[[#This Row],[Date]]-DAY(Table6[[#This Row],[Date]])+1</f>
        <v>45748</v>
      </c>
      <c r="F62" s="470">
        <v>45753</v>
      </c>
      <c r="G62" s="35" t="s">
        <v>94</v>
      </c>
      <c r="H62" s="35" t="str">
        <f>IFERROR(_xlfn.XLOOKUP(Table6[[#This Row],[Affected WTG]],'Basic Data'!$A:$A,'Basic Data'!$B:$B),"")</f>
        <v>TQGXIIPL</v>
      </c>
      <c r="I62" s="35" t="str">
        <f>IFERROR(_xlfn.XLOOKUP(Table6[[#This Row],[Affected WTG]],'Basic Data'!$A:$A,'Basic Data'!$C:$C),"")</f>
        <v>GEDA</v>
      </c>
      <c r="J62" s="471">
        <f>IFERROR(_xlfn.XLOOKUP(Table6[[#This Row],[Affected WTG]],'Basic Data'!$A:$A,'Basic Data'!$E:$E),"")</f>
        <v>3.846153846153845E-2</v>
      </c>
      <c r="K62" s="102">
        <v>700</v>
      </c>
      <c r="L62" s="35" t="str">
        <f>IFERROR(_xlfn.XLOOKUP(Table6[[#This Row],[Error Code]],'Basic Data'!$AA:$AA,'Basic Data'!$AB:$AB),"Incorrect Error Code")</f>
        <v>Batt. undervoltage/overvoltage</v>
      </c>
      <c r="M62" s="35" t="s">
        <v>291</v>
      </c>
      <c r="N62" s="475"/>
      <c r="O62" s="476">
        <v>0.3888888888888889</v>
      </c>
      <c r="P62" s="476">
        <v>0.3888888888888889</v>
      </c>
      <c r="Q62" s="477">
        <v>0.40694444444444444</v>
      </c>
      <c r="R62" s="472">
        <f>IF(Table6[[#This Row],[Work Start TimeStamp]]="","",(Table6[[#This Row],[Work Start TimeStamp]]-Table6[[#This Row],[Fault Start TimeStamp]])*24)</f>
        <v>0</v>
      </c>
      <c r="S62" s="472">
        <f>(Table6[[#This Row],[Fault Clearance time]]-Table6[[#This Row],[Work Start TimeStamp]])*24</f>
        <v>0.43333333333333313</v>
      </c>
      <c r="T62" s="472">
        <f>(Table6[[#This Row],[Fault Clearance time]]-Table6[[#This Row],[Fault Start TimeStamp]])*24</f>
        <v>0.43333333333333313</v>
      </c>
      <c r="U62" s="35" t="s">
        <v>370</v>
      </c>
      <c r="V62" s="102" t="s">
        <v>293</v>
      </c>
      <c r="W62" s="478">
        <f>IFERROR(Table6[[#This Row],[Breakdown Time]]*Table6[[#This Row],[Plant Equivalent Weightage]],"")</f>
        <v>1.6666666666666653E-2</v>
      </c>
      <c r="X62" s="473" t="s">
        <v>294</v>
      </c>
      <c r="Y62" s="474" t="s">
        <v>319</v>
      </c>
      <c r="Z62" s="102">
        <v>24449</v>
      </c>
      <c r="AA62" s="468">
        <f>(Table6[[#This Row],[Paired WTG Generation for loss calculation]]/24)*Table6[[#This Row],[Breakdown Time]]</f>
        <v>441.44027777777757</v>
      </c>
      <c r="AB62" s="102"/>
      <c r="AC62" s="35"/>
      <c r="AD62" s="35"/>
    </row>
    <row r="63" spans="1:30">
      <c r="A63" s="102">
        <f t="shared" si="1"/>
        <v>62</v>
      </c>
      <c r="B63" s="468">
        <f>YEAR(Table6[[#This Row],[Date]])+IF(MONTH(Table6[[#This Row],[Date]])&gt;=4,1,0)</f>
        <v>2026</v>
      </c>
      <c r="C63" s="102">
        <f>YEAR(Table6[[#This Row],[Date]])</f>
        <v>2025</v>
      </c>
      <c r="D63" s="102" t="s">
        <v>1992</v>
      </c>
      <c r="E63" s="469">
        <f>Table6[[#This Row],[Date]]-DAY(Table6[[#This Row],[Date]])+1</f>
        <v>45748</v>
      </c>
      <c r="F63" s="470">
        <v>45753</v>
      </c>
      <c r="G63" s="35" t="s">
        <v>95</v>
      </c>
      <c r="H63" s="35" t="str">
        <f>IFERROR(_xlfn.XLOOKUP(Table6[[#This Row],[Affected WTG]],'Basic Data'!$A:$A,'Basic Data'!$B:$B),"")</f>
        <v>TQGXIIPL</v>
      </c>
      <c r="I63" s="35" t="str">
        <f>IFERROR(_xlfn.XLOOKUP(Table6[[#This Row],[Affected WTG]],'Basic Data'!$A:$A,'Basic Data'!$C:$C),"")</f>
        <v>GEDA</v>
      </c>
      <c r="J63" s="471">
        <f>IFERROR(_xlfn.XLOOKUP(Table6[[#This Row],[Affected WTG]],'Basic Data'!$A:$A,'Basic Data'!$E:$E),"")</f>
        <v>3.846153846153845E-2</v>
      </c>
      <c r="K63" s="102">
        <v>6130</v>
      </c>
      <c r="L63" s="35" t="str">
        <f>IFERROR(_xlfn.XLOOKUP(Table6[[#This Row],[Error Code]],'Basic Data'!$AA:$AA,'Basic Data'!$AB:$AB),"Incorrect Error Code")</f>
        <v>Yaw speed high</v>
      </c>
      <c r="M63" s="35" t="s">
        <v>292</v>
      </c>
      <c r="N63" s="475"/>
      <c r="O63" s="476">
        <v>0.52638888888888891</v>
      </c>
      <c r="P63" s="476">
        <v>0.52638888888888891</v>
      </c>
      <c r="Q63" s="477">
        <v>0.53055555555555556</v>
      </c>
      <c r="R63" s="472">
        <f>IF(Table6[[#This Row],[Work Start TimeStamp]]="","",(Table6[[#This Row],[Work Start TimeStamp]]-Table6[[#This Row],[Fault Start TimeStamp]])*24)</f>
        <v>0</v>
      </c>
      <c r="S63" s="472">
        <f>(Table6[[#This Row],[Fault Clearance time]]-Table6[[#This Row],[Work Start TimeStamp]])*24</f>
        <v>9.9999999999999645E-2</v>
      </c>
      <c r="T63" s="472">
        <f>(Table6[[#This Row],[Fault Clearance time]]-Table6[[#This Row],[Fault Start TimeStamp]])*24</f>
        <v>9.9999999999999645E-2</v>
      </c>
      <c r="U63" s="35" t="s">
        <v>346</v>
      </c>
      <c r="V63" s="102" t="s">
        <v>293</v>
      </c>
      <c r="W63" s="478">
        <f>IFERROR(Table6[[#This Row],[Breakdown Time]]*Table6[[#This Row],[Plant Equivalent Weightage]],"")</f>
        <v>3.8461538461538312E-3</v>
      </c>
      <c r="X63" s="473" t="s">
        <v>294</v>
      </c>
      <c r="Y63" s="474" t="s">
        <v>319</v>
      </c>
      <c r="Z63" s="102">
        <v>24449</v>
      </c>
      <c r="AA63" s="468">
        <f>(Table6[[#This Row],[Paired WTG Generation for loss calculation]]/24)*Table6[[#This Row],[Breakdown Time]]</f>
        <v>101.87083333333298</v>
      </c>
      <c r="AB63" s="102"/>
      <c r="AC63" s="35"/>
      <c r="AD63" s="35"/>
    </row>
    <row r="64" spans="1:30">
      <c r="A64" s="102">
        <f t="shared" si="1"/>
        <v>63</v>
      </c>
      <c r="B64" s="468">
        <f>YEAR(Table6[[#This Row],[Date]])+IF(MONTH(Table6[[#This Row],[Date]])&gt;=4,1,0)</f>
        <v>2026</v>
      </c>
      <c r="C64" s="102">
        <f>YEAR(Table6[[#This Row],[Date]])</f>
        <v>2025</v>
      </c>
      <c r="D64" s="102" t="s">
        <v>1992</v>
      </c>
      <c r="E64" s="469">
        <f>Table6[[#This Row],[Date]]-DAY(Table6[[#This Row],[Date]])+1</f>
        <v>45748</v>
      </c>
      <c r="F64" s="470">
        <v>45753</v>
      </c>
      <c r="G64" s="35" t="s">
        <v>95</v>
      </c>
      <c r="H64" s="35" t="str">
        <f>IFERROR(_xlfn.XLOOKUP(Table6[[#This Row],[Affected WTG]],'Basic Data'!$A:$A,'Basic Data'!$B:$B),"")</f>
        <v>TQGXIIPL</v>
      </c>
      <c r="I64" s="35" t="str">
        <f>IFERROR(_xlfn.XLOOKUP(Table6[[#This Row],[Affected WTG]],'Basic Data'!$A:$A,'Basic Data'!$C:$C),"")</f>
        <v>GEDA</v>
      </c>
      <c r="J64" s="471">
        <f>IFERROR(_xlfn.XLOOKUP(Table6[[#This Row],[Affected WTG]],'Basic Data'!$A:$A,'Basic Data'!$E:$E),"")</f>
        <v>3.846153846153845E-2</v>
      </c>
      <c r="K64" s="102">
        <v>6130</v>
      </c>
      <c r="L64" s="35" t="str">
        <f>IFERROR(_xlfn.XLOOKUP(Table6[[#This Row],[Error Code]],'Basic Data'!$AA:$AA,'Basic Data'!$AB:$AB),"Incorrect Error Code")</f>
        <v>Yaw speed high</v>
      </c>
      <c r="M64" s="35" t="s">
        <v>292</v>
      </c>
      <c r="N64" s="475"/>
      <c r="O64" s="476">
        <v>0.6479166666666667</v>
      </c>
      <c r="P64" s="476">
        <v>0.6479166666666667</v>
      </c>
      <c r="Q64" s="477">
        <v>0.65555555555555556</v>
      </c>
      <c r="R64" s="472">
        <f>IF(Table6[[#This Row],[Work Start TimeStamp]]="","",(Table6[[#This Row],[Work Start TimeStamp]]-Table6[[#This Row],[Fault Start TimeStamp]])*24)</f>
        <v>0</v>
      </c>
      <c r="S64" s="472">
        <f>(Table6[[#This Row],[Fault Clearance time]]-Table6[[#This Row],[Work Start TimeStamp]])*24</f>
        <v>0.18333333333333268</v>
      </c>
      <c r="T64" s="472">
        <f>(Table6[[#This Row],[Fault Clearance time]]-Table6[[#This Row],[Fault Start TimeStamp]])*24</f>
        <v>0.18333333333333268</v>
      </c>
      <c r="U64" s="35" t="s">
        <v>346</v>
      </c>
      <c r="V64" s="102" t="s">
        <v>293</v>
      </c>
      <c r="W64" s="478">
        <f>IFERROR(Table6[[#This Row],[Breakdown Time]]*Table6[[#This Row],[Plant Equivalent Weightage]],"")</f>
        <v>7.0512820512820245E-3</v>
      </c>
      <c r="X64" s="473" t="s">
        <v>294</v>
      </c>
      <c r="Y64" s="474" t="s">
        <v>319</v>
      </c>
      <c r="Z64" s="102">
        <v>24449</v>
      </c>
      <c r="AA64" s="468">
        <f>(Table6[[#This Row],[Paired WTG Generation for loss calculation]]/24)*Table6[[#This Row],[Breakdown Time]]</f>
        <v>186.7631944444438</v>
      </c>
      <c r="AB64" s="102"/>
      <c r="AC64" s="35"/>
      <c r="AD64" s="35"/>
    </row>
    <row r="65" spans="1:30">
      <c r="A65" s="102">
        <f t="shared" si="1"/>
        <v>64</v>
      </c>
      <c r="B65" s="468">
        <f>YEAR(Table6[[#This Row],[Date]])+IF(MONTH(Table6[[#This Row],[Date]])&gt;=4,1,0)</f>
        <v>2026</v>
      </c>
      <c r="C65" s="102">
        <f>YEAR(Table6[[#This Row],[Date]])</f>
        <v>2025</v>
      </c>
      <c r="D65" s="102" t="s">
        <v>1992</v>
      </c>
      <c r="E65" s="469">
        <f>Table6[[#This Row],[Date]]-DAY(Table6[[#This Row],[Date]])+1</f>
        <v>45748</v>
      </c>
      <c r="F65" s="470">
        <v>45753</v>
      </c>
      <c r="G65" s="35" t="s">
        <v>96</v>
      </c>
      <c r="H65" s="35" t="str">
        <f>IFERROR(_xlfn.XLOOKUP(Table6[[#This Row],[Affected WTG]],'Basic Data'!$A:$A,'Basic Data'!$B:$B),"")</f>
        <v>TQGXIIPL</v>
      </c>
      <c r="I65" s="35" t="str">
        <f>IFERROR(_xlfn.XLOOKUP(Table6[[#This Row],[Affected WTG]],'Basic Data'!$A:$A,'Basic Data'!$C:$C),"")</f>
        <v>GEDA</v>
      </c>
      <c r="J65" s="471">
        <f>IFERROR(_xlfn.XLOOKUP(Table6[[#This Row],[Affected WTG]],'Basic Data'!$A:$A,'Basic Data'!$E:$E),"")</f>
        <v>3.846153846153845E-2</v>
      </c>
      <c r="K65" s="102">
        <v>3211</v>
      </c>
      <c r="L65" s="35" t="str">
        <f>IFERROR(_xlfn.XLOOKUP(Table6[[#This Row],[Error Code]],'Basic Data'!$AA:$AA,'Basic Data'!$AB:$AB),"Incorrect Error Code")</f>
        <v>Conv. load shedding (CAN)</v>
      </c>
      <c r="M65" s="35" t="s">
        <v>292</v>
      </c>
      <c r="N65" s="475"/>
      <c r="O65" s="476">
        <v>0.79652777777777772</v>
      </c>
      <c r="P65" s="476">
        <v>0.79652777777777772</v>
      </c>
      <c r="Q65" s="477">
        <v>0.79791666666666672</v>
      </c>
      <c r="R65" s="472">
        <f>IF(Table6[[#This Row],[Work Start TimeStamp]]="","",(Table6[[#This Row],[Work Start TimeStamp]]-Table6[[#This Row],[Fault Start TimeStamp]])*24)</f>
        <v>0</v>
      </c>
      <c r="S65" s="472">
        <f>(Table6[[#This Row],[Fault Clearance time]]-Table6[[#This Row],[Work Start TimeStamp]])*24</f>
        <v>3.3333333333335879E-2</v>
      </c>
      <c r="T65" s="472">
        <f>(Table6[[#This Row],[Fault Clearance time]]-Table6[[#This Row],[Fault Start TimeStamp]])*24</f>
        <v>3.3333333333335879E-2</v>
      </c>
      <c r="U65" s="35" t="s">
        <v>346</v>
      </c>
      <c r="V65" s="102" t="s">
        <v>293</v>
      </c>
      <c r="W65" s="478">
        <f>IFERROR(Table6[[#This Row],[Breakdown Time]]*Table6[[#This Row],[Plant Equivalent Weightage]],"")</f>
        <v>1.2820512820513796E-3</v>
      </c>
      <c r="X65" s="473" t="s">
        <v>294</v>
      </c>
      <c r="Y65" s="474" t="s">
        <v>313</v>
      </c>
      <c r="Z65" s="102">
        <v>21595</v>
      </c>
      <c r="AA65" s="468">
        <f>(Table6[[#This Row],[Paired WTG Generation for loss calculation]]/24)*Table6[[#This Row],[Breakdown Time]]</f>
        <v>29.993055555557845</v>
      </c>
      <c r="AB65" s="102"/>
      <c r="AC65" s="35"/>
      <c r="AD65" s="35"/>
    </row>
    <row r="66" spans="1:30">
      <c r="A66" s="102">
        <f t="shared" si="1"/>
        <v>65</v>
      </c>
      <c r="B66" s="468">
        <f>YEAR(Table6[[#This Row],[Date]])+IF(MONTH(Table6[[#This Row],[Date]])&gt;=4,1,0)</f>
        <v>2026</v>
      </c>
      <c r="C66" s="102">
        <f>YEAR(Table6[[#This Row],[Date]])</f>
        <v>2025</v>
      </c>
      <c r="D66" s="102" t="s">
        <v>1992</v>
      </c>
      <c r="E66" s="469">
        <f>Table6[[#This Row],[Date]]-DAY(Table6[[#This Row],[Date]])+1</f>
        <v>45748</v>
      </c>
      <c r="F66" s="470">
        <v>45754</v>
      </c>
      <c r="G66" s="35" t="s">
        <v>86</v>
      </c>
      <c r="H66" s="35" t="str">
        <f>IFERROR(_xlfn.XLOOKUP(Table6[[#This Row],[Affected WTG]],'Basic Data'!$A:$A,'Basic Data'!$B:$B),"")</f>
        <v>TQGXIIPL</v>
      </c>
      <c r="I66" s="35" t="str">
        <f>IFERROR(_xlfn.XLOOKUP(Table6[[#This Row],[Affected WTG]],'Basic Data'!$A:$A,'Basic Data'!$C:$C),"")</f>
        <v>GEDA</v>
      </c>
      <c r="J66" s="471">
        <f>IFERROR(_xlfn.XLOOKUP(Table6[[#This Row],[Affected WTG]],'Basic Data'!$A:$A,'Basic Data'!$E:$E),"")</f>
        <v>3.846153846153845E-2</v>
      </c>
      <c r="K66" s="102">
        <v>55</v>
      </c>
      <c r="L66" s="35" t="str">
        <f>IFERROR(_xlfn.XLOOKUP(Table6[[#This Row],[Error Code]],'Basic Data'!$AA:$AA,'Basic Data'!$AB:$AB),"Incorrect Error Code")</f>
        <v>WTG shut down</v>
      </c>
      <c r="M66" s="35" t="s">
        <v>330</v>
      </c>
      <c r="N66" s="475"/>
      <c r="O66" s="476">
        <v>0.16180555555555556</v>
      </c>
      <c r="P66" s="476">
        <v>0.16180555555555556</v>
      </c>
      <c r="Q66" s="477">
        <v>0.32291666666666669</v>
      </c>
      <c r="R66" s="472">
        <f>IF(Table6[[#This Row],[Work Start TimeStamp]]="","",(Table6[[#This Row],[Work Start TimeStamp]]-Table6[[#This Row],[Fault Start TimeStamp]])*24)</f>
        <v>0</v>
      </c>
      <c r="S66" s="472">
        <f>(Table6[[#This Row],[Fault Clearance time]]-Table6[[#This Row],[Work Start TimeStamp]])*24</f>
        <v>3.8666666666666671</v>
      </c>
      <c r="T66" s="472">
        <f>(Table6[[#This Row],[Fault Clearance time]]-Table6[[#This Row],[Fault Start TimeStamp]])*24</f>
        <v>3.8666666666666671</v>
      </c>
      <c r="U66" s="35" t="s">
        <v>337</v>
      </c>
      <c r="V66" s="102" t="s">
        <v>293</v>
      </c>
      <c r="W66" s="478">
        <f>IFERROR(Table6[[#This Row],[Breakdown Time]]*Table6[[#This Row],[Plant Equivalent Weightage]],"")</f>
        <v>0.14871794871794869</v>
      </c>
      <c r="X66" s="473" t="s">
        <v>294</v>
      </c>
      <c r="Y66" s="474" t="s">
        <v>313</v>
      </c>
      <c r="Z66" s="102">
        <v>28893</v>
      </c>
      <c r="AA66" s="468">
        <f>(Table6[[#This Row],[Paired WTG Generation for loss calculation]]/24)*Table6[[#This Row],[Breakdown Time]]</f>
        <v>4654.9833333333336</v>
      </c>
      <c r="AB66" s="102"/>
      <c r="AC66" s="35"/>
      <c r="AD66" s="35"/>
    </row>
    <row r="67" spans="1:30">
      <c r="A67" s="102">
        <f t="shared" si="1"/>
        <v>66</v>
      </c>
      <c r="B67" s="468">
        <f>YEAR(Table6[[#This Row],[Date]])+IF(MONTH(Table6[[#This Row],[Date]])&gt;=4,1,0)</f>
        <v>2026</v>
      </c>
      <c r="C67" s="102">
        <f>YEAR(Table6[[#This Row],[Date]])</f>
        <v>2025</v>
      </c>
      <c r="D67" s="102" t="s">
        <v>1992</v>
      </c>
      <c r="E67" s="469">
        <f>Table6[[#This Row],[Date]]-DAY(Table6[[#This Row],[Date]])+1</f>
        <v>45748</v>
      </c>
      <c r="F67" s="470">
        <v>45754</v>
      </c>
      <c r="G67" s="35" t="s">
        <v>87</v>
      </c>
      <c r="H67" s="35" t="str">
        <f>IFERROR(_xlfn.XLOOKUP(Table6[[#This Row],[Affected WTG]],'Basic Data'!$A:$A,'Basic Data'!$B:$B),"")</f>
        <v>TQGXIIPL</v>
      </c>
      <c r="I67" s="35" t="str">
        <f>IFERROR(_xlfn.XLOOKUP(Table6[[#This Row],[Affected WTG]],'Basic Data'!$A:$A,'Basic Data'!$C:$C),"")</f>
        <v>GEDA</v>
      </c>
      <c r="J67" s="471">
        <f>IFERROR(_xlfn.XLOOKUP(Table6[[#This Row],[Affected WTG]],'Basic Data'!$A:$A,'Basic Data'!$E:$E),"")</f>
        <v>3.846153846153845E-2</v>
      </c>
      <c r="K67" s="102">
        <v>55</v>
      </c>
      <c r="L67" s="35" t="str">
        <f>IFERROR(_xlfn.XLOOKUP(Table6[[#This Row],[Error Code]],'Basic Data'!$AA:$AA,'Basic Data'!$AB:$AB),"Incorrect Error Code")</f>
        <v>WTG shut down</v>
      </c>
      <c r="M67" s="35" t="s">
        <v>330</v>
      </c>
      <c r="N67" s="475"/>
      <c r="O67" s="476">
        <v>0.20069444444444445</v>
      </c>
      <c r="P67" s="476">
        <v>0.20069444444444445</v>
      </c>
      <c r="Q67" s="477">
        <v>0.27013888888888887</v>
      </c>
      <c r="R67" s="472">
        <f>IF(Table6[[#This Row],[Work Start TimeStamp]]="","",(Table6[[#This Row],[Work Start TimeStamp]]-Table6[[#This Row],[Fault Start TimeStamp]])*24)</f>
        <v>0</v>
      </c>
      <c r="S67" s="472">
        <f>(Table6[[#This Row],[Fault Clearance time]]-Table6[[#This Row],[Work Start TimeStamp]])*24</f>
        <v>1.6666666666666661</v>
      </c>
      <c r="T67" s="472">
        <f>(Table6[[#This Row],[Fault Clearance time]]-Table6[[#This Row],[Fault Start TimeStamp]])*24</f>
        <v>1.6666666666666661</v>
      </c>
      <c r="U67" s="35" t="s">
        <v>337</v>
      </c>
      <c r="V67" s="102" t="s">
        <v>293</v>
      </c>
      <c r="W67" s="478">
        <f>IFERROR(Table6[[#This Row],[Breakdown Time]]*Table6[[#This Row],[Plant Equivalent Weightage]],"")</f>
        <v>6.4102564102564055E-2</v>
      </c>
      <c r="X67" s="473" t="s">
        <v>294</v>
      </c>
      <c r="Y67" s="474" t="s">
        <v>327</v>
      </c>
      <c r="Z67" s="102">
        <v>29862</v>
      </c>
      <c r="AA67" s="468">
        <f>(Table6[[#This Row],[Paired WTG Generation for loss calculation]]/24)*Table6[[#This Row],[Breakdown Time]]</f>
        <v>2073.7499999999991</v>
      </c>
      <c r="AB67" s="102"/>
      <c r="AC67" s="35"/>
      <c r="AD67" s="35"/>
    </row>
    <row r="68" spans="1:30">
      <c r="A68" s="102">
        <f t="shared" si="1"/>
        <v>67</v>
      </c>
      <c r="B68" s="468">
        <f>YEAR(Table6[[#This Row],[Date]])+IF(MONTH(Table6[[#This Row],[Date]])&gt;=4,1,0)</f>
        <v>2026</v>
      </c>
      <c r="C68" s="102">
        <f>YEAR(Table6[[#This Row],[Date]])</f>
        <v>2025</v>
      </c>
      <c r="D68" s="102" t="s">
        <v>1992</v>
      </c>
      <c r="E68" s="469">
        <f>Table6[[#This Row],[Date]]-DAY(Table6[[#This Row],[Date]])+1</f>
        <v>45748</v>
      </c>
      <c r="F68" s="470">
        <v>45754</v>
      </c>
      <c r="G68" s="35" t="s">
        <v>87</v>
      </c>
      <c r="H68" s="35" t="str">
        <f>IFERROR(_xlfn.XLOOKUP(Table6[[#This Row],[Affected WTG]],'Basic Data'!$A:$A,'Basic Data'!$B:$B),"")</f>
        <v>TQGXIIPL</v>
      </c>
      <c r="I68" s="35" t="str">
        <f>IFERROR(_xlfn.XLOOKUP(Table6[[#This Row],[Affected WTG]],'Basic Data'!$A:$A,'Basic Data'!$C:$C),"")</f>
        <v>GEDA</v>
      </c>
      <c r="J68" s="471">
        <f>IFERROR(_xlfn.XLOOKUP(Table6[[#This Row],[Affected WTG]],'Basic Data'!$A:$A,'Basic Data'!$E:$E),"")</f>
        <v>3.846153846153845E-2</v>
      </c>
      <c r="K68" s="102">
        <v>55</v>
      </c>
      <c r="L68" s="35" t="str">
        <f>IFERROR(_xlfn.XLOOKUP(Table6[[#This Row],[Error Code]],'Basic Data'!$AA:$AA,'Basic Data'!$AB:$AB),"Incorrect Error Code")</f>
        <v>WTG shut down</v>
      </c>
      <c r="M68" s="35" t="s">
        <v>330</v>
      </c>
      <c r="N68" s="475"/>
      <c r="O68" s="476">
        <v>0.29583333333333334</v>
      </c>
      <c r="P68" s="476">
        <v>0.29583333333333334</v>
      </c>
      <c r="Q68" s="477">
        <v>0.30902777777777779</v>
      </c>
      <c r="R68" s="472">
        <f>IF(Table6[[#This Row],[Work Start TimeStamp]]="","",(Table6[[#This Row],[Work Start TimeStamp]]-Table6[[#This Row],[Fault Start TimeStamp]])*24)</f>
        <v>0</v>
      </c>
      <c r="S68" s="472">
        <f>(Table6[[#This Row],[Fault Clearance time]]-Table6[[#This Row],[Work Start TimeStamp]])*24</f>
        <v>0.31666666666666687</v>
      </c>
      <c r="T68" s="472">
        <f>(Table6[[#This Row],[Fault Clearance time]]-Table6[[#This Row],[Fault Start TimeStamp]])*24</f>
        <v>0.31666666666666687</v>
      </c>
      <c r="U68" s="35" t="s">
        <v>337</v>
      </c>
      <c r="V68" s="102" t="s">
        <v>293</v>
      </c>
      <c r="W68" s="478">
        <f>IFERROR(Table6[[#This Row],[Breakdown Time]]*Table6[[#This Row],[Plant Equivalent Weightage]],"")</f>
        <v>1.2179487179487183E-2</v>
      </c>
      <c r="X68" s="473" t="s">
        <v>294</v>
      </c>
      <c r="Y68" s="474" t="s">
        <v>327</v>
      </c>
      <c r="Z68" s="102">
        <v>29862</v>
      </c>
      <c r="AA68" s="468">
        <f>(Table6[[#This Row],[Paired WTG Generation for loss calculation]]/24)*Table6[[#This Row],[Breakdown Time]]</f>
        <v>394.01250000000027</v>
      </c>
      <c r="AB68" s="102"/>
      <c r="AC68" s="35"/>
      <c r="AD68" s="35"/>
    </row>
    <row r="69" spans="1:30">
      <c r="A69" s="102">
        <f t="shared" si="1"/>
        <v>68</v>
      </c>
      <c r="B69" s="468">
        <f>YEAR(Table6[[#This Row],[Date]])+IF(MONTH(Table6[[#This Row],[Date]])&gt;=4,1,0)</f>
        <v>2026</v>
      </c>
      <c r="C69" s="102">
        <f>YEAR(Table6[[#This Row],[Date]])</f>
        <v>2025</v>
      </c>
      <c r="D69" s="102" t="s">
        <v>1992</v>
      </c>
      <c r="E69" s="469">
        <f>Table6[[#This Row],[Date]]-DAY(Table6[[#This Row],[Date]])+1</f>
        <v>45748</v>
      </c>
      <c r="F69" s="470">
        <v>45754</v>
      </c>
      <c r="G69" s="35" t="s">
        <v>86</v>
      </c>
      <c r="H69" s="35" t="str">
        <f>IFERROR(_xlfn.XLOOKUP(Table6[[#This Row],[Affected WTG]],'Basic Data'!$A:$A,'Basic Data'!$B:$B),"")</f>
        <v>TQGXIIPL</v>
      </c>
      <c r="I69" s="35" t="str">
        <f>IFERROR(_xlfn.XLOOKUP(Table6[[#This Row],[Affected WTG]],'Basic Data'!$A:$A,'Basic Data'!$C:$C),"")</f>
        <v>GEDA</v>
      </c>
      <c r="J69" s="471">
        <f>IFERROR(_xlfn.XLOOKUP(Table6[[#This Row],[Affected WTG]],'Basic Data'!$A:$A,'Basic Data'!$E:$E),"")</f>
        <v>3.846153846153845E-2</v>
      </c>
      <c r="K69" s="102">
        <v>55</v>
      </c>
      <c r="L69" s="35" t="str">
        <f>IFERROR(_xlfn.XLOOKUP(Table6[[#This Row],[Error Code]],'Basic Data'!$AA:$AA,'Basic Data'!$AB:$AB),"Incorrect Error Code")</f>
        <v>WTG shut down</v>
      </c>
      <c r="M69" s="35" t="s">
        <v>330</v>
      </c>
      <c r="N69" s="475"/>
      <c r="O69" s="476">
        <v>0.81527777777777777</v>
      </c>
      <c r="P69" s="476">
        <v>0.81527777777777777</v>
      </c>
      <c r="Q69" s="477">
        <v>0.85</v>
      </c>
      <c r="R69" s="472">
        <f>IF(Table6[[#This Row],[Work Start TimeStamp]]="","",(Table6[[#This Row],[Work Start TimeStamp]]-Table6[[#This Row],[Fault Start TimeStamp]])*24)</f>
        <v>0</v>
      </c>
      <c r="S69" s="472">
        <f>(Table6[[#This Row],[Fault Clearance time]]-Table6[[#This Row],[Work Start TimeStamp]])*24</f>
        <v>0.83333333333333304</v>
      </c>
      <c r="T69" s="472">
        <f>(Table6[[#This Row],[Fault Clearance time]]-Table6[[#This Row],[Fault Start TimeStamp]])*24</f>
        <v>0.83333333333333304</v>
      </c>
      <c r="U69" s="35" t="s">
        <v>337</v>
      </c>
      <c r="V69" s="102" t="s">
        <v>293</v>
      </c>
      <c r="W69" s="478">
        <f>IFERROR(Table6[[#This Row],[Breakdown Time]]*Table6[[#This Row],[Plant Equivalent Weightage]],"")</f>
        <v>3.2051282051282028E-2</v>
      </c>
      <c r="X69" s="473" t="s">
        <v>294</v>
      </c>
      <c r="Y69" s="474" t="s">
        <v>313</v>
      </c>
      <c r="Z69" s="102">
        <v>28893</v>
      </c>
      <c r="AA69" s="468">
        <f>(Table6[[#This Row],[Paired WTG Generation for loss calculation]]/24)*Table6[[#This Row],[Breakdown Time]]</f>
        <v>1003.2291666666663</v>
      </c>
      <c r="AB69" s="102"/>
      <c r="AC69" s="35"/>
      <c r="AD69" s="35"/>
    </row>
    <row r="70" spans="1:30">
      <c r="A70" s="102">
        <f t="shared" si="1"/>
        <v>69</v>
      </c>
      <c r="B70" s="468">
        <f>YEAR(Table6[[#This Row],[Date]])+IF(MONTH(Table6[[#This Row],[Date]])&gt;=4,1,0)</f>
        <v>2026</v>
      </c>
      <c r="C70" s="102">
        <f>YEAR(Table6[[#This Row],[Date]])</f>
        <v>2025</v>
      </c>
      <c r="D70" s="102" t="s">
        <v>1992</v>
      </c>
      <c r="E70" s="469">
        <f>Table6[[#This Row],[Date]]-DAY(Table6[[#This Row],[Date]])+1</f>
        <v>45748</v>
      </c>
      <c r="F70" s="470">
        <v>45754</v>
      </c>
      <c r="G70" s="35" t="s">
        <v>98</v>
      </c>
      <c r="H70" s="35" t="str">
        <f>IFERROR(_xlfn.XLOOKUP(Table6[[#This Row],[Affected WTG]],'Basic Data'!$A:$A,'Basic Data'!$B:$B),"")</f>
        <v>TQGXIIPL</v>
      </c>
      <c r="I70" s="35" t="str">
        <f>IFERROR(_xlfn.XLOOKUP(Table6[[#This Row],[Affected WTG]],'Basic Data'!$A:$A,'Basic Data'!$C:$C),"")</f>
        <v>GEDA</v>
      </c>
      <c r="J70" s="471">
        <f>IFERROR(_xlfn.XLOOKUP(Table6[[#This Row],[Affected WTG]],'Basic Data'!$A:$A,'Basic Data'!$E:$E),"")</f>
        <v>3.846153846153845E-2</v>
      </c>
      <c r="K70" s="102">
        <v>55</v>
      </c>
      <c r="L70" s="35" t="str">
        <f>IFERROR(_xlfn.XLOOKUP(Table6[[#This Row],[Error Code]],'Basic Data'!$AA:$AA,'Basic Data'!$AB:$AB),"Incorrect Error Code")</f>
        <v>WTG shut down</v>
      </c>
      <c r="M70" s="35" t="s">
        <v>330</v>
      </c>
      <c r="N70" s="475"/>
      <c r="O70" s="476">
        <v>0.8569444444444444</v>
      </c>
      <c r="P70" s="476">
        <v>0.8569444444444444</v>
      </c>
      <c r="Q70" s="477">
        <v>0.87569444444444444</v>
      </c>
      <c r="R70" s="472">
        <f>IF(Table6[[#This Row],[Work Start TimeStamp]]="","",(Table6[[#This Row],[Work Start TimeStamp]]-Table6[[#This Row],[Fault Start TimeStamp]])*24)</f>
        <v>0</v>
      </c>
      <c r="S70" s="472">
        <f>(Table6[[#This Row],[Fault Clearance time]]-Table6[[#This Row],[Work Start TimeStamp]])*24</f>
        <v>0.45000000000000107</v>
      </c>
      <c r="T70" s="472">
        <f>(Table6[[#This Row],[Fault Clearance time]]-Table6[[#This Row],[Fault Start TimeStamp]])*24</f>
        <v>0.45000000000000107</v>
      </c>
      <c r="U70" s="35" t="s">
        <v>337</v>
      </c>
      <c r="V70" s="102" t="s">
        <v>293</v>
      </c>
      <c r="W70" s="478">
        <f>IFERROR(Table6[[#This Row],[Breakdown Time]]*Table6[[#This Row],[Plant Equivalent Weightage]],"")</f>
        <v>1.7307692307692343E-2</v>
      </c>
      <c r="X70" s="473" t="s">
        <v>290</v>
      </c>
      <c r="Y70" s="474" t="s">
        <v>315</v>
      </c>
      <c r="Z70" s="102">
        <v>31048</v>
      </c>
      <c r="AA70" s="468">
        <f>(Table6[[#This Row],[Paired WTG Generation for loss calculation]]/24)*Table6[[#This Row],[Breakdown Time]]</f>
        <v>582.15000000000146</v>
      </c>
      <c r="AB70" s="102"/>
      <c r="AC70" s="35"/>
      <c r="AD70" s="35"/>
    </row>
    <row r="71" spans="1:30">
      <c r="A71" s="102">
        <f t="shared" si="1"/>
        <v>70</v>
      </c>
      <c r="B71" s="468">
        <f>YEAR(Table6[[#This Row],[Date]])+IF(MONTH(Table6[[#This Row],[Date]])&gt;=4,1,0)</f>
        <v>2026</v>
      </c>
      <c r="C71" s="102">
        <f>YEAR(Table6[[#This Row],[Date]])</f>
        <v>2025</v>
      </c>
      <c r="D71" s="102" t="s">
        <v>1992</v>
      </c>
      <c r="E71" s="469">
        <f>Table6[[#This Row],[Date]]-DAY(Table6[[#This Row],[Date]])+1</f>
        <v>45748</v>
      </c>
      <c r="F71" s="470">
        <v>45754</v>
      </c>
      <c r="G71" s="35" t="s">
        <v>76</v>
      </c>
      <c r="H71" s="35" t="str">
        <f>IFERROR(_xlfn.XLOOKUP(Table6[[#This Row],[Affected WTG]],'Basic Data'!$A:$A,'Basic Data'!$B:$B),"")</f>
        <v>TQGXIIPL</v>
      </c>
      <c r="I71" s="35" t="str">
        <f>IFERROR(_xlfn.XLOOKUP(Table6[[#This Row],[Affected WTG]],'Basic Data'!$A:$A,'Basic Data'!$C:$C),"")</f>
        <v>GEDA</v>
      </c>
      <c r="J71" s="471">
        <f>IFERROR(_xlfn.XLOOKUP(Table6[[#This Row],[Affected WTG]],'Basic Data'!$A:$A,'Basic Data'!$E:$E),"")</f>
        <v>3.846153846153845E-2</v>
      </c>
      <c r="K71" s="102">
        <v>551</v>
      </c>
      <c r="L71" s="35" t="str">
        <f>IFERROR(_xlfn.XLOOKUP(Table6[[#This Row],[Error Code]],'Basic Data'!$AA:$AA,'Basic Data'!$AB:$AB),"Incorrect Error Code")</f>
        <v>Pitch motor current too high</v>
      </c>
      <c r="M71" s="35" t="s">
        <v>292</v>
      </c>
      <c r="N71" s="475"/>
      <c r="O71" s="476">
        <v>0.21527777777777779</v>
      </c>
      <c r="P71" s="476">
        <v>0.21527777777777779</v>
      </c>
      <c r="Q71" s="477">
        <v>0.21736111111111112</v>
      </c>
      <c r="R71" s="472">
        <f>IF(Table6[[#This Row],[Work Start TimeStamp]]="","",(Table6[[#This Row],[Work Start TimeStamp]]-Table6[[#This Row],[Fault Start TimeStamp]])*24)</f>
        <v>0</v>
      </c>
      <c r="S71" s="472">
        <f>(Table6[[#This Row],[Fault Clearance time]]-Table6[[#This Row],[Work Start TimeStamp]])*24</f>
        <v>4.9999999999999822E-2</v>
      </c>
      <c r="T71" s="472">
        <f>(Table6[[#This Row],[Fault Clearance time]]-Table6[[#This Row],[Fault Start TimeStamp]])*24</f>
        <v>4.9999999999999822E-2</v>
      </c>
      <c r="U71" s="35" t="s">
        <v>346</v>
      </c>
      <c r="V71" s="102" t="s">
        <v>293</v>
      </c>
      <c r="W71" s="478">
        <f>IFERROR(Table6[[#This Row],[Breakdown Time]]*Table6[[#This Row],[Plant Equivalent Weightage]],"")</f>
        <v>1.9230769230769156E-3</v>
      </c>
      <c r="X71" s="473" t="s">
        <v>294</v>
      </c>
      <c r="Y71" s="474" t="s">
        <v>309</v>
      </c>
      <c r="Z71" s="102">
        <v>26172</v>
      </c>
      <c r="AA71" s="468">
        <f>(Table6[[#This Row],[Paired WTG Generation for loss calculation]]/24)*Table6[[#This Row],[Breakdown Time]]</f>
        <v>54.524999999999807</v>
      </c>
      <c r="AB71" s="102"/>
      <c r="AC71" s="35"/>
      <c r="AD71" s="35"/>
    </row>
    <row r="72" spans="1:30">
      <c r="A72" s="102">
        <f t="shared" si="1"/>
        <v>71</v>
      </c>
      <c r="B72" s="468">
        <f>YEAR(Table6[[#This Row],[Date]])+IF(MONTH(Table6[[#This Row],[Date]])&gt;=4,1,0)</f>
        <v>2026</v>
      </c>
      <c r="C72" s="102">
        <f>YEAR(Table6[[#This Row],[Date]])</f>
        <v>2025</v>
      </c>
      <c r="D72" s="102" t="s">
        <v>1992</v>
      </c>
      <c r="E72" s="469">
        <f>Table6[[#This Row],[Date]]-DAY(Table6[[#This Row],[Date]])+1</f>
        <v>45748</v>
      </c>
      <c r="F72" s="470">
        <v>45754</v>
      </c>
      <c r="G72" s="35" t="s">
        <v>77</v>
      </c>
      <c r="H72" s="35" t="str">
        <f>IFERROR(_xlfn.XLOOKUP(Table6[[#This Row],[Affected WTG]],'Basic Data'!$A:$A,'Basic Data'!$B:$B),"")</f>
        <v>TQGXIIPL</v>
      </c>
      <c r="I72" s="35" t="str">
        <f>IFERROR(_xlfn.XLOOKUP(Table6[[#This Row],[Affected WTG]],'Basic Data'!$A:$A,'Basic Data'!$C:$C),"")</f>
        <v>GEDA</v>
      </c>
      <c r="J72" s="471">
        <f>IFERROR(_xlfn.XLOOKUP(Table6[[#This Row],[Affected WTG]],'Basic Data'!$A:$A,'Basic Data'!$E:$E),"")</f>
        <v>3.846153846153845E-2</v>
      </c>
      <c r="K72" s="102">
        <v>5700</v>
      </c>
      <c r="L72" s="35" t="str">
        <f>IFERROR(_xlfn.XLOOKUP(Table6[[#This Row],[Error Code]],'Basic Data'!$AA:$AA,'Basic Data'!$AB:$AB),"Incorrect Error Code")</f>
        <v>Max. operation time hydraulic</v>
      </c>
      <c r="M72" s="35" t="s">
        <v>291</v>
      </c>
      <c r="N72" s="475"/>
      <c r="O72" s="476">
        <v>0.56041666666666667</v>
      </c>
      <c r="P72" s="476">
        <v>0.56041666666666667</v>
      </c>
      <c r="Q72" s="477">
        <v>0.57708333333333328</v>
      </c>
      <c r="R72" s="472">
        <f>IF(Table6[[#This Row],[Work Start TimeStamp]]="","",(Table6[[#This Row],[Work Start TimeStamp]]-Table6[[#This Row],[Fault Start TimeStamp]])*24)</f>
        <v>0</v>
      </c>
      <c r="S72" s="472">
        <f>(Table6[[#This Row],[Fault Clearance time]]-Table6[[#This Row],[Work Start TimeStamp]])*24</f>
        <v>0.39999999999999858</v>
      </c>
      <c r="T72" s="472">
        <f>(Table6[[#This Row],[Fault Clearance time]]-Table6[[#This Row],[Fault Start TimeStamp]])*24</f>
        <v>0.39999999999999858</v>
      </c>
      <c r="U72" s="35" t="s">
        <v>371</v>
      </c>
      <c r="V72" s="102" t="s">
        <v>293</v>
      </c>
      <c r="W72" s="478">
        <f>IFERROR(Table6[[#This Row],[Breakdown Time]]*Table6[[#This Row],[Plant Equivalent Weightage]],"")</f>
        <v>1.5384615384615325E-2</v>
      </c>
      <c r="X72" s="473" t="s">
        <v>294</v>
      </c>
      <c r="Y72" s="474" t="s">
        <v>310</v>
      </c>
      <c r="Z72" s="102">
        <v>36306</v>
      </c>
      <c r="AA72" s="468">
        <f>(Table6[[#This Row],[Paired WTG Generation for loss calculation]]/24)*Table6[[#This Row],[Breakdown Time]]</f>
        <v>605.09999999999786</v>
      </c>
      <c r="AB72" s="102"/>
      <c r="AC72" s="35"/>
      <c r="AD72" s="35"/>
    </row>
    <row r="73" spans="1:30">
      <c r="A73" s="102">
        <f t="shared" si="1"/>
        <v>72</v>
      </c>
      <c r="B73" s="468">
        <f>YEAR(Table6[[#This Row],[Date]])+IF(MONTH(Table6[[#This Row],[Date]])&gt;=4,1,0)</f>
        <v>2026</v>
      </c>
      <c r="C73" s="102">
        <f>YEAR(Table6[[#This Row],[Date]])</f>
        <v>2025</v>
      </c>
      <c r="D73" s="102" t="s">
        <v>1992</v>
      </c>
      <c r="E73" s="469">
        <f>Table6[[#This Row],[Date]]-DAY(Table6[[#This Row],[Date]])+1</f>
        <v>45748</v>
      </c>
      <c r="F73" s="470">
        <v>45754</v>
      </c>
      <c r="G73" s="35" t="s">
        <v>77</v>
      </c>
      <c r="H73" s="35" t="str">
        <f>IFERROR(_xlfn.XLOOKUP(Table6[[#This Row],[Affected WTG]],'Basic Data'!$A:$A,'Basic Data'!$B:$B),"")</f>
        <v>TQGXIIPL</v>
      </c>
      <c r="I73" s="35" t="str">
        <f>IFERROR(_xlfn.XLOOKUP(Table6[[#This Row],[Affected WTG]],'Basic Data'!$A:$A,'Basic Data'!$C:$C),"")</f>
        <v>GEDA</v>
      </c>
      <c r="J73" s="471">
        <f>IFERROR(_xlfn.XLOOKUP(Table6[[#This Row],[Affected WTG]],'Basic Data'!$A:$A,'Basic Data'!$E:$E),"")</f>
        <v>3.846153846153845E-2</v>
      </c>
      <c r="K73" s="102">
        <v>5700</v>
      </c>
      <c r="L73" s="35" t="str">
        <f>IFERROR(_xlfn.XLOOKUP(Table6[[#This Row],[Error Code]],'Basic Data'!$AA:$AA,'Basic Data'!$AB:$AB),"Incorrect Error Code")</f>
        <v>Max. operation time hydraulic</v>
      </c>
      <c r="M73" s="35" t="s">
        <v>292</v>
      </c>
      <c r="N73" s="475"/>
      <c r="O73" s="476">
        <v>0.68958333333333333</v>
      </c>
      <c r="P73" s="476">
        <v>0.68958333333333333</v>
      </c>
      <c r="Q73" s="477">
        <v>0.69166666666666665</v>
      </c>
      <c r="R73" s="472">
        <f>IF(Table6[[#This Row],[Work Start TimeStamp]]="","",(Table6[[#This Row],[Work Start TimeStamp]]-Table6[[#This Row],[Fault Start TimeStamp]])*24)</f>
        <v>0</v>
      </c>
      <c r="S73" s="472">
        <f>(Table6[[#This Row],[Fault Clearance time]]-Table6[[#This Row],[Work Start TimeStamp]])*24</f>
        <v>4.9999999999999822E-2</v>
      </c>
      <c r="T73" s="472">
        <f>(Table6[[#This Row],[Fault Clearance time]]-Table6[[#This Row],[Fault Start TimeStamp]])*24</f>
        <v>4.9999999999999822E-2</v>
      </c>
      <c r="U73" s="35" t="s">
        <v>346</v>
      </c>
      <c r="V73" s="102" t="s">
        <v>293</v>
      </c>
      <c r="W73" s="478">
        <f>IFERROR(Table6[[#This Row],[Breakdown Time]]*Table6[[#This Row],[Plant Equivalent Weightage]],"")</f>
        <v>1.9230769230769156E-3</v>
      </c>
      <c r="X73" s="473" t="s">
        <v>294</v>
      </c>
      <c r="Y73" s="474" t="s">
        <v>310</v>
      </c>
      <c r="Z73" s="102">
        <v>36306</v>
      </c>
      <c r="AA73" s="468">
        <f>(Table6[[#This Row],[Paired WTG Generation for loss calculation]]/24)*Table6[[#This Row],[Breakdown Time]]</f>
        <v>75.637499999999733</v>
      </c>
      <c r="AB73" s="102"/>
      <c r="AC73" s="35"/>
      <c r="AD73" s="35"/>
    </row>
    <row r="74" spans="1:30">
      <c r="A74" s="102">
        <f t="shared" si="1"/>
        <v>73</v>
      </c>
      <c r="B74" s="468">
        <f>YEAR(Table6[[#This Row],[Date]])+IF(MONTH(Table6[[#This Row],[Date]])&gt;=4,1,0)</f>
        <v>2026</v>
      </c>
      <c r="C74" s="102">
        <f>YEAR(Table6[[#This Row],[Date]])</f>
        <v>2025</v>
      </c>
      <c r="D74" s="102" t="s">
        <v>1992</v>
      </c>
      <c r="E74" s="469">
        <f>Table6[[#This Row],[Date]]-DAY(Table6[[#This Row],[Date]])+1</f>
        <v>45748</v>
      </c>
      <c r="F74" s="470">
        <v>45754</v>
      </c>
      <c r="G74" s="35" t="s">
        <v>77</v>
      </c>
      <c r="H74" s="35" t="str">
        <f>IFERROR(_xlfn.XLOOKUP(Table6[[#This Row],[Affected WTG]],'Basic Data'!$A:$A,'Basic Data'!$B:$B),"")</f>
        <v>TQGXIIPL</v>
      </c>
      <c r="I74" s="35" t="str">
        <f>IFERROR(_xlfn.XLOOKUP(Table6[[#This Row],[Affected WTG]],'Basic Data'!$A:$A,'Basic Data'!$C:$C),"")</f>
        <v>GEDA</v>
      </c>
      <c r="J74" s="471">
        <f>IFERROR(_xlfn.XLOOKUP(Table6[[#This Row],[Affected WTG]],'Basic Data'!$A:$A,'Basic Data'!$E:$E),"")</f>
        <v>3.846153846153845E-2</v>
      </c>
      <c r="K74" s="102">
        <v>5700</v>
      </c>
      <c r="L74" s="35" t="str">
        <f>IFERROR(_xlfn.XLOOKUP(Table6[[#This Row],[Error Code]],'Basic Data'!$AA:$AA,'Basic Data'!$AB:$AB),"Incorrect Error Code")</f>
        <v>Max. operation time hydraulic</v>
      </c>
      <c r="M74" s="35" t="s">
        <v>291</v>
      </c>
      <c r="N74" s="475"/>
      <c r="O74" s="476">
        <v>0.78402777777777777</v>
      </c>
      <c r="P74" s="476">
        <v>0.78402777777777777</v>
      </c>
      <c r="Q74" s="477">
        <v>0.79513888888888884</v>
      </c>
      <c r="R74" s="472">
        <f>IF(Table6[[#This Row],[Work Start TimeStamp]]="","",(Table6[[#This Row],[Work Start TimeStamp]]-Table6[[#This Row],[Fault Start TimeStamp]])*24)</f>
        <v>0</v>
      </c>
      <c r="S74" s="472">
        <f>(Table6[[#This Row],[Fault Clearance time]]-Table6[[#This Row],[Work Start TimeStamp]])*24</f>
        <v>0.26666666666666572</v>
      </c>
      <c r="T74" s="472">
        <f>(Table6[[#This Row],[Fault Clearance time]]-Table6[[#This Row],[Fault Start TimeStamp]])*24</f>
        <v>0.26666666666666572</v>
      </c>
      <c r="U74" s="35" t="s">
        <v>349</v>
      </c>
      <c r="V74" s="102" t="s">
        <v>293</v>
      </c>
      <c r="W74" s="478">
        <f>IFERROR(Table6[[#This Row],[Breakdown Time]]*Table6[[#This Row],[Plant Equivalent Weightage]],"")</f>
        <v>1.0256410256410217E-2</v>
      </c>
      <c r="X74" s="473" t="s">
        <v>294</v>
      </c>
      <c r="Y74" s="474" t="s">
        <v>310</v>
      </c>
      <c r="Z74" s="102">
        <v>36306</v>
      </c>
      <c r="AA74" s="468">
        <f>(Table6[[#This Row],[Paired WTG Generation for loss calculation]]/24)*Table6[[#This Row],[Breakdown Time]]</f>
        <v>403.39999999999856</v>
      </c>
      <c r="AB74" s="102"/>
      <c r="AC74" s="35"/>
      <c r="AD74" s="35"/>
    </row>
    <row r="75" spans="1:30">
      <c r="A75" s="102">
        <f t="shared" si="1"/>
        <v>74</v>
      </c>
      <c r="B75" s="468">
        <f>YEAR(Table6[[#This Row],[Date]])+IF(MONTH(Table6[[#This Row],[Date]])&gt;=4,1,0)</f>
        <v>2026</v>
      </c>
      <c r="C75" s="102">
        <f>YEAR(Table6[[#This Row],[Date]])</f>
        <v>2025</v>
      </c>
      <c r="D75" s="102" t="s">
        <v>1992</v>
      </c>
      <c r="E75" s="469">
        <f>Table6[[#This Row],[Date]]-DAY(Table6[[#This Row],[Date]])+1</f>
        <v>45748</v>
      </c>
      <c r="F75" s="470">
        <v>45754</v>
      </c>
      <c r="G75" s="35" t="s">
        <v>78</v>
      </c>
      <c r="H75" s="35" t="str">
        <f>IFERROR(_xlfn.XLOOKUP(Table6[[#This Row],[Affected WTG]],'Basic Data'!$A:$A,'Basic Data'!$B:$B),"")</f>
        <v>TQGXIIPL</v>
      </c>
      <c r="I75" s="35" t="str">
        <f>IFERROR(_xlfn.XLOOKUP(Table6[[#This Row],[Affected WTG]],'Basic Data'!$A:$A,'Basic Data'!$C:$C),"")</f>
        <v>GEDA</v>
      </c>
      <c r="J75" s="471">
        <f>IFERROR(_xlfn.XLOOKUP(Table6[[#This Row],[Affected WTG]],'Basic Data'!$A:$A,'Basic Data'!$E:$E),"")</f>
        <v>3.846153846153845E-2</v>
      </c>
      <c r="K75" s="102">
        <v>178</v>
      </c>
      <c r="L75" s="35" t="str">
        <f>IFERROR(_xlfn.XLOOKUP(Table6[[#This Row],[Error Code]],'Basic Data'!$AA:$AA,'Basic Data'!$AB:$AB),"Incorrect Error Code")</f>
        <v>SLC MF safe operation speed limit</v>
      </c>
      <c r="M75" s="35" t="s">
        <v>291</v>
      </c>
      <c r="N75" s="475"/>
      <c r="O75" s="476">
        <v>0.32500000000000001</v>
      </c>
      <c r="P75" s="476">
        <v>0.32500000000000001</v>
      </c>
      <c r="Q75" s="477">
        <v>0.33888888888888891</v>
      </c>
      <c r="R75" s="472">
        <f>IF(Table6[[#This Row],[Work Start TimeStamp]]="","",(Table6[[#This Row],[Work Start TimeStamp]]-Table6[[#This Row],[Fault Start TimeStamp]])*24)</f>
        <v>0</v>
      </c>
      <c r="S75" s="472">
        <f>(Table6[[#This Row],[Fault Clearance time]]-Table6[[#This Row],[Work Start TimeStamp]])*24</f>
        <v>0.33333333333333348</v>
      </c>
      <c r="T75" s="472">
        <f>(Table6[[#This Row],[Fault Clearance time]]-Table6[[#This Row],[Fault Start TimeStamp]])*24</f>
        <v>0.33333333333333348</v>
      </c>
      <c r="U75" s="35" t="s">
        <v>372</v>
      </c>
      <c r="V75" s="102" t="s">
        <v>293</v>
      </c>
      <c r="W75" s="478">
        <f>IFERROR(Table6[[#This Row],[Breakdown Time]]*Table6[[#This Row],[Plant Equivalent Weightage]],"")</f>
        <v>1.2820512820512822E-2</v>
      </c>
      <c r="X75" s="473" t="s">
        <v>294</v>
      </c>
      <c r="Y75" s="474" t="s">
        <v>333</v>
      </c>
      <c r="Z75" s="102">
        <v>39935</v>
      </c>
      <c r="AA75" s="468">
        <f>(Table6[[#This Row],[Paired WTG Generation for loss calculation]]/24)*Table6[[#This Row],[Breakdown Time]]</f>
        <v>554.65277777777806</v>
      </c>
      <c r="AB75" s="102"/>
      <c r="AC75" s="35"/>
      <c r="AD75" s="35"/>
    </row>
    <row r="76" spans="1:30">
      <c r="A76" s="102">
        <f t="shared" si="1"/>
        <v>75</v>
      </c>
      <c r="B76" s="468">
        <f>YEAR(Table6[[#This Row],[Date]])+IF(MONTH(Table6[[#This Row],[Date]])&gt;=4,1,0)</f>
        <v>2026</v>
      </c>
      <c r="C76" s="102">
        <f>YEAR(Table6[[#This Row],[Date]])</f>
        <v>2025</v>
      </c>
      <c r="D76" s="102" t="s">
        <v>1992</v>
      </c>
      <c r="E76" s="469">
        <f>Table6[[#This Row],[Date]]-DAY(Table6[[#This Row],[Date]])+1</f>
        <v>45748</v>
      </c>
      <c r="F76" s="470">
        <v>45754</v>
      </c>
      <c r="G76" s="35" t="s">
        <v>78</v>
      </c>
      <c r="H76" s="35" t="str">
        <f>IFERROR(_xlfn.XLOOKUP(Table6[[#This Row],[Affected WTG]],'Basic Data'!$A:$A,'Basic Data'!$B:$B),"")</f>
        <v>TQGXIIPL</v>
      </c>
      <c r="I76" s="35" t="str">
        <f>IFERROR(_xlfn.XLOOKUP(Table6[[#This Row],[Affected WTG]],'Basic Data'!$A:$A,'Basic Data'!$C:$C),"")</f>
        <v>GEDA</v>
      </c>
      <c r="J76" s="471">
        <f>IFERROR(_xlfn.XLOOKUP(Table6[[#This Row],[Affected WTG]],'Basic Data'!$A:$A,'Basic Data'!$E:$E),"")</f>
        <v>3.846153846153845E-2</v>
      </c>
      <c r="K76" s="102">
        <v>2521</v>
      </c>
      <c r="L76" s="35" t="str">
        <f>IFERROR(_xlfn.XLOOKUP(Table6[[#This Row],[Error Code]],'Basic Data'!$AA:$AA,'Basic Data'!$AB:$AB),"Incorrect Error Code")</f>
        <v>Gen.sp.analog &lt;&lt;&gt;&gt; gearb.sp.</v>
      </c>
      <c r="M76" s="35" t="s">
        <v>292</v>
      </c>
      <c r="N76" s="475"/>
      <c r="O76" s="476">
        <v>0.73888888888888893</v>
      </c>
      <c r="P76" s="476">
        <v>0.73888888888888893</v>
      </c>
      <c r="Q76" s="477">
        <v>0.74027777777777781</v>
      </c>
      <c r="R76" s="472">
        <f>IF(Table6[[#This Row],[Work Start TimeStamp]]="","",(Table6[[#This Row],[Work Start TimeStamp]]-Table6[[#This Row],[Fault Start TimeStamp]])*24)</f>
        <v>0</v>
      </c>
      <c r="S76" s="472">
        <f>(Table6[[#This Row],[Fault Clearance time]]-Table6[[#This Row],[Work Start TimeStamp]])*24</f>
        <v>3.3333333333333215E-2</v>
      </c>
      <c r="T76" s="472">
        <f>(Table6[[#This Row],[Fault Clearance time]]-Table6[[#This Row],[Fault Start TimeStamp]])*24</f>
        <v>3.3333333333333215E-2</v>
      </c>
      <c r="U76" s="35" t="s">
        <v>346</v>
      </c>
      <c r="V76" s="102" t="s">
        <v>293</v>
      </c>
      <c r="W76" s="478">
        <f>IFERROR(Table6[[#This Row],[Breakdown Time]]*Table6[[#This Row],[Plant Equivalent Weightage]],"")</f>
        <v>1.2820512820512771E-3</v>
      </c>
      <c r="X76" s="473" t="s">
        <v>294</v>
      </c>
      <c r="Y76" s="474" t="s">
        <v>333</v>
      </c>
      <c r="Z76" s="102">
        <v>39935</v>
      </c>
      <c r="AA76" s="468">
        <f>(Table6[[#This Row],[Paired WTG Generation for loss calculation]]/24)*Table6[[#This Row],[Breakdown Time]]</f>
        <v>55.46527777777758</v>
      </c>
      <c r="AB76" s="102"/>
      <c r="AC76" s="35"/>
      <c r="AD76" s="35"/>
    </row>
    <row r="77" spans="1:30">
      <c r="A77" s="102">
        <f t="shared" si="1"/>
        <v>76</v>
      </c>
      <c r="B77" s="468">
        <f>YEAR(Table6[[#This Row],[Date]])+IF(MONTH(Table6[[#This Row],[Date]])&gt;=4,1,0)</f>
        <v>2026</v>
      </c>
      <c r="C77" s="102">
        <f>YEAR(Table6[[#This Row],[Date]])</f>
        <v>2025</v>
      </c>
      <c r="D77" s="102" t="s">
        <v>1992</v>
      </c>
      <c r="E77" s="469">
        <f>Table6[[#This Row],[Date]]-DAY(Table6[[#This Row],[Date]])+1</f>
        <v>45748</v>
      </c>
      <c r="F77" s="470">
        <v>45754</v>
      </c>
      <c r="G77" s="35" t="s">
        <v>82</v>
      </c>
      <c r="H77" s="35" t="str">
        <f>IFERROR(_xlfn.XLOOKUP(Table6[[#This Row],[Affected WTG]],'Basic Data'!$A:$A,'Basic Data'!$B:$B),"")</f>
        <v>TQGXIIPL</v>
      </c>
      <c r="I77" s="35" t="str">
        <f>IFERROR(_xlfn.XLOOKUP(Table6[[#This Row],[Affected WTG]],'Basic Data'!$A:$A,'Basic Data'!$C:$C),"")</f>
        <v>GEDA</v>
      </c>
      <c r="J77" s="471">
        <f>IFERROR(_xlfn.XLOOKUP(Table6[[#This Row],[Affected WTG]],'Basic Data'!$A:$A,'Basic Data'!$E:$E),"")</f>
        <v>3.846153846153845E-2</v>
      </c>
      <c r="K77" s="102">
        <v>55</v>
      </c>
      <c r="L77" s="35" t="str">
        <f>IFERROR(_xlfn.XLOOKUP(Table6[[#This Row],[Error Code]],'Basic Data'!$AA:$AA,'Basic Data'!$AB:$AB),"Incorrect Error Code")</f>
        <v>WTG shut down</v>
      </c>
      <c r="M77" s="35" t="s">
        <v>304</v>
      </c>
      <c r="N77" s="475"/>
      <c r="O77" s="476">
        <v>0.46666666666666667</v>
      </c>
      <c r="P77" s="476">
        <v>0.46666666666666667</v>
      </c>
      <c r="Q77" s="477">
        <v>0.72083333333333333</v>
      </c>
      <c r="R77" s="472">
        <f>IF(Table6[[#This Row],[Work Start TimeStamp]]="","",(Table6[[#This Row],[Work Start TimeStamp]]-Table6[[#This Row],[Fault Start TimeStamp]])*24)</f>
        <v>0</v>
      </c>
      <c r="S77" s="472">
        <f>(Table6[[#This Row],[Fault Clearance time]]-Table6[[#This Row],[Work Start TimeStamp]])*24</f>
        <v>6.1</v>
      </c>
      <c r="T77" s="472">
        <f>(Table6[[#This Row],[Fault Clearance time]]-Table6[[#This Row],[Fault Start TimeStamp]])*24</f>
        <v>6.1</v>
      </c>
      <c r="U77" s="35" t="s">
        <v>351</v>
      </c>
      <c r="V77" s="102" t="s">
        <v>293</v>
      </c>
      <c r="W77" s="478">
        <f>IFERROR(Table6[[#This Row],[Breakdown Time]]*Table6[[#This Row],[Plant Equivalent Weightage]],"")</f>
        <v>0.23461538461538453</v>
      </c>
      <c r="X77" s="473" t="s">
        <v>305</v>
      </c>
      <c r="Y77" s="474" t="s">
        <v>332</v>
      </c>
      <c r="Z77" s="102">
        <v>29201</v>
      </c>
      <c r="AA77" s="468">
        <f>(Table6[[#This Row],[Paired WTG Generation for loss calculation]]/24)*Table6[[#This Row],[Breakdown Time]]</f>
        <v>7421.9208333333327</v>
      </c>
      <c r="AB77" s="102"/>
      <c r="AC77" s="35"/>
      <c r="AD77" s="35"/>
    </row>
    <row r="78" spans="1:30">
      <c r="A78" s="102">
        <f t="shared" ref="A78:A141" si="2">A77+1</f>
        <v>77</v>
      </c>
      <c r="B78" s="468">
        <f>YEAR(Table6[[#This Row],[Date]])+IF(MONTH(Table6[[#This Row],[Date]])&gt;=4,1,0)</f>
        <v>2026</v>
      </c>
      <c r="C78" s="102">
        <f>YEAR(Table6[[#This Row],[Date]])</f>
        <v>2025</v>
      </c>
      <c r="D78" s="102" t="s">
        <v>1992</v>
      </c>
      <c r="E78" s="469">
        <f>Table6[[#This Row],[Date]]-DAY(Table6[[#This Row],[Date]])+1</f>
        <v>45748</v>
      </c>
      <c r="F78" s="470">
        <v>45754</v>
      </c>
      <c r="G78" s="35" t="s">
        <v>84</v>
      </c>
      <c r="H78" s="35" t="str">
        <f>IFERROR(_xlfn.XLOOKUP(Table6[[#This Row],[Affected WTG]],'Basic Data'!$A:$A,'Basic Data'!$B:$B),"")</f>
        <v>TQGXIIPL</v>
      </c>
      <c r="I78" s="35" t="str">
        <f>IFERROR(_xlfn.XLOOKUP(Table6[[#This Row],[Affected WTG]],'Basic Data'!$A:$A,'Basic Data'!$C:$C),"")</f>
        <v>GEDA</v>
      </c>
      <c r="J78" s="471">
        <f>IFERROR(_xlfn.XLOOKUP(Table6[[#This Row],[Affected WTG]],'Basic Data'!$A:$A,'Basic Data'!$E:$E),"")</f>
        <v>3.846153846153845E-2</v>
      </c>
      <c r="K78" s="102">
        <v>178</v>
      </c>
      <c r="L78" s="35" t="str">
        <f>IFERROR(_xlfn.XLOOKUP(Table6[[#This Row],[Error Code]],'Basic Data'!$AA:$AA,'Basic Data'!$AB:$AB),"Incorrect Error Code")</f>
        <v>SLC MF safe operation speed limit</v>
      </c>
      <c r="M78" s="35" t="s">
        <v>291</v>
      </c>
      <c r="N78" s="475"/>
      <c r="O78" s="476">
        <v>0.32500000000000001</v>
      </c>
      <c r="P78" s="476">
        <v>0.32500000000000001</v>
      </c>
      <c r="Q78" s="477">
        <v>0.32847222222222222</v>
      </c>
      <c r="R78" s="472">
        <f>IF(Table6[[#This Row],[Work Start TimeStamp]]="","",(Table6[[#This Row],[Work Start TimeStamp]]-Table6[[#This Row],[Fault Start TimeStamp]])*24)</f>
        <v>0</v>
      </c>
      <c r="S78" s="472">
        <f>(Table6[[#This Row],[Fault Clearance time]]-Table6[[#This Row],[Work Start TimeStamp]])*24</f>
        <v>8.3333333333333037E-2</v>
      </c>
      <c r="T78" s="472">
        <f>(Table6[[#This Row],[Fault Clearance time]]-Table6[[#This Row],[Fault Start TimeStamp]])*24</f>
        <v>8.3333333333333037E-2</v>
      </c>
      <c r="U78" s="35" t="s">
        <v>372</v>
      </c>
      <c r="V78" s="102" t="s">
        <v>293</v>
      </c>
      <c r="W78" s="478">
        <f>IFERROR(Table6[[#This Row],[Breakdown Time]]*Table6[[#This Row],[Plant Equivalent Weightage]],"")</f>
        <v>3.2051282051281929E-3</v>
      </c>
      <c r="X78" s="473" t="s">
        <v>294</v>
      </c>
      <c r="Y78" s="474" t="s">
        <v>327</v>
      </c>
      <c r="Z78" s="102">
        <v>29862</v>
      </c>
      <c r="AA78" s="468">
        <f>(Table6[[#This Row],[Paired WTG Generation for loss calculation]]/24)*Table6[[#This Row],[Breakdown Time]]</f>
        <v>103.68749999999963</v>
      </c>
      <c r="AB78" s="102"/>
      <c r="AC78" s="35"/>
      <c r="AD78" s="35"/>
    </row>
    <row r="79" spans="1:30">
      <c r="A79" s="102">
        <f t="shared" si="2"/>
        <v>78</v>
      </c>
      <c r="B79" s="468">
        <f>YEAR(Table6[[#This Row],[Date]])+IF(MONTH(Table6[[#This Row],[Date]])&gt;=4,1,0)</f>
        <v>2026</v>
      </c>
      <c r="C79" s="102">
        <f>YEAR(Table6[[#This Row],[Date]])</f>
        <v>2025</v>
      </c>
      <c r="D79" s="102" t="s">
        <v>1992</v>
      </c>
      <c r="E79" s="469">
        <f>Table6[[#This Row],[Date]]-DAY(Table6[[#This Row],[Date]])+1</f>
        <v>45748</v>
      </c>
      <c r="F79" s="470">
        <v>45754</v>
      </c>
      <c r="G79" s="35" t="s">
        <v>88</v>
      </c>
      <c r="H79" s="35" t="str">
        <f>IFERROR(_xlfn.XLOOKUP(Table6[[#This Row],[Affected WTG]],'Basic Data'!$A:$A,'Basic Data'!$B:$B),"")</f>
        <v>TQGXIIPL</v>
      </c>
      <c r="I79" s="35" t="str">
        <f>IFERROR(_xlfn.XLOOKUP(Table6[[#This Row],[Affected WTG]],'Basic Data'!$A:$A,'Basic Data'!$C:$C),"")</f>
        <v>GEDA</v>
      </c>
      <c r="J79" s="471">
        <f>IFERROR(_xlfn.XLOOKUP(Table6[[#This Row],[Affected WTG]],'Basic Data'!$A:$A,'Basic Data'!$E:$E),"")</f>
        <v>3.846153846153845E-2</v>
      </c>
      <c r="K79" s="102">
        <v>3211</v>
      </c>
      <c r="L79" s="35" t="str">
        <f>IFERROR(_xlfn.XLOOKUP(Table6[[#This Row],[Error Code]],'Basic Data'!$AA:$AA,'Basic Data'!$AB:$AB),"Incorrect Error Code")</f>
        <v>Conv. load shedding (CAN)</v>
      </c>
      <c r="M79" s="35" t="s">
        <v>292</v>
      </c>
      <c r="N79" s="475"/>
      <c r="O79" s="476">
        <v>0.55555555555555558</v>
      </c>
      <c r="P79" s="476">
        <v>0.55555555555555558</v>
      </c>
      <c r="Q79" s="477">
        <v>0.55694444444444446</v>
      </c>
      <c r="R79" s="472">
        <f>IF(Table6[[#This Row],[Work Start TimeStamp]]="","",(Table6[[#This Row],[Work Start TimeStamp]]-Table6[[#This Row],[Fault Start TimeStamp]])*24)</f>
        <v>0</v>
      </c>
      <c r="S79" s="472">
        <f>(Table6[[#This Row],[Fault Clearance time]]-Table6[[#This Row],[Work Start TimeStamp]])*24</f>
        <v>3.3333333333333215E-2</v>
      </c>
      <c r="T79" s="472">
        <f>(Table6[[#This Row],[Fault Clearance time]]-Table6[[#This Row],[Fault Start TimeStamp]])*24</f>
        <v>3.3333333333333215E-2</v>
      </c>
      <c r="U79" s="35" t="s">
        <v>346</v>
      </c>
      <c r="V79" s="102" t="s">
        <v>293</v>
      </c>
      <c r="W79" s="478">
        <f>IFERROR(Table6[[#This Row],[Breakdown Time]]*Table6[[#This Row],[Plant Equivalent Weightage]],"")</f>
        <v>1.2820512820512771E-3</v>
      </c>
      <c r="X79" s="473" t="s">
        <v>294</v>
      </c>
      <c r="Y79" s="474" t="s">
        <v>323</v>
      </c>
      <c r="Z79" s="102">
        <v>29496</v>
      </c>
      <c r="AA79" s="468">
        <f>(Table6[[#This Row],[Paired WTG Generation for loss calculation]]/24)*Table6[[#This Row],[Breakdown Time]]</f>
        <v>40.966666666666519</v>
      </c>
      <c r="AB79" s="102"/>
      <c r="AC79" s="35"/>
      <c r="AD79" s="35"/>
    </row>
    <row r="80" spans="1:30">
      <c r="A80" s="102">
        <f t="shared" si="2"/>
        <v>79</v>
      </c>
      <c r="B80" s="468">
        <f>YEAR(Table6[[#This Row],[Date]])+IF(MONTH(Table6[[#This Row],[Date]])&gt;=4,1,0)</f>
        <v>2026</v>
      </c>
      <c r="C80" s="102">
        <f>YEAR(Table6[[#This Row],[Date]])</f>
        <v>2025</v>
      </c>
      <c r="D80" s="102" t="s">
        <v>1992</v>
      </c>
      <c r="E80" s="469">
        <f>Table6[[#This Row],[Date]]-DAY(Table6[[#This Row],[Date]])+1</f>
        <v>45748</v>
      </c>
      <c r="F80" s="470">
        <v>45754</v>
      </c>
      <c r="G80" s="35" t="s">
        <v>88</v>
      </c>
      <c r="H80" s="35" t="str">
        <f>IFERROR(_xlfn.XLOOKUP(Table6[[#This Row],[Affected WTG]],'Basic Data'!$A:$A,'Basic Data'!$B:$B),"")</f>
        <v>TQGXIIPL</v>
      </c>
      <c r="I80" s="35" t="str">
        <f>IFERROR(_xlfn.XLOOKUP(Table6[[#This Row],[Affected WTG]],'Basic Data'!$A:$A,'Basic Data'!$C:$C),"")</f>
        <v>GEDA</v>
      </c>
      <c r="J80" s="471">
        <f>IFERROR(_xlfn.XLOOKUP(Table6[[#This Row],[Affected WTG]],'Basic Data'!$A:$A,'Basic Data'!$E:$E),"")</f>
        <v>3.846153846153845E-2</v>
      </c>
      <c r="K80" s="102">
        <v>3211</v>
      </c>
      <c r="L80" s="35" t="str">
        <f>IFERROR(_xlfn.XLOOKUP(Table6[[#This Row],[Error Code]],'Basic Data'!$AA:$AA,'Basic Data'!$AB:$AB),"Incorrect Error Code")</f>
        <v>Conv. load shedding (CAN)</v>
      </c>
      <c r="M80" s="35" t="s">
        <v>292</v>
      </c>
      <c r="N80" s="475"/>
      <c r="O80" s="476">
        <v>0.61111111111111116</v>
      </c>
      <c r="P80" s="476">
        <v>0.61111111111111116</v>
      </c>
      <c r="Q80" s="477">
        <v>0.61250000000000004</v>
      </c>
      <c r="R80" s="472">
        <f>IF(Table6[[#This Row],[Work Start TimeStamp]]="","",(Table6[[#This Row],[Work Start TimeStamp]]-Table6[[#This Row],[Fault Start TimeStamp]])*24)</f>
        <v>0</v>
      </c>
      <c r="S80" s="472">
        <f>(Table6[[#This Row],[Fault Clearance time]]-Table6[[#This Row],[Work Start TimeStamp]])*24</f>
        <v>3.3333333333333215E-2</v>
      </c>
      <c r="T80" s="472">
        <f>(Table6[[#This Row],[Fault Clearance time]]-Table6[[#This Row],[Fault Start TimeStamp]])*24</f>
        <v>3.3333333333333215E-2</v>
      </c>
      <c r="U80" s="35" t="s">
        <v>346</v>
      </c>
      <c r="V80" s="102" t="s">
        <v>293</v>
      </c>
      <c r="W80" s="478">
        <f>IFERROR(Table6[[#This Row],[Breakdown Time]]*Table6[[#This Row],[Plant Equivalent Weightage]],"")</f>
        <v>1.2820512820512771E-3</v>
      </c>
      <c r="X80" s="473" t="s">
        <v>294</v>
      </c>
      <c r="Y80" s="474" t="s">
        <v>323</v>
      </c>
      <c r="Z80" s="102">
        <v>29496</v>
      </c>
      <c r="AA80" s="468">
        <f>(Table6[[#This Row],[Paired WTG Generation for loss calculation]]/24)*Table6[[#This Row],[Breakdown Time]]</f>
        <v>40.966666666666519</v>
      </c>
      <c r="AB80" s="102"/>
      <c r="AC80" s="35"/>
      <c r="AD80" s="35"/>
    </row>
    <row r="81" spans="1:30">
      <c r="A81" s="102">
        <f t="shared" si="2"/>
        <v>80</v>
      </c>
      <c r="B81" s="468">
        <f>YEAR(Table6[[#This Row],[Date]])+IF(MONTH(Table6[[#This Row],[Date]])&gt;=4,1,0)</f>
        <v>2026</v>
      </c>
      <c r="C81" s="102">
        <f>YEAR(Table6[[#This Row],[Date]])</f>
        <v>2025</v>
      </c>
      <c r="D81" s="102" t="s">
        <v>1992</v>
      </c>
      <c r="E81" s="469">
        <f>Table6[[#This Row],[Date]]-DAY(Table6[[#This Row],[Date]])+1</f>
        <v>45748</v>
      </c>
      <c r="F81" s="470">
        <v>45754</v>
      </c>
      <c r="G81" s="35" t="s">
        <v>89</v>
      </c>
      <c r="H81" s="35" t="str">
        <f>IFERROR(_xlfn.XLOOKUP(Table6[[#This Row],[Affected WTG]],'Basic Data'!$A:$A,'Basic Data'!$B:$B),"")</f>
        <v>TQGXIIPL</v>
      </c>
      <c r="I81" s="35" t="str">
        <f>IFERROR(_xlfn.XLOOKUP(Table6[[#This Row],[Affected WTG]],'Basic Data'!$A:$A,'Basic Data'!$C:$C),"")</f>
        <v>GEDA</v>
      </c>
      <c r="J81" s="471">
        <f>IFERROR(_xlfn.XLOOKUP(Table6[[#This Row],[Affected WTG]],'Basic Data'!$A:$A,'Basic Data'!$E:$E),"")</f>
        <v>3.846153846153845E-2</v>
      </c>
      <c r="K81" s="102">
        <v>3211</v>
      </c>
      <c r="L81" s="35" t="str">
        <f>IFERROR(_xlfn.XLOOKUP(Table6[[#This Row],[Error Code]],'Basic Data'!$AA:$AA,'Basic Data'!$AB:$AB),"Incorrect Error Code")</f>
        <v>Conv. load shedding (CAN)</v>
      </c>
      <c r="M81" s="35" t="s">
        <v>292</v>
      </c>
      <c r="N81" s="475"/>
      <c r="O81" s="476">
        <v>0.30902777777777779</v>
      </c>
      <c r="P81" s="476">
        <v>0.30902777777777779</v>
      </c>
      <c r="Q81" s="477">
        <v>0.3125</v>
      </c>
      <c r="R81" s="472">
        <f>IF(Table6[[#This Row],[Work Start TimeStamp]]="","",(Table6[[#This Row],[Work Start TimeStamp]]-Table6[[#This Row],[Fault Start TimeStamp]])*24)</f>
        <v>0</v>
      </c>
      <c r="S81" s="472">
        <f>(Table6[[#This Row],[Fault Clearance time]]-Table6[[#This Row],[Work Start TimeStamp]])*24</f>
        <v>8.3333333333333037E-2</v>
      </c>
      <c r="T81" s="472">
        <f>(Table6[[#This Row],[Fault Clearance time]]-Table6[[#This Row],[Fault Start TimeStamp]])*24</f>
        <v>8.3333333333333037E-2</v>
      </c>
      <c r="U81" s="35" t="s">
        <v>346</v>
      </c>
      <c r="V81" s="102" t="s">
        <v>293</v>
      </c>
      <c r="W81" s="478">
        <f>IFERROR(Table6[[#This Row],[Breakdown Time]]*Table6[[#This Row],[Plant Equivalent Weightage]],"")</f>
        <v>3.2051282051281929E-3</v>
      </c>
      <c r="X81" s="473" t="s">
        <v>294</v>
      </c>
      <c r="Y81" s="474" t="s">
        <v>325</v>
      </c>
      <c r="Z81" s="102">
        <v>35533</v>
      </c>
      <c r="AA81" s="468">
        <f>(Table6[[#This Row],[Paired WTG Generation for loss calculation]]/24)*Table6[[#This Row],[Breakdown Time]]</f>
        <v>123.37847222222179</v>
      </c>
      <c r="AB81" s="102"/>
      <c r="AC81" s="35"/>
      <c r="AD81" s="35"/>
    </row>
    <row r="82" spans="1:30">
      <c r="A82" s="102">
        <f t="shared" si="2"/>
        <v>81</v>
      </c>
      <c r="B82" s="468">
        <f>YEAR(Table6[[#This Row],[Date]])+IF(MONTH(Table6[[#This Row],[Date]])&gt;=4,1,0)</f>
        <v>2026</v>
      </c>
      <c r="C82" s="102">
        <f>YEAR(Table6[[#This Row],[Date]])</f>
        <v>2025</v>
      </c>
      <c r="D82" s="102" t="s">
        <v>1992</v>
      </c>
      <c r="E82" s="469">
        <f>Table6[[#This Row],[Date]]-DAY(Table6[[#This Row],[Date]])+1</f>
        <v>45748</v>
      </c>
      <c r="F82" s="470">
        <v>45754</v>
      </c>
      <c r="G82" s="35" t="s">
        <v>91</v>
      </c>
      <c r="H82" s="35" t="str">
        <f>IFERROR(_xlfn.XLOOKUP(Table6[[#This Row],[Affected WTG]],'Basic Data'!$A:$A,'Basic Data'!$B:$B),"")</f>
        <v>TQGXIIPL</v>
      </c>
      <c r="I82" s="35" t="str">
        <f>IFERROR(_xlfn.XLOOKUP(Table6[[#This Row],[Affected WTG]],'Basic Data'!$A:$A,'Basic Data'!$C:$C),"")</f>
        <v>GEDA</v>
      </c>
      <c r="J82" s="471">
        <f>IFERROR(_xlfn.XLOOKUP(Table6[[#This Row],[Affected WTG]],'Basic Data'!$A:$A,'Basic Data'!$E:$E),"")</f>
        <v>3.846153846153845E-2</v>
      </c>
      <c r="K82" s="102">
        <v>3110</v>
      </c>
      <c r="L82" s="35" t="str">
        <f>IFERROR(_xlfn.XLOOKUP(Table6[[#This Row],[Error Code]],'Basic Data'!$AA:$AA,'Basic Data'!$AB:$AB),"Incorrect Error Code")</f>
        <v>Frequency converter error</v>
      </c>
      <c r="M82" s="35" t="s">
        <v>291</v>
      </c>
      <c r="N82" s="475"/>
      <c r="O82" s="476">
        <v>0.80277777777777781</v>
      </c>
      <c r="P82" s="476">
        <v>0.80277777777777781</v>
      </c>
      <c r="Q82" s="477">
        <v>0.80972222222222223</v>
      </c>
      <c r="R82" s="472">
        <f>IF(Table6[[#This Row],[Work Start TimeStamp]]="","",(Table6[[#This Row],[Work Start TimeStamp]]-Table6[[#This Row],[Fault Start TimeStamp]])*24)</f>
        <v>0</v>
      </c>
      <c r="S82" s="472">
        <f>(Table6[[#This Row],[Fault Clearance time]]-Table6[[#This Row],[Work Start TimeStamp]])*24</f>
        <v>0.16666666666666607</v>
      </c>
      <c r="T82" s="472">
        <f>(Table6[[#This Row],[Fault Clearance time]]-Table6[[#This Row],[Fault Start TimeStamp]])*24</f>
        <v>0.16666666666666607</v>
      </c>
      <c r="U82" s="35" t="s">
        <v>368</v>
      </c>
      <c r="V82" s="102" t="s">
        <v>293</v>
      </c>
      <c r="W82" s="478">
        <f>IFERROR(Table6[[#This Row],[Breakdown Time]]*Table6[[#This Row],[Plant Equivalent Weightage]],"")</f>
        <v>6.4102564102563857E-3</v>
      </c>
      <c r="X82" s="473" t="s">
        <v>294</v>
      </c>
      <c r="Y82" s="474" t="s">
        <v>319</v>
      </c>
      <c r="Z82" s="102">
        <v>33948</v>
      </c>
      <c r="AA82" s="468">
        <f>(Table6[[#This Row],[Paired WTG Generation for loss calculation]]/24)*Table6[[#This Row],[Breakdown Time]]</f>
        <v>235.74999999999918</v>
      </c>
      <c r="AB82" s="102"/>
      <c r="AC82" s="35"/>
      <c r="AD82" s="35"/>
    </row>
    <row r="83" spans="1:30">
      <c r="A83" s="102">
        <f t="shared" si="2"/>
        <v>82</v>
      </c>
      <c r="B83" s="468">
        <f>YEAR(Table6[[#This Row],[Date]])+IF(MONTH(Table6[[#This Row],[Date]])&gt;=4,1,0)</f>
        <v>2026</v>
      </c>
      <c r="C83" s="102">
        <f>YEAR(Table6[[#This Row],[Date]])</f>
        <v>2025</v>
      </c>
      <c r="D83" s="102" t="s">
        <v>1992</v>
      </c>
      <c r="E83" s="469">
        <f>Table6[[#This Row],[Date]]-DAY(Table6[[#This Row],[Date]])+1</f>
        <v>45748</v>
      </c>
      <c r="F83" s="470">
        <v>45754</v>
      </c>
      <c r="G83" s="35" t="s">
        <v>93</v>
      </c>
      <c r="H83" s="35" t="str">
        <f>IFERROR(_xlfn.XLOOKUP(Table6[[#This Row],[Affected WTG]],'Basic Data'!$A:$A,'Basic Data'!$B:$B),"")</f>
        <v>TQGXIIPL</v>
      </c>
      <c r="I83" s="35" t="str">
        <f>IFERROR(_xlfn.XLOOKUP(Table6[[#This Row],[Affected WTG]],'Basic Data'!$A:$A,'Basic Data'!$C:$C),"")</f>
        <v>GEDA</v>
      </c>
      <c r="J83" s="471">
        <f>IFERROR(_xlfn.XLOOKUP(Table6[[#This Row],[Affected WTG]],'Basic Data'!$A:$A,'Basic Data'!$E:$E),"")</f>
        <v>3.846153846153845E-2</v>
      </c>
      <c r="K83" s="102">
        <v>3211</v>
      </c>
      <c r="L83" s="35" t="str">
        <f>IFERROR(_xlfn.XLOOKUP(Table6[[#This Row],[Error Code]],'Basic Data'!$AA:$AA,'Basic Data'!$AB:$AB),"Incorrect Error Code")</f>
        <v>Conv. load shedding (CAN)</v>
      </c>
      <c r="M83" s="35" t="s">
        <v>292</v>
      </c>
      <c r="N83" s="475"/>
      <c r="O83" s="476">
        <v>0.14652777777777778</v>
      </c>
      <c r="P83" s="476">
        <v>0.14652777777777778</v>
      </c>
      <c r="Q83" s="477">
        <v>0.15138888888888888</v>
      </c>
      <c r="R83" s="472">
        <f>IF(Table6[[#This Row],[Work Start TimeStamp]]="","",(Table6[[#This Row],[Work Start TimeStamp]]-Table6[[#This Row],[Fault Start TimeStamp]])*24)</f>
        <v>0</v>
      </c>
      <c r="S83" s="472">
        <f>(Table6[[#This Row],[Fault Clearance time]]-Table6[[#This Row],[Work Start TimeStamp]])*24</f>
        <v>0.11666666666666625</v>
      </c>
      <c r="T83" s="472">
        <f>(Table6[[#This Row],[Fault Clearance time]]-Table6[[#This Row],[Fault Start TimeStamp]])*24</f>
        <v>0.11666666666666625</v>
      </c>
      <c r="U83" s="35" t="s">
        <v>346</v>
      </c>
      <c r="V83" s="102" t="s">
        <v>293</v>
      </c>
      <c r="W83" s="478">
        <f>IFERROR(Table6[[#This Row],[Breakdown Time]]*Table6[[#This Row],[Plant Equivalent Weightage]],"")</f>
        <v>4.4871794871794695E-3</v>
      </c>
      <c r="X83" s="473" t="s">
        <v>294</v>
      </c>
      <c r="Y83" s="474" t="s">
        <v>314</v>
      </c>
      <c r="Z83" s="102">
        <v>35825</v>
      </c>
      <c r="AA83" s="468">
        <f>(Table6[[#This Row],[Paired WTG Generation for loss calculation]]/24)*Table6[[#This Row],[Breakdown Time]]</f>
        <v>174.14930555555492</v>
      </c>
      <c r="AB83" s="102"/>
      <c r="AC83" s="35"/>
      <c r="AD83" s="35"/>
    </row>
    <row r="84" spans="1:30">
      <c r="A84" s="102">
        <f t="shared" si="2"/>
        <v>83</v>
      </c>
      <c r="B84" s="468">
        <f>YEAR(Table6[[#This Row],[Date]])+IF(MONTH(Table6[[#This Row],[Date]])&gt;=4,1,0)</f>
        <v>2026</v>
      </c>
      <c r="C84" s="102">
        <f>YEAR(Table6[[#This Row],[Date]])</f>
        <v>2025</v>
      </c>
      <c r="D84" s="102" t="s">
        <v>1992</v>
      </c>
      <c r="E84" s="469">
        <f>Table6[[#This Row],[Date]]-DAY(Table6[[#This Row],[Date]])+1</f>
        <v>45748</v>
      </c>
      <c r="F84" s="470">
        <v>45754</v>
      </c>
      <c r="G84" s="35" t="s">
        <v>93</v>
      </c>
      <c r="H84" s="35" t="str">
        <f>IFERROR(_xlfn.XLOOKUP(Table6[[#This Row],[Affected WTG]],'Basic Data'!$A:$A,'Basic Data'!$B:$B),"")</f>
        <v>TQGXIIPL</v>
      </c>
      <c r="I84" s="35" t="str">
        <f>IFERROR(_xlfn.XLOOKUP(Table6[[#This Row],[Affected WTG]],'Basic Data'!$A:$A,'Basic Data'!$C:$C),"")</f>
        <v>GEDA</v>
      </c>
      <c r="J84" s="471">
        <f>IFERROR(_xlfn.XLOOKUP(Table6[[#This Row],[Affected WTG]],'Basic Data'!$A:$A,'Basic Data'!$E:$E),"")</f>
        <v>3.846153846153845E-2</v>
      </c>
      <c r="K84" s="102">
        <v>3211</v>
      </c>
      <c r="L84" s="35" t="str">
        <f>IFERROR(_xlfn.XLOOKUP(Table6[[#This Row],[Error Code]],'Basic Data'!$AA:$AA,'Basic Data'!$AB:$AB),"Incorrect Error Code")</f>
        <v>Conv. load shedding (CAN)</v>
      </c>
      <c r="M84" s="35" t="s">
        <v>291</v>
      </c>
      <c r="N84" s="475"/>
      <c r="O84" s="476">
        <v>0.2673611111111111</v>
      </c>
      <c r="P84" s="476">
        <v>0.2673611111111111</v>
      </c>
      <c r="Q84" s="477">
        <v>0.27152777777777776</v>
      </c>
      <c r="R84" s="472">
        <f>IF(Table6[[#This Row],[Work Start TimeStamp]]="","",(Table6[[#This Row],[Work Start TimeStamp]]-Table6[[#This Row],[Fault Start TimeStamp]])*24)</f>
        <v>0</v>
      </c>
      <c r="S84" s="472">
        <f>(Table6[[#This Row],[Fault Clearance time]]-Table6[[#This Row],[Work Start TimeStamp]])*24</f>
        <v>9.9999999999999645E-2</v>
      </c>
      <c r="T84" s="472">
        <f>(Table6[[#This Row],[Fault Clearance time]]-Table6[[#This Row],[Fault Start TimeStamp]])*24</f>
        <v>9.9999999999999645E-2</v>
      </c>
      <c r="U84" s="35" t="s">
        <v>349</v>
      </c>
      <c r="V84" s="102" t="s">
        <v>293</v>
      </c>
      <c r="W84" s="478">
        <f>IFERROR(Table6[[#This Row],[Breakdown Time]]*Table6[[#This Row],[Plant Equivalent Weightage]],"")</f>
        <v>3.8461538461538312E-3</v>
      </c>
      <c r="X84" s="473" t="s">
        <v>294</v>
      </c>
      <c r="Y84" s="474" t="s">
        <v>314</v>
      </c>
      <c r="Z84" s="102">
        <v>35825</v>
      </c>
      <c r="AA84" s="468">
        <f>(Table6[[#This Row],[Paired WTG Generation for loss calculation]]/24)*Table6[[#This Row],[Breakdown Time]]</f>
        <v>149.2708333333328</v>
      </c>
      <c r="AB84" s="102"/>
      <c r="AC84" s="35"/>
      <c r="AD84" s="35"/>
    </row>
    <row r="85" spans="1:30">
      <c r="A85" s="102">
        <f t="shared" si="2"/>
        <v>84</v>
      </c>
      <c r="B85" s="468">
        <f>YEAR(Table6[[#This Row],[Date]])+IF(MONTH(Table6[[#This Row],[Date]])&gt;=4,1,0)</f>
        <v>2026</v>
      </c>
      <c r="C85" s="102">
        <f>YEAR(Table6[[#This Row],[Date]])</f>
        <v>2025</v>
      </c>
      <c r="D85" s="102" t="s">
        <v>1992</v>
      </c>
      <c r="E85" s="469">
        <f>Table6[[#This Row],[Date]]-DAY(Table6[[#This Row],[Date]])+1</f>
        <v>45748</v>
      </c>
      <c r="F85" s="470">
        <v>45754</v>
      </c>
      <c r="G85" s="35" t="s">
        <v>93</v>
      </c>
      <c r="H85" s="35" t="str">
        <f>IFERROR(_xlfn.XLOOKUP(Table6[[#This Row],[Affected WTG]],'Basic Data'!$A:$A,'Basic Data'!$B:$B),"")</f>
        <v>TQGXIIPL</v>
      </c>
      <c r="I85" s="35" t="str">
        <f>IFERROR(_xlfn.XLOOKUP(Table6[[#This Row],[Affected WTG]],'Basic Data'!$A:$A,'Basic Data'!$C:$C),"")</f>
        <v>GEDA</v>
      </c>
      <c r="J85" s="471">
        <f>IFERROR(_xlfn.XLOOKUP(Table6[[#This Row],[Affected WTG]],'Basic Data'!$A:$A,'Basic Data'!$E:$E),"")</f>
        <v>3.846153846153845E-2</v>
      </c>
      <c r="K85" s="102">
        <v>55</v>
      </c>
      <c r="L85" s="35" t="str">
        <f>IFERROR(_xlfn.XLOOKUP(Table6[[#This Row],[Error Code]],'Basic Data'!$AA:$AA,'Basic Data'!$AB:$AB),"Incorrect Error Code")</f>
        <v>WTG shut down</v>
      </c>
      <c r="M85" s="35" t="s">
        <v>291</v>
      </c>
      <c r="N85" s="475"/>
      <c r="O85" s="476">
        <v>0.5</v>
      </c>
      <c r="P85" s="476">
        <v>0.5</v>
      </c>
      <c r="Q85" s="477">
        <v>0.52430555555555558</v>
      </c>
      <c r="R85" s="472">
        <f>IF(Table6[[#This Row],[Work Start TimeStamp]]="","",(Table6[[#This Row],[Work Start TimeStamp]]-Table6[[#This Row],[Fault Start TimeStamp]])*24)</f>
        <v>0</v>
      </c>
      <c r="S85" s="472">
        <f>(Table6[[#This Row],[Fault Clearance time]]-Table6[[#This Row],[Work Start TimeStamp]])*24</f>
        <v>0.58333333333333393</v>
      </c>
      <c r="T85" s="472">
        <f>(Table6[[#This Row],[Fault Clearance time]]-Table6[[#This Row],[Fault Start TimeStamp]])*24</f>
        <v>0.58333333333333393</v>
      </c>
      <c r="U85" s="35" t="s">
        <v>373</v>
      </c>
      <c r="V85" s="102" t="s">
        <v>293</v>
      </c>
      <c r="W85" s="478">
        <f>IFERROR(Table6[[#This Row],[Breakdown Time]]*Table6[[#This Row],[Plant Equivalent Weightage]],"")</f>
        <v>2.2435897435897453E-2</v>
      </c>
      <c r="X85" s="473" t="s">
        <v>290</v>
      </c>
      <c r="Y85" s="474" t="s">
        <v>314</v>
      </c>
      <c r="Z85" s="102">
        <v>35825</v>
      </c>
      <c r="AA85" s="468">
        <f>(Table6[[#This Row],[Paired WTG Generation for loss calculation]]/24)*Table6[[#This Row],[Breakdown Time]]</f>
        <v>870.74652777777862</v>
      </c>
      <c r="AB85" s="102"/>
      <c r="AC85" s="35"/>
      <c r="AD85" s="35"/>
    </row>
    <row r="86" spans="1:30">
      <c r="A86" s="102">
        <f t="shared" si="2"/>
        <v>85</v>
      </c>
      <c r="B86" s="468">
        <f>YEAR(Table6[[#This Row],[Date]])+IF(MONTH(Table6[[#This Row],[Date]])&gt;=4,1,0)</f>
        <v>2026</v>
      </c>
      <c r="C86" s="102">
        <f>YEAR(Table6[[#This Row],[Date]])</f>
        <v>2025</v>
      </c>
      <c r="D86" s="102" t="s">
        <v>1992</v>
      </c>
      <c r="E86" s="469">
        <f>Table6[[#This Row],[Date]]-DAY(Table6[[#This Row],[Date]])+1</f>
        <v>45748</v>
      </c>
      <c r="F86" s="470">
        <v>45754</v>
      </c>
      <c r="G86" s="35" t="s">
        <v>95</v>
      </c>
      <c r="H86" s="35" t="str">
        <f>IFERROR(_xlfn.XLOOKUP(Table6[[#This Row],[Affected WTG]],'Basic Data'!$A:$A,'Basic Data'!$B:$B),"")</f>
        <v>TQGXIIPL</v>
      </c>
      <c r="I86" s="35" t="str">
        <f>IFERROR(_xlfn.XLOOKUP(Table6[[#This Row],[Affected WTG]],'Basic Data'!$A:$A,'Basic Data'!$C:$C),"")</f>
        <v>GEDA</v>
      </c>
      <c r="J86" s="471">
        <f>IFERROR(_xlfn.XLOOKUP(Table6[[#This Row],[Affected WTG]],'Basic Data'!$A:$A,'Basic Data'!$E:$E),"")</f>
        <v>3.846153846153845E-2</v>
      </c>
      <c r="K86" s="102">
        <v>6130</v>
      </c>
      <c r="L86" s="35" t="str">
        <f>IFERROR(_xlfn.XLOOKUP(Table6[[#This Row],[Error Code]],'Basic Data'!$AA:$AA,'Basic Data'!$AB:$AB),"Incorrect Error Code")</f>
        <v>Yaw speed high</v>
      </c>
      <c r="M86" s="35" t="s">
        <v>292</v>
      </c>
      <c r="N86" s="475"/>
      <c r="O86" s="476">
        <v>0.47638888888888886</v>
      </c>
      <c r="P86" s="476">
        <v>0.47638888888888886</v>
      </c>
      <c r="Q86" s="477">
        <v>0.48055555555555557</v>
      </c>
      <c r="R86" s="472">
        <f>IF(Table6[[#This Row],[Work Start TimeStamp]]="","",(Table6[[#This Row],[Work Start TimeStamp]]-Table6[[#This Row],[Fault Start TimeStamp]])*24)</f>
        <v>0</v>
      </c>
      <c r="S86" s="472">
        <f>(Table6[[#This Row],[Fault Clearance time]]-Table6[[#This Row],[Work Start TimeStamp]])*24</f>
        <v>0.10000000000000098</v>
      </c>
      <c r="T86" s="472">
        <f>(Table6[[#This Row],[Fault Clearance time]]-Table6[[#This Row],[Fault Start TimeStamp]])*24</f>
        <v>0.10000000000000098</v>
      </c>
      <c r="U86" s="35" t="s">
        <v>346</v>
      </c>
      <c r="V86" s="102" t="s">
        <v>293</v>
      </c>
      <c r="W86" s="478">
        <f>IFERROR(Table6[[#This Row],[Breakdown Time]]*Table6[[#This Row],[Plant Equivalent Weightage]],"")</f>
        <v>3.8461538461538824E-3</v>
      </c>
      <c r="X86" s="473" t="s">
        <v>294</v>
      </c>
      <c r="Y86" s="474" t="s">
        <v>319</v>
      </c>
      <c r="Z86" s="102">
        <v>33948</v>
      </c>
      <c r="AA86" s="468">
        <f>(Table6[[#This Row],[Paired WTG Generation for loss calculation]]/24)*Table6[[#This Row],[Breakdown Time]]</f>
        <v>141.45000000000138</v>
      </c>
      <c r="AB86" s="102"/>
      <c r="AC86" s="35"/>
      <c r="AD86" s="35"/>
    </row>
    <row r="87" spans="1:30">
      <c r="A87" s="102">
        <f t="shared" si="2"/>
        <v>86</v>
      </c>
      <c r="B87" s="468">
        <f>YEAR(Table6[[#This Row],[Date]])+IF(MONTH(Table6[[#This Row],[Date]])&gt;=4,1,0)</f>
        <v>2026</v>
      </c>
      <c r="C87" s="102">
        <f>YEAR(Table6[[#This Row],[Date]])</f>
        <v>2025</v>
      </c>
      <c r="D87" s="102" t="s">
        <v>1992</v>
      </c>
      <c r="E87" s="469">
        <f>Table6[[#This Row],[Date]]-DAY(Table6[[#This Row],[Date]])+1</f>
        <v>45748</v>
      </c>
      <c r="F87" s="470">
        <v>45754</v>
      </c>
      <c r="G87" s="35" t="s">
        <v>98</v>
      </c>
      <c r="H87" s="35" t="str">
        <f>IFERROR(_xlfn.XLOOKUP(Table6[[#This Row],[Affected WTG]],'Basic Data'!$A:$A,'Basic Data'!$B:$B),"")</f>
        <v>TQGXIIPL</v>
      </c>
      <c r="I87" s="35" t="str">
        <f>IFERROR(_xlfn.XLOOKUP(Table6[[#This Row],[Affected WTG]],'Basic Data'!$A:$A,'Basic Data'!$C:$C),"")</f>
        <v>GEDA</v>
      </c>
      <c r="J87" s="471">
        <f>IFERROR(_xlfn.XLOOKUP(Table6[[#This Row],[Affected WTG]],'Basic Data'!$A:$A,'Basic Data'!$E:$E),"")</f>
        <v>3.846153846153845E-2</v>
      </c>
      <c r="K87" s="102">
        <v>178</v>
      </c>
      <c r="L87" s="35" t="str">
        <f>IFERROR(_xlfn.XLOOKUP(Table6[[#This Row],[Error Code]],'Basic Data'!$AA:$AA,'Basic Data'!$AB:$AB),"Incorrect Error Code")</f>
        <v>SLC MF safe operation speed limit</v>
      </c>
      <c r="M87" s="35" t="s">
        <v>291</v>
      </c>
      <c r="N87" s="475"/>
      <c r="O87" s="476">
        <v>0.82361111111111107</v>
      </c>
      <c r="P87" s="476">
        <v>0.82361111111111107</v>
      </c>
      <c r="Q87" s="477">
        <v>0.83888888888888891</v>
      </c>
      <c r="R87" s="472">
        <f>IF(Table6[[#This Row],[Work Start TimeStamp]]="","",(Table6[[#This Row],[Work Start TimeStamp]]-Table6[[#This Row],[Fault Start TimeStamp]])*24)</f>
        <v>0</v>
      </c>
      <c r="S87" s="472">
        <f>(Table6[[#This Row],[Fault Clearance time]]-Table6[[#This Row],[Work Start TimeStamp]])*24</f>
        <v>0.36666666666666803</v>
      </c>
      <c r="T87" s="472">
        <f>(Table6[[#This Row],[Fault Clearance time]]-Table6[[#This Row],[Fault Start TimeStamp]])*24</f>
        <v>0.36666666666666803</v>
      </c>
      <c r="U87" s="35" t="s">
        <v>349</v>
      </c>
      <c r="V87" s="102" t="s">
        <v>293</v>
      </c>
      <c r="W87" s="478">
        <f>IFERROR(Table6[[#This Row],[Breakdown Time]]*Table6[[#This Row],[Plant Equivalent Weightage]],"")</f>
        <v>1.4102564102564151E-2</v>
      </c>
      <c r="X87" s="473" t="s">
        <v>294</v>
      </c>
      <c r="Y87" s="474" t="s">
        <v>315</v>
      </c>
      <c r="Z87" s="102">
        <v>31048</v>
      </c>
      <c r="AA87" s="468">
        <f>(Table6[[#This Row],[Paired WTG Generation for loss calculation]]/24)*Table6[[#This Row],[Breakdown Time]]</f>
        <v>474.34444444444625</v>
      </c>
      <c r="AB87" s="102"/>
      <c r="AC87" s="35"/>
      <c r="AD87" s="35"/>
    </row>
    <row r="88" spans="1:30">
      <c r="A88" s="102">
        <f t="shared" si="2"/>
        <v>87</v>
      </c>
      <c r="B88" s="468">
        <f>YEAR(Table6[[#This Row],[Date]])+IF(MONTH(Table6[[#This Row],[Date]])&gt;=4,1,0)</f>
        <v>2026</v>
      </c>
      <c r="C88" s="102">
        <f>YEAR(Table6[[#This Row],[Date]])</f>
        <v>2025</v>
      </c>
      <c r="D88" s="102" t="s">
        <v>1992</v>
      </c>
      <c r="E88" s="469">
        <f>Table6[[#This Row],[Date]]-DAY(Table6[[#This Row],[Date]])+1</f>
        <v>45748</v>
      </c>
      <c r="F88" s="470">
        <v>45755</v>
      </c>
      <c r="G88" s="35" t="s">
        <v>75</v>
      </c>
      <c r="H88" s="35" t="str">
        <f>IFERROR(_xlfn.XLOOKUP(Table6[[#This Row],[Affected WTG]],'Basic Data'!$A:$A,'Basic Data'!$B:$B),"")</f>
        <v>TQGXIIPL</v>
      </c>
      <c r="I88" s="35" t="str">
        <f>IFERROR(_xlfn.XLOOKUP(Table6[[#This Row],[Affected WTG]],'Basic Data'!$A:$A,'Basic Data'!$C:$C),"")</f>
        <v>GEDA</v>
      </c>
      <c r="J88" s="471">
        <f>IFERROR(_xlfn.XLOOKUP(Table6[[#This Row],[Affected WTG]],'Basic Data'!$A:$A,'Basic Data'!$E:$E),"")</f>
        <v>3.846153846153845E-2</v>
      </c>
      <c r="K88" s="102">
        <v>3211</v>
      </c>
      <c r="L88" s="35" t="str">
        <f>IFERROR(_xlfn.XLOOKUP(Table6[[#This Row],[Error Code]],'Basic Data'!$AA:$AA,'Basic Data'!$AB:$AB),"Incorrect Error Code")</f>
        <v>Conv. load shedding (CAN)</v>
      </c>
      <c r="M88" s="35" t="s">
        <v>291</v>
      </c>
      <c r="N88" s="475"/>
      <c r="O88" s="476">
        <v>0.37569444444444444</v>
      </c>
      <c r="P88" s="476">
        <v>0.37569444444444444</v>
      </c>
      <c r="Q88" s="477">
        <v>0.37916666666666665</v>
      </c>
      <c r="R88" s="472">
        <f>IF(Table6[[#This Row],[Work Start TimeStamp]]="","",(Table6[[#This Row],[Work Start TimeStamp]]-Table6[[#This Row],[Fault Start TimeStamp]])*24)</f>
        <v>0</v>
      </c>
      <c r="S88" s="472">
        <f>(Table6[[#This Row],[Fault Clearance time]]-Table6[[#This Row],[Work Start TimeStamp]])*24</f>
        <v>8.3333333333333037E-2</v>
      </c>
      <c r="T88" s="472">
        <f>(Table6[[#This Row],[Fault Clearance time]]-Table6[[#This Row],[Fault Start TimeStamp]])*24</f>
        <v>8.3333333333333037E-2</v>
      </c>
      <c r="U88" s="35" t="s">
        <v>368</v>
      </c>
      <c r="V88" s="102" t="s">
        <v>293</v>
      </c>
      <c r="W88" s="478">
        <f>IFERROR(Table6[[#This Row],[Breakdown Time]]*Table6[[#This Row],[Plant Equivalent Weightage]],"")</f>
        <v>3.2051282051281929E-3</v>
      </c>
      <c r="X88" s="473" t="s">
        <v>294</v>
      </c>
      <c r="Y88" s="474" t="s">
        <v>318</v>
      </c>
      <c r="Z88" s="102">
        <v>29686</v>
      </c>
      <c r="AA88" s="468">
        <f>(Table6[[#This Row],[Paired WTG Generation for loss calculation]]/24)*Table6[[#This Row],[Breakdown Time]]</f>
        <v>103.07638888888853</v>
      </c>
      <c r="AB88" s="102"/>
      <c r="AC88" s="35"/>
      <c r="AD88" s="35"/>
    </row>
    <row r="89" spans="1:30">
      <c r="A89" s="102">
        <f t="shared" si="2"/>
        <v>88</v>
      </c>
      <c r="B89" s="468">
        <f>YEAR(Table6[[#This Row],[Date]])+IF(MONTH(Table6[[#This Row],[Date]])&gt;=4,1,0)</f>
        <v>2026</v>
      </c>
      <c r="C89" s="102">
        <f>YEAR(Table6[[#This Row],[Date]])</f>
        <v>2025</v>
      </c>
      <c r="D89" s="102" t="s">
        <v>1992</v>
      </c>
      <c r="E89" s="469">
        <f>Table6[[#This Row],[Date]]-DAY(Table6[[#This Row],[Date]])+1</f>
        <v>45748</v>
      </c>
      <c r="F89" s="470">
        <v>45755</v>
      </c>
      <c r="G89" s="35" t="s">
        <v>76</v>
      </c>
      <c r="H89" s="35" t="str">
        <f>IFERROR(_xlfn.XLOOKUP(Table6[[#This Row],[Affected WTG]],'Basic Data'!$A:$A,'Basic Data'!$B:$B),"")</f>
        <v>TQGXIIPL</v>
      </c>
      <c r="I89" s="35" t="str">
        <f>IFERROR(_xlfn.XLOOKUP(Table6[[#This Row],[Affected WTG]],'Basic Data'!$A:$A,'Basic Data'!$C:$C),"")</f>
        <v>GEDA</v>
      </c>
      <c r="J89" s="471">
        <f>IFERROR(_xlfn.XLOOKUP(Table6[[#This Row],[Affected WTG]],'Basic Data'!$A:$A,'Basic Data'!$E:$E),"")</f>
        <v>3.846153846153845E-2</v>
      </c>
      <c r="K89" s="102">
        <v>551</v>
      </c>
      <c r="L89" s="35" t="str">
        <f>IFERROR(_xlfn.XLOOKUP(Table6[[#This Row],[Error Code]],'Basic Data'!$AA:$AA,'Basic Data'!$AB:$AB),"Incorrect Error Code")</f>
        <v>Pitch motor current too high</v>
      </c>
      <c r="M89" s="35" t="s">
        <v>291</v>
      </c>
      <c r="N89" s="475"/>
      <c r="O89" s="476">
        <v>0.2951388888888889</v>
      </c>
      <c r="P89" s="476">
        <v>0.2951388888888889</v>
      </c>
      <c r="Q89" s="477">
        <v>0.30555555555555558</v>
      </c>
      <c r="R89" s="472">
        <f>IF(Table6[[#This Row],[Work Start TimeStamp]]="","",(Table6[[#This Row],[Work Start TimeStamp]]-Table6[[#This Row],[Fault Start TimeStamp]])*24)</f>
        <v>0</v>
      </c>
      <c r="S89" s="472">
        <f>(Table6[[#This Row],[Fault Clearance time]]-Table6[[#This Row],[Work Start TimeStamp]])*24</f>
        <v>0.25000000000000044</v>
      </c>
      <c r="T89" s="472">
        <f>(Table6[[#This Row],[Fault Clearance time]]-Table6[[#This Row],[Fault Start TimeStamp]])*24</f>
        <v>0.25000000000000044</v>
      </c>
      <c r="U89" s="35" t="s">
        <v>375</v>
      </c>
      <c r="V89" s="102" t="s">
        <v>293</v>
      </c>
      <c r="W89" s="478">
        <f>IFERROR(Table6[[#This Row],[Breakdown Time]]*Table6[[#This Row],[Plant Equivalent Weightage]],"")</f>
        <v>9.6153846153846298E-3</v>
      </c>
      <c r="X89" s="473" t="s">
        <v>294</v>
      </c>
      <c r="Y89" s="474" t="s">
        <v>309</v>
      </c>
      <c r="Z89" s="102">
        <v>23145</v>
      </c>
      <c r="AA89" s="468">
        <f>(Table6[[#This Row],[Paired WTG Generation for loss calculation]]/24)*Table6[[#This Row],[Breakdown Time]]</f>
        <v>241.09375000000043</v>
      </c>
      <c r="AB89" s="102"/>
      <c r="AC89" s="35"/>
      <c r="AD89" s="35"/>
    </row>
    <row r="90" spans="1:30">
      <c r="A90" s="102">
        <f t="shared" si="2"/>
        <v>89</v>
      </c>
      <c r="B90" s="468">
        <f>YEAR(Table6[[#This Row],[Date]])+IF(MONTH(Table6[[#This Row],[Date]])&gt;=4,1,0)</f>
        <v>2026</v>
      </c>
      <c r="C90" s="102">
        <f>YEAR(Table6[[#This Row],[Date]])</f>
        <v>2025</v>
      </c>
      <c r="D90" s="102" t="s">
        <v>1992</v>
      </c>
      <c r="E90" s="469">
        <f>Table6[[#This Row],[Date]]-DAY(Table6[[#This Row],[Date]])+1</f>
        <v>45748</v>
      </c>
      <c r="F90" s="470">
        <v>45755</v>
      </c>
      <c r="G90" s="35" t="s">
        <v>77</v>
      </c>
      <c r="H90" s="35" t="str">
        <f>IFERROR(_xlfn.XLOOKUP(Table6[[#This Row],[Affected WTG]],'Basic Data'!$A:$A,'Basic Data'!$B:$B),"")</f>
        <v>TQGXIIPL</v>
      </c>
      <c r="I90" s="35" t="str">
        <f>IFERROR(_xlfn.XLOOKUP(Table6[[#This Row],[Affected WTG]],'Basic Data'!$A:$A,'Basic Data'!$C:$C),"")</f>
        <v>GEDA</v>
      </c>
      <c r="J90" s="471">
        <f>IFERROR(_xlfn.XLOOKUP(Table6[[#This Row],[Affected WTG]],'Basic Data'!$A:$A,'Basic Data'!$E:$E),"")</f>
        <v>3.846153846153845E-2</v>
      </c>
      <c r="K90" s="102">
        <v>5700</v>
      </c>
      <c r="L90" s="35" t="str">
        <f>IFERROR(_xlfn.XLOOKUP(Table6[[#This Row],[Error Code]],'Basic Data'!$AA:$AA,'Basic Data'!$AB:$AB),"Incorrect Error Code")</f>
        <v>Max. operation time hydraulic</v>
      </c>
      <c r="M90" s="35" t="s">
        <v>291</v>
      </c>
      <c r="N90" s="475"/>
      <c r="O90" s="476">
        <v>0.54861111111111116</v>
      </c>
      <c r="P90" s="476">
        <v>0.54861111111111116</v>
      </c>
      <c r="Q90" s="477">
        <v>0.55555555555555558</v>
      </c>
      <c r="R90" s="472">
        <f>IF(Table6[[#This Row],[Work Start TimeStamp]]="","",(Table6[[#This Row],[Work Start TimeStamp]]-Table6[[#This Row],[Fault Start TimeStamp]])*24)</f>
        <v>0</v>
      </c>
      <c r="S90" s="472">
        <f>(Table6[[#This Row],[Fault Clearance time]]-Table6[[#This Row],[Work Start TimeStamp]])*24</f>
        <v>0.16666666666666607</v>
      </c>
      <c r="T90" s="472">
        <f>(Table6[[#This Row],[Fault Clearance time]]-Table6[[#This Row],[Fault Start TimeStamp]])*24</f>
        <v>0.16666666666666607</v>
      </c>
      <c r="U90" s="35" t="s">
        <v>349</v>
      </c>
      <c r="V90" s="102" t="s">
        <v>293</v>
      </c>
      <c r="W90" s="478">
        <f>IFERROR(Table6[[#This Row],[Breakdown Time]]*Table6[[#This Row],[Plant Equivalent Weightage]],"")</f>
        <v>6.4102564102563857E-3</v>
      </c>
      <c r="X90" s="473" t="s">
        <v>294</v>
      </c>
      <c r="Y90" s="474" t="s">
        <v>310</v>
      </c>
      <c r="Z90" s="102">
        <v>31884</v>
      </c>
      <c r="AA90" s="468">
        <f>(Table6[[#This Row],[Paired WTG Generation for loss calculation]]/24)*Table6[[#This Row],[Breakdown Time]]</f>
        <v>221.41666666666589</v>
      </c>
      <c r="AB90" s="102"/>
      <c r="AC90" s="35"/>
      <c r="AD90" s="35"/>
    </row>
    <row r="91" spans="1:30">
      <c r="A91" s="102">
        <f t="shared" si="2"/>
        <v>90</v>
      </c>
      <c r="B91" s="468">
        <f>YEAR(Table6[[#This Row],[Date]])+IF(MONTH(Table6[[#This Row],[Date]])&gt;=4,1,0)</f>
        <v>2026</v>
      </c>
      <c r="C91" s="102">
        <f>YEAR(Table6[[#This Row],[Date]])</f>
        <v>2025</v>
      </c>
      <c r="D91" s="102" t="s">
        <v>1992</v>
      </c>
      <c r="E91" s="469">
        <f>Table6[[#This Row],[Date]]-DAY(Table6[[#This Row],[Date]])+1</f>
        <v>45748</v>
      </c>
      <c r="F91" s="470">
        <v>45755</v>
      </c>
      <c r="G91" s="35" t="s">
        <v>77</v>
      </c>
      <c r="H91" s="35" t="str">
        <f>IFERROR(_xlfn.XLOOKUP(Table6[[#This Row],[Affected WTG]],'Basic Data'!$A:$A,'Basic Data'!$B:$B),"")</f>
        <v>TQGXIIPL</v>
      </c>
      <c r="I91" s="35" t="str">
        <f>IFERROR(_xlfn.XLOOKUP(Table6[[#This Row],[Affected WTG]],'Basic Data'!$A:$A,'Basic Data'!$C:$C),"")</f>
        <v>GEDA</v>
      </c>
      <c r="J91" s="471">
        <f>IFERROR(_xlfn.XLOOKUP(Table6[[#This Row],[Affected WTG]],'Basic Data'!$A:$A,'Basic Data'!$E:$E),"")</f>
        <v>3.846153846153845E-2</v>
      </c>
      <c r="K91" s="102">
        <v>6300</v>
      </c>
      <c r="L91" s="35" t="str">
        <f>IFERROR(_xlfn.XLOOKUP(Table6[[#This Row],[Error Code]],'Basic Data'!$AA:$AA,'Basic Data'!$AB:$AB),"Incorrect Error Code")</f>
        <v>Yaw error</v>
      </c>
      <c r="M91" s="35" t="s">
        <v>292</v>
      </c>
      <c r="N91" s="475"/>
      <c r="O91" s="476">
        <v>0.65</v>
      </c>
      <c r="P91" s="476">
        <v>0.65</v>
      </c>
      <c r="Q91" s="477">
        <v>0.65069444444444446</v>
      </c>
      <c r="R91" s="472">
        <f>IF(Table6[[#This Row],[Work Start TimeStamp]]="","",(Table6[[#This Row],[Work Start TimeStamp]]-Table6[[#This Row],[Fault Start TimeStamp]])*24)</f>
        <v>0</v>
      </c>
      <c r="S91" s="472">
        <f>(Table6[[#This Row],[Fault Clearance time]]-Table6[[#This Row],[Work Start TimeStamp]])*24</f>
        <v>1.6666666666666607E-2</v>
      </c>
      <c r="T91" s="472">
        <f>(Table6[[#This Row],[Fault Clearance time]]-Table6[[#This Row],[Fault Start TimeStamp]])*24</f>
        <v>1.6666666666666607E-2</v>
      </c>
      <c r="U91" s="35" t="s">
        <v>336</v>
      </c>
      <c r="V91" s="102" t="s">
        <v>293</v>
      </c>
      <c r="W91" s="478">
        <f>IFERROR(Table6[[#This Row],[Breakdown Time]]*Table6[[#This Row],[Plant Equivalent Weightage]],"")</f>
        <v>6.4102564102563853E-4</v>
      </c>
      <c r="X91" s="473" t="s">
        <v>294</v>
      </c>
      <c r="Y91" s="474" t="s">
        <v>310</v>
      </c>
      <c r="Z91" s="102">
        <v>31884</v>
      </c>
      <c r="AA91" s="468">
        <f>(Table6[[#This Row],[Paired WTG Generation for loss calculation]]/24)*Table6[[#This Row],[Breakdown Time]]</f>
        <v>22.141666666666588</v>
      </c>
      <c r="AB91" s="102"/>
      <c r="AC91" s="35"/>
      <c r="AD91" s="35"/>
    </row>
    <row r="92" spans="1:30">
      <c r="A92" s="102">
        <f t="shared" si="2"/>
        <v>91</v>
      </c>
      <c r="B92" s="468">
        <f>YEAR(Table6[[#This Row],[Date]])+IF(MONTH(Table6[[#This Row],[Date]])&gt;=4,1,0)</f>
        <v>2026</v>
      </c>
      <c r="C92" s="102">
        <f>YEAR(Table6[[#This Row],[Date]])</f>
        <v>2025</v>
      </c>
      <c r="D92" s="102" t="s">
        <v>1992</v>
      </c>
      <c r="E92" s="469">
        <f>Table6[[#This Row],[Date]]-DAY(Table6[[#This Row],[Date]])+1</f>
        <v>45748</v>
      </c>
      <c r="F92" s="470">
        <v>45755</v>
      </c>
      <c r="G92" s="35" t="s">
        <v>77</v>
      </c>
      <c r="H92" s="35" t="str">
        <f>IFERROR(_xlfn.XLOOKUP(Table6[[#This Row],[Affected WTG]],'Basic Data'!$A:$A,'Basic Data'!$B:$B),"")</f>
        <v>TQGXIIPL</v>
      </c>
      <c r="I92" s="35" t="str">
        <f>IFERROR(_xlfn.XLOOKUP(Table6[[#This Row],[Affected WTG]],'Basic Data'!$A:$A,'Basic Data'!$C:$C),"")</f>
        <v>GEDA</v>
      </c>
      <c r="J92" s="471">
        <f>IFERROR(_xlfn.XLOOKUP(Table6[[#This Row],[Affected WTG]],'Basic Data'!$A:$A,'Basic Data'!$E:$E),"")</f>
        <v>3.846153846153845E-2</v>
      </c>
      <c r="K92" s="102">
        <v>5700</v>
      </c>
      <c r="L92" s="35" t="str">
        <f>IFERROR(_xlfn.XLOOKUP(Table6[[#This Row],[Error Code]],'Basic Data'!$AA:$AA,'Basic Data'!$AB:$AB),"Incorrect Error Code")</f>
        <v>Max. operation time hydraulic</v>
      </c>
      <c r="M92" s="35" t="s">
        <v>291</v>
      </c>
      <c r="N92" s="475"/>
      <c r="O92" s="476">
        <v>0.73958333333333337</v>
      </c>
      <c r="P92" s="476">
        <v>0.74097222222222225</v>
      </c>
      <c r="Q92" s="477">
        <v>0.77430555555555558</v>
      </c>
      <c r="R92" s="472">
        <f>IF(Table6[[#This Row],[Work Start TimeStamp]]="","",(Table6[[#This Row],[Work Start TimeStamp]]-Table6[[#This Row],[Fault Start TimeStamp]])*24)</f>
        <v>3.3333333333333215E-2</v>
      </c>
      <c r="S92" s="472">
        <f>(Table6[[#This Row],[Fault Clearance time]]-Table6[[#This Row],[Work Start TimeStamp]])*24</f>
        <v>0.79999999999999982</v>
      </c>
      <c r="T92" s="472">
        <f>(Table6[[#This Row],[Fault Clearance time]]-Table6[[#This Row],[Fault Start TimeStamp]])*24</f>
        <v>0.83333333333333304</v>
      </c>
      <c r="U92" s="35" t="s">
        <v>376</v>
      </c>
      <c r="V92" s="102" t="s">
        <v>293</v>
      </c>
      <c r="W92" s="478">
        <f>IFERROR(Table6[[#This Row],[Breakdown Time]]*Table6[[#This Row],[Plant Equivalent Weightage]],"")</f>
        <v>3.2051282051282028E-2</v>
      </c>
      <c r="X92" s="473" t="s">
        <v>294</v>
      </c>
      <c r="Y92" s="474" t="s">
        <v>310</v>
      </c>
      <c r="Z92" s="102">
        <v>31884</v>
      </c>
      <c r="AA92" s="468">
        <f>(Table6[[#This Row],[Paired WTG Generation for loss calculation]]/24)*Table6[[#This Row],[Breakdown Time]]</f>
        <v>1107.083333333333</v>
      </c>
      <c r="AB92" s="102"/>
      <c r="AC92" s="35"/>
      <c r="AD92" s="35"/>
    </row>
    <row r="93" spans="1:30">
      <c r="A93" s="102">
        <f t="shared" si="2"/>
        <v>92</v>
      </c>
      <c r="B93" s="468">
        <f>YEAR(Table6[[#This Row],[Date]])+IF(MONTH(Table6[[#This Row],[Date]])&gt;=4,1,0)</f>
        <v>2026</v>
      </c>
      <c r="C93" s="102">
        <f>YEAR(Table6[[#This Row],[Date]])</f>
        <v>2025</v>
      </c>
      <c r="D93" s="102" t="s">
        <v>1992</v>
      </c>
      <c r="E93" s="469">
        <f>Table6[[#This Row],[Date]]-DAY(Table6[[#This Row],[Date]])+1</f>
        <v>45748</v>
      </c>
      <c r="F93" s="470">
        <v>45755</v>
      </c>
      <c r="G93" s="35" t="s">
        <v>78</v>
      </c>
      <c r="H93" s="35" t="str">
        <f>IFERROR(_xlfn.XLOOKUP(Table6[[#This Row],[Affected WTG]],'Basic Data'!$A:$A,'Basic Data'!$B:$B),"")</f>
        <v>TQGXIIPL</v>
      </c>
      <c r="I93" s="35" t="str">
        <f>IFERROR(_xlfn.XLOOKUP(Table6[[#This Row],[Affected WTG]],'Basic Data'!$A:$A,'Basic Data'!$C:$C),"")</f>
        <v>GEDA</v>
      </c>
      <c r="J93" s="471">
        <f>IFERROR(_xlfn.XLOOKUP(Table6[[#This Row],[Affected WTG]],'Basic Data'!$A:$A,'Basic Data'!$E:$E),"")</f>
        <v>3.846153846153845E-2</v>
      </c>
      <c r="K93" s="102">
        <v>3211</v>
      </c>
      <c r="L93" s="35" t="str">
        <f>IFERROR(_xlfn.XLOOKUP(Table6[[#This Row],[Error Code]],'Basic Data'!$AA:$AA,'Basic Data'!$AB:$AB),"Incorrect Error Code")</f>
        <v>Conv. load shedding (CAN)</v>
      </c>
      <c r="M93" s="35" t="s">
        <v>292</v>
      </c>
      <c r="N93" s="475"/>
      <c r="O93" s="476">
        <v>0.1361111111111111</v>
      </c>
      <c r="P93" s="476">
        <v>0.1361111111111111</v>
      </c>
      <c r="Q93" s="477">
        <v>0.13819444444444445</v>
      </c>
      <c r="R93" s="472">
        <f>IF(Table6[[#This Row],[Work Start TimeStamp]]="","",(Table6[[#This Row],[Work Start TimeStamp]]-Table6[[#This Row],[Fault Start TimeStamp]])*24)</f>
        <v>0</v>
      </c>
      <c r="S93" s="472">
        <f>(Table6[[#This Row],[Fault Clearance time]]-Table6[[#This Row],[Work Start TimeStamp]])*24</f>
        <v>5.0000000000000488E-2</v>
      </c>
      <c r="T93" s="472">
        <f>(Table6[[#This Row],[Fault Clearance time]]-Table6[[#This Row],[Fault Start TimeStamp]])*24</f>
        <v>5.0000000000000488E-2</v>
      </c>
      <c r="U93" s="35" t="s">
        <v>336</v>
      </c>
      <c r="V93" s="102" t="s">
        <v>293</v>
      </c>
      <c r="W93" s="478">
        <f>IFERROR(Table6[[#This Row],[Breakdown Time]]*Table6[[#This Row],[Plant Equivalent Weightage]],"")</f>
        <v>1.9230769230769412E-3</v>
      </c>
      <c r="X93" s="473" t="s">
        <v>294</v>
      </c>
      <c r="Y93" s="474" t="s">
        <v>333</v>
      </c>
      <c r="Z93" s="102">
        <v>38913</v>
      </c>
      <c r="AA93" s="468">
        <f>(Table6[[#This Row],[Paired WTG Generation for loss calculation]]/24)*Table6[[#This Row],[Breakdown Time]]</f>
        <v>81.06875000000079</v>
      </c>
      <c r="AB93" s="102"/>
      <c r="AC93" s="35"/>
      <c r="AD93" s="35"/>
    </row>
    <row r="94" spans="1:30">
      <c r="A94" s="102">
        <f t="shared" si="2"/>
        <v>93</v>
      </c>
      <c r="B94" s="468">
        <f>YEAR(Table6[[#This Row],[Date]])+IF(MONTH(Table6[[#This Row],[Date]])&gt;=4,1,0)</f>
        <v>2026</v>
      </c>
      <c r="C94" s="102">
        <f>YEAR(Table6[[#This Row],[Date]])</f>
        <v>2025</v>
      </c>
      <c r="D94" s="102" t="s">
        <v>1992</v>
      </c>
      <c r="E94" s="469">
        <f>Table6[[#This Row],[Date]]-DAY(Table6[[#This Row],[Date]])+1</f>
        <v>45748</v>
      </c>
      <c r="F94" s="470">
        <v>45755</v>
      </c>
      <c r="G94" s="35" t="s">
        <v>78</v>
      </c>
      <c r="H94" s="35" t="str">
        <f>IFERROR(_xlfn.XLOOKUP(Table6[[#This Row],[Affected WTG]],'Basic Data'!$A:$A,'Basic Data'!$B:$B),"")</f>
        <v>TQGXIIPL</v>
      </c>
      <c r="I94" s="35" t="str">
        <f>IFERROR(_xlfn.XLOOKUP(Table6[[#This Row],[Affected WTG]],'Basic Data'!$A:$A,'Basic Data'!$C:$C),"")</f>
        <v>GEDA</v>
      </c>
      <c r="J94" s="471">
        <f>IFERROR(_xlfn.XLOOKUP(Table6[[#This Row],[Affected WTG]],'Basic Data'!$A:$A,'Basic Data'!$E:$E),"")</f>
        <v>3.846153846153845E-2</v>
      </c>
      <c r="K94" s="102">
        <v>3211</v>
      </c>
      <c r="L94" s="35" t="str">
        <f>IFERROR(_xlfn.XLOOKUP(Table6[[#This Row],[Error Code]],'Basic Data'!$AA:$AA,'Basic Data'!$AB:$AB),"Incorrect Error Code")</f>
        <v>Conv. load shedding (CAN)</v>
      </c>
      <c r="M94" s="35" t="s">
        <v>291</v>
      </c>
      <c r="N94" s="475"/>
      <c r="O94" s="476">
        <v>0.17708333333333334</v>
      </c>
      <c r="P94" s="476">
        <v>0.17708333333333334</v>
      </c>
      <c r="Q94" s="477">
        <v>0.23958333333333334</v>
      </c>
      <c r="R94" s="472">
        <f>IF(Table6[[#This Row],[Work Start TimeStamp]]="","",(Table6[[#This Row],[Work Start TimeStamp]]-Table6[[#This Row],[Fault Start TimeStamp]])*24)</f>
        <v>0</v>
      </c>
      <c r="S94" s="472">
        <f>(Table6[[#This Row],[Fault Clearance time]]-Table6[[#This Row],[Work Start TimeStamp]])*24</f>
        <v>1.5</v>
      </c>
      <c r="T94" s="472">
        <f>(Table6[[#This Row],[Fault Clearance time]]-Table6[[#This Row],[Fault Start TimeStamp]])*24</f>
        <v>1.5</v>
      </c>
      <c r="U94" s="35" t="s">
        <v>377</v>
      </c>
      <c r="V94" s="102" t="s">
        <v>293</v>
      </c>
      <c r="W94" s="478">
        <f>IFERROR(Table6[[#This Row],[Breakdown Time]]*Table6[[#This Row],[Plant Equivalent Weightage]],"")</f>
        <v>5.7692307692307675E-2</v>
      </c>
      <c r="X94" s="473" t="s">
        <v>294</v>
      </c>
      <c r="Y94" s="474" t="s">
        <v>333</v>
      </c>
      <c r="Z94" s="102">
        <v>38913</v>
      </c>
      <c r="AA94" s="468">
        <f>(Table6[[#This Row],[Paired WTG Generation for loss calculation]]/24)*Table6[[#This Row],[Breakdown Time]]</f>
        <v>2432.0625</v>
      </c>
      <c r="AB94" s="102"/>
      <c r="AC94" s="35"/>
      <c r="AD94" s="35"/>
    </row>
    <row r="95" spans="1:30">
      <c r="A95" s="102">
        <f t="shared" si="2"/>
        <v>94</v>
      </c>
      <c r="B95" s="468">
        <f>YEAR(Table6[[#This Row],[Date]])+IF(MONTH(Table6[[#This Row],[Date]])&gt;=4,1,0)</f>
        <v>2026</v>
      </c>
      <c r="C95" s="102">
        <f>YEAR(Table6[[#This Row],[Date]])</f>
        <v>2025</v>
      </c>
      <c r="D95" s="102" t="s">
        <v>1992</v>
      </c>
      <c r="E95" s="469">
        <f>Table6[[#This Row],[Date]]-DAY(Table6[[#This Row],[Date]])+1</f>
        <v>45748</v>
      </c>
      <c r="F95" s="470">
        <v>45755</v>
      </c>
      <c r="G95" s="35" t="s">
        <v>78</v>
      </c>
      <c r="H95" s="35" t="str">
        <f>IFERROR(_xlfn.XLOOKUP(Table6[[#This Row],[Affected WTG]],'Basic Data'!$A:$A,'Basic Data'!$B:$B),"")</f>
        <v>TQGXIIPL</v>
      </c>
      <c r="I95" s="35" t="str">
        <f>IFERROR(_xlfn.XLOOKUP(Table6[[#This Row],[Affected WTG]],'Basic Data'!$A:$A,'Basic Data'!$C:$C),"")</f>
        <v>GEDA</v>
      </c>
      <c r="J95" s="471">
        <f>IFERROR(_xlfn.XLOOKUP(Table6[[#This Row],[Affected WTG]],'Basic Data'!$A:$A,'Basic Data'!$E:$E),"")</f>
        <v>3.846153846153845E-2</v>
      </c>
      <c r="K95" s="102">
        <v>3211</v>
      </c>
      <c r="L95" s="35" t="str">
        <f>IFERROR(_xlfn.XLOOKUP(Table6[[#This Row],[Error Code]],'Basic Data'!$AA:$AA,'Basic Data'!$AB:$AB),"Incorrect Error Code")</f>
        <v>Conv. load shedding (CAN)</v>
      </c>
      <c r="M95" s="35" t="s">
        <v>291</v>
      </c>
      <c r="N95" s="475"/>
      <c r="O95" s="476">
        <v>0.47916666666666669</v>
      </c>
      <c r="P95" s="476">
        <v>0.47916666666666669</v>
      </c>
      <c r="Q95" s="477">
        <v>0.55555555555555558</v>
      </c>
      <c r="R95" s="472">
        <f>IF(Table6[[#This Row],[Work Start TimeStamp]]="","",(Table6[[#This Row],[Work Start TimeStamp]]-Table6[[#This Row],[Fault Start TimeStamp]])*24)</f>
        <v>0</v>
      </c>
      <c r="S95" s="472">
        <f>(Table6[[#This Row],[Fault Clearance time]]-Table6[[#This Row],[Work Start TimeStamp]])*24</f>
        <v>1.8333333333333335</v>
      </c>
      <c r="T95" s="472">
        <f>(Table6[[#This Row],[Fault Clearance time]]-Table6[[#This Row],[Fault Start TimeStamp]])*24</f>
        <v>1.8333333333333335</v>
      </c>
      <c r="U95" s="35" t="s">
        <v>378</v>
      </c>
      <c r="V95" s="102" t="s">
        <v>293</v>
      </c>
      <c r="W95" s="478">
        <f>IFERROR(Table6[[#This Row],[Breakdown Time]]*Table6[[#This Row],[Plant Equivalent Weightage]],"")</f>
        <v>7.0512820512820498E-2</v>
      </c>
      <c r="X95" s="473" t="s">
        <v>294</v>
      </c>
      <c r="Y95" s="474" t="s">
        <v>333</v>
      </c>
      <c r="Z95" s="102">
        <v>38913</v>
      </c>
      <c r="AA95" s="468">
        <f>(Table6[[#This Row],[Paired WTG Generation for loss calculation]]/24)*Table6[[#This Row],[Breakdown Time]]</f>
        <v>2972.5208333333335</v>
      </c>
      <c r="AB95" s="102"/>
      <c r="AC95" s="35"/>
      <c r="AD95" s="35"/>
    </row>
    <row r="96" spans="1:30">
      <c r="A96" s="102">
        <f t="shared" si="2"/>
        <v>95</v>
      </c>
      <c r="B96" s="468">
        <f>YEAR(Table6[[#This Row],[Date]])+IF(MONTH(Table6[[#This Row],[Date]])&gt;=4,1,0)</f>
        <v>2026</v>
      </c>
      <c r="C96" s="102">
        <f>YEAR(Table6[[#This Row],[Date]])</f>
        <v>2025</v>
      </c>
      <c r="D96" s="102" t="s">
        <v>1992</v>
      </c>
      <c r="E96" s="469">
        <f>Table6[[#This Row],[Date]]-DAY(Table6[[#This Row],[Date]])+1</f>
        <v>45748</v>
      </c>
      <c r="F96" s="470">
        <v>45755</v>
      </c>
      <c r="G96" s="35" t="s">
        <v>81</v>
      </c>
      <c r="H96" s="35" t="str">
        <f>IFERROR(_xlfn.XLOOKUP(Table6[[#This Row],[Affected WTG]],'Basic Data'!$A:$A,'Basic Data'!$B:$B),"")</f>
        <v>TQGXIIPL</v>
      </c>
      <c r="I96" s="35" t="str">
        <f>IFERROR(_xlfn.XLOOKUP(Table6[[#This Row],[Affected WTG]],'Basic Data'!$A:$A,'Basic Data'!$C:$C),"")</f>
        <v>GEDA</v>
      </c>
      <c r="J96" s="471">
        <f>IFERROR(_xlfn.XLOOKUP(Table6[[#This Row],[Affected WTG]],'Basic Data'!$A:$A,'Basic Data'!$E:$E),"")</f>
        <v>3.846153846153845E-2</v>
      </c>
      <c r="K96" s="102">
        <v>4520</v>
      </c>
      <c r="L96" s="35" t="str">
        <f>IFERROR(_xlfn.XLOOKUP(Table6[[#This Row],[Error Code]],'Basic Data'!$AA:$AA,'Basic Data'!$AB:$AB),"Incorrect Error Code")</f>
        <v>Tower oscillation X level 1</v>
      </c>
      <c r="M96" s="35" t="s">
        <v>292</v>
      </c>
      <c r="N96" s="475"/>
      <c r="O96" s="476">
        <v>0.27986111111111112</v>
      </c>
      <c r="P96" s="476">
        <v>0.27986111111111112</v>
      </c>
      <c r="Q96" s="477">
        <v>0.28749999999999998</v>
      </c>
      <c r="R96" s="472">
        <f>IF(Table6[[#This Row],[Work Start TimeStamp]]="","",(Table6[[#This Row],[Work Start TimeStamp]]-Table6[[#This Row],[Fault Start TimeStamp]])*24)</f>
        <v>0</v>
      </c>
      <c r="S96" s="472">
        <f>(Table6[[#This Row],[Fault Clearance time]]-Table6[[#This Row],[Work Start TimeStamp]])*24</f>
        <v>0.18333333333333268</v>
      </c>
      <c r="T96" s="472">
        <f>(Table6[[#This Row],[Fault Clearance time]]-Table6[[#This Row],[Fault Start TimeStamp]])*24</f>
        <v>0.18333333333333268</v>
      </c>
      <c r="U96" s="35" t="s">
        <v>336</v>
      </c>
      <c r="V96" s="102" t="s">
        <v>293</v>
      </c>
      <c r="W96" s="478">
        <f>IFERROR(Table6[[#This Row],[Breakdown Time]]*Table6[[#This Row],[Plant Equivalent Weightage]],"")</f>
        <v>7.0512820512820245E-3</v>
      </c>
      <c r="X96" s="473" t="s">
        <v>294</v>
      </c>
      <c r="Y96" s="474" t="s">
        <v>321</v>
      </c>
      <c r="Z96" s="102">
        <v>23956</v>
      </c>
      <c r="AA96" s="468">
        <f>(Table6[[#This Row],[Paired WTG Generation for loss calculation]]/24)*Table6[[#This Row],[Breakdown Time]]</f>
        <v>182.99722222222155</v>
      </c>
      <c r="AB96" s="102"/>
      <c r="AC96" s="35"/>
      <c r="AD96" s="35"/>
    </row>
    <row r="97" spans="1:30">
      <c r="A97" s="102">
        <f t="shared" si="2"/>
        <v>96</v>
      </c>
      <c r="B97" s="468">
        <f>YEAR(Table6[[#This Row],[Date]])+IF(MONTH(Table6[[#This Row],[Date]])&gt;=4,1,0)</f>
        <v>2026</v>
      </c>
      <c r="C97" s="102">
        <f>YEAR(Table6[[#This Row],[Date]])</f>
        <v>2025</v>
      </c>
      <c r="D97" s="102" t="s">
        <v>1992</v>
      </c>
      <c r="E97" s="469">
        <f>Table6[[#This Row],[Date]]-DAY(Table6[[#This Row],[Date]])+1</f>
        <v>45748</v>
      </c>
      <c r="F97" s="470">
        <v>45755</v>
      </c>
      <c r="G97" s="35" t="s">
        <v>81</v>
      </c>
      <c r="H97" s="35" t="str">
        <f>IFERROR(_xlfn.XLOOKUP(Table6[[#This Row],[Affected WTG]],'Basic Data'!$A:$A,'Basic Data'!$B:$B),"")</f>
        <v>TQGXIIPL</v>
      </c>
      <c r="I97" s="35" t="str">
        <f>IFERROR(_xlfn.XLOOKUP(Table6[[#This Row],[Affected WTG]],'Basic Data'!$A:$A,'Basic Data'!$C:$C),"")</f>
        <v>GEDA</v>
      </c>
      <c r="J97" s="471">
        <f>IFERROR(_xlfn.XLOOKUP(Table6[[#This Row],[Affected WTG]],'Basic Data'!$A:$A,'Basic Data'!$E:$E),"")</f>
        <v>3.846153846153845E-2</v>
      </c>
      <c r="K97" s="102">
        <v>6130</v>
      </c>
      <c r="L97" s="35" t="str">
        <f>IFERROR(_xlfn.XLOOKUP(Table6[[#This Row],[Error Code]],'Basic Data'!$AA:$AA,'Basic Data'!$AB:$AB),"Incorrect Error Code")</f>
        <v>Yaw speed high</v>
      </c>
      <c r="M97" s="35" t="s">
        <v>292</v>
      </c>
      <c r="N97" s="475"/>
      <c r="O97" s="476">
        <v>0.87013888888888891</v>
      </c>
      <c r="P97" s="476">
        <v>0.87013888888888891</v>
      </c>
      <c r="Q97" s="477">
        <v>0.87222222222222223</v>
      </c>
      <c r="R97" s="472">
        <f>IF(Table6[[#This Row],[Work Start TimeStamp]]="","",(Table6[[#This Row],[Work Start TimeStamp]]-Table6[[#This Row],[Fault Start TimeStamp]])*24)</f>
        <v>0</v>
      </c>
      <c r="S97" s="472">
        <f>(Table6[[#This Row],[Fault Clearance time]]-Table6[[#This Row],[Work Start TimeStamp]])*24</f>
        <v>4.9999999999999822E-2</v>
      </c>
      <c r="T97" s="472">
        <f>(Table6[[#This Row],[Fault Clearance time]]-Table6[[#This Row],[Fault Start TimeStamp]])*24</f>
        <v>4.9999999999999822E-2</v>
      </c>
      <c r="U97" s="35" t="s">
        <v>336</v>
      </c>
      <c r="V97" s="102" t="s">
        <v>293</v>
      </c>
      <c r="W97" s="478">
        <f>IFERROR(Table6[[#This Row],[Breakdown Time]]*Table6[[#This Row],[Plant Equivalent Weightage]],"")</f>
        <v>1.9230769230769156E-3</v>
      </c>
      <c r="X97" s="473" t="s">
        <v>294</v>
      </c>
      <c r="Y97" s="474" t="s">
        <v>321</v>
      </c>
      <c r="Z97" s="102">
        <v>23956</v>
      </c>
      <c r="AA97" s="468">
        <f>(Table6[[#This Row],[Paired WTG Generation for loss calculation]]/24)*Table6[[#This Row],[Breakdown Time]]</f>
        <v>49.908333333333154</v>
      </c>
      <c r="AB97" s="102"/>
      <c r="AC97" s="35"/>
      <c r="AD97" s="35"/>
    </row>
    <row r="98" spans="1:30">
      <c r="A98" s="102">
        <f t="shared" si="2"/>
        <v>97</v>
      </c>
      <c r="B98" s="468">
        <f>YEAR(Table6[[#This Row],[Date]])+IF(MONTH(Table6[[#This Row],[Date]])&gt;=4,1,0)</f>
        <v>2026</v>
      </c>
      <c r="C98" s="102">
        <f>YEAR(Table6[[#This Row],[Date]])</f>
        <v>2025</v>
      </c>
      <c r="D98" s="102" t="s">
        <v>1992</v>
      </c>
      <c r="E98" s="469">
        <f>Table6[[#This Row],[Date]]-DAY(Table6[[#This Row],[Date]])+1</f>
        <v>45748</v>
      </c>
      <c r="F98" s="470">
        <v>45755</v>
      </c>
      <c r="G98" s="35" t="s">
        <v>84</v>
      </c>
      <c r="H98" s="35" t="str">
        <f>IFERROR(_xlfn.XLOOKUP(Table6[[#This Row],[Affected WTG]],'Basic Data'!$A:$A,'Basic Data'!$B:$B),"")</f>
        <v>TQGXIIPL</v>
      </c>
      <c r="I98" s="35" t="str">
        <f>IFERROR(_xlfn.XLOOKUP(Table6[[#This Row],[Affected WTG]],'Basic Data'!$A:$A,'Basic Data'!$C:$C),"")</f>
        <v>GEDA</v>
      </c>
      <c r="J98" s="471">
        <f>IFERROR(_xlfn.XLOOKUP(Table6[[#This Row],[Affected WTG]],'Basic Data'!$A:$A,'Basic Data'!$E:$E),"")</f>
        <v>3.846153846153845E-2</v>
      </c>
      <c r="K98" s="102">
        <v>665</v>
      </c>
      <c r="L98" s="35" t="str">
        <f>IFERROR(_xlfn.XLOOKUP(Table6[[#This Row],[Error Code]],'Basic Data'!$AA:$AA,'Basic Data'!$AB:$AB),"Incorrect Error Code")</f>
        <v>Pitch error</v>
      </c>
      <c r="M98" s="35" t="s">
        <v>291</v>
      </c>
      <c r="N98" s="475"/>
      <c r="O98" s="476">
        <v>0.90972222222222221</v>
      </c>
      <c r="P98" s="476">
        <v>0.94097222222222221</v>
      </c>
      <c r="Q98" s="477">
        <v>0.99305555555555558</v>
      </c>
      <c r="R98" s="472">
        <f>IF(Table6[[#This Row],[Work Start TimeStamp]]="","",(Table6[[#This Row],[Work Start TimeStamp]]-Table6[[#This Row],[Fault Start TimeStamp]])*24)</f>
        <v>0.75</v>
      </c>
      <c r="S98" s="472">
        <f>(Table6[[#This Row],[Fault Clearance time]]-Table6[[#This Row],[Work Start TimeStamp]])*24</f>
        <v>1.2500000000000009</v>
      </c>
      <c r="T98" s="472">
        <f>(Table6[[#This Row],[Fault Clearance time]]-Table6[[#This Row],[Fault Start TimeStamp]])*24</f>
        <v>2.0000000000000009</v>
      </c>
      <c r="U98" s="35" t="s">
        <v>379</v>
      </c>
      <c r="V98" s="102" t="s">
        <v>293</v>
      </c>
      <c r="W98" s="478">
        <f>IFERROR(Table6[[#This Row],[Breakdown Time]]*Table6[[#This Row],[Plant Equivalent Weightage]],"")</f>
        <v>7.6923076923076927E-2</v>
      </c>
      <c r="X98" s="473" t="s">
        <v>294</v>
      </c>
      <c r="Y98" s="474" t="s">
        <v>327</v>
      </c>
      <c r="Z98" s="102">
        <v>32730</v>
      </c>
      <c r="AA98" s="468">
        <f>(Table6[[#This Row],[Paired WTG Generation for loss calculation]]/24)*Table6[[#This Row],[Breakdown Time]]</f>
        <v>2727.5000000000014</v>
      </c>
      <c r="AB98" s="102"/>
      <c r="AC98" s="35"/>
      <c r="AD98" s="35"/>
    </row>
    <row r="99" spans="1:30">
      <c r="A99" s="102">
        <f t="shared" si="2"/>
        <v>98</v>
      </c>
      <c r="B99" s="468">
        <f>YEAR(Table6[[#This Row],[Date]])+IF(MONTH(Table6[[#This Row],[Date]])&gt;=4,1,0)</f>
        <v>2026</v>
      </c>
      <c r="C99" s="102">
        <f>YEAR(Table6[[#This Row],[Date]])</f>
        <v>2025</v>
      </c>
      <c r="D99" s="102" t="s">
        <v>1992</v>
      </c>
      <c r="E99" s="469">
        <f>Table6[[#This Row],[Date]]-DAY(Table6[[#This Row],[Date]])+1</f>
        <v>45748</v>
      </c>
      <c r="F99" s="470">
        <v>45755</v>
      </c>
      <c r="G99" s="35" t="s">
        <v>89</v>
      </c>
      <c r="H99" s="35" t="str">
        <f>IFERROR(_xlfn.XLOOKUP(Table6[[#This Row],[Affected WTG]],'Basic Data'!$A:$A,'Basic Data'!$B:$B),"")</f>
        <v>TQGXIIPL</v>
      </c>
      <c r="I99" s="35" t="str">
        <f>IFERROR(_xlfn.XLOOKUP(Table6[[#This Row],[Affected WTG]],'Basic Data'!$A:$A,'Basic Data'!$C:$C),"")</f>
        <v>GEDA</v>
      </c>
      <c r="J99" s="471">
        <f>IFERROR(_xlfn.XLOOKUP(Table6[[#This Row],[Affected WTG]],'Basic Data'!$A:$A,'Basic Data'!$E:$E),"")</f>
        <v>3.846153846153845E-2</v>
      </c>
      <c r="K99" s="102">
        <v>3211</v>
      </c>
      <c r="L99" s="35" t="str">
        <f>IFERROR(_xlfn.XLOOKUP(Table6[[#This Row],[Error Code]],'Basic Data'!$AA:$AA,'Basic Data'!$AB:$AB),"Incorrect Error Code")</f>
        <v>Conv. load shedding (CAN)</v>
      </c>
      <c r="M99" s="35" t="s">
        <v>291</v>
      </c>
      <c r="N99" s="475"/>
      <c r="O99" s="476">
        <v>0.84097222222222223</v>
      </c>
      <c r="P99" s="476">
        <v>0.84097222222222223</v>
      </c>
      <c r="Q99" s="477">
        <v>0.84513888888888888</v>
      </c>
      <c r="R99" s="472">
        <f>IF(Table6[[#This Row],[Work Start TimeStamp]]="","",(Table6[[#This Row],[Work Start TimeStamp]]-Table6[[#This Row],[Fault Start TimeStamp]])*24)</f>
        <v>0</v>
      </c>
      <c r="S99" s="472">
        <f>(Table6[[#This Row],[Fault Clearance time]]-Table6[[#This Row],[Work Start TimeStamp]])*24</f>
        <v>9.9999999999999645E-2</v>
      </c>
      <c r="T99" s="472">
        <f>(Table6[[#This Row],[Fault Clearance time]]-Table6[[#This Row],[Fault Start TimeStamp]])*24</f>
        <v>9.9999999999999645E-2</v>
      </c>
      <c r="U99" s="35" t="s">
        <v>349</v>
      </c>
      <c r="V99" s="102" t="s">
        <v>293</v>
      </c>
      <c r="W99" s="478">
        <f>IFERROR(Table6[[#This Row],[Breakdown Time]]*Table6[[#This Row],[Plant Equivalent Weightage]],"")</f>
        <v>3.8461538461538312E-3</v>
      </c>
      <c r="X99" s="473" t="s">
        <v>294</v>
      </c>
      <c r="Y99" s="474" t="s">
        <v>325</v>
      </c>
      <c r="Z99" s="102">
        <v>32199</v>
      </c>
      <c r="AA99" s="468">
        <f>(Table6[[#This Row],[Paired WTG Generation for loss calculation]]/24)*Table6[[#This Row],[Breakdown Time]]</f>
        <v>134.16249999999951</v>
      </c>
      <c r="AB99" s="102"/>
      <c r="AC99" s="35"/>
      <c r="AD99" s="35"/>
    </row>
    <row r="100" spans="1:30">
      <c r="A100" s="102">
        <f t="shared" si="2"/>
        <v>99</v>
      </c>
      <c r="B100" s="468">
        <f>YEAR(Table6[[#This Row],[Date]])+IF(MONTH(Table6[[#This Row],[Date]])&gt;=4,1,0)</f>
        <v>2026</v>
      </c>
      <c r="C100" s="102">
        <f>YEAR(Table6[[#This Row],[Date]])</f>
        <v>2025</v>
      </c>
      <c r="D100" s="102" t="s">
        <v>1992</v>
      </c>
      <c r="E100" s="469">
        <f>Table6[[#This Row],[Date]]-DAY(Table6[[#This Row],[Date]])+1</f>
        <v>45748</v>
      </c>
      <c r="F100" s="470">
        <v>45755</v>
      </c>
      <c r="G100" s="35" t="s">
        <v>91</v>
      </c>
      <c r="H100" s="35" t="str">
        <f>IFERROR(_xlfn.XLOOKUP(Table6[[#This Row],[Affected WTG]],'Basic Data'!$A:$A,'Basic Data'!$B:$B),"")</f>
        <v>TQGXIIPL</v>
      </c>
      <c r="I100" s="35" t="str">
        <f>IFERROR(_xlfn.XLOOKUP(Table6[[#This Row],[Affected WTG]],'Basic Data'!$A:$A,'Basic Data'!$C:$C),"")</f>
        <v>GEDA</v>
      </c>
      <c r="J100" s="471">
        <f>IFERROR(_xlfn.XLOOKUP(Table6[[#This Row],[Affected WTG]],'Basic Data'!$A:$A,'Basic Data'!$E:$E),"")</f>
        <v>3.846153846153845E-2</v>
      </c>
      <c r="K100" s="102">
        <v>2521</v>
      </c>
      <c r="L100" s="35" t="str">
        <f>IFERROR(_xlfn.XLOOKUP(Table6[[#This Row],[Error Code]],'Basic Data'!$AA:$AA,'Basic Data'!$AB:$AB),"Incorrect Error Code")</f>
        <v>Gen.sp.analog &lt;&lt;&gt;&gt; gearb.sp.</v>
      </c>
      <c r="M100" s="35" t="s">
        <v>291</v>
      </c>
      <c r="N100" s="475"/>
      <c r="O100" s="476">
        <v>0.81666666666666665</v>
      </c>
      <c r="P100" s="476">
        <v>0.81666666666666665</v>
      </c>
      <c r="Q100" s="477">
        <v>0.82499999999999996</v>
      </c>
      <c r="R100" s="472">
        <f>IF(Table6[[#This Row],[Work Start TimeStamp]]="","",(Table6[[#This Row],[Work Start TimeStamp]]-Table6[[#This Row],[Fault Start TimeStamp]])*24)</f>
        <v>0</v>
      </c>
      <c r="S100" s="472">
        <f>(Table6[[#This Row],[Fault Clearance time]]-Table6[[#This Row],[Work Start TimeStamp]])*24</f>
        <v>0.19999999999999929</v>
      </c>
      <c r="T100" s="472">
        <f>(Table6[[#This Row],[Fault Clearance time]]-Table6[[#This Row],[Fault Start TimeStamp]])*24</f>
        <v>0.19999999999999929</v>
      </c>
      <c r="U100" s="35" t="s">
        <v>374</v>
      </c>
      <c r="V100" s="102" t="s">
        <v>293</v>
      </c>
      <c r="W100" s="478">
        <f>IFERROR(Table6[[#This Row],[Breakdown Time]]*Table6[[#This Row],[Plant Equivalent Weightage]],"")</f>
        <v>7.6923076923076624E-3</v>
      </c>
      <c r="X100" s="473" t="s">
        <v>294</v>
      </c>
      <c r="Y100" s="474" t="s">
        <v>319</v>
      </c>
      <c r="Z100" s="102">
        <v>31629</v>
      </c>
      <c r="AA100" s="468">
        <f>(Table6[[#This Row],[Paired WTG Generation for loss calculation]]/24)*Table6[[#This Row],[Breakdown Time]]</f>
        <v>263.57499999999908</v>
      </c>
      <c r="AB100" s="102"/>
      <c r="AC100" s="35"/>
      <c r="AD100" s="35"/>
    </row>
    <row r="101" spans="1:30">
      <c r="A101" s="102">
        <f t="shared" si="2"/>
        <v>100</v>
      </c>
      <c r="B101" s="468">
        <f>YEAR(Table6[[#This Row],[Date]])+IF(MONTH(Table6[[#This Row],[Date]])&gt;=4,1,0)</f>
        <v>2026</v>
      </c>
      <c r="C101" s="102">
        <f>YEAR(Table6[[#This Row],[Date]])</f>
        <v>2025</v>
      </c>
      <c r="D101" s="102" t="s">
        <v>1992</v>
      </c>
      <c r="E101" s="469">
        <f>Table6[[#This Row],[Date]]-DAY(Table6[[#This Row],[Date]])+1</f>
        <v>45748</v>
      </c>
      <c r="F101" s="470">
        <v>45755</v>
      </c>
      <c r="G101" s="35" t="s">
        <v>93</v>
      </c>
      <c r="H101" s="35" t="str">
        <f>IFERROR(_xlfn.XLOOKUP(Table6[[#This Row],[Affected WTG]],'Basic Data'!$A:$A,'Basic Data'!$B:$B),"")</f>
        <v>TQGXIIPL</v>
      </c>
      <c r="I101" s="35" t="str">
        <f>IFERROR(_xlfn.XLOOKUP(Table6[[#This Row],[Affected WTG]],'Basic Data'!$A:$A,'Basic Data'!$C:$C),"")</f>
        <v>GEDA</v>
      </c>
      <c r="J101" s="471">
        <f>IFERROR(_xlfn.XLOOKUP(Table6[[#This Row],[Affected WTG]],'Basic Data'!$A:$A,'Basic Data'!$E:$E),"")</f>
        <v>3.846153846153845E-2</v>
      </c>
      <c r="K101" s="102">
        <v>3211</v>
      </c>
      <c r="L101" s="35" t="str">
        <f>IFERROR(_xlfn.XLOOKUP(Table6[[#This Row],[Error Code]],'Basic Data'!$AA:$AA,'Basic Data'!$AB:$AB),"Incorrect Error Code")</f>
        <v>Conv. load shedding (CAN)</v>
      </c>
      <c r="M101" s="35" t="s">
        <v>291</v>
      </c>
      <c r="N101" s="475"/>
      <c r="O101" s="476">
        <v>0.60416666666666663</v>
      </c>
      <c r="P101" s="476">
        <v>0.60416666666666663</v>
      </c>
      <c r="Q101" s="477">
        <v>0.61388888888888893</v>
      </c>
      <c r="R101" s="472">
        <f>IF(Table6[[#This Row],[Work Start TimeStamp]]="","",(Table6[[#This Row],[Work Start TimeStamp]]-Table6[[#This Row],[Fault Start TimeStamp]])*24)</f>
        <v>0</v>
      </c>
      <c r="S101" s="472">
        <f>(Table6[[#This Row],[Fault Clearance time]]-Table6[[#This Row],[Work Start TimeStamp]])*24</f>
        <v>0.23333333333333517</v>
      </c>
      <c r="T101" s="472">
        <f>(Table6[[#This Row],[Fault Clearance time]]-Table6[[#This Row],[Fault Start TimeStamp]])*24</f>
        <v>0.23333333333333517</v>
      </c>
      <c r="U101" s="35" t="s">
        <v>368</v>
      </c>
      <c r="V101" s="102" t="s">
        <v>293</v>
      </c>
      <c r="W101" s="478">
        <f>IFERROR(Table6[[#This Row],[Breakdown Time]]*Table6[[#This Row],[Plant Equivalent Weightage]],"")</f>
        <v>8.9743589743590414E-3</v>
      </c>
      <c r="X101" s="473" t="s">
        <v>294</v>
      </c>
      <c r="Y101" s="474" t="s">
        <v>314</v>
      </c>
      <c r="Z101" s="102">
        <v>34444</v>
      </c>
      <c r="AA101" s="468">
        <f>(Table6[[#This Row],[Paired WTG Generation for loss calculation]]/24)*Table6[[#This Row],[Breakdown Time]]</f>
        <v>334.87222222222488</v>
      </c>
      <c r="AB101" s="102"/>
      <c r="AC101" s="35"/>
      <c r="AD101" s="35"/>
    </row>
    <row r="102" spans="1:30">
      <c r="A102" s="102">
        <f t="shared" si="2"/>
        <v>101</v>
      </c>
      <c r="B102" s="468">
        <f>YEAR(Table6[[#This Row],[Date]])+IF(MONTH(Table6[[#This Row],[Date]])&gt;=4,1,0)</f>
        <v>2026</v>
      </c>
      <c r="C102" s="102">
        <f>YEAR(Table6[[#This Row],[Date]])</f>
        <v>2025</v>
      </c>
      <c r="D102" s="102" t="s">
        <v>1992</v>
      </c>
      <c r="E102" s="469">
        <f>Table6[[#This Row],[Date]]-DAY(Table6[[#This Row],[Date]])+1</f>
        <v>45748</v>
      </c>
      <c r="F102" s="470">
        <v>45755</v>
      </c>
      <c r="G102" s="35" t="s">
        <v>96</v>
      </c>
      <c r="H102" s="35" t="str">
        <f>IFERROR(_xlfn.XLOOKUP(Table6[[#This Row],[Affected WTG]],'Basic Data'!$A:$A,'Basic Data'!$B:$B),"")</f>
        <v>TQGXIIPL</v>
      </c>
      <c r="I102" s="35" t="str">
        <f>IFERROR(_xlfn.XLOOKUP(Table6[[#This Row],[Affected WTG]],'Basic Data'!$A:$A,'Basic Data'!$C:$C),"")</f>
        <v>GEDA</v>
      </c>
      <c r="J102" s="471">
        <f>IFERROR(_xlfn.XLOOKUP(Table6[[#This Row],[Affected WTG]],'Basic Data'!$A:$A,'Basic Data'!$E:$E),"")</f>
        <v>3.846153846153845E-2</v>
      </c>
      <c r="K102" s="102">
        <v>3211</v>
      </c>
      <c r="L102" s="35" t="str">
        <f>IFERROR(_xlfn.XLOOKUP(Table6[[#This Row],[Error Code]],'Basic Data'!$AA:$AA,'Basic Data'!$AB:$AB),"Incorrect Error Code")</f>
        <v>Conv. load shedding (CAN)</v>
      </c>
      <c r="M102" s="35" t="s">
        <v>292</v>
      </c>
      <c r="N102" s="475"/>
      <c r="O102" s="476">
        <v>0.37569444444444444</v>
      </c>
      <c r="P102" s="476">
        <v>0.37569444444444444</v>
      </c>
      <c r="Q102" s="477">
        <v>0.37777777777777777</v>
      </c>
      <c r="R102" s="472">
        <f>IF(Table6[[#This Row],[Work Start TimeStamp]]="","",(Table6[[#This Row],[Work Start TimeStamp]]-Table6[[#This Row],[Fault Start TimeStamp]])*24)</f>
        <v>0</v>
      </c>
      <c r="S102" s="472">
        <f>(Table6[[#This Row],[Fault Clearance time]]-Table6[[#This Row],[Work Start TimeStamp]])*24</f>
        <v>4.9999999999999822E-2</v>
      </c>
      <c r="T102" s="472">
        <f>(Table6[[#This Row],[Fault Clearance time]]-Table6[[#This Row],[Fault Start TimeStamp]])*24</f>
        <v>4.9999999999999822E-2</v>
      </c>
      <c r="U102" s="35" t="s">
        <v>336</v>
      </c>
      <c r="V102" s="102" t="s">
        <v>293</v>
      </c>
      <c r="W102" s="478">
        <f>IFERROR(Table6[[#This Row],[Breakdown Time]]*Table6[[#This Row],[Plant Equivalent Weightage]],"")</f>
        <v>1.9230769230769156E-3</v>
      </c>
      <c r="X102" s="473" t="s">
        <v>294</v>
      </c>
      <c r="Y102" s="474" t="s">
        <v>313</v>
      </c>
      <c r="Z102" s="102">
        <v>27130</v>
      </c>
      <c r="AA102" s="468">
        <f>(Table6[[#This Row],[Paired WTG Generation for loss calculation]]/24)*Table6[[#This Row],[Breakdown Time]]</f>
        <v>56.520833333333137</v>
      </c>
      <c r="AB102" s="102"/>
      <c r="AC102" s="35"/>
      <c r="AD102" s="35"/>
    </row>
    <row r="103" spans="1:30">
      <c r="A103" s="102">
        <f t="shared" si="2"/>
        <v>102</v>
      </c>
      <c r="B103" s="468">
        <f>YEAR(Table6[[#This Row],[Date]])+IF(MONTH(Table6[[#This Row],[Date]])&gt;=4,1,0)</f>
        <v>2026</v>
      </c>
      <c r="C103" s="102">
        <f>YEAR(Table6[[#This Row],[Date]])</f>
        <v>2025</v>
      </c>
      <c r="D103" s="102" t="s">
        <v>1992</v>
      </c>
      <c r="E103" s="469">
        <f>Table6[[#This Row],[Date]]-DAY(Table6[[#This Row],[Date]])+1</f>
        <v>45748</v>
      </c>
      <c r="F103" s="470">
        <v>45755</v>
      </c>
      <c r="G103" s="35" t="s">
        <v>98</v>
      </c>
      <c r="H103" s="35" t="str">
        <f>IFERROR(_xlfn.XLOOKUP(Table6[[#This Row],[Affected WTG]],'Basic Data'!$A:$A,'Basic Data'!$B:$B),"")</f>
        <v>TQGXIIPL</v>
      </c>
      <c r="I103" s="35" t="str">
        <f>IFERROR(_xlfn.XLOOKUP(Table6[[#This Row],[Affected WTG]],'Basic Data'!$A:$A,'Basic Data'!$C:$C),"")</f>
        <v>GEDA</v>
      </c>
      <c r="J103" s="471">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291</v>
      </c>
      <c r="N103" s="475"/>
      <c r="O103" s="476">
        <v>0.1076388888888889</v>
      </c>
      <c r="P103" s="476">
        <v>0.1076388888888889</v>
      </c>
      <c r="Q103" s="477">
        <v>0.11666666666666667</v>
      </c>
      <c r="R103" s="472">
        <f>IF(Table6[[#This Row],[Work Start TimeStamp]]="","",(Table6[[#This Row],[Work Start TimeStamp]]-Table6[[#This Row],[Fault Start TimeStamp]])*24)</f>
        <v>0</v>
      </c>
      <c r="S103" s="472">
        <f>(Table6[[#This Row],[Fault Clearance time]]-Table6[[#This Row],[Work Start TimeStamp]])*24</f>
        <v>0.21666666666666656</v>
      </c>
      <c r="T103" s="472">
        <f>(Table6[[#This Row],[Fault Clearance time]]-Table6[[#This Row],[Fault Start TimeStamp]])*24</f>
        <v>0.21666666666666656</v>
      </c>
      <c r="U103" s="35" t="s">
        <v>349</v>
      </c>
      <c r="V103" s="102" t="s">
        <v>293</v>
      </c>
      <c r="W103" s="478">
        <f>IFERROR(Table6[[#This Row],[Breakdown Time]]*Table6[[#This Row],[Plant Equivalent Weightage]],"")</f>
        <v>8.3333333333333263E-3</v>
      </c>
      <c r="X103" s="473" t="s">
        <v>294</v>
      </c>
      <c r="Y103" s="474" t="s">
        <v>315</v>
      </c>
      <c r="Z103" s="102">
        <v>32931</v>
      </c>
      <c r="AA103" s="468">
        <f>(Table6[[#This Row],[Paired WTG Generation for loss calculation]]/24)*Table6[[#This Row],[Breakdown Time]]</f>
        <v>297.29374999999987</v>
      </c>
      <c r="AB103" s="102"/>
      <c r="AC103" s="35"/>
      <c r="AD103" s="35"/>
    </row>
    <row r="104" spans="1:30">
      <c r="A104" s="102">
        <f t="shared" si="2"/>
        <v>103</v>
      </c>
      <c r="B104" s="468">
        <f>YEAR(Table6[[#This Row],[Date]])+IF(MONTH(Table6[[#This Row],[Date]])&gt;=4,1,0)</f>
        <v>2026</v>
      </c>
      <c r="C104" s="102">
        <f>YEAR(Table6[[#This Row],[Date]])</f>
        <v>2025</v>
      </c>
      <c r="D104" s="102" t="s">
        <v>1992</v>
      </c>
      <c r="E104" s="469">
        <f>Table6[[#This Row],[Date]]-DAY(Table6[[#This Row],[Date]])+1</f>
        <v>45748</v>
      </c>
      <c r="F104" s="470">
        <v>45755</v>
      </c>
      <c r="G104" s="35" t="s">
        <v>99</v>
      </c>
      <c r="H104" s="35" t="str">
        <f>IFERROR(_xlfn.XLOOKUP(Table6[[#This Row],[Affected WTG]],'Basic Data'!$A:$A,'Basic Data'!$B:$B),"")</f>
        <v>TQGXIIPL</v>
      </c>
      <c r="I104" s="35" t="str">
        <f>IFERROR(_xlfn.XLOOKUP(Table6[[#This Row],[Affected WTG]],'Basic Data'!$A:$A,'Basic Data'!$C:$C),"")</f>
        <v>GEDA</v>
      </c>
      <c r="J104" s="471">
        <f>IFERROR(_xlfn.XLOOKUP(Table6[[#This Row],[Affected WTG]],'Basic Data'!$A:$A,'Basic Data'!$E:$E),"")</f>
        <v>3.846153846153845E-2</v>
      </c>
      <c r="K104" s="102">
        <v>4520</v>
      </c>
      <c r="L104" s="35" t="str">
        <f>IFERROR(_xlfn.XLOOKUP(Table6[[#This Row],[Error Code]],'Basic Data'!$AA:$AA,'Basic Data'!$AB:$AB),"Incorrect Error Code")</f>
        <v>Tower oscillation X level 1</v>
      </c>
      <c r="M104" s="35" t="s">
        <v>292</v>
      </c>
      <c r="N104" s="475"/>
      <c r="O104" s="476">
        <v>0.10277777777777777</v>
      </c>
      <c r="P104" s="476">
        <v>0.10277777777777777</v>
      </c>
      <c r="Q104" s="477">
        <v>0.11041666666666666</v>
      </c>
      <c r="R104" s="472">
        <f>IF(Table6[[#This Row],[Work Start TimeStamp]]="","",(Table6[[#This Row],[Work Start TimeStamp]]-Table6[[#This Row],[Fault Start TimeStamp]])*24)</f>
        <v>0</v>
      </c>
      <c r="S104" s="472">
        <f>(Table6[[#This Row],[Fault Clearance time]]-Table6[[#This Row],[Work Start TimeStamp]])*24</f>
        <v>0.18333333333333335</v>
      </c>
      <c r="T104" s="472">
        <f>(Table6[[#This Row],[Fault Clearance time]]-Table6[[#This Row],[Fault Start TimeStamp]])*24</f>
        <v>0.18333333333333335</v>
      </c>
      <c r="U104" s="35" t="s">
        <v>336</v>
      </c>
      <c r="V104" s="102" t="s">
        <v>293</v>
      </c>
      <c r="W104" s="478">
        <f>IFERROR(Table6[[#This Row],[Breakdown Time]]*Table6[[#This Row],[Plant Equivalent Weightage]],"")</f>
        <v>7.0512820512820496E-3</v>
      </c>
      <c r="X104" s="473" t="s">
        <v>294</v>
      </c>
      <c r="Y104" s="474" t="s">
        <v>315</v>
      </c>
      <c r="Z104" s="102">
        <v>32931</v>
      </c>
      <c r="AA104" s="468">
        <f>(Table6[[#This Row],[Paired WTG Generation for loss calculation]]/24)*Table6[[#This Row],[Breakdown Time]]</f>
        <v>251.55625000000003</v>
      </c>
      <c r="AB104" s="102"/>
      <c r="AC104" s="35"/>
      <c r="AD104" s="35"/>
    </row>
    <row r="105" spans="1:30">
      <c r="A105" s="102">
        <f t="shared" si="2"/>
        <v>104</v>
      </c>
      <c r="B105" s="468">
        <f>YEAR(Table6[[#This Row],[Date]])+IF(MONTH(Table6[[#This Row],[Date]])&gt;=4,1,0)</f>
        <v>2026</v>
      </c>
      <c r="C105" s="102">
        <f>YEAR(Table6[[#This Row],[Date]])</f>
        <v>2025</v>
      </c>
      <c r="D105" s="102" t="s">
        <v>1992</v>
      </c>
      <c r="E105" s="469">
        <f>Table6[[#This Row],[Date]]-DAY(Table6[[#This Row],[Date]])+1</f>
        <v>45748</v>
      </c>
      <c r="F105" s="470">
        <v>45755</v>
      </c>
      <c r="G105" s="35" t="s">
        <v>99</v>
      </c>
      <c r="H105" s="35" t="str">
        <f>IFERROR(_xlfn.XLOOKUP(Table6[[#This Row],[Affected WTG]],'Basic Data'!$A:$A,'Basic Data'!$B:$B),"")</f>
        <v>TQGXIIPL</v>
      </c>
      <c r="I105" s="35" t="str">
        <f>IFERROR(_xlfn.XLOOKUP(Table6[[#This Row],[Affected WTG]],'Basic Data'!$A:$A,'Basic Data'!$C:$C),"")</f>
        <v>GEDA</v>
      </c>
      <c r="J105" s="471">
        <f>IFERROR(_xlfn.XLOOKUP(Table6[[#This Row],[Affected WTG]],'Basic Data'!$A:$A,'Basic Data'!$E:$E),"")</f>
        <v>3.846153846153845E-2</v>
      </c>
      <c r="K105" s="102">
        <v>3211</v>
      </c>
      <c r="L105" s="35" t="str">
        <f>IFERROR(_xlfn.XLOOKUP(Table6[[#This Row],[Error Code]],'Basic Data'!$AA:$AA,'Basic Data'!$AB:$AB),"Incorrect Error Code")</f>
        <v>Conv. load shedding (CAN)</v>
      </c>
      <c r="M105" s="35" t="s">
        <v>292</v>
      </c>
      <c r="N105" s="475"/>
      <c r="O105" s="476">
        <v>0.37569444444444444</v>
      </c>
      <c r="P105" s="476">
        <v>0.37569444444444444</v>
      </c>
      <c r="Q105" s="477">
        <v>0.37777777777777777</v>
      </c>
      <c r="R105" s="472">
        <f>IF(Table6[[#This Row],[Work Start TimeStamp]]="","",(Table6[[#This Row],[Work Start TimeStamp]]-Table6[[#This Row],[Fault Start TimeStamp]])*24)</f>
        <v>0</v>
      </c>
      <c r="S105" s="472">
        <f>(Table6[[#This Row],[Fault Clearance time]]-Table6[[#This Row],[Work Start TimeStamp]])*24</f>
        <v>4.9999999999999822E-2</v>
      </c>
      <c r="T105" s="472">
        <f>(Table6[[#This Row],[Fault Clearance time]]-Table6[[#This Row],[Fault Start TimeStamp]])*24</f>
        <v>4.9999999999999822E-2</v>
      </c>
      <c r="U105" s="35" t="s">
        <v>336</v>
      </c>
      <c r="V105" s="102" t="s">
        <v>293</v>
      </c>
      <c r="W105" s="478">
        <f>IFERROR(Table6[[#This Row],[Breakdown Time]]*Table6[[#This Row],[Plant Equivalent Weightage]],"")</f>
        <v>1.9230769230769156E-3</v>
      </c>
      <c r="X105" s="473" t="s">
        <v>294</v>
      </c>
      <c r="Y105" s="474" t="s">
        <v>315</v>
      </c>
      <c r="Z105" s="102">
        <v>32931</v>
      </c>
      <c r="AA105" s="468">
        <f>(Table6[[#This Row],[Paired WTG Generation for loss calculation]]/24)*Table6[[#This Row],[Breakdown Time]]</f>
        <v>68.606249999999761</v>
      </c>
      <c r="AB105" s="102"/>
      <c r="AC105" s="35"/>
      <c r="AD105" s="35"/>
    </row>
    <row r="106" spans="1:30">
      <c r="A106" s="102">
        <f t="shared" si="2"/>
        <v>105</v>
      </c>
      <c r="B106" s="468">
        <f>YEAR(Table6[[#This Row],[Date]])+IF(MONTH(Table6[[#This Row],[Date]])&gt;=4,1,0)</f>
        <v>2026</v>
      </c>
      <c r="C106" s="102">
        <f>YEAR(Table6[[#This Row],[Date]])</f>
        <v>2025</v>
      </c>
      <c r="D106" s="102" t="s">
        <v>1992</v>
      </c>
      <c r="E106" s="469">
        <f>Table6[[#This Row],[Date]]-DAY(Table6[[#This Row],[Date]])+1</f>
        <v>45748</v>
      </c>
      <c r="F106" s="470">
        <v>45755</v>
      </c>
      <c r="G106" s="35" t="s">
        <v>86</v>
      </c>
      <c r="H106" s="35" t="str">
        <f>IFERROR(_xlfn.XLOOKUP(Table6[[#This Row],[Affected WTG]],'Basic Data'!$A:$A,'Basic Data'!$B:$B),"")</f>
        <v>TQGXIIPL</v>
      </c>
      <c r="I106" s="35" t="str">
        <f>IFERROR(_xlfn.XLOOKUP(Table6[[#This Row],[Affected WTG]],'Basic Data'!$A:$A,'Basic Data'!$C:$C),"")</f>
        <v>GEDA</v>
      </c>
      <c r="J106" s="471">
        <f>IFERROR(_xlfn.XLOOKUP(Table6[[#This Row],[Affected WTG]],'Basic Data'!$A:$A,'Basic Data'!$E:$E),"")</f>
        <v>3.846153846153845E-2</v>
      </c>
      <c r="K106" s="102">
        <v>55</v>
      </c>
      <c r="L106" s="35" t="str">
        <f>IFERROR(_xlfn.XLOOKUP(Table6[[#This Row],[Error Code]],'Basic Data'!$AA:$AA,'Basic Data'!$AB:$AB),"Incorrect Error Code")</f>
        <v>WTG shut down</v>
      </c>
      <c r="M106" s="35" t="s">
        <v>330</v>
      </c>
      <c r="N106" s="475"/>
      <c r="O106" s="476">
        <v>0.12083333333333333</v>
      </c>
      <c r="P106" s="476">
        <v>0.12083333333333333</v>
      </c>
      <c r="Q106" s="477">
        <v>0.14097222222222222</v>
      </c>
      <c r="R106" s="472">
        <f>IF(Table6[[#This Row],[Work Start TimeStamp]]="","",(Table6[[#This Row],[Work Start TimeStamp]]-Table6[[#This Row],[Fault Start TimeStamp]])*24)</f>
        <v>0</v>
      </c>
      <c r="S106" s="472">
        <f>(Table6[[#This Row],[Fault Clearance time]]-Table6[[#This Row],[Work Start TimeStamp]])*24</f>
        <v>0.48333333333333328</v>
      </c>
      <c r="T106" s="472">
        <f>(Table6[[#This Row],[Fault Clearance time]]-Table6[[#This Row],[Fault Start TimeStamp]])*24</f>
        <v>0.48333333333333328</v>
      </c>
      <c r="U106" s="35" t="s">
        <v>337</v>
      </c>
      <c r="V106" s="102" t="s">
        <v>293</v>
      </c>
      <c r="W106" s="478">
        <f>IFERROR(Table6[[#This Row],[Breakdown Time]]*Table6[[#This Row],[Plant Equivalent Weightage]],"")</f>
        <v>1.8589743589743583E-2</v>
      </c>
      <c r="X106" s="473" t="s">
        <v>290</v>
      </c>
      <c r="Y106" s="474" t="s">
        <v>313</v>
      </c>
      <c r="Z106" s="102">
        <v>27130</v>
      </c>
      <c r="AA106" s="468">
        <f>(Table6[[#This Row],[Paired WTG Generation for loss calculation]]/24)*Table6[[#This Row],[Breakdown Time]]</f>
        <v>546.36805555555554</v>
      </c>
      <c r="AB106" s="102"/>
      <c r="AC106" s="35"/>
      <c r="AD106" s="35"/>
    </row>
    <row r="107" spans="1:30">
      <c r="A107" s="102">
        <f t="shared" si="2"/>
        <v>106</v>
      </c>
      <c r="B107" s="468">
        <f>YEAR(Table6[[#This Row],[Date]])+IF(MONTH(Table6[[#This Row],[Date]])&gt;=4,1,0)</f>
        <v>2026</v>
      </c>
      <c r="C107" s="102">
        <f>YEAR(Table6[[#This Row],[Date]])</f>
        <v>2025</v>
      </c>
      <c r="D107" s="102" t="s">
        <v>1992</v>
      </c>
      <c r="E107" s="469">
        <f>Table6[[#This Row],[Date]]-DAY(Table6[[#This Row],[Date]])+1</f>
        <v>45748</v>
      </c>
      <c r="F107" s="470">
        <v>45755</v>
      </c>
      <c r="G107" s="35" t="s">
        <v>98</v>
      </c>
      <c r="H107" s="35" t="str">
        <f>IFERROR(_xlfn.XLOOKUP(Table6[[#This Row],[Affected WTG]],'Basic Data'!$A:$A,'Basic Data'!$B:$B),"")</f>
        <v>TQGXIIPL</v>
      </c>
      <c r="I107" s="35" t="str">
        <f>IFERROR(_xlfn.XLOOKUP(Table6[[#This Row],[Affected WTG]],'Basic Data'!$A:$A,'Basic Data'!$C:$C),"")</f>
        <v>GEDA</v>
      </c>
      <c r="J107" s="471">
        <f>IFERROR(_xlfn.XLOOKUP(Table6[[#This Row],[Affected WTG]],'Basic Data'!$A:$A,'Basic Data'!$E:$E),"")</f>
        <v>3.846153846153845E-2</v>
      </c>
      <c r="K107" s="102">
        <v>55</v>
      </c>
      <c r="L107" s="35" t="str">
        <f>IFERROR(_xlfn.XLOOKUP(Table6[[#This Row],[Error Code]],'Basic Data'!$AA:$AA,'Basic Data'!$AB:$AB),"Incorrect Error Code")</f>
        <v>WTG shut down</v>
      </c>
      <c r="M107" s="35" t="s">
        <v>330</v>
      </c>
      <c r="N107" s="475"/>
      <c r="O107" s="476">
        <v>0.12152777777777778</v>
      </c>
      <c r="P107" s="476">
        <v>0.12152777777777778</v>
      </c>
      <c r="Q107" s="477">
        <v>0.13402777777777777</v>
      </c>
      <c r="R107" s="472">
        <f>IF(Table6[[#This Row],[Work Start TimeStamp]]="","",(Table6[[#This Row],[Work Start TimeStamp]]-Table6[[#This Row],[Fault Start TimeStamp]])*24)</f>
        <v>0</v>
      </c>
      <c r="S107" s="472">
        <f>(Table6[[#This Row],[Fault Clearance time]]-Table6[[#This Row],[Work Start TimeStamp]])*24</f>
        <v>0.29999999999999993</v>
      </c>
      <c r="T107" s="472">
        <f>(Table6[[#This Row],[Fault Clearance time]]-Table6[[#This Row],[Fault Start TimeStamp]])*24</f>
        <v>0.29999999999999993</v>
      </c>
      <c r="U107" s="35" t="s">
        <v>337</v>
      </c>
      <c r="V107" s="102" t="s">
        <v>293</v>
      </c>
      <c r="W107" s="478">
        <f>IFERROR(Table6[[#This Row],[Breakdown Time]]*Table6[[#This Row],[Plant Equivalent Weightage]],"")</f>
        <v>1.1538461538461532E-2</v>
      </c>
      <c r="X107" s="473" t="s">
        <v>290</v>
      </c>
      <c r="Y107" s="474" t="s">
        <v>315</v>
      </c>
      <c r="Z107" s="102">
        <v>32931</v>
      </c>
      <c r="AA107" s="468">
        <f>(Table6[[#This Row],[Paired WTG Generation for loss calculation]]/24)*Table6[[#This Row],[Breakdown Time]]</f>
        <v>411.63749999999993</v>
      </c>
      <c r="AB107" s="102"/>
      <c r="AC107" s="35"/>
      <c r="AD107" s="35"/>
    </row>
    <row r="108" spans="1:30">
      <c r="A108" s="102">
        <f t="shared" si="2"/>
        <v>107</v>
      </c>
      <c r="B108" s="468">
        <f>YEAR(Table6[[#This Row],[Date]])+IF(MONTH(Table6[[#This Row],[Date]])&gt;=4,1,0)</f>
        <v>2026</v>
      </c>
      <c r="C108" s="102">
        <f>YEAR(Table6[[#This Row],[Date]])</f>
        <v>2025</v>
      </c>
      <c r="D108" s="102" t="s">
        <v>1992</v>
      </c>
      <c r="E108" s="469">
        <f>Table6[[#This Row],[Date]]-DAY(Table6[[#This Row],[Date]])+1</f>
        <v>45748</v>
      </c>
      <c r="F108" s="470">
        <v>45755</v>
      </c>
      <c r="G108" s="35" t="s">
        <v>82</v>
      </c>
      <c r="H108" s="35" t="str">
        <f>IFERROR(_xlfn.XLOOKUP(Table6[[#This Row],[Affected WTG]],'Basic Data'!$A:$A,'Basic Data'!$B:$B),"")</f>
        <v>TQGXIIPL</v>
      </c>
      <c r="I108" s="35" t="str">
        <f>IFERROR(_xlfn.XLOOKUP(Table6[[#This Row],[Affected WTG]],'Basic Data'!$A:$A,'Basic Data'!$C:$C),"")</f>
        <v>GEDA</v>
      </c>
      <c r="J108" s="471">
        <f>IFERROR(_xlfn.XLOOKUP(Table6[[#This Row],[Affected WTG]],'Basic Data'!$A:$A,'Basic Data'!$E:$E),"")</f>
        <v>3.846153846153845E-2</v>
      </c>
      <c r="K108" s="102">
        <v>55</v>
      </c>
      <c r="L108" s="35" t="str">
        <f>IFERROR(_xlfn.XLOOKUP(Table6[[#This Row],[Error Code]],'Basic Data'!$AA:$AA,'Basic Data'!$AB:$AB),"Incorrect Error Code")</f>
        <v>WTG shut down</v>
      </c>
      <c r="M108" s="35" t="s">
        <v>304</v>
      </c>
      <c r="N108" s="475"/>
      <c r="O108" s="476">
        <v>0.29166666666666669</v>
      </c>
      <c r="P108" s="476">
        <v>0.29166666666666669</v>
      </c>
      <c r="Q108" s="477">
        <v>0.54166666666666663</v>
      </c>
      <c r="R108" s="472">
        <f>IF(Table6[[#This Row],[Work Start TimeStamp]]="","",(Table6[[#This Row],[Work Start TimeStamp]]-Table6[[#This Row],[Fault Start TimeStamp]])*24)</f>
        <v>0</v>
      </c>
      <c r="S108" s="472">
        <f>(Table6[[#This Row],[Fault Clearance time]]-Table6[[#This Row],[Work Start TimeStamp]])*24</f>
        <v>5.9999999999999982</v>
      </c>
      <c r="T108" s="472">
        <f>(Table6[[#This Row],[Fault Clearance time]]-Table6[[#This Row],[Fault Start TimeStamp]])*24</f>
        <v>5.9999999999999982</v>
      </c>
      <c r="U108" s="35" t="s">
        <v>357</v>
      </c>
      <c r="V108" s="102" t="s">
        <v>293</v>
      </c>
      <c r="W108" s="478">
        <f>IFERROR(Table6[[#This Row],[Breakdown Time]]*Table6[[#This Row],[Plant Equivalent Weightage]],"")</f>
        <v>0.23076923076923064</v>
      </c>
      <c r="X108" s="473" t="s">
        <v>305</v>
      </c>
      <c r="Y108" s="474" t="s">
        <v>332</v>
      </c>
      <c r="Z108" s="102">
        <v>30523</v>
      </c>
      <c r="AA108" s="468">
        <f>(Table6[[#This Row],[Paired WTG Generation for loss calculation]]/24)*Table6[[#This Row],[Breakdown Time]]</f>
        <v>7630.7499999999982</v>
      </c>
      <c r="AB108" s="102"/>
      <c r="AC108" s="35"/>
      <c r="AD108" s="35"/>
    </row>
    <row r="109" spans="1:30">
      <c r="A109" s="102">
        <f t="shared" si="2"/>
        <v>108</v>
      </c>
      <c r="B109" s="468">
        <f>YEAR(Table6[[#This Row],[Date]])+IF(MONTH(Table6[[#This Row],[Date]])&gt;=4,1,0)</f>
        <v>2026</v>
      </c>
      <c r="C109" s="102">
        <f>YEAR(Table6[[#This Row],[Date]])</f>
        <v>2025</v>
      </c>
      <c r="D109" s="102" t="s">
        <v>1992</v>
      </c>
      <c r="E109" s="469">
        <f>Table6[[#This Row],[Date]]-DAY(Table6[[#This Row],[Date]])+1</f>
        <v>45748</v>
      </c>
      <c r="F109" s="470">
        <v>45755</v>
      </c>
      <c r="G109" s="35" t="s">
        <v>86</v>
      </c>
      <c r="H109" s="35" t="str">
        <f>IFERROR(_xlfn.XLOOKUP(Table6[[#This Row],[Affected WTG]],'Basic Data'!$A:$A,'Basic Data'!$B:$B),"")</f>
        <v>TQGXIIPL</v>
      </c>
      <c r="I109" s="35" t="str">
        <f>IFERROR(_xlfn.XLOOKUP(Table6[[#This Row],[Affected WTG]],'Basic Data'!$A:$A,'Basic Data'!$C:$C),"")</f>
        <v>GEDA</v>
      </c>
      <c r="J109" s="471">
        <f>IFERROR(_xlfn.XLOOKUP(Table6[[#This Row],[Affected WTG]],'Basic Data'!$A:$A,'Basic Data'!$E:$E),"")</f>
        <v>3.846153846153845E-2</v>
      </c>
      <c r="K109" s="102">
        <v>55</v>
      </c>
      <c r="L109" s="35" t="str">
        <f>IFERROR(_xlfn.XLOOKUP(Table6[[#This Row],[Error Code]],'Basic Data'!$AA:$AA,'Basic Data'!$AB:$AB),"Incorrect Error Code")</f>
        <v>WTG shut down</v>
      </c>
      <c r="M109" s="35" t="s">
        <v>330</v>
      </c>
      <c r="N109" s="475"/>
      <c r="O109" s="476">
        <v>0.79791666666666672</v>
      </c>
      <c r="P109" s="476">
        <v>0.79791666666666672</v>
      </c>
      <c r="Q109" s="477">
        <v>0.875</v>
      </c>
      <c r="R109" s="472">
        <f>IF(Table6[[#This Row],[Work Start TimeStamp]]="","",(Table6[[#This Row],[Work Start TimeStamp]]-Table6[[#This Row],[Fault Start TimeStamp]])*24)</f>
        <v>0</v>
      </c>
      <c r="S109" s="472">
        <f>(Table6[[#This Row],[Fault Clearance time]]-Table6[[#This Row],[Work Start TimeStamp]])*24</f>
        <v>1.8499999999999988</v>
      </c>
      <c r="T109" s="472">
        <f>(Table6[[#This Row],[Fault Clearance time]]-Table6[[#This Row],[Fault Start TimeStamp]])*24</f>
        <v>1.8499999999999988</v>
      </c>
      <c r="U109" s="35" t="s">
        <v>337</v>
      </c>
      <c r="V109" s="102" t="s">
        <v>293</v>
      </c>
      <c r="W109" s="478">
        <f>IFERROR(Table6[[#This Row],[Breakdown Time]]*Table6[[#This Row],[Plant Equivalent Weightage]],"")</f>
        <v>7.1153846153846081E-2</v>
      </c>
      <c r="X109" s="473" t="s">
        <v>290</v>
      </c>
      <c r="Y109" s="474" t="s">
        <v>313</v>
      </c>
      <c r="Z109" s="102">
        <v>27130</v>
      </c>
      <c r="AA109" s="468">
        <f>(Table6[[#This Row],[Paired WTG Generation for loss calculation]]/24)*Table6[[#This Row],[Breakdown Time]]</f>
        <v>2091.2708333333321</v>
      </c>
      <c r="AB109" s="102"/>
      <c r="AC109" s="35"/>
      <c r="AD109" s="35"/>
    </row>
    <row r="110" spans="1:30">
      <c r="A110" s="102">
        <f t="shared" si="2"/>
        <v>109</v>
      </c>
      <c r="B110" s="468">
        <f>YEAR(Table6[[#This Row],[Date]])+IF(MONTH(Table6[[#This Row],[Date]])&gt;=4,1,0)</f>
        <v>2026</v>
      </c>
      <c r="C110" s="102">
        <f>YEAR(Table6[[#This Row],[Date]])</f>
        <v>2025</v>
      </c>
      <c r="D110" s="102" t="s">
        <v>1992</v>
      </c>
      <c r="E110" s="469">
        <f>Table6[[#This Row],[Date]]-DAY(Table6[[#This Row],[Date]])+1</f>
        <v>45748</v>
      </c>
      <c r="F110" s="470">
        <v>45755</v>
      </c>
      <c r="G110" s="35" t="s">
        <v>81</v>
      </c>
      <c r="H110" s="35" t="str">
        <f>IFERROR(_xlfn.XLOOKUP(Table6[[#This Row],[Affected WTG]],'Basic Data'!$A:$A,'Basic Data'!$B:$B),"")</f>
        <v>TQGXIIPL</v>
      </c>
      <c r="I110" s="35" t="str">
        <f>IFERROR(_xlfn.XLOOKUP(Table6[[#This Row],[Affected WTG]],'Basic Data'!$A:$A,'Basic Data'!$C:$C),"")</f>
        <v>GEDA</v>
      </c>
      <c r="J110" s="471">
        <f>IFERROR(_xlfn.XLOOKUP(Table6[[#This Row],[Affected WTG]],'Basic Data'!$A:$A,'Basic Data'!$E:$E),"")</f>
        <v>3.846153846153845E-2</v>
      </c>
      <c r="K110" s="102">
        <v>55</v>
      </c>
      <c r="L110" s="35" t="str">
        <f>IFERROR(_xlfn.XLOOKUP(Table6[[#This Row],[Error Code]],'Basic Data'!$AA:$AA,'Basic Data'!$AB:$AB),"Incorrect Error Code")</f>
        <v>WTG shut down</v>
      </c>
      <c r="M110" s="35" t="s">
        <v>330</v>
      </c>
      <c r="N110" s="475"/>
      <c r="O110" s="476">
        <v>0.82222222222222219</v>
      </c>
      <c r="P110" s="476">
        <v>0.82222222222222219</v>
      </c>
      <c r="Q110" s="477">
        <v>0.85416666666666663</v>
      </c>
      <c r="R110" s="472">
        <f>IF(Table6[[#This Row],[Work Start TimeStamp]]="","",(Table6[[#This Row],[Work Start TimeStamp]]-Table6[[#This Row],[Fault Start TimeStamp]])*24)</f>
        <v>0</v>
      </c>
      <c r="S110" s="472">
        <f>(Table6[[#This Row],[Fault Clearance time]]-Table6[[#This Row],[Work Start TimeStamp]])*24</f>
        <v>0.76666666666666661</v>
      </c>
      <c r="T110" s="472">
        <f>(Table6[[#This Row],[Fault Clearance time]]-Table6[[#This Row],[Fault Start TimeStamp]])*24</f>
        <v>0.76666666666666661</v>
      </c>
      <c r="U110" s="35" t="s">
        <v>337</v>
      </c>
      <c r="V110" s="102" t="s">
        <v>293</v>
      </c>
      <c r="W110" s="478">
        <f>IFERROR(Table6[[#This Row],[Breakdown Time]]*Table6[[#This Row],[Plant Equivalent Weightage]],"")</f>
        <v>2.9487179487179476E-2</v>
      </c>
      <c r="X110" s="473" t="s">
        <v>290</v>
      </c>
      <c r="Y110" s="474" t="s">
        <v>321</v>
      </c>
      <c r="Z110" s="102">
        <v>23956</v>
      </c>
      <c r="AA110" s="468">
        <f>(Table6[[#This Row],[Paired WTG Generation for loss calculation]]/24)*Table6[[#This Row],[Breakdown Time]]</f>
        <v>765.26111111111106</v>
      </c>
      <c r="AB110" s="102"/>
      <c r="AC110" s="35"/>
      <c r="AD110" s="35"/>
    </row>
    <row r="111" spans="1:30">
      <c r="A111" s="102">
        <f t="shared" si="2"/>
        <v>110</v>
      </c>
      <c r="B111" s="468">
        <f>YEAR(Table6[[#This Row],[Date]])+IF(MONTH(Table6[[#This Row],[Date]])&gt;=4,1,0)</f>
        <v>2026</v>
      </c>
      <c r="C111" s="102">
        <f>YEAR(Table6[[#This Row],[Date]])</f>
        <v>2025</v>
      </c>
      <c r="D111" s="102" t="s">
        <v>1992</v>
      </c>
      <c r="E111" s="469">
        <f>Table6[[#This Row],[Date]]-DAY(Table6[[#This Row],[Date]])+1</f>
        <v>45748</v>
      </c>
      <c r="F111" s="470">
        <v>45756</v>
      </c>
      <c r="G111" s="35" t="s">
        <v>74</v>
      </c>
      <c r="H111" s="35" t="str">
        <f>IFERROR(_xlfn.XLOOKUP(Table6[[#This Row],[Affected WTG]],'Basic Data'!$A:$A,'Basic Data'!$B:$B),"")</f>
        <v>TQGXIIPL</v>
      </c>
      <c r="I111" s="35" t="str">
        <f>IFERROR(_xlfn.XLOOKUP(Table6[[#This Row],[Affected WTG]],'Basic Data'!$A:$A,'Basic Data'!$C:$C),"")</f>
        <v>GEDA</v>
      </c>
      <c r="J111" s="471">
        <f>IFERROR(_xlfn.XLOOKUP(Table6[[#This Row],[Affected WTG]],'Basic Data'!$A:$A,'Basic Data'!$E:$E),"")</f>
        <v>3.846153846153845E-2</v>
      </c>
      <c r="K111" s="102">
        <v>4520</v>
      </c>
      <c r="L111" s="35" t="str">
        <f>IFERROR(_xlfn.XLOOKUP(Table6[[#This Row],[Error Code]],'Basic Data'!$AA:$AA,'Basic Data'!$AB:$AB),"Incorrect Error Code")</f>
        <v>Tower oscillation X level 1</v>
      </c>
      <c r="M111" s="35" t="s">
        <v>292</v>
      </c>
      <c r="N111" s="475"/>
      <c r="O111" s="476">
        <v>7.0833333333333331E-2</v>
      </c>
      <c r="P111" s="476">
        <v>7.0833333333333331E-2</v>
      </c>
      <c r="Q111" s="477">
        <v>7.8472222222222221E-2</v>
      </c>
      <c r="R111" s="472">
        <f>IF(Table6[[#This Row],[Work Start TimeStamp]]="","",(Table6[[#This Row],[Work Start TimeStamp]]-Table6[[#This Row],[Fault Start TimeStamp]])*24)</f>
        <v>0</v>
      </c>
      <c r="S111" s="472">
        <f>(Table6[[#This Row],[Fault Clearance time]]-Table6[[#This Row],[Work Start TimeStamp]])*24</f>
        <v>0.18333333333333335</v>
      </c>
      <c r="T111" s="472">
        <f>(Table6[[#This Row],[Fault Clearance time]]-Table6[[#This Row],[Fault Start TimeStamp]])*24</f>
        <v>0.18333333333333335</v>
      </c>
      <c r="U111" s="35" t="s">
        <v>336</v>
      </c>
      <c r="V111" s="102" t="s">
        <v>293</v>
      </c>
      <c r="W111" s="478">
        <f>IFERROR(Table6[[#This Row],[Breakdown Time]]*Table6[[#This Row],[Plant Equivalent Weightage]],"")</f>
        <v>7.0512820512820496E-3</v>
      </c>
      <c r="X111" s="473" t="s">
        <v>294</v>
      </c>
      <c r="Y111" s="474" t="s">
        <v>321</v>
      </c>
      <c r="Z111" s="102">
        <v>23560</v>
      </c>
      <c r="AA111" s="468">
        <f>(Table6[[#This Row],[Paired WTG Generation for loss calculation]]/24)*Table6[[#This Row],[Breakdown Time]]</f>
        <v>179.97222222222223</v>
      </c>
      <c r="AB111" s="102"/>
      <c r="AC111" s="35"/>
      <c r="AD111" s="35"/>
    </row>
    <row r="112" spans="1:30">
      <c r="A112" s="102">
        <f t="shared" si="2"/>
        <v>111</v>
      </c>
      <c r="B112" s="468">
        <f>YEAR(Table6[[#This Row],[Date]])+IF(MONTH(Table6[[#This Row],[Date]])&gt;=4,1,0)</f>
        <v>2026</v>
      </c>
      <c r="C112" s="102">
        <f>YEAR(Table6[[#This Row],[Date]])</f>
        <v>2025</v>
      </c>
      <c r="D112" s="102" t="s">
        <v>1992</v>
      </c>
      <c r="E112" s="469">
        <f>Table6[[#This Row],[Date]]-DAY(Table6[[#This Row],[Date]])+1</f>
        <v>45748</v>
      </c>
      <c r="F112" s="470">
        <v>45756</v>
      </c>
      <c r="G112" s="35" t="s">
        <v>77</v>
      </c>
      <c r="H112" s="35" t="str">
        <f>IFERROR(_xlfn.XLOOKUP(Table6[[#This Row],[Affected WTG]],'Basic Data'!$A:$A,'Basic Data'!$B:$B),"")</f>
        <v>TQGXIIPL</v>
      </c>
      <c r="I112" s="35" t="str">
        <f>IFERROR(_xlfn.XLOOKUP(Table6[[#This Row],[Affected WTG]],'Basic Data'!$A:$A,'Basic Data'!$C:$C),"")</f>
        <v>GEDA</v>
      </c>
      <c r="J112" s="471">
        <f>IFERROR(_xlfn.XLOOKUP(Table6[[#This Row],[Affected WTG]],'Basic Data'!$A:$A,'Basic Data'!$E:$E),"")</f>
        <v>3.846153846153845E-2</v>
      </c>
      <c r="K112" s="102">
        <v>6056</v>
      </c>
      <c r="L112" s="35" t="str">
        <f>IFERROR(_xlfn.XLOOKUP(Table6[[#This Row],[Error Code]],'Basic Data'!$AA:$AA,'Basic Data'!$AB:$AB),"Incorrect Error Code")</f>
        <v>High yaw load</v>
      </c>
      <c r="M112" s="35" t="s">
        <v>292</v>
      </c>
      <c r="N112" s="475"/>
      <c r="O112" s="476">
        <v>0.6069444444444444</v>
      </c>
      <c r="P112" s="476">
        <v>0.6069444444444444</v>
      </c>
      <c r="Q112" s="477">
        <v>0.60902777777777772</v>
      </c>
      <c r="R112" s="472">
        <f>IF(Table6[[#This Row],[Work Start TimeStamp]]="","",(Table6[[#This Row],[Work Start TimeStamp]]-Table6[[#This Row],[Fault Start TimeStamp]])*24)</f>
        <v>0</v>
      </c>
      <c r="S112" s="472">
        <f>(Table6[[#This Row],[Fault Clearance time]]-Table6[[#This Row],[Work Start TimeStamp]])*24</f>
        <v>4.9999999999999822E-2</v>
      </c>
      <c r="T112" s="472">
        <f>(Table6[[#This Row],[Fault Clearance time]]-Table6[[#This Row],[Fault Start TimeStamp]])*24</f>
        <v>4.9999999999999822E-2</v>
      </c>
      <c r="U112" s="35" t="s">
        <v>336</v>
      </c>
      <c r="V112" s="102" t="s">
        <v>293</v>
      </c>
      <c r="W112" s="478">
        <f>IFERROR(Table6[[#This Row],[Breakdown Time]]*Table6[[#This Row],[Plant Equivalent Weightage]],"")</f>
        <v>1.9230769230769156E-3</v>
      </c>
      <c r="X112" s="473" t="s">
        <v>294</v>
      </c>
      <c r="Y112" s="474" t="s">
        <v>310</v>
      </c>
      <c r="Z112" s="102">
        <v>28440</v>
      </c>
      <c r="AA112" s="468">
        <f>(Table6[[#This Row],[Paired WTG Generation for loss calculation]]/24)*Table6[[#This Row],[Breakdown Time]]</f>
        <v>59.249999999999787</v>
      </c>
      <c r="AB112" s="102"/>
      <c r="AC112" s="35"/>
      <c r="AD112" s="35"/>
    </row>
    <row r="113" spans="1:30">
      <c r="A113" s="102">
        <f t="shared" si="2"/>
        <v>112</v>
      </c>
      <c r="B113" s="468">
        <f>YEAR(Table6[[#This Row],[Date]])+IF(MONTH(Table6[[#This Row],[Date]])&gt;=4,1,0)</f>
        <v>2026</v>
      </c>
      <c r="C113" s="102">
        <f>YEAR(Table6[[#This Row],[Date]])</f>
        <v>2025</v>
      </c>
      <c r="D113" s="102" t="s">
        <v>1992</v>
      </c>
      <c r="E113" s="469">
        <f>Table6[[#This Row],[Date]]-DAY(Table6[[#This Row],[Date]])+1</f>
        <v>45748</v>
      </c>
      <c r="F113" s="470">
        <v>45756</v>
      </c>
      <c r="G113" s="35" t="s">
        <v>78</v>
      </c>
      <c r="H113" s="35" t="str">
        <f>IFERROR(_xlfn.XLOOKUP(Table6[[#This Row],[Affected WTG]],'Basic Data'!$A:$A,'Basic Data'!$B:$B),"")</f>
        <v>TQGXIIPL</v>
      </c>
      <c r="I113" s="35" t="str">
        <f>IFERROR(_xlfn.XLOOKUP(Table6[[#This Row],[Affected WTG]],'Basic Data'!$A:$A,'Basic Data'!$C:$C),"")</f>
        <v>GEDA</v>
      </c>
      <c r="J113" s="471">
        <f>IFERROR(_xlfn.XLOOKUP(Table6[[#This Row],[Affected WTG]],'Basic Data'!$A:$A,'Basic Data'!$E:$E),"")</f>
        <v>3.846153846153845E-2</v>
      </c>
      <c r="K113" s="102">
        <v>3211</v>
      </c>
      <c r="L113" s="35" t="str">
        <f>IFERROR(_xlfn.XLOOKUP(Table6[[#This Row],[Error Code]],'Basic Data'!$AA:$AA,'Basic Data'!$AB:$AB),"Incorrect Error Code")</f>
        <v>Conv. load shedding (CAN)</v>
      </c>
      <c r="M113" s="35" t="s">
        <v>291</v>
      </c>
      <c r="N113" s="475"/>
      <c r="O113" s="476">
        <v>0.3125</v>
      </c>
      <c r="P113" s="476">
        <v>0.36805555555555558</v>
      </c>
      <c r="Q113" s="477">
        <v>0.40138888888888891</v>
      </c>
      <c r="R113" s="472">
        <f>IF(Table6[[#This Row],[Work Start TimeStamp]]="","",(Table6[[#This Row],[Work Start TimeStamp]]-Table6[[#This Row],[Fault Start TimeStamp]])*24)</f>
        <v>1.3333333333333339</v>
      </c>
      <c r="S113" s="472">
        <f>(Table6[[#This Row],[Fault Clearance time]]-Table6[[#This Row],[Work Start TimeStamp]])*24</f>
        <v>0.79999999999999982</v>
      </c>
      <c r="T113" s="472">
        <f>(Table6[[#This Row],[Fault Clearance time]]-Table6[[#This Row],[Fault Start TimeStamp]])*24</f>
        <v>2.1333333333333337</v>
      </c>
      <c r="U113" s="35" t="s">
        <v>380</v>
      </c>
      <c r="V113" s="102" t="s">
        <v>293</v>
      </c>
      <c r="W113" s="478">
        <f>IFERROR(Table6[[#This Row],[Breakdown Time]]*Table6[[#This Row],[Plant Equivalent Weightage]],"")</f>
        <v>8.2051282051282037E-2</v>
      </c>
      <c r="X113" s="473" t="s">
        <v>294</v>
      </c>
      <c r="Y113" s="474" t="s">
        <v>333</v>
      </c>
      <c r="Z113" s="102">
        <v>35985</v>
      </c>
      <c r="AA113" s="468">
        <f>(Table6[[#This Row],[Paired WTG Generation for loss calculation]]/24)*Table6[[#This Row],[Breakdown Time]]</f>
        <v>3198.6666666666674</v>
      </c>
      <c r="AB113" s="102"/>
      <c r="AC113" s="35"/>
      <c r="AD113" s="35"/>
    </row>
    <row r="114" spans="1:30">
      <c r="A114" s="102">
        <f t="shared" si="2"/>
        <v>113</v>
      </c>
      <c r="B114" s="468">
        <f>YEAR(Table6[[#This Row],[Date]])+IF(MONTH(Table6[[#This Row],[Date]])&gt;=4,1,0)</f>
        <v>2026</v>
      </c>
      <c r="C114" s="102">
        <f>YEAR(Table6[[#This Row],[Date]])</f>
        <v>2025</v>
      </c>
      <c r="D114" s="102" t="s">
        <v>1992</v>
      </c>
      <c r="E114" s="469">
        <f>Table6[[#This Row],[Date]]-DAY(Table6[[#This Row],[Date]])+1</f>
        <v>45748</v>
      </c>
      <c r="F114" s="470">
        <v>45756</v>
      </c>
      <c r="G114" s="35" t="s">
        <v>79</v>
      </c>
      <c r="H114" s="35" t="str">
        <f>IFERROR(_xlfn.XLOOKUP(Table6[[#This Row],[Affected WTG]],'Basic Data'!$A:$A,'Basic Data'!$B:$B),"")</f>
        <v>TQGXIIPL</v>
      </c>
      <c r="I114" s="35" t="str">
        <f>IFERROR(_xlfn.XLOOKUP(Table6[[#This Row],[Affected WTG]],'Basic Data'!$A:$A,'Basic Data'!$C:$C),"")</f>
        <v>GEDA</v>
      </c>
      <c r="J114" s="471">
        <f>IFERROR(_xlfn.XLOOKUP(Table6[[#This Row],[Affected WTG]],'Basic Data'!$A:$A,'Basic Data'!$E:$E),"")</f>
        <v>3.846153846153845E-2</v>
      </c>
      <c r="K114" s="102">
        <v>6130</v>
      </c>
      <c r="L114" s="35" t="str">
        <f>IFERROR(_xlfn.XLOOKUP(Table6[[#This Row],[Error Code]],'Basic Data'!$AA:$AA,'Basic Data'!$AB:$AB),"Incorrect Error Code")</f>
        <v>Yaw speed high</v>
      </c>
      <c r="M114" s="35" t="s">
        <v>292</v>
      </c>
      <c r="N114" s="475"/>
      <c r="O114" s="476">
        <v>0.68402777777777779</v>
      </c>
      <c r="P114" s="476">
        <v>0.68402777777777779</v>
      </c>
      <c r="Q114" s="477">
        <v>0.68819444444444444</v>
      </c>
      <c r="R114" s="472">
        <f>IF(Table6[[#This Row],[Work Start TimeStamp]]="","",(Table6[[#This Row],[Work Start TimeStamp]]-Table6[[#This Row],[Fault Start TimeStamp]])*24)</f>
        <v>0</v>
      </c>
      <c r="S114" s="472">
        <f>(Table6[[#This Row],[Fault Clearance time]]-Table6[[#This Row],[Work Start TimeStamp]])*24</f>
        <v>9.9999999999999645E-2</v>
      </c>
      <c r="T114" s="472">
        <f>(Table6[[#This Row],[Fault Clearance time]]-Table6[[#This Row],[Fault Start TimeStamp]])*24</f>
        <v>9.9999999999999645E-2</v>
      </c>
      <c r="U114" s="35" t="s">
        <v>336</v>
      </c>
      <c r="V114" s="102" t="s">
        <v>293</v>
      </c>
      <c r="W114" s="478">
        <f>IFERROR(Table6[[#This Row],[Breakdown Time]]*Table6[[#This Row],[Plant Equivalent Weightage]],"")</f>
        <v>3.8461538461538312E-3</v>
      </c>
      <c r="X114" s="473" t="s">
        <v>294</v>
      </c>
      <c r="Y114" s="474" t="s">
        <v>325</v>
      </c>
      <c r="Z114" s="102">
        <v>28985</v>
      </c>
      <c r="AA114" s="468">
        <f>(Table6[[#This Row],[Paired WTG Generation for loss calculation]]/24)*Table6[[#This Row],[Breakdown Time]]</f>
        <v>120.7708333333329</v>
      </c>
      <c r="AB114" s="102"/>
      <c r="AC114" s="35"/>
      <c r="AD114" s="35"/>
    </row>
    <row r="115" spans="1:30">
      <c r="A115" s="102">
        <f t="shared" si="2"/>
        <v>114</v>
      </c>
      <c r="B115" s="468">
        <f>YEAR(Table6[[#This Row],[Date]])+IF(MONTH(Table6[[#This Row],[Date]])&gt;=4,1,0)</f>
        <v>2026</v>
      </c>
      <c r="C115" s="102">
        <f>YEAR(Table6[[#This Row],[Date]])</f>
        <v>2025</v>
      </c>
      <c r="D115" s="102" t="s">
        <v>1992</v>
      </c>
      <c r="E115" s="469">
        <f>Table6[[#This Row],[Date]]-DAY(Table6[[#This Row],[Date]])+1</f>
        <v>45748</v>
      </c>
      <c r="F115" s="470">
        <v>45756</v>
      </c>
      <c r="G115" s="35" t="s">
        <v>89</v>
      </c>
      <c r="H115" s="35" t="str">
        <f>IFERROR(_xlfn.XLOOKUP(Table6[[#This Row],[Affected WTG]],'Basic Data'!$A:$A,'Basic Data'!$B:$B),"")</f>
        <v>TQGXIIPL</v>
      </c>
      <c r="I115" s="35" t="str">
        <f>IFERROR(_xlfn.XLOOKUP(Table6[[#This Row],[Affected WTG]],'Basic Data'!$A:$A,'Basic Data'!$C:$C),"")</f>
        <v>GEDA</v>
      </c>
      <c r="J115" s="471">
        <f>IFERROR(_xlfn.XLOOKUP(Table6[[#This Row],[Affected WTG]],'Basic Data'!$A:$A,'Basic Data'!$E:$E),"")</f>
        <v>3.846153846153845E-2</v>
      </c>
      <c r="K115" s="102">
        <v>3065</v>
      </c>
      <c r="L115" s="35" t="str">
        <f>IFERROR(_xlfn.XLOOKUP(Table6[[#This Row],[Error Code]],'Basic Data'!$AA:$AA,'Basic Data'!$AB:$AB),"Incorrect Error Code")</f>
        <v>Conv. emerg.off type F</v>
      </c>
      <c r="M115" s="35" t="s">
        <v>291</v>
      </c>
      <c r="N115" s="475"/>
      <c r="O115" s="476">
        <v>0.60416666666666663</v>
      </c>
      <c r="P115" s="476">
        <v>0.60416666666666663</v>
      </c>
      <c r="Q115" s="477">
        <v>0.61736111111111114</v>
      </c>
      <c r="R115" s="472">
        <f>IF(Table6[[#This Row],[Work Start TimeStamp]]="","",(Table6[[#This Row],[Work Start TimeStamp]]-Table6[[#This Row],[Fault Start TimeStamp]])*24)</f>
        <v>0</v>
      </c>
      <c r="S115" s="472">
        <f>(Table6[[#This Row],[Fault Clearance time]]-Table6[[#This Row],[Work Start TimeStamp]])*24</f>
        <v>0.31666666666666821</v>
      </c>
      <c r="T115" s="472">
        <f>(Table6[[#This Row],[Fault Clearance time]]-Table6[[#This Row],[Fault Start TimeStamp]])*24</f>
        <v>0.31666666666666821</v>
      </c>
      <c r="U115" s="35" t="s">
        <v>368</v>
      </c>
      <c r="V115" s="102" t="s">
        <v>293</v>
      </c>
      <c r="W115" s="478">
        <f>IFERROR(Table6[[#This Row],[Breakdown Time]]*Table6[[#This Row],[Plant Equivalent Weightage]],"")</f>
        <v>1.2179487179487235E-2</v>
      </c>
      <c r="X115" s="473" t="s">
        <v>294</v>
      </c>
      <c r="Y115" s="474" t="s">
        <v>325</v>
      </c>
      <c r="Z115" s="102">
        <v>28985</v>
      </c>
      <c r="AA115" s="468">
        <f>(Table6[[#This Row],[Paired WTG Generation for loss calculation]]/24)*Table6[[#This Row],[Breakdown Time]]</f>
        <v>382.44097222222405</v>
      </c>
      <c r="AB115" s="102"/>
      <c r="AC115" s="35"/>
      <c r="AD115" s="35"/>
    </row>
    <row r="116" spans="1:30">
      <c r="A116" s="102">
        <f t="shared" si="2"/>
        <v>115</v>
      </c>
      <c r="B116" s="468">
        <f>YEAR(Table6[[#This Row],[Date]])+IF(MONTH(Table6[[#This Row],[Date]])&gt;=4,1,0)</f>
        <v>2026</v>
      </c>
      <c r="C116" s="102">
        <f>YEAR(Table6[[#This Row],[Date]])</f>
        <v>2025</v>
      </c>
      <c r="D116" s="102" t="s">
        <v>1992</v>
      </c>
      <c r="E116" s="469">
        <f>Table6[[#This Row],[Date]]-DAY(Table6[[#This Row],[Date]])+1</f>
        <v>45748</v>
      </c>
      <c r="F116" s="470">
        <v>45756</v>
      </c>
      <c r="G116" s="35" t="s">
        <v>91</v>
      </c>
      <c r="H116" s="35" t="str">
        <f>IFERROR(_xlfn.XLOOKUP(Table6[[#This Row],[Affected WTG]],'Basic Data'!$A:$A,'Basic Data'!$B:$B),"")</f>
        <v>TQGXIIPL</v>
      </c>
      <c r="I116" s="35" t="str">
        <f>IFERROR(_xlfn.XLOOKUP(Table6[[#This Row],[Affected WTG]],'Basic Data'!$A:$A,'Basic Data'!$C:$C),"")</f>
        <v>GEDA</v>
      </c>
      <c r="J116" s="471">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292</v>
      </c>
      <c r="N116" s="475"/>
      <c r="O116" s="476">
        <v>0.64861111111111114</v>
      </c>
      <c r="P116" s="476">
        <v>0.64861111111111114</v>
      </c>
      <c r="Q116" s="477">
        <v>0.65069444444444446</v>
      </c>
      <c r="R116" s="472">
        <f>IF(Table6[[#This Row],[Work Start TimeStamp]]="","",(Table6[[#This Row],[Work Start TimeStamp]]-Table6[[#This Row],[Fault Start TimeStamp]])*24)</f>
        <v>0</v>
      </c>
      <c r="S116" s="472">
        <f>(Table6[[#This Row],[Fault Clearance time]]-Table6[[#This Row],[Work Start TimeStamp]])*24</f>
        <v>4.9999999999999822E-2</v>
      </c>
      <c r="T116" s="472">
        <f>(Table6[[#This Row],[Fault Clearance time]]-Table6[[#This Row],[Fault Start TimeStamp]])*24</f>
        <v>4.9999999999999822E-2</v>
      </c>
      <c r="U116" s="35" t="s">
        <v>336</v>
      </c>
      <c r="V116" s="102" t="s">
        <v>293</v>
      </c>
      <c r="W116" s="478">
        <f>IFERROR(Table6[[#This Row],[Breakdown Time]]*Table6[[#This Row],[Plant Equivalent Weightage]],"")</f>
        <v>1.9230769230769156E-3</v>
      </c>
      <c r="X116" s="473" t="s">
        <v>294</v>
      </c>
      <c r="Y116" s="474" t="s">
        <v>319</v>
      </c>
      <c r="Z116" s="102">
        <v>28574</v>
      </c>
      <c r="AA116" s="468">
        <f>(Table6[[#This Row],[Paired WTG Generation for loss calculation]]/24)*Table6[[#This Row],[Breakdown Time]]</f>
        <v>59.529166666666448</v>
      </c>
      <c r="AB116" s="102"/>
      <c r="AC116" s="35"/>
      <c r="AD116" s="35"/>
    </row>
    <row r="117" spans="1:30">
      <c r="A117" s="102">
        <f t="shared" si="2"/>
        <v>116</v>
      </c>
      <c r="B117" s="468">
        <f>YEAR(Table6[[#This Row],[Date]])+IF(MONTH(Table6[[#This Row],[Date]])&gt;=4,1,0)</f>
        <v>2026</v>
      </c>
      <c r="C117" s="102">
        <f>YEAR(Table6[[#This Row],[Date]])</f>
        <v>2025</v>
      </c>
      <c r="D117" s="102" t="s">
        <v>1992</v>
      </c>
      <c r="E117" s="469">
        <f>Table6[[#This Row],[Date]]-DAY(Table6[[#This Row],[Date]])+1</f>
        <v>45748</v>
      </c>
      <c r="F117" s="470">
        <v>45756</v>
      </c>
      <c r="G117" s="35" t="s">
        <v>93</v>
      </c>
      <c r="H117" s="35" t="str">
        <f>IFERROR(_xlfn.XLOOKUP(Table6[[#This Row],[Affected WTG]],'Basic Data'!$A:$A,'Basic Data'!$B:$B),"")</f>
        <v>TQGXIIPL</v>
      </c>
      <c r="I117" s="35" t="str">
        <f>IFERROR(_xlfn.XLOOKUP(Table6[[#This Row],[Affected WTG]],'Basic Data'!$A:$A,'Basic Data'!$C:$C),"")</f>
        <v>GEDA</v>
      </c>
      <c r="J117" s="471">
        <f>IFERROR(_xlfn.XLOOKUP(Table6[[#This Row],[Affected WTG]],'Basic Data'!$A:$A,'Basic Data'!$E:$E),"")</f>
        <v>3.846153846153845E-2</v>
      </c>
      <c r="K117" s="102">
        <v>6056</v>
      </c>
      <c r="L117" s="35" t="str">
        <f>IFERROR(_xlfn.XLOOKUP(Table6[[#This Row],[Error Code]],'Basic Data'!$AA:$AA,'Basic Data'!$AB:$AB),"Incorrect Error Code")</f>
        <v>High yaw load</v>
      </c>
      <c r="M117" s="35" t="s">
        <v>292</v>
      </c>
      <c r="N117" s="475"/>
      <c r="O117" s="476">
        <v>0.65</v>
      </c>
      <c r="P117" s="476">
        <v>0.65</v>
      </c>
      <c r="Q117" s="477">
        <v>0.65138888888888891</v>
      </c>
      <c r="R117" s="472">
        <f>IF(Table6[[#This Row],[Work Start TimeStamp]]="","",(Table6[[#This Row],[Work Start TimeStamp]]-Table6[[#This Row],[Fault Start TimeStamp]])*24)</f>
        <v>0</v>
      </c>
      <c r="S117" s="472">
        <f>(Table6[[#This Row],[Fault Clearance time]]-Table6[[#This Row],[Work Start TimeStamp]])*24</f>
        <v>3.3333333333333215E-2</v>
      </c>
      <c r="T117" s="472">
        <f>(Table6[[#This Row],[Fault Clearance time]]-Table6[[#This Row],[Fault Start TimeStamp]])*24</f>
        <v>3.3333333333333215E-2</v>
      </c>
      <c r="U117" s="35" t="s">
        <v>336</v>
      </c>
      <c r="V117" s="102" t="s">
        <v>293</v>
      </c>
      <c r="W117" s="478">
        <f>IFERROR(Table6[[#This Row],[Breakdown Time]]*Table6[[#This Row],[Plant Equivalent Weightage]],"")</f>
        <v>1.2820512820512771E-3</v>
      </c>
      <c r="X117" s="473" t="s">
        <v>294</v>
      </c>
      <c r="Y117" s="474" t="s">
        <v>314</v>
      </c>
      <c r="Z117" s="102">
        <v>32143</v>
      </c>
      <c r="AA117" s="468">
        <f>(Table6[[#This Row],[Paired WTG Generation for loss calculation]]/24)*Table6[[#This Row],[Breakdown Time]]</f>
        <v>44.643055555555399</v>
      </c>
      <c r="AB117" s="102"/>
      <c r="AC117" s="35"/>
      <c r="AD117" s="35"/>
    </row>
    <row r="118" spans="1:30">
      <c r="A118" s="102">
        <f t="shared" si="2"/>
        <v>117</v>
      </c>
      <c r="B118" s="468">
        <f>YEAR(Table6[[#This Row],[Date]])+IF(MONTH(Table6[[#This Row],[Date]])&gt;=4,1,0)</f>
        <v>2026</v>
      </c>
      <c r="C118" s="102">
        <f>YEAR(Table6[[#This Row],[Date]])</f>
        <v>2025</v>
      </c>
      <c r="D118" s="102" t="s">
        <v>1992</v>
      </c>
      <c r="E118" s="469">
        <f>Table6[[#This Row],[Date]]-DAY(Table6[[#This Row],[Date]])+1</f>
        <v>45748</v>
      </c>
      <c r="F118" s="470">
        <v>45756</v>
      </c>
      <c r="G118" s="35" t="s">
        <v>95</v>
      </c>
      <c r="H118" s="35" t="str">
        <f>IFERROR(_xlfn.XLOOKUP(Table6[[#This Row],[Affected WTG]],'Basic Data'!$A:$A,'Basic Data'!$B:$B),"")</f>
        <v>TQGXIIPL</v>
      </c>
      <c r="I118" s="35" t="str">
        <f>IFERROR(_xlfn.XLOOKUP(Table6[[#This Row],[Affected WTG]],'Basic Data'!$A:$A,'Basic Data'!$C:$C),"")</f>
        <v>GEDA</v>
      </c>
      <c r="J118" s="471">
        <f>IFERROR(_xlfn.XLOOKUP(Table6[[#This Row],[Affected WTG]],'Basic Data'!$A:$A,'Basic Data'!$E:$E),"")</f>
        <v>3.846153846153845E-2</v>
      </c>
      <c r="K118" s="102">
        <v>6130</v>
      </c>
      <c r="L118" s="35" t="str">
        <f>IFERROR(_xlfn.XLOOKUP(Table6[[#This Row],[Error Code]],'Basic Data'!$AA:$AA,'Basic Data'!$AB:$AB),"Incorrect Error Code")</f>
        <v>Yaw speed high</v>
      </c>
      <c r="M118" s="35" t="s">
        <v>292</v>
      </c>
      <c r="N118" s="475"/>
      <c r="O118" s="476">
        <v>0.6381944444444444</v>
      </c>
      <c r="P118" s="476">
        <v>0.6381944444444444</v>
      </c>
      <c r="Q118" s="477">
        <v>0.64236111111111116</v>
      </c>
      <c r="R118" s="472">
        <f>IF(Table6[[#This Row],[Work Start TimeStamp]]="","",(Table6[[#This Row],[Work Start TimeStamp]]-Table6[[#This Row],[Fault Start TimeStamp]])*24)</f>
        <v>0</v>
      </c>
      <c r="S118" s="472">
        <f>(Table6[[#This Row],[Fault Clearance time]]-Table6[[#This Row],[Work Start TimeStamp]])*24</f>
        <v>0.10000000000000231</v>
      </c>
      <c r="T118" s="472">
        <f>(Table6[[#This Row],[Fault Clearance time]]-Table6[[#This Row],[Fault Start TimeStamp]])*24</f>
        <v>0.10000000000000231</v>
      </c>
      <c r="U118" s="35" t="s">
        <v>336</v>
      </c>
      <c r="V118" s="102" t="s">
        <v>293</v>
      </c>
      <c r="W118" s="478">
        <f>IFERROR(Table6[[#This Row],[Breakdown Time]]*Table6[[#This Row],[Plant Equivalent Weightage]],"")</f>
        <v>3.846153846153934E-3</v>
      </c>
      <c r="X118" s="473" t="s">
        <v>294</v>
      </c>
      <c r="Y118" s="474" t="s">
        <v>319</v>
      </c>
      <c r="Z118" s="102">
        <v>28574</v>
      </c>
      <c r="AA118" s="468">
        <f>(Table6[[#This Row],[Paired WTG Generation for loss calculation]]/24)*Table6[[#This Row],[Breakdown Time]]</f>
        <v>119.05833333333608</v>
      </c>
      <c r="AB118" s="102"/>
      <c r="AC118" s="35"/>
      <c r="AD118" s="35"/>
    </row>
    <row r="119" spans="1:30">
      <c r="A119" s="102">
        <f t="shared" si="2"/>
        <v>118</v>
      </c>
      <c r="B119" s="468">
        <f>YEAR(Table6[[#This Row],[Date]])+IF(MONTH(Table6[[#This Row],[Date]])&gt;=4,1,0)</f>
        <v>2026</v>
      </c>
      <c r="C119" s="102">
        <f>YEAR(Table6[[#This Row],[Date]])</f>
        <v>2025</v>
      </c>
      <c r="D119" s="102" t="s">
        <v>1992</v>
      </c>
      <c r="E119" s="469">
        <f>Table6[[#This Row],[Date]]-DAY(Table6[[#This Row],[Date]])+1</f>
        <v>45748</v>
      </c>
      <c r="F119" s="470">
        <v>45756</v>
      </c>
      <c r="G119" s="35" t="s">
        <v>96</v>
      </c>
      <c r="H119" s="35" t="str">
        <f>IFERROR(_xlfn.XLOOKUP(Table6[[#This Row],[Affected WTG]],'Basic Data'!$A:$A,'Basic Data'!$B:$B),"")</f>
        <v>TQGXIIPL</v>
      </c>
      <c r="I119" s="35" t="str">
        <f>IFERROR(_xlfn.XLOOKUP(Table6[[#This Row],[Affected WTG]],'Basic Data'!$A:$A,'Basic Data'!$C:$C),"")</f>
        <v>GEDA</v>
      </c>
      <c r="J119" s="471">
        <f>IFERROR(_xlfn.XLOOKUP(Table6[[#This Row],[Affected WTG]],'Basic Data'!$A:$A,'Basic Data'!$E:$E),"")</f>
        <v>3.846153846153845E-2</v>
      </c>
      <c r="K119" s="102">
        <v>3395</v>
      </c>
      <c r="L119" s="35" t="str">
        <f>IFERROR(_xlfn.XLOOKUP(Table6[[#This Row],[Error Code]],'Basic Data'!$AA:$AA,'Basic Data'!$AB:$AB),"Incorrect Error Code")</f>
        <v>Pump cooling sys. overload</v>
      </c>
      <c r="M119" s="35" t="s">
        <v>291</v>
      </c>
      <c r="N119" s="475"/>
      <c r="O119" s="476">
        <v>0.8125</v>
      </c>
      <c r="P119" s="476">
        <v>0.83333333333333337</v>
      </c>
      <c r="Q119" s="477">
        <v>1</v>
      </c>
      <c r="R119" s="472">
        <f>IF(Table6[[#This Row],[Work Start TimeStamp]]="","",(Table6[[#This Row],[Work Start TimeStamp]]-Table6[[#This Row],[Fault Start TimeStamp]])*24)</f>
        <v>0.50000000000000089</v>
      </c>
      <c r="S119" s="472">
        <f>(Table6[[#This Row],[Fault Clearance time]]-Table6[[#This Row],[Work Start TimeStamp]])*24</f>
        <v>3.9999999999999991</v>
      </c>
      <c r="T119" s="472">
        <f>(Table6[[#This Row],[Fault Clearance time]]-Table6[[#This Row],[Fault Start TimeStamp]])*24</f>
        <v>4.5</v>
      </c>
      <c r="U119" s="35" t="s">
        <v>381</v>
      </c>
      <c r="V119" s="102" t="s">
        <v>335</v>
      </c>
      <c r="W119" s="478">
        <f>IFERROR(Table6[[#This Row],[Breakdown Time]]*Table6[[#This Row],[Plant Equivalent Weightage]],"")</f>
        <v>0.17307692307692302</v>
      </c>
      <c r="X119" s="473" t="s">
        <v>294</v>
      </c>
      <c r="Y119" s="474" t="s">
        <v>313</v>
      </c>
      <c r="Z119" s="102">
        <v>27370</v>
      </c>
      <c r="AA119" s="468">
        <f>(Table6[[#This Row],[Paired WTG Generation for loss calculation]]/24)*Table6[[#This Row],[Breakdown Time]]</f>
        <v>5131.875</v>
      </c>
      <c r="AB119" s="102"/>
      <c r="AC119" s="35"/>
      <c r="AD119" s="35"/>
    </row>
    <row r="120" spans="1:30">
      <c r="A120" s="102">
        <f t="shared" si="2"/>
        <v>119</v>
      </c>
      <c r="B120" s="468">
        <f>YEAR(Table6[[#This Row],[Date]])+IF(MONTH(Table6[[#This Row],[Date]])&gt;=4,1,0)</f>
        <v>2026</v>
      </c>
      <c r="C120" s="102">
        <f>YEAR(Table6[[#This Row],[Date]])</f>
        <v>2025</v>
      </c>
      <c r="D120" s="102" t="s">
        <v>1992</v>
      </c>
      <c r="E120" s="469">
        <f>Table6[[#This Row],[Date]]-DAY(Table6[[#This Row],[Date]])+1</f>
        <v>45748</v>
      </c>
      <c r="F120" s="470">
        <v>45756</v>
      </c>
      <c r="G120" s="35" t="s">
        <v>98</v>
      </c>
      <c r="H120" s="35" t="str">
        <f>IFERROR(_xlfn.XLOOKUP(Table6[[#This Row],[Affected WTG]],'Basic Data'!$A:$A,'Basic Data'!$B:$B),"")</f>
        <v>TQGXIIPL</v>
      </c>
      <c r="I120" s="35" t="str">
        <f>IFERROR(_xlfn.XLOOKUP(Table6[[#This Row],[Affected WTG]],'Basic Data'!$A:$A,'Basic Data'!$C:$C),"")</f>
        <v>GEDA</v>
      </c>
      <c r="J120" s="471">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291</v>
      </c>
      <c r="N120" s="475"/>
      <c r="O120" s="476">
        <v>0.15277777777777779</v>
      </c>
      <c r="P120" s="476">
        <v>0.15277777777777779</v>
      </c>
      <c r="Q120" s="477">
        <v>0.15763888888888888</v>
      </c>
      <c r="R120" s="472">
        <f>IF(Table6[[#This Row],[Work Start TimeStamp]]="","",(Table6[[#This Row],[Work Start TimeStamp]]-Table6[[#This Row],[Fault Start TimeStamp]])*24)</f>
        <v>0</v>
      </c>
      <c r="S120" s="472">
        <f>(Table6[[#This Row],[Fault Clearance time]]-Table6[[#This Row],[Work Start TimeStamp]])*24</f>
        <v>0.11666666666666625</v>
      </c>
      <c r="T120" s="472">
        <f>(Table6[[#This Row],[Fault Clearance time]]-Table6[[#This Row],[Fault Start TimeStamp]])*24</f>
        <v>0.11666666666666625</v>
      </c>
      <c r="U120" s="35" t="s">
        <v>368</v>
      </c>
      <c r="V120" s="102" t="s">
        <v>293</v>
      </c>
      <c r="W120" s="478">
        <f>IFERROR(Table6[[#This Row],[Breakdown Time]]*Table6[[#This Row],[Plant Equivalent Weightage]],"")</f>
        <v>4.4871794871794695E-3</v>
      </c>
      <c r="X120" s="473" t="s">
        <v>294</v>
      </c>
      <c r="Y120" s="474" t="s">
        <v>315</v>
      </c>
      <c r="Z120" s="102">
        <v>28683</v>
      </c>
      <c r="AA120" s="468">
        <f>(Table6[[#This Row],[Paired WTG Generation for loss calculation]]/24)*Table6[[#This Row],[Breakdown Time]]</f>
        <v>139.43124999999949</v>
      </c>
      <c r="AB120" s="102"/>
      <c r="AC120" s="35"/>
      <c r="AD120" s="35"/>
    </row>
    <row r="121" spans="1:30">
      <c r="A121" s="102">
        <f t="shared" si="2"/>
        <v>120</v>
      </c>
      <c r="B121" s="468">
        <f>YEAR(Table6[[#This Row],[Date]])+IF(MONTH(Table6[[#This Row],[Date]])&gt;=4,1,0)</f>
        <v>2026</v>
      </c>
      <c r="C121" s="102">
        <f>YEAR(Table6[[#This Row],[Date]])</f>
        <v>2025</v>
      </c>
      <c r="D121" s="102" t="s">
        <v>1992</v>
      </c>
      <c r="E121" s="469">
        <f>Table6[[#This Row],[Date]]-DAY(Table6[[#This Row],[Date]])+1</f>
        <v>45748</v>
      </c>
      <c r="F121" s="470">
        <v>45757</v>
      </c>
      <c r="G121" s="35" t="s">
        <v>75</v>
      </c>
      <c r="H121" s="35" t="str">
        <f>IFERROR(_xlfn.XLOOKUP(Table6[[#This Row],[Affected WTG]],'Basic Data'!$A:$A,'Basic Data'!$B:$B),"")</f>
        <v>TQGXIIPL</v>
      </c>
      <c r="I121" s="35" t="str">
        <f>IFERROR(_xlfn.XLOOKUP(Table6[[#This Row],[Affected WTG]],'Basic Data'!$A:$A,'Basic Data'!$C:$C),"")</f>
        <v>GEDA</v>
      </c>
      <c r="J121" s="471">
        <f>IFERROR(_xlfn.XLOOKUP(Table6[[#This Row],[Affected WTG]],'Basic Data'!$A:$A,'Basic Data'!$E:$E),"")</f>
        <v>3.846153846153845E-2</v>
      </c>
      <c r="K121" s="102">
        <v>6605</v>
      </c>
      <c r="L121" s="35" t="str">
        <f>IFERROR(_xlfn.XLOOKUP(Table6[[#This Row],[Error Code]],'Basic Data'!$AA:$AA,'Basic Data'!$AB:$AB),"Incorrect Error Code")</f>
        <v>Wind.dir. diff. level 2</v>
      </c>
      <c r="M121" s="35" t="s">
        <v>291</v>
      </c>
      <c r="N121" s="475"/>
      <c r="O121" s="476">
        <v>0.63402777777777775</v>
      </c>
      <c r="P121" s="476">
        <v>0.63402777777777775</v>
      </c>
      <c r="Q121" s="477">
        <v>0.63680555555555551</v>
      </c>
      <c r="R121" s="472">
        <f>IF(Table6[[#This Row],[Work Start TimeStamp]]="","",(Table6[[#This Row],[Work Start TimeStamp]]-Table6[[#This Row],[Fault Start TimeStamp]])*24)</f>
        <v>0</v>
      </c>
      <c r="S121" s="472">
        <f>(Table6[[#This Row],[Fault Clearance time]]-Table6[[#This Row],[Work Start TimeStamp]])*24</f>
        <v>6.666666666666643E-2</v>
      </c>
      <c r="T121" s="472">
        <f>(Table6[[#This Row],[Fault Clearance time]]-Table6[[#This Row],[Fault Start TimeStamp]])*24</f>
        <v>6.666666666666643E-2</v>
      </c>
      <c r="U121" s="35" t="s">
        <v>349</v>
      </c>
      <c r="V121" s="102" t="s">
        <v>293</v>
      </c>
      <c r="W121" s="478">
        <f>IFERROR(Table6[[#This Row],[Breakdown Time]]*Table6[[#This Row],[Plant Equivalent Weightage]],"")</f>
        <v>2.5641025641025541E-3</v>
      </c>
      <c r="X121" s="473" t="s">
        <v>294</v>
      </c>
      <c r="Y121" s="474" t="s">
        <v>318</v>
      </c>
      <c r="Z121" s="102">
        <v>41567</v>
      </c>
      <c r="AA121" s="468">
        <f>(Table6[[#This Row],[Paired WTG Generation for loss calculation]]/24)*Table6[[#This Row],[Breakdown Time]]</f>
        <v>115.46388888888848</v>
      </c>
      <c r="AB121" s="102"/>
      <c r="AC121" s="35"/>
      <c r="AD121" s="35"/>
    </row>
    <row r="122" spans="1:30">
      <c r="A122" s="102">
        <f t="shared" si="2"/>
        <v>121</v>
      </c>
      <c r="B122" s="468">
        <f>YEAR(Table6[[#This Row],[Date]])+IF(MONTH(Table6[[#This Row],[Date]])&gt;=4,1,0)</f>
        <v>2026</v>
      </c>
      <c r="C122" s="102">
        <f>YEAR(Table6[[#This Row],[Date]])</f>
        <v>2025</v>
      </c>
      <c r="D122" s="102" t="s">
        <v>1992</v>
      </c>
      <c r="E122" s="469">
        <f>Table6[[#This Row],[Date]]-DAY(Table6[[#This Row],[Date]])+1</f>
        <v>45748</v>
      </c>
      <c r="F122" s="470">
        <v>45757</v>
      </c>
      <c r="G122" s="35" t="s">
        <v>77</v>
      </c>
      <c r="H122" s="35" t="str">
        <f>IFERROR(_xlfn.XLOOKUP(Table6[[#This Row],[Affected WTG]],'Basic Data'!$A:$A,'Basic Data'!$B:$B),"")</f>
        <v>TQGXIIPL</v>
      </c>
      <c r="I122" s="35" t="str">
        <f>IFERROR(_xlfn.XLOOKUP(Table6[[#This Row],[Affected WTG]],'Basic Data'!$A:$A,'Basic Data'!$C:$C),"")</f>
        <v>GEDA</v>
      </c>
      <c r="J122" s="471">
        <f>IFERROR(_xlfn.XLOOKUP(Table6[[#This Row],[Affected WTG]],'Basic Data'!$A:$A,'Basic Data'!$E:$E),"")</f>
        <v>3.846153846153845E-2</v>
      </c>
      <c r="K122" s="102">
        <v>1700</v>
      </c>
      <c r="L122" s="35" t="str">
        <f>IFERROR(_xlfn.XLOOKUP(Table6[[#This Row],[Error Code]],'Basic Data'!$AA:$AA,'Basic Data'!$AB:$AB),"Incorrect Error Code")</f>
        <v>High temp. gear bearing 1</v>
      </c>
      <c r="M122" s="35" t="s">
        <v>291</v>
      </c>
      <c r="N122" s="475"/>
      <c r="O122" s="476">
        <v>0.7631944444444444</v>
      </c>
      <c r="P122" s="476">
        <v>0.7631944444444444</v>
      </c>
      <c r="Q122" s="477">
        <v>0.76875000000000004</v>
      </c>
      <c r="R122" s="472">
        <f>IF(Table6[[#This Row],[Work Start TimeStamp]]="","",(Table6[[#This Row],[Work Start TimeStamp]]-Table6[[#This Row],[Fault Start TimeStamp]])*24)</f>
        <v>0</v>
      </c>
      <c r="S122" s="472">
        <f>(Table6[[#This Row],[Fault Clearance time]]-Table6[[#This Row],[Work Start TimeStamp]])*24</f>
        <v>0.13333333333333552</v>
      </c>
      <c r="T122" s="472">
        <f>(Table6[[#This Row],[Fault Clearance time]]-Table6[[#This Row],[Fault Start TimeStamp]])*24</f>
        <v>0.13333333333333552</v>
      </c>
      <c r="U122" s="35" t="s">
        <v>382</v>
      </c>
      <c r="V122" s="102" t="s">
        <v>293</v>
      </c>
      <c r="W122" s="478">
        <f>IFERROR(Table6[[#This Row],[Breakdown Time]]*Table6[[#This Row],[Plant Equivalent Weightage]],"")</f>
        <v>5.1282051282052106E-3</v>
      </c>
      <c r="X122" s="473" t="s">
        <v>294</v>
      </c>
      <c r="Y122" s="474" t="s">
        <v>318</v>
      </c>
      <c r="Z122" s="102">
        <v>41567</v>
      </c>
      <c r="AA122" s="468">
        <f>(Table6[[#This Row],[Paired WTG Generation for loss calculation]]/24)*Table6[[#This Row],[Breakdown Time]]</f>
        <v>230.92777777778156</v>
      </c>
      <c r="AB122" s="102"/>
      <c r="AC122" s="35"/>
      <c r="AD122" s="35"/>
    </row>
    <row r="123" spans="1:30">
      <c r="A123" s="102">
        <f t="shared" si="2"/>
        <v>122</v>
      </c>
      <c r="B123" s="468">
        <f>YEAR(Table6[[#This Row],[Date]])+IF(MONTH(Table6[[#This Row],[Date]])&gt;=4,1,0)</f>
        <v>2026</v>
      </c>
      <c r="C123" s="102">
        <f>YEAR(Table6[[#This Row],[Date]])</f>
        <v>2025</v>
      </c>
      <c r="D123" s="102" t="s">
        <v>1992</v>
      </c>
      <c r="E123" s="469">
        <f>Table6[[#This Row],[Date]]-DAY(Table6[[#This Row],[Date]])+1</f>
        <v>45748</v>
      </c>
      <c r="F123" s="470">
        <v>45757</v>
      </c>
      <c r="G123" s="35" t="s">
        <v>78</v>
      </c>
      <c r="H123" s="35" t="str">
        <f>IFERROR(_xlfn.XLOOKUP(Table6[[#This Row],[Affected WTG]],'Basic Data'!$A:$A,'Basic Data'!$B:$B),"")</f>
        <v>TQGXIIPL</v>
      </c>
      <c r="I123" s="35" t="str">
        <f>IFERROR(_xlfn.XLOOKUP(Table6[[#This Row],[Affected WTG]],'Basic Data'!$A:$A,'Basic Data'!$C:$C),"")</f>
        <v>GEDA</v>
      </c>
      <c r="J123" s="471">
        <f>IFERROR(_xlfn.XLOOKUP(Table6[[#This Row],[Affected WTG]],'Basic Data'!$A:$A,'Basic Data'!$E:$E),"")</f>
        <v>3.846153846153845E-2</v>
      </c>
      <c r="K123" s="102">
        <v>6605</v>
      </c>
      <c r="L123" s="35" t="str">
        <f>IFERROR(_xlfn.XLOOKUP(Table6[[#This Row],[Error Code]],'Basic Data'!$AA:$AA,'Basic Data'!$AB:$AB),"Incorrect Error Code")</f>
        <v>Wind.dir. diff. level 2</v>
      </c>
      <c r="M123" s="35" t="s">
        <v>291</v>
      </c>
      <c r="N123" s="475"/>
      <c r="O123" s="476">
        <v>0.53333333333333333</v>
      </c>
      <c r="P123" s="476">
        <v>0.53333333333333333</v>
      </c>
      <c r="Q123" s="477">
        <v>0.53472222222222221</v>
      </c>
      <c r="R123" s="472">
        <f>IF(Table6[[#This Row],[Work Start TimeStamp]]="","",(Table6[[#This Row],[Work Start TimeStamp]]-Table6[[#This Row],[Fault Start TimeStamp]])*24)</f>
        <v>0</v>
      </c>
      <c r="S123" s="472">
        <f>(Table6[[#This Row],[Fault Clearance time]]-Table6[[#This Row],[Work Start TimeStamp]])*24</f>
        <v>3.3333333333333215E-2</v>
      </c>
      <c r="T123" s="472">
        <f>(Table6[[#This Row],[Fault Clearance time]]-Table6[[#This Row],[Fault Start TimeStamp]])*24</f>
        <v>3.3333333333333215E-2</v>
      </c>
      <c r="U123" s="35" t="s">
        <v>349</v>
      </c>
      <c r="V123" s="102" t="s">
        <v>293</v>
      </c>
      <c r="W123" s="478">
        <f>IFERROR(Table6[[#This Row],[Breakdown Time]]*Table6[[#This Row],[Plant Equivalent Weightage]],"")</f>
        <v>1.2820512820512771E-3</v>
      </c>
      <c r="X123" s="473" t="s">
        <v>294</v>
      </c>
      <c r="Y123" s="474" t="s">
        <v>333</v>
      </c>
      <c r="Z123" s="102">
        <v>45183</v>
      </c>
      <c r="AA123" s="468">
        <f>(Table6[[#This Row],[Paired WTG Generation for loss calculation]]/24)*Table6[[#This Row],[Breakdown Time]]</f>
        <v>62.754166666666443</v>
      </c>
      <c r="AB123" s="102"/>
      <c r="AC123" s="35"/>
      <c r="AD123" s="35"/>
    </row>
    <row r="124" spans="1:30">
      <c r="A124" s="102">
        <f t="shared" si="2"/>
        <v>123</v>
      </c>
      <c r="B124" s="468">
        <f>YEAR(Table6[[#This Row],[Date]])+IF(MONTH(Table6[[#This Row],[Date]])&gt;=4,1,0)</f>
        <v>2026</v>
      </c>
      <c r="C124" s="102">
        <f>YEAR(Table6[[#This Row],[Date]])</f>
        <v>2025</v>
      </c>
      <c r="D124" s="102" t="s">
        <v>1992</v>
      </c>
      <c r="E124" s="469">
        <f>Table6[[#This Row],[Date]]-DAY(Table6[[#This Row],[Date]])+1</f>
        <v>45748</v>
      </c>
      <c r="F124" s="470">
        <v>45757</v>
      </c>
      <c r="G124" s="35" t="s">
        <v>79</v>
      </c>
      <c r="H124" s="35" t="str">
        <f>IFERROR(_xlfn.XLOOKUP(Table6[[#This Row],[Affected WTG]],'Basic Data'!$A:$A,'Basic Data'!$B:$B),"")</f>
        <v>TQGXIIPL</v>
      </c>
      <c r="I124" s="35" t="str">
        <f>IFERROR(_xlfn.XLOOKUP(Table6[[#This Row],[Affected WTG]],'Basic Data'!$A:$A,'Basic Data'!$C:$C),"")</f>
        <v>GEDA</v>
      </c>
      <c r="J124" s="471">
        <f>IFERROR(_xlfn.XLOOKUP(Table6[[#This Row],[Affected WTG]],'Basic Data'!$A:$A,'Basic Data'!$E:$E),"")</f>
        <v>3.846153846153845E-2</v>
      </c>
      <c r="K124" s="102">
        <v>6130</v>
      </c>
      <c r="L124" s="35" t="str">
        <f>IFERROR(_xlfn.XLOOKUP(Table6[[#This Row],[Error Code]],'Basic Data'!$AA:$AA,'Basic Data'!$AB:$AB),"Incorrect Error Code")</f>
        <v>Yaw speed high</v>
      </c>
      <c r="M124" s="35" t="s">
        <v>291</v>
      </c>
      <c r="N124" s="475"/>
      <c r="O124" s="476">
        <v>0.57152777777777775</v>
      </c>
      <c r="P124" s="476">
        <v>0.57152777777777775</v>
      </c>
      <c r="Q124" s="477">
        <v>0.57777777777777772</v>
      </c>
      <c r="R124" s="472">
        <f>IF(Table6[[#This Row],[Work Start TimeStamp]]="","",(Table6[[#This Row],[Work Start TimeStamp]]-Table6[[#This Row],[Fault Start TimeStamp]])*24)</f>
        <v>0</v>
      </c>
      <c r="S124" s="472">
        <f>(Table6[[#This Row],[Fault Clearance time]]-Table6[[#This Row],[Work Start TimeStamp]])*24</f>
        <v>0.14999999999999947</v>
      </c>
      <c r="T124" s="472">
        <f>(Table6[[#This Row],[Fault Clearance time]]-Table6[[#This Row],[Fault Start TimeStamp]])*24</f>
        <v>0.14999999999999947</v>
      </c>
      <c r="U124" s="35" t="s">
        <v>349</v>
      </c>
      <c r="V124" s="102" t="s">
        <v>293</v>
      </c>
      <c r="W124" s="478">
        <f>IFERROR(Table6[[#This Row],[Breakdown Time]]*Table6[[#This Row],[Plant Equivalent Weightage]],"")</f>
        <v>5.769230769230747E-3</v>
      </c>
      <c r="X124" s="473" t="s">
        <v>294</v>
      </c>
      <c r="Y124" s="474" t="s">
        <v>311</v>
      </c>
      <c r="Z124" s="102">
        <v>33218</v>
      </c>
      <c r="AA124" s="468">
        <f>(Table6[[#This Row],[Paired WTG Generation for loss calculation]]/24)*Table6[[#This Row],[Breakdown Time]]</f>
        <v>207.61249999999924</v>
      </c>
      <c r="AB124" s="102"/>
      <c r="AC124" s="35"/>
      <c r="AD124" s="35"/>
    </row>
    <row r="125" spans="1:30">
      <c r="A125" s="102">
        <f t="shared" si="2"/>
        <v>124</v>
      </c>
      <c r="B125" s="468">
        <f>YEAR(Table6[[#This Row],[Date]])+IF(MONTH(Table6[[#This Row],[Date]])&gt;=4,1,0)</f>
        <v>2026</v>
      </c>
      <c r="C125" s="102">
        <f>YEAR(Table6[[#This Row],[Date]])</f>
        <v>2025</v>
      </c>
      <c r="D125" s="102" t="s">
        <v>1992</v>
      </c>
      <c r="E125" s="469">
        <f>Table6[[#This Row],[Date]]-DAY(Table6[[#This Row],[Date]])+1</f>
        <v>45748</v>
      </c>
      <c r="F125" s="470">
        <v>45757</v>
      </c>
      <c r="G125" s="35" t="s">
        <v>79</v>
      </c>
      <c r="H125" s="35" t="str">
        <f>IFERROR(_xlfn.XLOOKUP(Table6[[#This Row],[Affected WTG]],'Basic Data'!$A:$A,'Basic Data'!$B:$B),"")</f>
        <v>TQGXIIPL</v>
      </c>
      <c r="I125" s="35" t="str">
        <f>IFERROR(_xlfn.XLOOKUP(Table6[[#This Row],[Affected WTG]],'Basic Data'!$A:$A,'Basic Data'!$C:$C),"")</f>
        <v>GEDA</v>
      </c>
      <c r="J125" s="471">
        <f>IFERROR(_xlfn.XLOOKUP(Table6[[#This Row],[Affected WTG]],'Basic Data'!$A:$A,'Basic Data'!$E:$E),"")</f>
        <v>3.846153846153845E-2</v>
      </c>
      <c r="K125" s="102">
        <v>1700</v>
      </c>
      <c r="L125" s="35" t="str">
        <f>IFERROR(_xlfn.XLOOKUP(Table6[[#This Row],[Error Code]],'Basic Data'!$AA:$AA,'Basic Data'!$AB:$AB),"Incorrect Error Code")</f>
        <v>High temp. gear bearing 1</v>
      </c>
      <c r="M125" s="35" t="s">
        <v>291</v>
      </c>
      <c r="N125" s="475"/>
      <c r="O125" s="476">
        <v>0.79513888888888884</v>
      </c>
      <c r="P125" s="476">
        <v>0.79513888888888884</v>
      </c>
      <c r="Q125" s="477">
        <v>0.81527777777777777</v>
      </c>
      <c r="R125" s="472">
        <f>IF(Table6[[#This Row],[Work Start TimeStamp]]="","",(Table6[[#This Row],[Work Start TimeStamp]]-Table6[[#This Row],[Fault Start TimeStamp]])*24)</f>
        <v>0</v>
      </c>
      <c r="S125" s="472">
        <f>(Table6[[#This Row],[Fault Clearance time]]-Table6[[#This Row],[Work Start TimeStamp]])*24</f>
        <v>0.48333333333333428</v>
      </c>
      <c r="T125" s="472">
        <f>(Table6[[#This Row],[Fault Clearance time]]-Table6[[#This Row],[Fault Start TimeStamp]])*24</f>
        <v>0.48333333333333428</v>
      </c>
      <c r="U125" s="35" t="s">
        <v>382</v>
      </c>
      <c r="V125" s="102" t="s">
        <v>293</v>
      </c>
      <c r="W125" s="478">
        <f>IFERROR(Table6[[#This Row],[Breakdown Time]]*Table6[[#This Row],[Plant Equivalent Weightage]],"")</f>
        <v>1.8589743589743621E-2</v>
      </c>
      <c r="X125" s="473" t="s">
        <v>294</v>
      </c>
      <c r="Y125" s="474" t="s">
        <v>311</v>
      </c>
      <c r="Z125" s="102">
        <v>33218</v>
      </c>
      <c r="AA125" s="468">
        <f>(Table6[[#This Row],[Paired WTG Generation for loss calculation]]/24)*Table6[[#This Row],[Breakdown Time]]</f>
        <v>668.9736111111124</v>
      </c>
      <c r="AB125" s="102"/>
      <c r="AC125" s="35"/>
      <c r="AD125" s="35"/>
    </row>
    <row r="126" spans="1:30">
      <c r="A126" s="102">
        <f t="shared" si="2"/>
        <v>125</v>
      </c>
      <c r="B126" s="468">
        <f>YEAR(Table6[[#This Row],[Date]])+IF(MONTH(Table6[[#This Row],[Date]])&gt;=4,1,0)</f>
        <v>2026</v>
      </c>
      <c r="C126" s="102">
        <f>YEAR(Table6[[#This Row],[Date]])</f>
        <v>2025</v>
      </c>
      <c r="D126" s="102" t="s">
        <v>1992</v>
      </c>
      <c r="E126" s="469">
        <f>Table6[[#This Row],[Date]]-DAY(Table6[[#This Row],[Date]])+1</f>
        <v>45748</v>
      </c>
      <c r="F126" s="470">
        <v>45757</v>
      </c>
      <c r="G126" s="35" t="s">
        <v>80</v>
      </c>
      <c r="H126" s="35" t="str">
        <f>IFERROR(_xlfn.XLOOKUP(Table6[[#This Row],[Affected WTG]],'Basic Data'!$A:$A,'Basic Data'!$B:$B),"")</f>
        <v>TQGXIIPL</v>
      </c>
      <c r="I126" s="35" t="str">
        <f>IFERROR(_xlfn.XLOOKUP(Table6[[#This Row],[Affected WTG]],'Basic Data'!$A:$A,'Basic Data'!$C:$C),"")</f>
        <v>GEDA</v>
      </c>
      <c r="J126" s="471">
        <f>IFERROR(_xlfn.XLOOKUP(Table6[[#This Row],[Affected WTG]],'Basic Data'!$A:$A,'Basic Data'!$E:$E),"")</f>
        <v>3.846153846153845E-2</v>
      </c>
      <c r="K126" s="102">
        <v>6130</v>
      </c>
      <c r="L126" s="35" t="str">
        <f>IFERROR(_xlfn.XLOOKUP(Table6[[#This Row],[Error Code]],'Basic Data'!$AA:$AA,'Basic Data'!$AB:$AB),"Incorrect Error Code")</f>
        <v>Yaw speed high</v>
      </c>
      <c r="M126" s="35" t="s">
        <v>291</v>
      </c>
      <c r="N126" s="475"/>
      <c r="O126" s="476">
        <v>0.14305555555555555</v>
      </c>
      <c r="P126" s="476">
        <v>0.14305555555555555</v>
      </c>
      <c r="Q126" s="477">
        <v>0.14722222222222223</v>
      </c>
      <c r="R126" s="472">
        <f>IF(Table6[[#This Row],[Work Start TimeStamp]]="","",(Table6[[#This Row],[Work Start TimeStamp]]-Table6[[#This Row],[Fault Start TimeStamp]])*24)</f>
        <v>0</v>
      </c>
      <c r="S126" s="472">
        <f>(Table6[[#This Row],[Fault Clearance time]]-Table6[[#This Row],[Work Start TimeStamp]])*24</f>
        <v>0.10000000000000031</v>
      </c>
      <c r="T126" s="472">
        <f>(Table6[[#This Row],[Fault Clearance time]]-Table6[[#This Row],[Fault Start TimeStamp]])*24</f>
        <v>0.10000000000000031</v>
      </c>
      <c r="U126" s="35" t="s">
        <v>336</v>
      </c>
      <c r="V126" s="102" t="s">
        <v>293</v>
      </c>
      <c r="W126" s="478">
        <f>IFERROR(Table6[[#This Row],[Breakdown Time]]*Table6[[#This Row],[Plant Equivalent Weightage]],"")</f>
        <v>3.8461538461538568E-3</v>
      </c>
      <c r="X126" s="473" t="s">
        <v>294</v>
      </c>
      <c r="Y126" s="474" t="s">
        <v>383</v>
      </c>
      <c r="Z126" s="102">
        <v>46375</v>
      </c>
      <c r="AA126" s="468">
        <f>(Table6[[#This Row],[Paired WTG Generation for loss calculation]]/24)*Table6[[#This Row],[Breakdown Time]]</f>
        <v>193.22916666666728</v>
      </c>
      <c r="AB126" s="102"/>
      <c r="AC126" s="35"/>
      <c r="AD126" s="35"/>
    </row>
    <row r="127" spans="1:30">
      <c r="A127" s="102">
        <f t="shared" si="2"/>
        <v>126</v>
      </c>
      <c r="B127" s="468">
        <f>YEAR(Table6[[#This Row],[Date]])+IF(MONTH(Table6[[#This Row],[Date]])&gt;=4,1,0)</f>
        <v>2026</v>
      </c>
      <c r="C127" s="102">
        <f>YEAR(Table6[[#This Row],[Date]])</f>
        <v>2025</v>
      </c>
      <c r="D127" s="102" t="s">
        <v>1992</v>
      </c>
      <c r="E127" s="469">
        <f>Table6[[#This Row],[Date]]-DAY(Table6[[#This Row],[Date]])+1</f>
        <v>45748</v>
      </c>
      <c r="F127" s="470">
        <v>45757</v>
      </c>
      <c r="G127" s="35" t="s">
        <v>81</v>
      </c>
      <c r="H127" s="35" t="str">
        <f>IFERROR(_xlfn.XLOOKUP(Table6[[#This Row],[Affected WTG]],'Basic Data'!$A:$A,'Basic Data'!$B:$B),"")</f>
        <v>TQGXIIPL</v>
      </c>
      <c r="I127" s="35" t="str">
        <f>IFERROR(_xlfn.XLOOKUP(Table6[[#This Row],[Affected WTG]],'Basic Data'!$A:$A,'Basic Data'!$C:$C),"")</f>
        <v>GEDA</v>
      </c>
      <c r="J127" s="471">
        <f>IFERROR(_xlfn.XLOOKUP(Table6[[#This Row],[Affected WTG]],'Basic Data'!$A:$A,'Basic Data'!$E:$E),"")</f>
        <v>3.846153846153845E-2</v>
      </c>
      <c r="K127" s="102">
        <v>4520</v>
      </c>
      <c r="L127" s="35" t="str">
        <f>IFERROR(_xlfn.XLOOKUP(Table6[[#This Row],[Error Code]],'Basic Data'!$AA:$AA,'Basic Data'!$AB:$AB),"Incorrect Error Code")</f>
        <v>Tower oscillation X level 1</v>
      </c>
      <c r="M127" s="35" t="s">
        <v>291</v>
      </c>
      <c r="N127" s="475"/>
      <c r="O127" s="476">
        <v>0.14374999999999999</v>
      </c>
      <c r="P127" s="476">
        <v>0.14374999999999999</v>
      </c>
      <c r="Q127" s="477">
        <v>0.15138888888888888</v>
      </c>
      <c r="R127" s="472">
        <f>IF(Table6[[#This Row],[Work Start TimeStamp]]="","",(Table6[[#This Row],[Work Start TimeStamp]]-Table6[[#This Row],[Fault Start TimeStamp]])*24)</f>
        <v>0</v>
      </c>
      <c r="S127" s="472">
        <f>(Table6[[#This Row],[Fault Clearance time]]-Table6[[#This Row],[Work Start TimeStamp]])*24</f>
        <v>0.18333333333333335</v>
      </c>
      <c r="T127" s="472">
        <f>(Table6[[#This Row],[Fault Clearance time]]-Table6[[#This Row],[Fault Start TimeStamp]])*24</f>
        <v>0.18333333333333335</v>
      </c>
      <c r="U127" s="35" t="s">
        <v>349</v>
      </c>
      <c r="V127" s="102" t="s">
        <v>293</v>
      </c>
      <c r="W127" s="478">
        <f>IFERROR(Table6[[#This Row],[Breakdown Time]]*Table6[[#This Row],[Plant Equivalent Weightage]],"")</f>
        <v>7.0512820512820496E-3</v>
      </c>
      <c r="X127" s="473" t="s">
        <v>294</v>
      </c>
      <c r="Y127" s="474" t="s">
        <v>315</v>
      </c>
      <c r="Z127" s="102">
        <v>37826</v>
      </c>
      <c r="AA127" s="468">
        <f>(Table6[[#This Row],[Paired WTG Generation for loss calculation]]/24)*Table6[[#This Row],[Breakdown Time]]</f>
        <v>288.94861111111112</v>
      </c>
      <c r="AB127" s="102"/>
      <c r="AC127" s="35"/>
      <c r="AD127" s="35"/>
    </row>
    <row r="128" spans="1:30">
      <c r="A128" s="102">
        <f t="shared" si="2"/>
        <v>127</v>
      </c>
      <c r="B128" s="468">
        <f>YEAR(Table6[[#This Row],[Date]])+IF(MONTH(Table6[[#This Row],[Date]])&gt;=4,1,0)</f>
        <v>2026</v>
      </c>
      <c r="C128" s="102">
        <f>YEAR(Table6[[#This Row],[Date]])</f>
        <v>2025</v>
      </c>
      <c r="D128" s="102" t="s">
        <v>1992</v>
      </c>
      <c r="E128" s="469">
        <f>Table6[[#This Row],[Date]]-DAY(Table6[[#This Row],[Date]])+1</f>
        <v>45748</v>
      </c>
      <c r="F128" s="470">
        <v>45757</v>
      </c>
      <c r="G128" s="35" t="s">
        <v>81</v>
      </c>
      <c r="H128" s="35" t="str">
        <f>IFERROR(_xlfn.XLOOKUP(Table6[[#This Row],[Affected WTG]],'Basic Data'!$A:$A,'Basic Data'!$B:$B),"")</f>
        <v>TQGXIIPL</v>
      </c>
      <c r="I128" s="35" t="str">
        <f>IFERROR(_xlfn.XLOOKUP(Table6[[#This Row],[Affected WTG]],'Basic Data'!$A:$A,'Basic Data'!$C:$C),"")</f>
        <v>GEDA</v>
      </c>
      <c r="J128" s="471">
        <f>IFERROR(_xlfn.XLOOKUP(Table6[[#This Row],[Affected WTG]],'Basic Data'!$A:$A,'Basic Data'!$E:$E),"")</f>
        <v>3.846153846153845E-2</v>
      </c>
      <c r="K128" s="102">
        <v>4520</v>
      </c>
      <c r="L128" s="35" t="str">
        <f>IFERROR(_xlfn.XLOOKUP(Table6[[#This Row],[Error Code]],'Basic Data'!$AA:$AA,'Basic Data'!$AB:$AB),"Incorrect Error Code")</f>
        <v>Tower oscillation X level 1</v>
      </c>
      <c r="M128" s="35" t="s">
        <v>291</v>
      </c>
      <c r="N128" s="475"/>
      <c r="O128" s="476">
        <v>0.39861111111111114</v>
      </c>
      <c r="P128" s="476">
        <v>0.39861111111111114</v>
      </c>
      <c r="Q128" s="477">
        <v>0.40625</v>
      </c>
      <c r="R128" s="472">
        <f>IF(Table6[[#This Row],[Work Start TimeStamp]]="","",(Table6[[#This Row],[Work Start TimeStamp]]-Table6[[#This Row],[Fault Start TimeStamp]])*24)</f>
        <v>0</v>
      </c>
      <c r="S128" s="472">
        <f>(Table6[[#This Row],[Fault Clearance time]]-Table6[[#This Row],[Work Start TimeStamp]])*24</f>
        <v>0.18333333333333268</v>
      </c>
      <c r="T128" s="472">
        <f>(Table6[[#This Row],[Fault Clearance time]]-Table6[[#This Row],[Fault Start TimeStamp]])*24</f>
        <v>0.18333333333333268</v>
      </c>
      <c r="U128" s="35" t="s">
        <v>349</v>
      </c>
      <c r="V128" s="102" t="s">
        <v>293</v>
      </c>
      <c r="W128" s="478">
        <f>IFERROR(Table6[[#This Row],[Breakdown Time]]*Table6[[#This Row],[Plant Equivalent Weightage]],"")</f>
        <v>7.0512820512820245E-3</v>
      </c>
      <c r="X128" s="473" t="s">
        <v>294</v>
      </c>
      <c r="Y128" s="474" t="s">
        <v>315</v>
      </c>
      <c r="Z128" s="102">
        <v>37826</v>
      </c>
      <c r="AA128" s="468">
        <f>(Table6[[#This Row],[Paired WTG Generation for loss calculation]]/24)*Table6[[#This Row],[Breakdown Time]]</f>
        <v>288.9486111111101</v>
      </c>
      <c r="AB128" s="102"/>
      <c r="AC128" s="35"/>
      <c r="AD128" s="35"/>
    </row>
    <row r="129" spans="1:30">
      <c r="A129" s="102">
        <f t="shared" si="2"/>
        <v>128</v>
      </c>
      <c r="B129" s="468">
        <f>YEAR(Table6[[#This Row],[Date]])+IF(MONTH(Table6[[#This Row],[Date]])&gt;=4,1,0)</f>
        <v>2026</v>
      </c>
      <c r="C129" s="102">
        <f>YEAR(Table6[[#This Row],[Date]])</f>
        <v>2025</v>
      </c>
      <c r="D129" s="102" t="s">
        <v>1992</v>
      </c>
      <c r="E129" s="469">
        <f>Table6[[#This Row],[Date]]-DAY(Table6[[#This Row],[Date]])+1</f>
        <v>45748</v>
      </c>
      <c r="F129" s="470">
        <v>45757</v>
      </c>
      <c r="G129" s="35" t="s">
        <v>81</v>
      </c>
      <c r="H129" s="35" t="str">
        <f>IFERROR(_xlfn.XLOOKUP(Table6[[#This Row],[Affected WTG]],'Basic Data'!$A:$A,'Basic Data'!$B:$B),"")</f>
        <v>TQGXIIPL</v>
      </c>
      <c r="I129" s="35" t="str">
        <f>IFERROR(_xlfn.XLOOKUP(Table6[[#This Row],[Affected WTG]],'Basic Data'!$A:$A,'Basic Data'!$C:$C),"")</f>
        <v>GEDA</v>
      </c>
      <c r="J129" s="471">
        <f>IFERROR(_xlfn.XLOOKUP(Table6[[#This Row],[Affected WTG]],'Basic Data'!$A:$A,'Basic Data'!$E:$E),"")</f>
        <v>3.846153846153845E-2</v>
      </c>
      <c r="K129" s="102">
        <v>55</v>
      </c>
      <c r="L129" s="35" t="str">
        <f>IFERROR(_xlfn.XLOOKUP(Table6[[#This Row],[Error Code]],'Basic Data'!$AA:$AA,'Basic Data'!$AB:$AB),"Incorrect Error Code")</f>
        <v>WTG shut down</v>
      </c>
      <c r="M129" s="35" t="s">
        <v>330</v>
      </c>
      <c r="N129" s="475"/>
      <c r="O129" s="476">
        <v>0.72430555555555554</v>
      </c>
      <c r="P129" s="476">
        <v>0.72430555555555554</v>
      </c>
      <c r="Q129" s="477">
        <v>0.8125</v>
      </c>
      <c r="R129" s="472">
        <f>IF(Table6[[#This Row],[Work Start TimeStamp]]="","",(Table6[[#This Row],[Work Start TimeStamp]]-Table6[[#This Row],[Fault Start TimeStamp]])*24)</f>
        <v>0</v>
      </c>
      <c r="S129" s="472">
        <f>(Table6[[#This Row],[Fault Clearance time]]-Table6[[#This Row],[Work Start TimeStamp]])*24</f>
        <v>2.1166666666666671</v>
      </c>
      <c r="T129" s="472">
        <f>(Table6[[#This Row],[Fault Clearance time]]-Table6[[#This Row],[Fault Start TimeStamp]])*24</f>
        <v>2.1166666666666671</v>
      </c>
      <c r="U129" s="35" t="s">
        <v>337</v>
      </c>
      <c r="V129" s="102" t="s">
        <v>293</v>
      </c>
      <c r="W129" s="478">
        <f>IFERROR(Table6[[#This Row],[Breakdown Time]]*Table6[[#This Row],[Plant Equivalent Weightage]],"")</f>
        <v>8.1410256410256399E-2</v>
      </c>
      <c r="X129" s="473" t="s">
        <v>290</v>
      </c>
      <c r="Y129" s="474" t="s">
        <v>315</v>
      </c>
      <c r="Z129" s="102">
        <v>37826</v>
      </c>
      <c r="AA129" s="468">
        <f>(Table6[[#This Row],[Paired WTG Generation for loss calculation]]/24)*Table6[[#This Row],[Breakdown Time]]</f>
        <v>3336.0430555555563</v>
      </c>
      <c r="AB129" s="102"/>
      <c r="AC129" s="35"/>
      <c r="AD129" s="35"/>
    </row>
    <row r="130" spans="1:30">
      <c r="A130" s="102">
        <f t="shared" si="2"/>
        <v>129</v>
      </c>
      <c r="B130" s="468">
        <f>YEAR(Table6[[#This Row],[Date]])+IF(MONTH(Table6[[#This Row],[Date]])&gt;=4,1,0)</f>
        <v>2026</v>
      </c>
      <c r="C130" s="102">
        <f>YEAR(Table6[[#This Row],[Date]])</f>
        <v>2025</v>
      </c>
      <c r="D130" s="102" t="s">
        <v>1992</v>
      </c>
      <c r="E130" s="469">
        <f>Table6[[#This Row],[Date]]-DAY(Table6[[#This Row],[Date]])+1</f>
        <v>45748</v>
      </c>
      <c r="F130" s="470">
        <v>45757</v>
      </c>
      <c r="G130" s="35" t="s">
        <v>84</v>
      </c>
      <c r="H130" s="35" t="str">
        <f>IFERROR(_xlfn.XLOOKUP(Table6[[#This Row],[Affected WTG]],'Basic Data'!$A:$A,'Basic Data'!$B:$B),"")</f>
        <v>TQGXIIPL</v>
      </c>
      <c r="I130" s="35" t="str">
        <f>IFERROR(_xlfn.XLOOKUP(Table6[[#This Row],[Affected WTG]],'Basic Data'!$A:$A,'Basic Data'!$C:$C),"")</f>
        <v>GEDA</v>
      </c>
      <c r="J130" s="471">
        <f>IFERROR(_xlfn.XLOOKUP(Table6[[#This Row],[Affected WTG]],'Basic Data'!$A:$A,'Basic Data'!$E:$E),"")</f>
        <v>3.846153846153845E-2</v>
      </c>
      <c r="K130" s="102">
        <v>6130</v>
      </c>
      <c r="L130" s="35" t="str">
        <f>IFERROR(_xlfn.XLOOKUP(Table6[[#This Row],[Error Code]],'Basic Data'!$AA:$AA,'Basic Data'!$AB:$AB),"Incorrect Error Code")</f>
        <v>Yaw speed high</v>
      </c>
      <c r="M130" s="35" t="s">
        <v>291</v>
      </c>
      <c r="N130" s="475"/>
      <c r="O130" s="476">
        <v>0.57708333333333328</v>
      </c>
      <c r="P130" s="476">
        <v>0.57708333333333328</v>
      </c>
      <c r="Q130" s="477">
        <v>0.58125000000000004</v>
      </c>
      <c r="R130" s="472">
        <f>IF(Table6[[#This Row],[Work Start TimeStamp]]="","",(Table6[[#This Row],[Work Start TimeStamp]]-Table6[[#This Row],[Fault Start TimeStamp]])*24)</f>
        <v>0</v>
      </c>
      <c r="S130" s="472">
        <f>(Table6[[#This Row],[Fault Clearance time]]-Table6[[#This Row],[Work Start TimeStamp]])*24</f>
        <v>0.10000000000000231</v>
      </c>
      <c r="T130" s="472">
        <f>(Table6[[#This Row],[Fault Clearance time]]-Table6[[#This Row],[Fault Start TimeStamp]])*24</f>
        <v>0.10000000000000231</v>
      </c>
      <c r="U130" s="35" t="s">
        <v>336</v>
      </c>
      <c r="V130" s="102" t="s">
        <v>293</v>
      </c>
      <c r="W130" s="478">
        <f>IFERROR(Table6[[#This Row],[Breakdown Time]]*Table6[[#This Row],[Plant Equivalent Weightage]],"")</f>
        <v>3.846153846153934E-3</v>
      </c>
      <c r="X130" s="473" t="s">
        <v>294</v>
      </c>
      <c r="Y130" s="474" t="s">
        <v>327</v>
      </c>
      <c r="Z130" s="102">
        <v>38699</v>
      </c>
      <c r="AA130" s="468">
        <f>(Table6[[#This Row],[Paired WTG Generation for loss calculation]]/24)*Table6[[#This Row],[Breakdown Time]]</f>
        <v>161.24583333333706</v>
      </c>
      <c r="AB130" s="102"/>
      <c r="AC130" s="35"/>
      <c r="AD130" s="35"/>
    </row>
    <row r="131" spans="1:30">
      <c r="A131" s="102">
        <f t="shared" si="2"/>
        <v>130</v>
      </c>
      <c r="B131" s="468">
        <f>YEAR(Table6[[#This Row],[Date]])+IF(MONTH(Table6[[#This Row],[Date]])&gt;=4,1,0)</f>
        <v>2026</v>
      </c>
      <c r="C131" s="102">
        <f>YEAR(Table6[[#This Row],[Date]])</f>
        <v>2025</v>
      </c>
      <c r="D131" s="102" t="s">
        <v>1992</v>
      </c>
      <c r="E131" s="469">
        <f>Table6[[#This Row],[Date]]-DAY(Table6[[#This Row],[Date]])+1</f>
        <v>45748</v>
      </c>
      <c r="F131" s="470">
        <v>45757</v>
      </c>
      <c r="G131" s="35" t="s">
        <v>85</v>
      </c>
      <c r="H131" s="35" t="str">
        <f>IFERROR(_xlfn.XLOOKUP(Table6[[#This Row],[Affected WTG]],'Basic Data'!$A:$A,'Basic Data'!$B:$B),"")</f>
        <v>TQGXIIPL</v>
      </c>
      <c r="I131" s="35" t="str">
        <f>IFERROR(_xlfn.XLOOKUP(Table6[[#This Row],[Affected WTG]],'Basic Data'!$A:$A,'Basic Data'!$C:$C),"")</f>
        <v>GEDA</v>
      </c>
      <c r="J131" s="471">
        <f>IFERROR(_xlfn.XLOOKUP(Table6[[#This Row],[Affected WTG]],'Basic Data'!$A:$A,'Basic Data'!$E:$E),"")</f>
        <v>3.846153846153845E-2</v>
      </c>
      <c r="K131" s="102">
        <v>1700</v>
      </c>
      <c r="L131" s="35" t="str">
        <f>IFERROR(_xlfn.XLOOKUP(Table6[[#This Row],[Error Code]],'Basic Data'!$AA:$AA,'Basic Data'!$AB:$AB),"Incorrect Error Code")</f>
        <v>High temp. gear bearing 1</v>
      </c>
      <c r="M131" s="35" t="s">
        <v>291</v>
      </c>
      <c r="N131" s="475"/>
      <c r="O131" s="476">
        <v>0.79652777777777772</v>
      </c>
      <c r="P131" s="476">
        <v>0.79652777777777772</v>
      </c>
      <c r="Q131" s="477">
        <v>0.80833333333333335</v>
      </c>
      <c r="R131" s="472">
        <f>IF(Table6[[#This Row],[Work Start TimeStamp]]="","",(Table6[[#This Row],[Work Start TimeStamp]]-Table6[[#This Row],[Fault Start TimeStamp]])*24)</f>
        <v>0</v>
      </c>
      <c r="S131" s="472">
        <f>(Table6[[#This Row],[Fault Clearance time]]-Table6[[#This Row],[Work Start TimeStamp]])*24</f>
        <v>0.28333333333333499</v>
      </c>
      <c r="T131" s="472">
        <f>(Table6[[#This Row],[Fault Clearance time]]-Table6[[#This Row],[Fault Start TimeStamp]])*24</f>
        <v>0.28333333333333499</v>
      </c>
      <c r="U131" s="35" t="s">
        <v>382</v>
      </c>
      <c r="V131" s="102" t="s">
        <v>293</v>
      </c>
      <c r="W131" s="478">
        <f>IFERROR(Table6[[#This Row],[Breakdown Time]]*Table6[[#This Row],[Plant Equivalent Weightage]],"")</f>
        <v>1.0897435897435958E-2</v>
      </c>
      <c r="X131" s="473" t="s">
        <v>294</v>
      </c>
      <c r="Y131" s="474" t="s">
        <v>313</v>
      </c>
      <c r="Z131" s="102">
        <v>35407</v>
      </c>
      <c r="AA131" s="468">
        <f>(Table6[[#This Row],[Paired WTG Generation for loss calculation]]/24)*Table6[[#This Row],[Breakdown Time]]</f>
        <v>417.99930555555801</v>
      </c>
      <c r="AB131" s="102"/>
      <c r="AC131" s="35"/>
      <c r="AD131" s="35"/>
    </row>
    <row r="132" spans="1:30">
      <c r="A132" s="102">
        <f t="shared" si="2"/>
        <v>131</v>
      </c>
      <c r="B132" s="468">
        <f>YEAR(Table6[[#This Row],[Date]])+IF(MONTH(Table6[[#This Row],[Date]])&gt;=4,1,0)</f>
        <v>2026</v>
      </c>
      <c r="C132" s="102">
        <f>YEAR(Table6[[#This Row],[Date]])</f>
        <v>2025</v>
      </c>
      <c r="D132" s="102" t="s">
        <v>1992</v>
      </c>
      <c r="E132" s="469">
        <f>Table6[[#This Row],[Date]]-DAY(Table6[[#This Row],[Date]])+1</f>
        <v>45748</v>
      </c>
      <c r="F132" s="470">
        <v>45757</v>
      </c>
      <c r="G132" s="35" t="s">
        <v>86</v>
      </c>
      <c r="H132" s="35" t="str">
        <f>IFERROR(_xlfn.XLOOKUP(Table6[[#This Row],[Affected WTG]],'Basic Data'!$A:$A,'Basic Data'!$B:$B),"")</f>
        <v>TQGXIIPL</v>
      </c>
      <c r="I132" s="35" t="str">
        <f>IFERROR(_xlfn.XLOOKUP(Table6[[#This Row],[Affected WTG]],'Basic Data'!$A:$A,'Basic Data'!$C:$C),"")</f>
        <v>GEDA</v>
      </c>
      <c r="J132" s="471">
        <f>IFERROR(_xlfn.XLOOKUP(Table6[[#This Row],[Affected WTG]],'Basic Data'!$A:$A,'Basic Data'!$E:$E),"")</f>
        <v>3.846153846153845E-2</v>
      </c>
      <c r="K132" s="102">
        <v>6130</v>
      </c>
      <c r="L132" s="35" t="str">
        <f>IFERROR(_xlfn.XLOOKUP(Table6[[#This Row],[Error Code]],'Basic Data'!$AA:$AA,'Basic Data'!$AB:$AB),"Incorrect Error Code")</f>
        <v>Yaw speed high</v>
      </c>
      <c r="M132" s="35" t="s">
        <v>291</v>
      </c>
      <c r="N132" s="475"/>
      <c r="O132" s="476">
        <v>0.58472222222222225</v>
      </c>
      <c r="P132" s="476">
        <v>0.58472222222222225</v>
      </c>
      <c r="Q132" s="477">
        <v>0.58888888888888891</v>
      </c>
      <c r="R132" s="472">
        <f>IF(Table6[[#This Row],[Work Start TimeStamp]]="","",(Table6[[#This Row],[Work Start TimeStamp]]-Table6[[#This Row],[Fault Start TimeStamp]])*24)</f>
        <v>0</v>
      </c>
      <c r="S132" s="472">
        <f>(Table6[[#This Row],[Fault Clearance time]]-Table6[[#This Row],[Work Start TimeStamp]])*24</f>
        <v>9.9999999999999645E-2</v>
      </c>
      <c r="T132" s="472">
        <f>(Table6[[#This Row],[Fault Clearance time]]-Table6[[#This Row],[Fault Start TimeStamp]])*24</f>
        <v>9.9999999999999645E-2</v>
      </c>
      <c r="U132" s="35" t="s">
        <v>336</v>
      </c>
      <c r="V132" s="102" t="s">
        <v>293</v>
      </c>
      <c r="W132" s="478">
        <f>IFERROR(Table6[[#This Row],[Breakdown Time]]*Table6[[#This Row],[Plant Equivalent Weightage]],"")</f>
        <v>3.8461538461538312E-3</v>
      </c>
      <c r="X132" s="473" t="s">
        <v>294</v>
      </c>
      <c r="Y132" s="474" t="s">
        <v>322</v>
      </c>
      <c r="Z132" s="102">
        <v>36725</v>
      </c>
      <c r="AA132" s="468">
        <f>(Table6[[#This Row],[Paired WTG Generation for loss calculation]]/24)*Table6[[#This Row],[Breakdown Time]]</f>
        <v>153.02083333333277</v>
      </c>
      <c r="AB132" s="102"/>
      <c r="AC132" s="35"/>
      <c r="AD132" s="35"/>
    </row>
    <row r="133" spans="1:30">
      <c r="A133" s="102">
        <f t="shared" si="2"/>
        <v>132</v>
      </c>
      <c r="B133" s="468">
        <f>YEAR(Table6[[#This Row],[Date]])+IF(MONTH(Table6[[#This Row],[Date]])&gt;=4,1,0)</f>
        <v>2026</v>
      </c>
      <c r="C133" s="102">
        <f>YEAR(Table6[[#This Row],[Date]])</f>
        <v>2025</v>
      </c>
      <c r="D133" s="102" t="s">
        <v>1992</v>
      </c>
      <c r="E133" s="469">
        <f>Table6[[#This Row],[Date]]-DAY(Table6[[#This Row],[Date]])+1</f>
        <v>45748</v>
      </c>
      <c r="F133" s="470">
        <v>45757</v>
      </c>
      <c r="G133" s="35" t="s">
        <v>86</v>
      </c>
      <c r="H133" s="35" t="str">
        <f>IFERROR(_xlfn.XLOOKUP(Table6[[#This Row],[Affected WTG]],'Basic Data'!$A:$A,'Basic Data'!$B:$B),"")</f>
        <v>TQGXIIPL</v>
      </c>
      <c r="I133" s="35" t="str">
        <f>IFERROR(_xlfn.XLOOKUP(Table6[[#This Row],[Affected WTG]],'Basic Data'!$A:$A,'Basic Data'!$C:$C),"")</f>
        <v>GEDA</v>
      </c>
      <c r="J133" s="471">
        <f>IFERROR(_xlfn.XLOOKUP(Table6[[#This Row],[Affected WTG]],'Basic Data'!$A:$A,'Basic Data'!$E:$E),"")</f>
        <v>3.846153846153845E-2</v>
      </c>
      <c r="K133" s="102">
        <v>6130</v>
      </c>
      <c r="L133" s="35" t="str">
        <f>IFERROR(_xlfn.XLOOKUP(Table6[[#This Row],[Error Code]],'Basic Data'!$AA:$AA,'Basic Data'!$AB:$AB),"Incorrect Error Code")</f>
        <v>Yaw speed high</v>
      </c>
      <c r="M133" s="35" t="s">
        <v>291</v>
      </c>
      <c r="N133" s="475"/>
      <c r="O133" s="476">
        <v>0.65972222222222221</v>
      </c>
      <c r="P133" s="476">
        <v>0.65972222222222221</v>
      </c>
      <c r="Q133" s="477">
        <v>0.67500000000000004</v>
      </c>
      <c r="R133" s="472">
        <f>IF(Table6[[#This Row],[Work Start TimeStamp]]="","",(Table6[[#This Row],[Work Start TimeStamp]]-Table6[[#This Row],[Fault Start TimeStamp]])*24)</f>
        <v>0</v>
      </c>
      <c r="S133" s="472">
        <f>(Table6[[#This Row],[Fault Clearance time]]-Table6[[#This Row],[Work Start TimeStamp]])*24</f>
        <v>0.36666666666666803</v>
      </c>
      <c r="T133" s="472">
        <f>(Table6[[#This Row],[Fault Clearance time]]-Table6[[#This Row],[Fault Start TimeStamp]])*24</f>
        <v>0.36666666666666803</v>
      </c>
      <c r="U133" s="35" t="s">
        <v>374</v>
      </c>
      <c r="V133" s="102" t="s">
        <v>293</v>
      </c>
      <c r="W133" s="478">
        <f>IFERROR(Table6[[#This Row],[Breakdown Time]]*Table6[[#This Row],[Plant Equivalent Weightage]],"")</f>
        <v>1.4102564102564151E-2</v>
      </c>
      <c r="X133" s="473" t="s">
        <v>294</v>
      </c>
      <c r="Y133" s="474" t="s">
        <v>322</v>
      </c>
      <c r="Z133" s="102">
        <v>36725</v>
      </c>
      <c r="AA133" s="468">
        <f>(Table6[[#This Row],[Paired WTG Generation for loss calculation]]/24)*Table6[[#This Row],[Breakdown Time]]</f>
        <v>561.07638888889096</v>
      </c>
      <c r="AB133" s="102"/>
      <c r="AC133" s="35"/>
      <c r="AD133" s="35"/>
    </row>
    <row r="134" spans="1:30">
      <c r="A134" s="102">
        <f t="shared" si="2"/>
        <v>133</v>
      </c>
      <c r="B134" s="468">
        <f>YEAR(Table6[[#This Row],[Date]])+IF(MONTH(Table6[[#This Row],[Date]])&gt;=4,1,0)</f>
        <v>2026</v>
      </c>
      <c r="C134" s="102">
        <f>YEAR(Table6[[#This Row],[Date]])</f>
        <v>2025</v>
      </c>
      <c r="D134" s="102" t="s">
        <v>1992</v>
      </c>
      <c r="E134" s="469">
        <f>Table6[[#This Row],[Date]]-DAY(Table6[[#This Row],[Date]])+1</f>
        <v>45748</v>
      </c>
      <c r="F134" s="470">
        <v>45757</v>
      </c>
      <c r="G134" s="35" t="s">
        <v>88</v>
      </c>
      <c r="H134" s="35" t="str">
        <f>IFERROR(_xlfn.XLOOKUP(Table6[[#This Row],[Affected WTG]],'Basic Data'!$A:$A,'Basic Data'!$B:$B),"")</f>
        <v>TQGXIIPL</v>
      </c>
      <c r="I134" s="35" t="str">
        <f>IFERROR(_xlfn.XLOOKUP(Table6[[#This Row],[Affected WTG]],'Basic Data'!$A:$A,'Basic Data'!$C:$C),"")</f>
        <v>GEDA</v>
      </c>
      <c r="J134" s="471">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291</v>
      </c>
      <c r="N134" s="475"/>
      <c r="O134" s="476">
        <v>0.71111111111111114</v>
      </c>
      <c r="P134" s="476">
        <v>0.71111111111111114</v>
      </c>
      <c r="Q134" s="477">
        <v>0.71944444444444444</v>
      </c>
      <c r="R134" s="472">
        <f>IF(Table6[[#This Row],[Work Start TimeStamp]]="","",(Table6[[#This Row],[Work Start TimeStamp]]-Table6[[#This Row],[Fault Start TimeStamp]])*24)</f>
        <v>0</v>
      </c>
      <c r="S134" s="472">
        <f>(Table6[[#This Row],[Fault Clearance time]]-Table6[[#This Row],[Work Start TimeStamp]])*24</f>
        <v>0.19999999999999929</v>
      </c>
      <c r="T134" s="472">
        <f>(Table6[[#This Row],[Fault Clearance time]]-Table6[[#This Row],[Fault Start TimeStamp]])*24</f>
        <v>0.19999999999999929</v>
      </c>
      <c r="U134" s="35" t="s">
        <v>349</v>
      </c>
      <c r="V134" s="102" t="s">
        <v>293</v>
      </c>
      <c r="W134" s="478">
        <f>IFERROR(Table6[[#This Row],[Breakdown Time]]*Table6[[#This Row],[Plant Equivalent Weightage]],"")</f>
        <v>7.6923076923076624E-3</v>
      </c>
      <c r="X134" s="473" t="s">
        <v>294</v>
      </c>
      <c r="Y134" s="474" t="s">
        <v>323</v>
      </c>
      <c r="Z134" s="102">
        <v>35686</v>
      </c>
      <c r="AA134" s="468">
        <f>(Table6[[#This Row],[Paired WTG Generation for loss calculation]]/24)*Table6[[#This Row],[Breakdown Time]]</f>
        <v>297.3833333333323</v>
      </c>
      <c r="AB134" s="102"/>
      <c r="AC134" s="35"/>
      <c r="AD134" s="35"/>
    </row>
    <row r="135" spans="1:30">
      <c r="A135" s="102">
        <f t="shared" si="2"/>
        <v>134</v>
      </c>
      <c r="B135" s="468">
        <f>YEAR(Table6[[#This Row],[Date]])+IF(MONTH(Table6[[#This Row],[Date]])&gt;=4,1,0)</f>
        <v>2026</v>
      </c>
      <c r="C135" s="102">
        <f>YEAR(Table6[[#This Row],[Date]])</f>
        <v>2025</v>
      </c>
      <c r="D135" s="102" t="s">
        <v>1992</v>
      </c>
      <c r="E135" s="469">
        <f>Table6[[#This Row],[Date]]-DAY(Table6[[#This Row],[Date]])+1</f>
        <v>45748</v>
      </c>
      <c r="F135" s="470">
        <v>45757</v>
      </c>
      <c r="G135" s="35" t="s">
        <v>88</v>
      </c>
      <c r="H135" s="35" t="str">
        <f>IFERROR(_xlfn.XLOOKUP(Table6[[#This Row],[Affected WTG]],'Basic Data'!$A:$A,'Basic Data'!$B:$B),"")</f>
        <v>TQGXIIPL</v>
      </c>
      <c r="I135" s="35" t="str">
        <f>IFERROR(_xlfn.XLOOKUP(Table6[[#This Row],[Affected WTG]],'Basic Data'!$A:$A,'Basic Data'!$C:$C),"")</f>
        <v>GEDA</v>
      </c>
      <c r="J135" s="471">
        <f>IFERROR(_xlfn.XLOOKUP(Table6[[#This Row],[Affected WTG]],'Basic Data'!$A:$A,'Basic Data'!$E:$E),"")</f>
        <v>3.846153846153845E-2</v>
      </c>
      <c r="K135" s="102">
        <v>55</v>
      </c>
      <c r="L135" s="35" t="str">
        <f>IFERROR(_xlfn.XLOOKUP(Table6[[#This Row],[Error Code]],'Basic Data'!$AA:$AA,'Basic Data'!$AB:$AB),"Incorrect Error Code")</f>
        <v>WTG shut down</v>
      </c>
      <c r="M135" s="35" t="s">
        <v>330</v>
      </c>
      <c r="N135" s="475"/>
      <c r="O135" s="476">
        <v>0.73333333333333328</v>
      </c>
      <c r="P135" s="476">
        <v>0.73333333333333328</v>
      </c>
      <c r="Q135" s="477">
        <v>0.78888888888888886</v>
      </c>
      <c r="R135" s="472">
        <f>IF(Table6[[#This Row],[Work Start TimeStamp]]="","",(Table6[[#This Row],[Work Start TimeStamp]]-Table6[[#This Row],[Fault Start TimeStamp]])*24)</f>
        <v>0</v>
      </c>
      <c r="S135" s="472">
        <f>(Table6[[#This Row],[Fault Clearance time]]-Table6[[#This Row],[Work Start TimeStamp]])*24</f>
        <v>1.3333333333333339</v>
      </c>
      <c r="T135" s="472">
        <f>(Table6[[#This Row],[Fault Clearance time]]-Table6[[#This Row],[Fault Start TimeStamp]])*24</f>
        <v>1.3333333333333339</v>
      </c>
      <c r="U135" s="35" t="s">
        <v>337</v>
      </c>
      <c r="V135" s="102" t="s">
        <v>293</v>
      </c>
      <c r="W135" s="478">
        <f>IFERROR(Table6[[#This Row],[Breakdown Time]]*Table6[[#This Row],[Plant Equivalent Weightage]],"")</f>
        <v>5.1282051282051287E-2</v>
      </c>
      <c r="X135" s="473" t="s">
        <v>290</v>
      </c>
      <c r="Y135" s="474" t="s">
        <v>323</v>
      </c>
      <c r="Z135" s="102">
        <v>35686</v>
      </c>
      <c r="AA135" s="468">
        <f>(Table6[[#This Row],[Paired WTG Generation for loss calculation]]/24)*Table6[[#This Row],[Breakdown Time]]</f>
        <v>1982.5555555555566</v>
      </c>
      <c r="AB135" s="102"/>
      <c r="AC135" s="35"/>
      <c r="AD135" s="35"/>
    </row>
    <row r="136" spans="1:30">
      <c r="A136" s="102">
        <f t="shared" si="2"/>
        <v>135</v>
      </c>
      <c r="B136" s="468">
        <f>YEAR(Table6[[#This Row],[Date]])+IF(MONTH(Table6[[#This Row],[Date]])&gt;=4,1,0)</f>
        <v>2026</v>
      </c>
      <c r="C136" s="102">
        <f>YEAR(Table6[[#This Row],[Date]])</f>
        <v>2025</v>
      </c>
      <c r="D136" s="102" t="s">
        <v>1992</v>
      </c>
      <c r="E136" s="469">
        <f>Table6[[#This Row],[Date]]-DAY(Table6[[#This Row],[Date]])+1</f>
        <v>45748</v>
      </c>
      <c r="F136" s="470">
        <v>45757</v>
      </c>
      <c r="G136" s="35" t="s">
        <v>89</v>
      </c>
      <c r="H136" s="35" t="str">
        <f>IFERROR(_xlfn.XLOOKUP(Table6[[#This Row],[Affected WTG]],'Basic Data'!$A:$A,'Basic Data'!$B:$B),"")</f>
        <v>TQGXIIPL</v>
      </c>
      <c r="I136" s="35" t="str">
        <f>IFERROR(_xlfn.XLOOKUP(Table6[[#This Row],[Affected WTG]],'Basic Data'!$A:$A,'Basic Data'!$C:$C),"")</f>
        <v>GEDA</v>
      </c>
      <c r="J136" s="471">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291</v>
      </c>
      <c r="N136" s="475"/>
      <c r="O136" s="476">
        <v>0.67013888888888884</v>
      </c>
      <c r="P136" s="476">
        <v>0.67013888888888884</v>
      </c>
      <c r="Q136" s="477">
        <v>0.67638888888888893</v>
      </c>
      <c r="R136" s="472">
        <f>IF(Table6[[#This Row],[Work Start TimeStamp]]="","",(Table6[[#This Row],[Work Start TimeStamp]]-Table6[[#This Row],[Fault Start TimeStamp]])*24)</f>
        <v>0</v>
      </c>
      <c r="S136" s="472">
        <f>(Table6[[#This Row],[Fault Clearance time]]-Table6[[#This Row],[Work Start TimeStamp]])*24</f>
        <v>0.15000000000000213</v>
      </c>
      <c r="T136" s="472">
        <f>(Table6[[#This Row],[Fault Clearance time]]-Table6[[#This Row],[Fault Start TimeStamp]])*24</f>
        <v>0.15000000000000213</v>
      </c>
      <c r="U136" s="35" t="s">
        <v>349</v>
      </c>
      <c r="V136" s="102" t="s">
        <v>293</v>
      </c>
      <c r="W136" s="478">
        <f>IFERROR(Table6[[#This Row],[Breakdown Time]]*Table6[[#This Row],[Plant Equivalent Weightage]],"")</f>
        <v>5.7692307692308493E-3</v>
      </c>
      <c r="X136" s="473" t="s">
        <v>294</v>
      </c>
      <c r="Y136" s="474" t="s">
        <v>320</v>
      </c>
      <c r="Z136" s="102">
        <v>40773</v>
      </c>
      <c r="AA136" s="468">
        <f>(Table6[[#This Row],[Paired WTG Generation for loss calculation]]/24)*Table6[[#This Row],[Breakdown Time]]</f>
        <v>254.83125000000362</v>
      </c>
      <c r="AB136" s="102"/>
      <c r="AC136" s="35"/>
      <c r="AD136" s="35"/>
    </row>
    <row r="137" spans="1:30">
      <c r="A137" s="102">
        <f t="shared" si="2"/>
        <v>136</v>
      </c>
      <c r="B137" s="468">
        <f>YEAR(Table6[[#This Row],[Date]])+IF(MONTH(Table6[[#This Row],[Date]])&gt;=4,1,0)</f>
        <v>2026</v>
      </c>
      <c r="C137" s="102">
        <f>YEAR(Table6[[#This Row],[Date]])</f>
        <v>2025</v>
      </c>
      <c r="D137" s="102" t="s">
        <v>1992</v>
      </c>
      <c r="E137" s="469">
        <f>Table6[[#This Row],[Date]]-DAY(Table6[[#This Row],[Date]])+1</f>
        <v>45748</v>
      </c>
      <c r="F137" s="470">
        <v>45757</v>
      </c>
      <c r="G137" s="35" t="s">
        <v>89</v>
      </c>
      <c r="H137" s="35" t="str">
        <f>IFERROR(_xlfn.XLOOKUP(Table6[[#This Row],[Affected WTG]],'Basic Data'!$A:$A,'Basic Data'!$B:$B),"")</f>
        <v>TQGXIIPL</v>
      </c>
      <c r="I137" s="35" t="str">
        <f>IFERROR(_xlfn.XLOOKUP(Table6[[#This Row],[Affected WTG]],'Basic Data'!$A:$A,'Basic Data'!$C:$C),"")</f>
        <v>GEDA</v>
      </c>
      <c r="J137" s="471">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291</v>
      </c>
      <c r="N137" s="475"/>
      <c r="O137" s="476">
        <v>0.6958333333333333</v>
      </c>
      <c r="P137" s="476">
        <v>0.6958333333333333</v>
      </c>
      <c r="Q137" s="477">
        <v>0.70902777777777781</v>
      </c>
      <c r="R137" s="472">
        <f>IF(Table6[[#This Row],[Work Start TimeStamp]]="","",(Table6[[#This Row],[Work Start TimeStamp]]-Table6[[#This Row],[Fault Start TimeStamp]])*24)</f>
        <v>0</v>
      </c>
      <c r="S137" s="472">
        <f>(Table6[[#This Row],[Fault Clearance time]]-Table6[[#This Row],[Work Start TimeStamp]])*24</f>
        <v>0.31666666666666821</v>
      </c>
      <c r="T137" s="472">
        <f>(Table6[[#This Row],[Fault Clearance time]]-Table6[[#This Row],[Fault Start TimeStamp]])*24</f>
        <v>0.31666666666666821</v>
      </c>
      <c r="U137" s="35" t="s">
        <v>382</v>
      </c>
      <c r="V137" s="102" t="s">
        <v>293</v>
      </c>
      <c r="W137" s="478">
        <f>IFERROR(Table6[[#This Row],[Breakdown Time]]*Table6[[#This Row],[Plant Equivalent Weightage]],"")</f>
        <v>1.2179487179487235E-2</v>
      </c>
      <c r="X137" s="473" t="s">
        <v>294</v>
      </c>
      <c r="Y137" s="474" t="s">
        <v>320</v>
      </c>
      <c r="Z137" s="102">
        <v>40773</v>
      </c>
      <c r="AA137" s="468">
        <f>(Table6[[#This Row],[Paired WTG Generation for loss calculation]]/24)*Table6[[#This Row],[Breakdown Time]]</f>
        <v>537.97708333333594</v>
      </c>
      <c r="AB137" s="102"/>
      <c r="AC137" s="35"/>
      <c r="AD137" s="35"/>
    </row>
    <row r="138" spans="1:30">
      <c r="A138" s="102">
        <f t="shared" si="2"/>
        <v>137</v>
      </c>
      <c r="B138" s="468">
        <f>YEAR(Table6[[#This Row],[Date]])+IF(MONTH(Table6[[#This Row],[Date]])&gt;=4,1,0)</f>
        <v>2026</v>
      </c>
      <c r="C138" s="102">
        <f>YEAR(Table6[[#This Row],[Date]])</f>
        <v>2025</v>
      </c>
      <c r="D138" s="102" t="s">
        <v>1992</v>
      </c>
      <c r="E138" s="469">
        <f>Table6[[#This Row],[Date]]-DAY(Table6[[#This Row],[Date]])+1</f>
        <v>45748</v>
      </c>
      <c r="F138" s="470">
        <v>45757</v>
      </c>
      <c r="G138" s="35" t="s">
        <v>89</v>
      </c>
      <c r="H138" s="35" t="str">
        <f>IFERROR(_xlfn.XLOOKUP(Table6[[#This Row],[Affected WTG]],'Basic Data'!$A:$A,'Basic Data'!$B:$B),"")</f>
        <v>TQGXIIPL</v>
      </c>
      <c r="I138" s="35" t="str">
        <f>IFERROR(_xlfn.XLOOKUP(Table6[[#This Row],[Affected WTG]],'Basic Data'!$A:$A,'Basic Data'!$C:$C),"")</f>
        <v>GEDA</v>
      </c>
      <c r="J138" s="471">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291</v>
      </c>
      <c r="N138" s="475"/>
      <c r="O138" s="476">
        <v>0.73402777777777772</v>
      </c>
      <c r="P138" s="476">
        <v>0.73402777777777772</v>
      </c>
      <c r="Q138" s="477">
        <v>0.74027777777777781</v>
      </c>
      <c r="R138" s="472">
        <f>IF(Table6[[#This Row],[Work Start TimeStamp]]="","",(Table6[[#This Row],[Work Start TimeStamp]]-Table6[[#This Row],[Fault Start TimeStamp]])*24)</f>
        <v>0</v>
      </c>
      <c r="S138" s="472">
        <f>(Table6[[#This Row],[Fault Clearance time]]-Table6[[#This Row],[Work Start TimeStamp]])*24</f>
        <v>0.15000000000000213</v>
      </c>
      <c r="T138" s="472">
        <f>(Table6[[#This Row],[Fault Clearance time]]-Table6[[#This Row],[Fault Start TimeStamp]])*24</f>
        <v>0.15000000000000213</v>
      </c>
      <c r="U138" s="35" t="s">
        <v>382</v>
      </c>
      <c r="V138" s="102" t="s">
        <v>293</v>
      </c>
      <c r="W138" s="478">
        <f>IFERROR(Table6[[#This Row],[Breakdown Time]]*Table6[[#This Row],[Plant Equivalent Weightage]],"")</f>
        <v>5.7692307692308493E-3</v>
      </c>
      <c r="X138" s="473" t="s">
        <v>294</v>
      </c>
      <c r="Y138" s="474" t="s">
        <v>320</v>
      </c>
      <c r="Z138" s="102">
        <v>40773</v>
      </c>
      <c r="AA138" s="468">
        <f>(Table6[[#This Row],[Paired WTG Generation for loss calculation]]/24)*Table6[[#This Row],[Breakdown Time]]</f>
        <v>254.83125000000362</v>
      </c>
      <c r="AB138" s="102"/>
      <c r="AC138" s="35"/>
      <c r="AD138" s="35"/>
    </row>
    <row r="139" spans="1:30">
      <c r="A139" s="102">
        <f t="shared" si="2"/>
        <v>138</v>
      </c>
      <c r="B139" s="468">
        <f>YEAR(Table6[[#This Row],[Date]])+IF(MONTH(Table6[[#This Row],[Date]])&gt;=4,1,0)</f>
        <v>2026</v>
      </c>
      <c r="C139" s="102">
        <f>YEAR(Table6[[#This Row],[Date]])</f>
        <v>2025</v>
      </c>
      <c r="D139" s="102" t="s">
        <v>1992</v>
      </c>
      <c r="E139" s="469">
        <f>Table6[[#This Row],[Date]]-DAY(Table6[[#This Row],[Date]])+1</f>
        <v>45748</v>
      </c>
      <c r="F139" s="470">
        <v>45757</v>
      </c>
      <c r="G139" s="35" t="s">
        <v>89</v>
      </c>
      <c r="H139" s="35" t="str">
        <f>IFERROR(_xlfn.XLOOKUP(Table6[[#This Row],[Affected WTG]],'Basic Data'!$A:$A,'Basic Data'!$B:$B),"")</f>
        <v>TQGXIIPL</v>
      </c>
      <c r="I139" s="35" t="str">
        <f>IFERROR(_xlfn.XLOOKUP(Table6[[#This Row],[Affected WTG]],'Basic Data'!$A:$A,'Basic Data'!$C:$C),"")</f>
        <v>GEDA</v>
      </c>
      <c r="J139" s="471">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291</v>
      </c>
      <c r="N139" s="475"/>
      <c r="O139" s="476">
        <v>0.75972222222222219</v>
      </c>
      <c r="P139" s="476">
        <v>0.75972222222222219</v>
      </c>
      <c r="Q139" s="477">
        <v>0.77430555555555558</v>
      </c>
      <c r="R139" s="472">
        <f>IF(Table6[[#This Row],[Work Start TimeStamp]]="","",(Table6[[#This Row],[Work Start TimeStamp]]-Table6[[#This Row],[Fault Start TimeStamp]])*24)</f>
        <v>0</v>
      </c>
      <c r="S139" s="472">
        <f>(Table6[[#This Row],[Fault Clearance time]]-Table6[[#This Row],[Work Start TimeStamp]])*24</f>
        <v>0.35000000000000142</v>
      </c>
      <c r="T139" s="472">
        <f>(Table6[[#This Row],[Fault Clearance time]]-Table6[[#This Row],[Fault Start TimeStamp]])*24</f>
        <v>0.35000000000000142</v>
      </c>
      <c r="U139" s="35" t="s">
        <v>382</v>
      </c>
      <c r="V139" s="102" t="s">
        <v>293</v>
      </c>
      <c r="W139" s="478">
        <f>IFERROR(Table6[[#This Row],[Breakdown Time]]*Table6[[#This Row],[Plant Equivalent Weightage]],"")</f>
        <v>1.3461538461538513E-2</v>
      </c>
      <c r="X139" s="473" t="s">
        <v>294</v>
      </c>
      <c r="Y139" s="474" t="s">
        <v>320</v>
      </c>
      <c r="Z139" s="102">
        <v>40773</v>
      </c>
      <c r="AA139" s="468">
        <f>(Table6[[#This Row],[Paired WTG Generation for loss calculation]]/24)*Table6[[#This Row],[Breakdown Time]]</f>
        <v>594.60625000000243</v>
      </c>
      <c r="AB139" s="102"/>
      <c r="AC139" s="35"/>
      <c r="AD139" s="35"/>
    </row>
    <row r="140" spans="1:30">
      <c r="A140" s="102">
        <f t="shared" si="2"/>
        <v>139</v>
      </c>
      <c r="B140" s="468">
        <f>YEAR(Table6[[#This Row],[Date]])+IF(MONTH(Table6[[#This Row],[Date]])&gt;=4,1,0)</f>
        <v>2026</v>
      </c>
      <c r="C140" s="102">
        <f>YEAR(Table6[[#This Row],[Date]])</f>
        <v>2025</v>
      </c>
      <c r="D140" s="102" t="s">
        <v>1992</v>
      </c>
      <c r="E140" s="469">
        <f>Table6[[#This Row],[Date]]-DAY(Table6[[#This Row],[Date]])+1</f>
        <v>45748</v>
      </c>
      <c r="F140" s="470">
        <v>45757</v>
      </c>
      <c r="G140" s="35" t="s">
        <v>91</v>
      </c>
      <c r="H140" s="35" t="str">
        <f>IFERROR(_xlfn.XLOOKUP(Table6[[#This Row],[Affected WTG]],'Basic Data'!$A:$A,'Basic Data'!$B:$B),"")</f>
        <v>TQGXIIPL</v>
      </c>
      <c r="I140" s="35" t="str">
        <f>IFERROR(_xlfn.XLOOKUP(Table6[[#This Row],[Affected WTG]],'Basic Data'!$A:$A,'Basic Data'!$C:$C),"")</f>
        <v>GEDA</v>
      </c>
      <c r="J140" s="471">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291</v>
      </c>
      <c r="N140" s="475"/>
      <c r="O140" s="476">
        <v>0.37777777777777777</v>
      </c>
      <c r="P140" s="476">
        <v>0.37777777777777777</v>
      </c>
      <c r="Q140" s="477">
        <v>0.38124999999999998</v>
      </c>
      <c r="R140" s="472">
        <f>IF(Table6[[#This Row],[Work Start TimeStamp]]="","",(Table6[[#This Row],[Work Start TimeStamp]]-Table6[[#This Row],[Fault Start TimeStamp]])*24)</f>
        <v>0</v>
      </c>
      <c r="S140" s="472">
        <f>(Table6[[#This Row],[Fault Clearance time]]-Table6[[#This Row],[Work Start TimeStamp]])*24</f>
        <v>8.3333333333333037E-2</v>
      </c>
      <c r="T140" s="472">
        <f>(Table6[[#This Row],[Fault Clearance time]]-Table6[[#This Row],[Fault Start TimeStamp]])*24</f>
        <v>8.3333333333333037E-2</v>
      </c>
      <c r="U140" s="35" t="s">
        <v>349</v>
      </c>
      <c r="V140" s="102" t="s">
        <v>293</v>
      </c>
      <c r="W140" s="478">
        <f>IFERROR(Table6[[#This Row],[Breakdown Time]]*Table6[[#This Row],[Plant Equivalent Weightage]],"")</f>
        <v>3.2051282051281929E-3</v>
      </c>
      <c r="X140" s="473" t="s">
        <v>294</v>
      </c>
      <c r="Y140" s="474" t="s">
        <v>319</v>
      </c>
      <c r="Z140" s="102">
        <v>37890</v>
      </c>
      <c r="AA140" s="468">
        <f>(Table6[[#This Row],[Paired WTG Generation for loss calculation]]/24)*Table6[[#This Row],[Breakdown Time]]</f>
        <v>131.56249999999955</v>
      </c>
      <c r="AB140" s="102"/>
      <c r="AC140" s="35"/>
      <c r="AD140" s="35"/>
    </row>
    <row r="141" spans="1:30">
      <c r="A141" s="102">
        <f t="shared" si="2"/>
        <v>140</v>
      </c>
      <c r="B141" s="468">
        <f>YEAR(Table6[[#This Row],[Date]])+IF(MONTH(Table6[[#This Row],[Date]])&gt;=4,1,0)</f>
        <v>2026</v>
      </c>
      <c r="C141" s="102">
        <f>YEAR(Table6[[#This Row],[Date]])</f>
        <v>2025</v>
      </c>
      <c r="D141" s="102" t="s">
        <v>1992</v>
      </c>
      <c r="E141" s="469">
        <f>Table6[[#This Row],[Date]]-DAY(Table6[[#This Row],[Date]])+1</f>
        <v>45748</v>
      </c>
      <c r="F141" s="470">
        <v>45757</v>
      </c>
      <c r="G141" s="35" t="s">
        <v>91</v>
      </c>
      <c r="H141" s="35" t="str">
        <f>IFERROR(_xlfn.XLOOKUP(Table6[[#This Row],[Affected WTG]],'Basic Data'!$A:$A,'Basic Data'!$B:$B),"")</f>
        <v>TQGXIIPL</v>
      </c>
      <c r="I141" s="35" t="str">
        <f>IFERROR(_xlfn.XLOOKUP(Table6[[#This Row],[Affected WTG]],'Basic Data'!$A:$A,'Basic Data'!$C:$C),"")</f>
        <v>GEDA</v>
      </c>
      <c r="J141" s="471">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291</v>
      </c>
      <c r="N141" s="475"/>
      <c r="O141" s="476">
        <v>0.75972222222222219</v>
      </c>
      <c r="P141" s="476">
        <v>0.75972222222222219</v>
      </c>
      <c r="Q141" s="477">
        <v>0.77361111111111114</v>
      </c>
      <c r="R141" s="472">
        <f>IF(Table6[[#This Row],[Work Start TimeStamp]]="","",(Table6[[#This Row],[Work Start TimeStamp]]-Table6[[#This Row],[Fault Start TimeStamp]])*24)</f>
        <v>0</v>
      </c>
      <c r="S141" s="472">
        <f>(Table6[[#This Row],[Fault Clearance time]]-Table6[[#This Row],[Work Start TimeStamp]])*24</f>
        <v>0.33333333333333481</v>
      </c>
      <c r="T141" s="472">
        <f>(Table6[[#This Row],[Fault Clearance time]]-Table6[[#This Row],[Fault Start TimeStamp]])*24</f>
        <v>0.33333333333333481</v>
      </c>
      <c r="U141" s="35" t="s">
        <v>374</v>
      </c>
      <c r="V141" s="102" t="s">
        <v>293</v>
      </c>
      <c r="W141" s="478">
        <f>IFERROR(Table6[[#This Row],[Breakdown Time]]*Table6[[#This Row],[Plant Equivalent Weightage]],"")</f>
        <v>1.2820512820512874E-2</v>
      </c>
      <c r="X141" s="473" t="s">
        <v>294</v>
      </c>
      <c r="Y141" s="474" t="s">
        <v>319</v>
      </c>
      <c r="Z141" s="102">
        <v>37890</v>
      </c>
      <c r="AA141" s="468">
        <f>(Table6[[#This Row],[Paired WTG Generation for loss calculation]]/24)*Table6[[#This Row],[Breakdown Time]]</f>
        <v>526.25000000000239</v>
      </c>
      <c r="AB141" s="102"/>
      <c r="AC141" s="35"/>
      <c r="AD141" s="35"/>
    </row>
    <row r="142" spans="1:30">
      <c r="A142" s="102">
        <f t="shared" ref="A142:A205" si="3">A141+1</f>
        <v>141</v>
      </c>
      <c r="B142" s="468">
        <f>YEAR(Table6[[#This Row],[Date]])+IF(MONTH(Table6[[#This Row],[Date]])&gt;=4,1,0)</f>
        <v>2026</v>
      </c>
      <c r="C142" s="102">
        <f>YEAR(Table6[[#This Row],[Date]])</f>
        <v>2025</v>
      </c>
      <c r="D142" s="102" t="s">
        <v>1992</v>
      </c>
      <c r="E142" s="469">
        <f>Table6[[#This Row],[Date]]-DAY(Table6[[#This Row],[Date]])+1</f>
        <v>45748</v>
      </c>
      <c r="F142" s="470">
        <v>45757</v>
      </c>
      <c r="G142" s="35" t="s">
        <v>91</v>
      </c>
      <c r="H142" s="35" t="str">
        <f>IFERROR(_xlfn.XLOOKUP(Table6[[#This Row],[Affected WTG]],'Basic Data'!$A:$A,'Basic Data'!$B:$B),"")</f>
        <v>TQGXIIPL</v>
      </c>
      <c r="I142" s="35" t="str">
        <f>IFERROR(_xlfn.XLOOKUP(Table6[[#This Row],[Affected WTG]],'Basic Data'!$A:$A,'Basic Data'!$C:$C),"")</f>
        <v>GEDA</v>
      </c>
      <c r="J142" s="471">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291</v>
      </c>
      <c r="N142" s="475"/>
      <c r="O142" s="476">
        <v>0.77986111111111112</v>
      </c>
      <c r="P142" s="476">
        <v>0.77986111111111112</v>
      </c>
      <c r="Q142" s="477">
        <v>0.81874999999999998</v>
      </c>
      <c r="R142" s="472">
        <f>IF(Table6[[#This Row],[Work Start TimeStamp]]="","",(Table6[[#This Row],[Work Start TimeStamp]]-Table6[[#This Row],[Fault Start TimeStamp]])*24)</f>
        <v>0</v>
      </c>
      <c r="S142" s="472">
        <f>(Table6[[#This Row],[Fault Clearance time]]-Table6[[#This Row],[Work Start TimeStamp]])*24</f>
        <v>0.93333333333333268</v>
      </c>
      <c r="T142" s="472">
        <f>(Table6[[#This Row],[Fault Clearance time]]-Table6[[#This Row],[Fault Start TimeStamp]])*24</f>
        <v>0.93333333333333268</v>
      </c>
      <c r="U142" s="35" t="s">
        <v>374</v>
      </c>
      <c r="V142" s="102" t="s">
        <v>293</v>
      </c>
      <c r="W142" s="478">
        <f>IFERROR(Table6[[#This Row],[Breakdown Time]]*Table6[[#This Row],[Plant Equivalent Weightage]],"")</f>
        <v>3.589743589743586E-2</v>
      </c>
      <c r="X142" s="473" t="s">
        <v>294</v>
      </c>
      <c r="Y142" s="474" t="s">
        <v>319</v>
      </c>
      <c r="Z142" s="102">
        <v>37890</v>
      </c>
      <c r="AA142" s="468">
        <f>(Table6[[#This Row],[Paired WTG Generation for loss calculation]]/24)*Table6[[#This Row],[Breakdown Time]]</f>
        <v>1473.4999999999989</v>
      </c>
      <c r="AB142" s="102"/>
      <c r="AC142" s="35"/>
      <c r="AD142" s="35"/>
    </row>
    <row r="143" spans="1:30">
      <c r="A143" s="102">
        <f t="shared" si="3"/>
        <v>142</v>
      </c>
      <c r="B143" s="468">
        <f>YEAR(Table6[[#This Row],[Date]])+IF(MONTH(Table6[[#This Row],[Date]])&gt;=4,1,0)</f>
        <v>2026</v>
      </c>
      <c r="C143" s="102">
        <f>YEAR(Table6[[#This Row],[Date]])</f>
        <v>2025</v>
      </c>
      <c r="D143" s="102" t="s">
        <v>1992</v>
      </c>
      <c r="E143" s="469">
        <f>Table6[[#This Row],[Date]]-DAY(Table6[[#This Row],[Date]])+1</f>
        <v>45748</v>
      </c>
      <c r="F143" s="470">
        <v>45757</v>
      </c>
      <c r="G143" s="35" t="s">
        <v>92</v>
      </c>
      <c r="H143" s="35" t="str">
        <f>IFERROR(_xlfn.XLOOKUP(Table6[[#This Row],[Affected WTG]],'Basic Data'!$A:$A,'Basic Data'!$B:$B),"")</f>
        <v>TQGXIIPL</v>
      </c>
      <c r="I143" s="35" t="str">
        <f>IFERROR(_xlfn.XLOOKUP(Table6[[#This Row],[Affected WTG]],'Basic Data'!$A:$A,'Basic Data'!$C:$C),"")</f>
        <v>GEDA</v>
      </c>
      <c r="J143" s="471">
        <f>IFERROR(_xlfn.XLOOKUP(Table6[[#This Row],[Affected WTG]],'Basic Data'!$A:$A,'Basic Data'!$E:$E),"")</f>
        <v>3.846153846153845E-2</v>
      </c>
      <c r="K143" s="102">
        <v>1700</v>
      </c>
      <c r="L143" s="35" t="str">
        <f>IFERROR(_xlfn.XLOOKUP(Table6[[#This Row],[Error Code]],'Basic Data'!$AA:$AA,'Basic Data'!$AB:$AB),"Incorrect Error Code")</f>
        <v>High temp. gear bearing 1</v>
      </c>
      <c r="M143" s="35" t="s">
        <v>291</v>
      </c>
      <c r="N143" s="475"/>
      <c r="O143" s="476">
        <v>0.67083333333333328</v>
      </c>
      <c r="P143" s="476">
        <v>0.67083333333333328</v>
      </c>
      <c r="Q143" s="477">
        <v>0.67708333333333337</v>
      </c>
      <c r="R143" s="472">
        <f>IF(Table6[[#This Row],[Work Start TimeStamp]]="","",(Table6[[#This Row],[Work Start TimeStamp]]-Table6[[#This Row],[Fault Start TimeStamp]])*24)</f>
        <v>0</v>
      </c>
      <c r="S143" s="472">
        <f>(Table6[[#This Row],[Fault Clearance time]]-Table6[[#This Row],[Work Start TimeStamp]])*24</f>
        <v>0.15000000000000213</v>
      </c>
      <c r="T143" s="472">
        <f>(Table6[[#This Row],[Fault Clearance time]]-Table6[[#This Row],[Fault Start TimeStamp]])*24</f>
        <v>0.15000000000000213</v>
      </c>
      <c r="U143" s="35" t="s">
        <v>349</v>
      </c>
      <c r="V143" s="102" t="s">
        <v>293</v>
      </c>
      <c r="W143" s="478">
        <f>IFERROR(Table6[[#This Row],[Breakdown Time]]*Table6[[#This Row],[Plant Equivalent Weightage]],"")</f>
        <v>5.7692307692308493E-3</v>
      </c>
      <c r="X143" s="473" t="s">
        <v>294</v>
      </c>
      <c r="Y143" s="474" t="s">
        <v>310</v>
      </c>
      <c r="Z143" s="102">
        <v>42698</v>
      </c>
      <c r="AA143" s="468">
        <f>(Table6[[#This Row],[Paired WTG Generation for loss calculation]]/24)*Table6[[#This Row],[Breakdown Time]]</f>
        <v>266.86250000000376</v>
      </c>
      <c r="AB143" s="102"/>
      <c r="AC143" s="35"/>
      <c r="AD143" s="35"/>
    </row>
    <row r="144" spans="1:30">
      <c r="A144" s="102">
        <f t="shared" si="3"/>
        <v>143</v>
      </c>
      <c r="B144" s="468">
        <f>YEAR(Table6[[#This Row],[Date]])+IF(MONTH(Table6[[#This Row],[Date]])&gt;=4,1,0)</f>
        <v>2026</v>
      </c>
      <c r="C144" s="102">
        <f>YEAR(Table6[[#This Row],[Date]])</f>
        <v>2025</v>
      </c>
      <c r="D144" s="102" t="s">
        <v>1992</v>
      </c>
      <c r="E144" s="469">
        <f>Table6[[#This Row],[Date]]-DAY(Table6[[#This Row],[Date]])+1</f>
        <v>45748</v>
      </c>
      <c r="F144" s="470">
        <v>45757</v>
      </c>
      <c r="G144" s="35" t="s">
        <v>92</v>
      </c>
      <c r="H144" s="35" t="str">
        <f>IFERROR(_xlfn.XLOOKUP(Table6[[#This Row],[Affected WTG]],'Basic Data'!$A:$A,'Basic Data'!$B:$B),"")</f>
        <v>TQGXIIPL</v>
      </c>
      <c r="I144" s="35" t="str">
        <f>IFERROR(_xlfn.XLOOKUP(Table6[[#This Row],[Affected WTG]],'Basic Data'!$A:$A,'Basic Data'!$C:$C),"")</f>
        <v>GEDA</v>
      </c>
      <c r="J144" s="471">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291</v>
      </c>
      <c r="N144" s="475"/>
      <c r="O144" s="476">
        <v>0.7583333333333333</v>
      </c>
      <c r="P144" s="476">
        <v>0.7583333333333333</v>
      </c>
      <c r="Q144" s="477">
        <v>0.76736111111111116</v>
      </c>
      <c r="R144" s="472">
        <f>IF(Table6[[#This Row],[Work Start TimeStamp]]="","",(Table6[[#This Row],[Work Start TimeStamp]]-Table6[[#This Row],[Fault Start TimeStamp]])*24)</f>
        <v>0</v>
      </c>
      <c r="S144" s="472">
        <f>(Table6[[#This Row],[Fault Clearance time]]-Table6[[#This Row],[Work Start TimeStamp]])*24</f>
        <v>0.21666666666666856</v>
      </c>
      <c r="T144" s="472">
        <f>(Table6[[#This Row],[Fault Clearance time]]-Table6[[#This Row],[Fault Start TimeStamp]])*24</f>
        <v>0.21666666666666856</v>
      </c>
      <c r="U144" s="35" t="s">
        <v>382</v>
      </c>
      <c r="V144" s="102" t="s">
        <v>293</v>
      </c>
      <c r="W144" s="478">
        <f>IFERROR(Table6[[#This Row],[Breakdown Time]]*Table6[[#This Row],[Plant Equivalent Weightage]],"")</f>
        <v>8.3333333333334043E-3</v>
      </c>
      <c r="X144" s="473" t="s">
        <v>294</v>
      </c>
      <c r="Y144" s="474" t="s">
        <v>310</v>
      </c>
      <c r="Z144" s="102">
        <v>42698</v>
      </c>
      <c r="AA144" s="468">
        <f>(Table6[[#This Row],[Paired WTG Generation for loss calculation]]/24)*Table6[[#This Row],[Breakdown Time]]</f>
        <v>385.46805555555892</v>
      </c>
      <c r="AB144" s="102"/>
      <c r="AC144" s="35"/>
      <c r="AD144" s="35"/>
    </row>
    <row r="145" spans="1:30">
      <c r="A145" s="102">
        <f t="shared" si="3"/>
        <v>144</v>
      </c>
      <c r="B145" s="468">
        <f>YEAR(Table6[[#This Row],[Date]])+IF(MONTH(Table6[[#This Row],[Date]])&gt;=4,1,0)</f>
        <v>2026</v>
      </c>
      <c r="C145" s="102">
        <f>YEAR(Table6[[#This Row],[Date]])</f>
        <v>2025</v>
      </c>
      <c r="D145" s="102" t="s">
        <v>1992</v>
      </c>
      <c r="E145" s="469">
        <f>Table6[[#This Row],[Date]]-DAY(Table6[[#This Row],[Date]])+1</f>
        <v>45748</v>
      </c>
      <c r="F145" s="470">
        <v>45757</v>
      </c>
      <c r="G145" s="35" t="s">
        <v>92</v>
      </c>
      <c r="H145" s="35" t="str">
        <f>IFERROR(_xlfn.XLOOKUP(Table6[[#This Row],[Affected WTG]],'Basic Data'!$A:$A,'Basic Data'!$B:$B),"")</f>
        <v>TQGXIIPL</v>
      </c>
      <c r="I145" s="35" t="str">
        <f>IFERROR(_xlfn.XLOOKUP(Table6[[#This Row],[Affected WTG]],'Basic Data'!$A:$A,'Basic Data'!$C:$C),"")</f>
        <v>GEDA</v>
      </c>
      <c r="J145" s="471">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291</v>
      </c>
      <c r="N145" s="475"/>
      <c r="O145" s="476">
        <v>0.80625000000000002</v>
      </c>
      <c r="P145" s="476">
        <v>0.80625000000000002</v>
      </c>
      <c r="Q145" s="477">
        <v>0.81111111111111112</v>
      </c>
      <c r="R145" s="472">
        <f>IF(Table6[[#This Row],[Work Start TimeStamp]]="","",(Table6[[#This Row],[Work Start TimeStamp]]-Table6[[#This Row],[Fault Start TimeStamp]])*24)</f>
        <v>0</v>
      </c>
      <c r="S145" s="472">
        <f>(Table6[[#This Row],[Fault Clearance time]]-Table6[[#This Row],[Work Start TimeStamp]])*24</f>
        <v>0.11666666666666625</v>
      </c>
      <c r="T145" s="472">
        <f>(Table6[[#This Row],[Fault Clearance time]]-Table6[[#This Row],[Fault Start TimeStamp]])*24</f>
        <v>0.11666666666666625</v>
      </c>
      <c r="U145" s="35" t="s">
        <v>382</v>
      </c>
      <c r="V145" s="102" t="s">
        <v>293</v>
      </c>
      <c r="W145" s="478">
        <f>IFERROR(Table6[[#This Row],[Breakdown Time]]*Table6[[#This Row],[Plant Equivalent Weightage]],"")</f>
        <v>4.4871794871794695E-3</v>
      </c>
      <c r="X145" s="473" t="s">
        <v>294</v>
      </c>
      <c r="Y145" s="474" t="s">
        <v>310</v>
      </c>
      <c r="Z145" s="102">
        <v>42698</v>
      </c>
      <c r="AA145" s="468">
        <f>(Table6[[#This Row],[Paired WTG Generation for loss calculation]]/24)*Table6[[#This Row],[Breakdown Time]]</f>
        <v>207.55972222222147</v>
      </c>
      <c r="AB145" s="102"/>
      <c r="AC145" s="35"/>
      <c r="AD145" s="35"/>
    </row>
    <row r="146" spans="1:30">
      <c r="A146" s="102">
        <f t="shared" si="3"/>
        <v>145</v>
      </c>
      <c r="B146" s="468">
        <f>YEAR(Table6[[#This Row],[Date]])+IF(MONTH(Table6[[#This Row],[Date]])&gt;=4,1,0)</f>
        <v>2026</v>
      </c>
      <c r="C146" s="102">
        <f>YEAR(Table6[[#This Row],[Date]])</f>
        <v>2025</v>
      </c>
      <c r="D146" s="102" t="s">
        <v>1992</v>
      </c>
      <c r="E146" s="469">
        <f>Table6[[#This Row],[Date]]-DAY(Table6[[#This Row],[Date]])+1</f>
        <v>45748</v>
      </c>
      <c r="F146" s="470">
        <v>45757</v>
      </c>
      <c r="G146" s="35" t="s">
        <v>94</v>
      </c>
      <c r="H146" s="35" t="str">
        <f>IFERROR(_xlfn.XLOOKUP(Table6[[#This Row],[Affected WTG]],'Basic Data'!$A:$A,'Basic Data'!$B:$B),"")</f>
        <v>TQGXIIPL</v>
      </c>
      <c r="I146" s="35" t="str">
        <f>IFERROR(_xlfn.XLOOKUP(Table6[[#This Row],[Affected WTG]],'Basic Data'!$A:$A,'Basic Data'!$C:$C),"")</f>
        <v>GEDA</v>
      </c>
      <c r="J146" s="471">
        <f>IFERROR(_xlfn.XLOOKUP(Table6[[#This Row],[Affected WTG]],'Basic Data'!$A:$A,'Basic Data'!$E:$E),"")</f>
        <v>3.846153846153845E-2</v>
      </c>
      <c r="K146" s="102">
        <v>6130</v>
      </c>
      <c r="L146" s="35" t="str">
        <f>IFERROR(_xlfn.XLOOKUP(Table6[[#This Row],[Error Code]],'Basic Data'!$AA:$AA,'Basic Data'!$AB:$AB),"Incorrect Error Code")</f>
        <v>Yaw speed high</v>
      </c>
      <c r="M146" s="35" t="s">
        <v>291</v>
      </c>
      <c r="N146" s="475"/>
      <c r="O146" s="476">
        <v>0.60763888888888884</v>
      </c>
      <c r="P146" s="476">
        <v>0.60763888888888884</v>
      </c>
      <c r="Q146" s="477">
        <v>0.6118055555555556</v>
      </c>
      <c r="R146" s="472">
        <f>IF(Table6[[#This Row],[Work Start TimeStamp]]="","",(Table6[[#This Row],[Work Start TimeStamp]]-Table6[[#This Row],[Fault Start TimeStamp]])*24)</f>
        <v>0</v>
      </c>
      <c r="S146" s="472">
        <f>(Table6[[#This Row],[Fault Clearance time]]-Table6[[#This Row],[Work Start TimeStamp]])*24</f>
        <v>0.10000000000000231</v>
      </c>
      <c r="T146" s="472">
        <f>(Table6[[#This Row],[Fault Clearance time]]-Table6[[#This Row],[Fault Start TimeStamp]])*24</f>
        <v>0.10000000000000231</v>
      </c>
      <c r="U146" s="35" t="s">
        <v>336</v>
      </c>
      <c r="V146" s="102" t="s">
        <v>293</v>
      </c>
      <c r="W146" s="478">
        <f>IFERROR(Table6[[#This Row],[Breakdown Time]]*Table6[[#This Row],[Plant Equivalent Weightage]],"")</f>
        <v>3.846153846153934E-3</v>
      </c>
      <c r="X146" s="473" t="s">
        <v>294</v>
      </c>
      <c r="Y146" s="474" t="s">
        <v>311</v>
      </c>
      <c r="Z146" s="102">
        <v>33218</v>
      </c>
      <c r="AA146" s="468">
        <f>(Table6[[#This Row],[Paired WTG Generation for loss calculation]]/24)*Table6[[#This Row],[Breakdown Time]]</f>
        <v>138.40833333333651</v>
      </c>
      <c r="AB146" s="102"/>
      <c r="AC146" s="35"/>
      <c r="AD146" s="35"/>
    </row>
    <row r="147" spans="1:30">
      <c r="A147" s="102">
        <f t="shared" si="3"/>
        <v>146</v>
      </c>
      <c r="B147" s="468">
        <f>YEAR(Table6[[#This Row],[Date]])+IF(MONTH(Table6[[#This Row],[Date]])&gt;=4,1,0)</f>
        <v>2026</v>
      </c>
      <c r="C147" s="102">
        <f>YEAR(Table6[[#This Row],[Date]])</f>
        <v>2025</v>
      </c>
      <c r="D147" s="102" t="s">
        <v>1992</v>
      </c>
      <c r="E147" s="469">
        <f>Table6[[#This Row],[Date]]-DAY(Table6[[#This Row],[Date]])+1</f>
        <v>45748</v>
      </c>
      <c r="F147" s="470">
        <v>45757</v>
      </c>
      <c r="G147" s="35" t="s">
        <v>96</v>
      </c>
      <c r="H147" s="35" t="str">
        <f>IFERROR(_xlfn.XLOOKUP(Table6[[#This Row],[Affected WTG]],'Basic Data'!$A:$A,'Basic Data'!$B:$B),"")</f>
        <v>TQGXIIPL</v>
      </c>
      <c r="I147" s="35" t="str">
        <f>IFERROR(_xlfn.XLOOKUP(Table6[[#This Row],[Affected WTG]],'Basic Data'!$A:$A,'Basic Data'!$C:$C),"")</f>
        <v>GEDA</v>
      </c>
      <c r="J147" s="471">
        <f>IFERROR(_xlfn.XLOOKUP(Table6[[#This Row],[Affected WTG]],'Basic Data'!$A:$A,'Basic Data'!$E:$E),"")</f>
        <v>3.846153846153845E-2</v>
      </c>
      <c r="K147" s="102">
        <v>3395</v>
      </c>
      <c r="L147" s="35" t="str">
        <f>IFERROR(_xlfn.XLOOKUP(Table6[[#This Row],[Error Code]],'Basic Data'!$AA:$AA,'Basic Data'!$AB:$AB),"Incorrect Error Code")</f>
        <v>Pump cooling sys. overload</v>
      </c>
      <c r="M147" s="35" t="s">
        <v>291</v>
      </c>
      <c r="N147" s="475"/>
      <c r="O147" s="476">
        <v>0</v>
      </c>
      <c r="P147" s="476">
        <v>0</v>
      </c>
      <c r="Q147" s="477">
        <v>0.17986111111111111</v>
      </c>
      <c r="R147" s="472">
        <f>IF(Table6[[#This Row],[Work Start TimeStamp]]="","",(Table6[[#This Row],[Work Start TimeStamp]]-Table6[[#This Row],[Fault Start TimeStamp]])*24)</f>
        <v>0</v>
      </c>
      <c r="S147" s="472">
        <f>(Table6[[#This Row],[Fault Clearance time]]-Table6[[#This Row],[Work Start TimeStamp]])*24</f>
        <v>4.3166666666666664</v>
      </c>
      <c r="T147" s="472">
        <f>(Table6[[#This Row],[Fault Clearance time]]-Table6[[#This Row],[Fault Start TimeStamp]])*24</f>
        <v>4.3166666666666664</v>
      </c>
      <c r="U147" s="35" t="s">
        <v>384</v>
      </c>
      <c r="V147" s="102" t="s">
        <v>293</v>
      </c>
      <c r="W147" s="478">
        <f>IFERROR(Table6[[#This Row],[Breakdown Time]]*Table6[[#This Row],[Plant Equivalent Weightage]],"")</f>
        <v>0.16602564102564096</v>
      </c>
      <c r="X147" s="473" t="s">
        <v>290</v>
      </c>
      <c r="Y147" s="474" t="s">
        <v>334</v>
      </c>
      <c r="Z147" s="102">
        <v>28587</v>
      </c>
      <c r="AA147" s="468">
        <f>(Table6[[#This Row],[Paired WTG Generation for loss calculation]]/24)*Table6[[#This Row],[Breakdown Time]]</f>
        <v>5141.6895833333328</v>
      </c>
      <c r="AB147" s="102"/>
      <c r="AC147" s="35"/>
      <c r="AD147" s="35"/>
    </row>
    <row r="148" spans="1:30">
      <c r="A148" s="102">
        <f t="shared" si="3"/>
        <v>147</v>
      </c>
      <c r="B148" s="468">
        <f>YEAR(Table6[[#This Row],[Date]])+IF(MONTH(Table6[[#This Row],[Date]])&gt;=4,1,0)</f>
        <v>2026</v>
      </c>
      <c r="C148" s="102">
        <f>YEAR(Table6[[#This Row],[Date]])</f>
        <v>2025</v>
      </c>
      <c r="D148" s="102" t="s">
        <v>1992</v>
      </c>
      <c r="E148" s="469">
        <f>Table6[[#This Row],[Date]]-DAY(Table6[[#This Row],[Date]])+1</f>
        <v>45748</v>
      </c>
      <c r="F148" s="470">
        <v>45757</v>
      </c>
      <c r="G148" s="35" t="s">
        <v>99</v>
      </c>
      <c r="H148" s="35" t="str">
        <f>IFERROR(_xlfn.XLOOKUP(Table6[[#This Row],[Affected WTG]],'Basic Data'!$A:$A,'Basic Data'!$B:$B),"")</f>
        <v>TQGXIIPL</v>
      </c>
      <c r="I148" s="35" t="str">
        <f>IFERROR(_xlfn.XLOOKUP(Table6[[#This Row],[Affected WTG]],'Basic Data'!$A:$A,'Basic Data'!$C:$C),"")</f>
        <v>GEDA</v>
      </c>
      <c r="J148" s="471">
        <f>IFERROR(_xlfn.XLOOKUP(Table6[[#This Row],[Affected WTG]],'Basic Data'!$A:$A,'Basic Data'!$E:$E),"")</f>
        <v>3.846153846153845E-2</v>
      </c>
      <c r="K148" s="102">
        <v>4520</v>
      </c>
      <c r="L148" s="35" t="str">
        <f>IFERROR(_xlfn.XLOOKUP(Table6[[#This Row],[Error Code]],'Basic Data'!$AA:$AA,'Basic Data'!$AB:$AB),"Incorrect Error Code")</f>
        <v>Tower oscillation X level 1</v>
      </c>
      <c r="M148" s="35" t="s">
        <v>291</v>
      </c>
      <c r="N148" s="475"/>
      <c r="O148" s="476">
        <v>0.1673611111111111</v>
      </c>
      <c r="P148" s="476">
        <v>0.1673611111111111</v>
      </c>
      <c r="Q148" s="477">
        <v>0.17569444444444443</v>
      </c>
      <c r="R148" s="472">
        <f>IF(Table6[[#This Row],[Work Start TimeStamp]]="","",(Table6[[#This Row],[Work Start TimeStamp]]-Table6[[#This Row],[Fault Start TimeStamp]])*24)</f>
        <v>0</v>
      </c>
      <c r="S148" s="472">
        <f>(Table6[[#This Row],[Fault Clearance time]]-Table6[[#This Row],[Work Start TimeStamp]])*24</f>
        <v>0.19999999999999996</v>
      </c>
      <c r="T148" s="472">
        <f>(Table6[[#This Row],[Fault Clearance time]]-Table6[[#This Row],[Fault Start TimeStamp]])*24</f>
        <v>0.19999999999999996</v>
      </c>
      <c r="U148" s="35" t="s">
        <v>349</v>
      </c>
      <c r="V148" s="102" t="s">
        <v>293</v>
      </c>
      <c r="W148" s="478">
        <f>IFERROR(Table6[[#This Row],[Breakdown Time]]*Table6[[#This Row],[Plant Equivalent Weightage]],"")</f>
        <v>7.6923076923076884E-3</v>
      </c>
      <c r="X148" s="473" t="s">
        <v>294</v>
      </c>
      <c r="Y148" s="474" t="s">
        <v>334</v>
      </c>
      <c r="Z148" s="102">
        <v>28587</v>
      </c>
      <c r="AA148" s="468">
        <f>(Table6[[#This Row],[Paired WTG Generation for loss calculation]]/24)*Table6[[#This Row],[Breakdown Time]]</f>
        <v>238.22499999999994</v>
      </c>
      <c r="AB148" s="102"/>
      <c r="AC148" s="35"/>
      <c r="AD148" s="35"/>
    </row>
    <row r="149" spans="1:30">
      <c r="A149" s="102">
        <f t="shared" si="3"/>
        <v>148</v>
      </c>
      <c r="B149" s="468">
        <f>YEAR(Table6[[#This Row],[Date]])+IF(MONTH(Table6[[#This Row],[Date]])&gt;=4,1,0)</f>
        <v>2026</v>
      </c>
      <c r="C149" s="102">
        <f>YEAR(Table6[[#This Row],[Date]])</f>
        <v>2025</v>
      </c>
      <c r="D149" s="102" t="s">
        <v>1992</v>
      </c>
      <c r="E149" s="469">
        <f>Table6[[#This Row],[Date]]-DAY(Table6[[#This Row],[Date]])+1</f>
        <v>45748</v>
      </c>
      <c r="F149" s="470">
        <v>45758</v>
      </c>
      <c r="G149" s="35" t="s">
        <v>74</v>
      </c>
      <c r="H149" s="35" t="str">
        <f>IFERROR(_xlfn.XLOOKUP(Table6[[#This Row],[Affected WTG]],'Basic Data'!$A:$A,'Basic Data'!$B:$B),"")</f>
        <v>TQGXIIPL</v>
      </c>
      <c r="I149" s="35" t="str">
        <f>IFERROR(_xlfn.XLOOKUP(Table6[[#This Row],[Affected WTG]],'Basic Data'!$A:$A,'Basic Data'!$C:$C),"")</f>
        <v>GEDA</v>
      </c>
      <c r="J149" s="471">
        <f>IFERROR(_xlfn.XLOOKUP(Table6[[#This Row],[Affected WTG]],'Basic Data'!$A:$A,'Basic Data'!$E:$E),"")</f>
        <v>3.846153846153845E-2</v>
      </c>
      <c r="K149" s="102">
        <v>6130</v>
      </c>
      <c r="L149" s="35" t="str">
        <f>IFERROR(_xlfn.XLOOKUP(Table6[[#This Row],[Error Code]],'Basic Data'!$AA:$AA,'Basic Data'!$AB:$AB),"Incorrect Error Code")</f>
        <v>Yaw speed high</v>
      </c>
      <c r="M149" s="35" t="s">
        <v>292</v>
      </c>
      <c r="N149" s="475"/>
      <c r="O149" s="476">
        <v>0.53819444444444442</v>
      </c>
      <c r="P149" s="476">
        <v>0.53819444444444442</v>
      </c>
      <c r="Q149" s="477">
        <v>0.54236111111111107</v>
      </c>
      <c r="R149" s="472">
        <f>IF(Table6[[#This Row],[Work Start TimeStamp]]="","",(Table6[[#This Row],[Work Start TimeStamp]]-Table6[[#This Row],[Fault Start TimeStamp]])*24)</f>
        <v>0</v>
      </c>
      <c r="S149" s="472">
        <f>(Table6[[#This Row],[Fault Clearance time]]-Table6[[#This Row],[Work Start TimeStamp]])*24</f>
        <v>9.9999999999999645E-2</v>
      </c>
      <c r="T149" s="472">
        <f>(Table6[[#This Row],[Fault Clearance time]]-Table6[[#This Row],[Fault Start TimeStamp]])*24</f>
        <v>9.9999999999999645E-2</v>
      </c>
      <c r="U149" s="35" t="s">
        <v>336</v>
      </c>
      <c r="V149" s="102" t="s">
        <v>293</v>
      </c>
      <c r="W149" s="478">
        <f>IFERROR(Table6[[#This Row],[Breakdown Time]]*Table6[[#This Row],[Plant Equivalent Weightage]],"")</f>
        <v>3.8461538461538312E-3</v>
      </c>
      <c r="X149" s="473" t="s">
        <v>294</v>
      </c>
      <c r="Y149" s="474" t="s">
        <v>321</v>
      </c>
      <c r="Z149" s="102">
        <v>41874</v>
      </c>
      <c r="AA149" s="468">
        <f>(Table6[[#This Row],[Paired WTG Generation for loss calculation]]/24)*Table6[[#This Row],[Breakdown Time]]</f>
        <v>174.47499999999937</v>
      </c>
      <c r="AB149" s="102"/>
      <c r="AC149" s="35"/>
      <c r="AD149" s="35"/>
    </row>
    <row r="150" spans="1:30">
      <c r="A150" s="102">
        <f t="shared" si="3"/>
        <v>149</v>
      </c>
      <c r="B150" s="468">
        <f>YEAR(Table6[[#This Row],[Date]])+IF(MONTH(Table6[[#This Row],[Date]])&gt;=4,1,0)</f>
        <v>2026</v>
      </c>
      <c r="C150" s="102">
        <f>YEAR(Table6[[#This Row],[Date]])</f>
        <v>2025</v>
      </c>
      <c r="D150" s="102" t="s">
        <v>1992</v>
      </c>
      <c r="E150" s="469">
        <f>Table6[[#This Row],[Date]]-DAY(Table6[[#This Row],[Date]])+1</f>
        <v>45748</v>
      </c>
      <c r="F150" s="470">
        <v>45758</v>
      </c>
      <c r="G150" s="35" t="s">
        <v>74</v>
      </c>
      <c r="H150" s="35" t="str">
        <f>IFERROR(_xlfn.XLOOKUP(Table6[[#This Row],[Affected WTG]],'Basic Data'!$A:$A,'Basic Data'!$B:$B),"")</f>
        <v>TQGXIIPL</v>
      </c>
      <c r="I150" s="35" t="str">
        <f>IFERROR(_xlfn.XLOOKUP(Table6[[#This Row],[Affected WTG]],'Basic Data'!$A:$A,'Basic Data'!$C:$C),"")</f>
        <v>GEDA</v>
      </c>
      <c r="J150" s="471">
        <f>IFERROR(_xlfn.XLOOKUP(Table6[[#This Row],[Affected WTG]],'Basic Data'!$A:$A,'Basic Data'!$E:$E),"")</f>
        <v>3.846153846153845E-2</v>
      </c>
      <c r="K150" s="102">
        <v>6130</v>
      </c>
      <c r="L150" s="35" t="str">
        <f>IFERROR(_xlfn.XLOOKUP(Table6[[#This Row],[Error Code]],'Basic Data'!$AA:$AA,'Basic Data'!$AB:$AB),"Incorrect Error Code")</f>
        <v>Yaw speed high</v>
      </c>
      <c r="M150" s="35" t="s">
        <v>292</v>
      </c>
      <c r="N150" s="475"/>
      <c r="O150" s="476">
        <v>0.59444444444444444</v>
      </c>
      <c r="P150" s="476">
        <v>0.59444444444444444</v>
      </c>
      <c r="Q150" s="477">
        <v>0.60416666666666663</v>
      </c>
      <c r="R150" s="472">
        <f>IF(Table6[[#This Row],[Work Start TimeStamp]]="","",(Table6[[#This Row],[Work Start TimeStamp]]-Table6[[#This Row],[Fault Start TimeStamp]])*24)</f>
        <v>0</v>
      </c>
      <c r="S150" s="472">
        <f>(Table6[[#This Row],[Fault Clearance time]]-Table6[[#This Row],[Work Start TimeStamp]])*24</f>
        <v>0.2333333333333325</v>
      </c>
      <c r="T150" s="472">
        <f>(Table6[[#This Row],[Fault Clearance time]]-Table6[[#This Row],[Fault Start TimeStamp]])*24</f>
        <v>0.2333333333333325</v>
      </c>
      <c r="U150" s="35" t="s">
        <v>349</v>
      </c>
      <c r="V150" s="102" t="s">
        <v>293</v>
      </c>
      <c r="W150" s="478">
        <f>IFERROR(Table6[[#This Row],[Breakdown Time]]*Table6[[#This Row],[Plant Equivalent Weightage]],"")</f>
        <v>8.974358974358939E-3</v>
      </c>
      <c r="X150" s="473" t="s">
        <v>294</v>
      </c>
      <c r="Y150" s="474" t="s">
        <v>321</v>
      </c>
      <c r="Z150" s="102">
        <v>41874</v>
      </c>
      <c r="AA150" s="468">
        <f>(Table6[[#This Row],[Paired WTG Generation for loss calculation]]/24)*Table6[[#This Row],[Breakdown Time]]</f>
        <v>407.10833333333187</v>
      </c>
      <c r="AB150" s="102"/>
      <c r="AC150" s="35"/>
      <c r="AD150" s="35"/>
    </row>
    <row r="151" spans="1:30">
      <c r="A151" s="102">
        <f t="shared" si="3"/>
        <v>150</v>
      </c>
      <c r="B151" s="468">
        <f>YEAR(Table6[[#This Row],[Date]])+IF(MONTH(Table6[[#This Row],[Date]])&gt;=4,1,0)</f>
        <v>2026</v>
      </c>
      <c r="C151" s="102">
        <f>YEAR(Table6[[#This Row],[Date]])</f>
        <v>2025</v>
      </c>
      <c r="D151" s="102" t="s">
        <v>1992</v>
      </c>
      <c r="E151" s="469">
        <f>Table6[[#This Row],[Date]]-DAY(Table6[[#This Row],[Date]])+1</f>
        <v>45748</v>
      </c>
      <c r="F151" s="470">
        <v>45758</v>
      </c>
      <c r="G151" s="35" t="s">
        <v>78</v>
      </c>
      <c r="H151" s="35" t="str">
        <f>IFERROR(_xlfn.XLOOKUP(Table6[[#This Row],[Affected WTG]],'Basic Data'!$A:$A,'Basic Data'!$B:$B),"")</f>
        <v>TQGXIIPL</v>
      </c>
      <c r="I151" s="35" t="str">
        <f>IFERROR(_xlfn.XLOOKUP(Table6[[#This Row],[Affected WTG]],'Basic Data'!$A:$A,'Basic Data'!$C:$C),"")</f>
        <v>GEDA</v>
      </c>
      <c r="J151" s="471">
        <f>IFERROR(_xlfn.XLOOKUP(Table6[[#This Row],[Affected WTG]],'Basic Data'!$A:$A,'Basic Data'!$E:$E),"")</f>
        <v>3.846153846153845E-2</v>
      </c>
      <c r="K151" s="102">
        <v>6130</v>
      </c>
      <c r="L151" s="35" t="str">
        <f>IFERROR(_xlfn.XLOOKUP(Table6[[#This Row],[Error Code]],'Basic Data'!$AA:$AA,'Basic Data'!$AB:$AB),"Incorrect Error Code")</f>
        <v>Yaw speed high</v>
      </c>
      <c r="M151" s="35" t="s">
        <v>292</v>
      </c>
      <c r="N151" s="475"/>
      <c r="O151" s="476">
        <v>0.625</v>
      </c>
      <c r="P151" s="476">
        <v>0.625</v>
      </c>
      <c r="Q151" s="477">
        <v>0.62916666666666665</v>
      </c>
      <c r="R151" s="472">
        <f>IF(Table6[[#This Row],[Work Start TimeStamp]]="","",(Table6[[#This Row],[Work Start TimeStamp]]-Table6[[#This Row],[Fault Start TimeStamp]])*24)</f>
        <v>0</v>
      </c>
      <c r="S151" s="472">
        <f>(Table6[[#This Row],[Fault Clearance time]]-Table6[[#This Row],[Work Start TimeStamp]])*24</f>
        <v>9.9999999999999645E-2</v>
      </c>
      <c r="T151" s="472">
        <f>(Table6[[#This Row],[Fault Clearance time]]-Table6[[#This Row],[Fault Start TimeStamp]])*24</f>
        <v>9.9999999999999645E-2</v>
      </c>
      <c r="U151" s="35" t="s">
        <v>336</v>
      </c>
      <c r="V151" s="102" t="s">
        <v>293</v>
      </c>
      <c r="W151" s="478">
        <f>IFERROR(Table6[[#This Row],[Breakdown Time]]*Table6[[#This Row],[Plant Equivalent Weightage]],"")</f>
        <v>3.8461538461538312E-3</v>
      </c>
      <c r="X151" s="473" t="s">
        <v>294</v>
      </c>
      <c r="Y151" s="474" t="s">
        <v>333</v>
      </c>
      <c r="Z151" s="102">
        <v>49347</v>
      </c>
      <c r="AA151" s="468">
        <f>(Table6[[#This Row],[Paired WTG Generation for loss calculation]]/24)*Table6[[#This Row],[Breakdown Time]]</f>
        <v>205.61249999999927</v>
      </c>
      <c r="AB151" s="102"/>
      <c r="AC151" s="35"/>
      <c r="AD151" s="35"/>
    </row>
    <row r="152" spans="1:30">
      <c r="A152" s="102">
        <f t="shared" si="3"/>
        <v>151</v>
      </c>
      <c r="B152" s="468">
        <f>YEAR(Table6[[#This Row],[Date]])+IF(MONTH(Table6[[#This Row],[Date]])&gt;=4,1,0)</f>
        <v>2026</v>
      </c>
      <c r="C152" s="102">
        <f>YEAR(Table6[[#This Row],[Date]])</f>
        <v>2025</v>
      </c>
      <c r="D152" s="102" t="s">
        <v>1992</v>
      </c>
      <c r="E152" s="469">
        <f>Table6[[#This Row],[Date]]-DAY(Table6[[#This Row],[Date]])+1</f>
        <v>45748</v>
      </c>
      <c r="F152" s="470">
        <v>45758</v>
      </c>
      <c r="G152" s="35" t="s">
        <v>78</v>
      </c>
      <c r="H152" s="35" t="str">
        <f>IFERROR(_xlfn.XLOOKUP(Table6[[#This Row],[Affected WTG]],'Basic Data'!$A:$A,'Basic Data'!$B:$B),"")</f>
        <v>TQGXIIPL</v>
      </c>
      <c r="I152" s="35" t="str">
        <f>IFERROR(_xlfn.XLOOKUP(Table6[[#This Row],[Affected WTG]],'Basic Data'!$A:$A,'Basic Data'!$C:$C),"")</f>
        <v>GEDA</v>
      </c>
      <c r="J152" s="471">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291</v>
      </c>
      <c r="N152" s="475"/>
      <c r="O152" s="476">
        <v>0.90625</v>
      </c>
      <c r="P152" s="476">
        <v>0.90625</v>
      </c>
      <c r="Q152" s="477">
        <v>0.91180555555555554</v>
      </c>
      <c r="R152" s="472">
        <f>IF(Table6[[#This Row],[Work Start TimeStamp]]="","",(Table6[[#This Row],[Work Start TimeStamp]]-Table6[[#This Row],[Fault Start TimeStamp]])*24)</f>
        <v>0</v>
      </c>
      <c r="S152" s="472">
        <f>(Table6[[#This Row],[Fault Clearance time]]-Table6[[#This Row],[Work Start TimeStamp]])*24</f>
        <v>0.13333333333333286</v>
      </c>
      <c r="T152" s="472">
        <f>(Table6[[#This Row],[Fault Clearance time]]-Table6[[#This Row],[Fault Start TimeStamp]])*24</f>
        <v>0.13333333333333286</v>
      </c>
      <c r="U152" s="35" t="s">
        <v>374</v>
      </c>
      <c r="V152" s="102" t="s">
        <v>293</v>
      </c>
      <c r="W152" s="478">
        <f>IFERROR(Table6[[#This Row],[Breakdown Time]]*Table6[[#This Row],[Plant Equivalent Weightage]],"")</f>
        <v>5.1282051282051083E-3</v>
      </c>
      <c r="X152" s="473" t="s">
        <v>294</v>
      </c>
      <c r="Y152" s="474" t="s">
        <v>333</v>
      </c>
      <c r="Z152" s="102">
        <v>49347</v>
      </c>
      <c r="AA152" s="468">
        <f>(Table6[[#This Row],[Paired WTG Generation for loss calculation]]/24)*Table6[[#This Row],[Breakdown Time]]</f>
        <v>274.14999999999901</v>
      </c>
      <c r="AB152" s="102"/>
      <c r="AC152" s="35"/>
      <c r="AD152" s="35"/>
    </row>
    <row r="153" spans="1:30">
      <c r="A153" s="102">
        <f t="shared" si="3"/>
        <v>152</v>
      </c>
      <c r="B153" s="468">
        <f>YEAR(Table6[[#This Row],[Date]])+IF(MONTH(Table6[[#This Row],[Date]])&gt;=4,1,0)</f>
        <v>2026</v>
      </c>
      <c r="C153" s="102">
        <f>YEAR(Table6[[#This Row],[Date]])</f>
        <v>2025</v>
      </c>
      <c r="D153" s="102" t="s">
        <v>1992</v>
      </c>
      <c r="E153" s="469">
        <f>Table6[[#This Row],[Date]]-DAY(Table6[[#This Row],[Date]])+1</f>
        <v>45748</v>
      </c>
      <c r="F153" s="470">
        <v>45758</v>
      </c>
      <c r="G153" s="35" t="s">
        <v>81</v>
      </c>
      <c r="H153" s="35" t="str">
        <f>IFERROR(_xlfn.XLOOKUP(Table6[[#This Row],[Affected WTG]],'Basic Data'!$A:$A,'Basic Data'!$B:$B),"")</f>
        <v>TQGXIIPL</v>
      </c>
      <c r="I153" s="35" t="str">
        <f>IFERROR(_xlfn.XLOOKUP(Table6[[#This Row],[Affected WTG]],'Basic Data'!$A:$A,'Basic Data'!$C:$C),"")</f>
        <v>GEDA</v>
      </c>
      <c r="J153" s="471">
        <f>IFERROR(_xlfn.XLOOKUP(Table6[[#This Row],[Affected WTG]],'Basic Data'!$A:$A,'Basic Data'!$E:$E),"")</f>
        <v>3.846153846153845E-2</v>
      </c>
      <c r="K153" s="102">
        <v>6605</v>
      </c>
      <c r="L153" s="35" t="str">
        <f>IFERROR(_xlfn.XLOOKUP(Table6[[#This Row],[Error Code]],'Basic Data'!$AA:$AA,'Basic Data'!$AB:$AB),"Incorrect Error Code")</f>
        <v>Wind.dir. diff. level 2</v>
      </c>
      <c r="M153" s="35" t="s">
        <v>291</v>
      </c>
      <c r="N153" s="475"/>
      <c r="O153" s="476">
        <v>0.42499999999999999</v>
      </c>
      <c r="P153" s="476">
        <v>0.42499999999999999</v>
      </c>
      <c r="Q153" s="477">
        <v>0.44374999999999998</v>
      </c>
      <c r="R153" s="472">
        <f>IF(Table6[[#This Row],[Work Start TimeStamp]]="","",(Table6[[#This Row],[Work Start TimeStamp]]-Table6[[#This Row],[Fault Start TimeStamp]])*24)</f>
        <v>0</v>
      </c>
      <c r="S153" s="472">
        <f>(Table6[[#This Row],[Fault Clearance time]]-Table6[[#This Row],[Work Start TimeStamp]])*24</f>
        <v>0.44999999999999973</v>
      </c>
      <c r="T153" s="472">
        <f>(Table6[[#This Row],[Fault Clearance time]]-Table6[[#This Row],[Fault Start TimeStamp]])*24</f>
        <v>0.44999999999999973</v>
      </c>
      <c r="U153" s="35" t="s">
        <v>374</v>
      </c>
      <c r="V153" s="102" t="s">
        <v>293</v>
      </c>
      <c r="W153" s="478">
        <f>IFERROR(Table6[[#This Row],[Breakdown Time]]*Table6[[#This Row],[Plant Equivalent Weightage]],"")</f>
        <v>1.7307692307692291E-2</v>
      </c>
      <c r="X153" s="473" t="s">
        <v>294</v>
      </c>
      <c r="Y153" s="474" t="s">
        <v>321</v>
      </c>
      <c r="Z153" s="102">
        <v>41874</v>
      </c>
      <c r="AA153" s="468">
        <f>(Table6[[#This Row],[Paired WTG Generation for loss calculation]]/24)*Table6[[#This Row],[Breakdown Time]]</f>
        <v>785.13749999999959</v>
      </c>
      <c r="AB153" s="102"/>
      <c r="AC153" s="35"/>
      <c r="AD153" s="35"/>
    </row>
    <row r="154" spans="1:30">
      <c r="A154" s="102">
        <f t="shared" si="3"/>
        <v>153</v>
      </c>
      <c r="B154" s="468">
        <f>YEAR(Table6[[#This Row],[Date]])+IF(MONTH(Table6[[#This Row],[Date]])&gt;=4,1,0)</f>
        <v>2026</v>
      </c>
      <c r="C154" s="102">
        <f>YEAR(Table6[[#This Row],[Date]])</f>
        <v>2025</v>
      </c>
      <c r="D154" s="102" t="s">
        <v>1992</v>
      </c>
      <c r="E154" s="469">
        <f>Table6[[#This Row],[Date]]-DAY(Table6[[#This Row],[Date]])+1</f>
        <v>45748</v>
      </c>
      <c r="F154" s="470">
        <v>45758</v>
      </c>
      <c r="G154" s="35" t="s">
        <v>81</v>
      </c>
      <c r="H154" s="35" t="str">
        <f>IFERROR(_xlfn.XLOOKUP(Table6[[#This Row],[Affected WTG]],'Basic Data'!$A:$A,'Basic Data'!$B:$B),"")</f>
        <v>TQGXIIPL</v>
      </c>
      <c r="I154" s="35" t="str">
        <f>IFERROR(_xlfn.XLOOKUP(Table6[[#This Row],[Affected WTG]],'Basic Data'!$A:$A,'Basic Data'!$C:$C),"")</f>
        <v>GEDA</v>
      </c>
      <c r="J154" s="471">
        <f>IFERROR(_xlfn.XLOOKUP(Table6[[#This Row],[Affected WTG]],'Basic Data'!$A:$A,'Basic Data'!$E:$E),"")</f>
        <v>3.846153846153845E-2</v>
      </c>
      <c r="K154" s="102">
        <v>6130</v>
      </c>
      <c r="L154" s="35" t="str">
        <f>IFERROR(_xlfn.XLOOKUP(Table6[[#This Row],[Error Code]],'Basic Data'!$AA:$AA,'Basic Data'!$AB:$AB),"Incorrect Error Code")</f>
        <v>Yaw speed high</v>
      </c>
      <c r="M154" s="35" t="s">
        <v>292</v>
      </c>
      <c r="N154" s="475"/>
      <c r="O154" s="476">
        <v>0.72152777777777777</v>
      </c>
      <c r="P154" s="476">
        <v>0.72152777777777777</v>
      </c>
      <c r="Q154" s="477">
        <v>0.72569444444444442</v>
      </c>
      <c r="R154" s="472">
        <f>IF(Table6[[#This Row],[Work Start TimeStamp]]="","",(Table6[[#This Row],[Work Start TimeStamp]]-Table6[[#This Row],[Fault Start TimeStamp]])*24)</f>
        <v>0</v>
      </c>
      <c r="S154" s="472">
        <f>(Table6[[#This Row],[Fault Clearance time]]-Table6[[#This Row],[Work Start TimeStamp]])*24</f>
        <v>9.9999999999999645E-2</v>
      </c>
      <c r="T154" s="472">
        <f>(Table6[[#This Row],[Fault Clearance time]]-Table6[[#This Row],[Fault Start TimeStamp]])*24</f>
        <v>9.9999999999999645E-2</v>
      </c>
      <c r="U154" s="35" t="s">
        <v>336</v>
      </c>
      <c r="V154" s="102" t="s">
        <v>293</v>
      </c>
      <c r="W154" s="478">
        <f>IFERROR(Table6[[#This Row],[Breakdown Time]]*Table6[[#This Row],[Plant Equivalent Weightage]],"")</f>
        <v>3.8461538461538312E-3</v>
      </c>
      <c r="X154" s="473" t="s">
        <v>294</v>
      </c>
      <c r="Y154" s="474" t="s">
        <v>321</v>
      </c>
      <c r="Z154" s="102">
        <v>41874</v>
      </c>
      <c r="AA154" s="468">
        <f>(Table6[[#This Row],[Paired WTG Generation for loss calculation]]/24)*Table6[[#This Row],[Breakdown Time]]</f>
        <v>174.47499999999937</v>
      </c>
      <c r="AB154" s="102"/>
      <c r="AC154" s="35"/>
      <c r="AD154" s="35"/>
    </row>
    <row r="155" spans="1:30">
      <c r="A155" s="102">
        <f t="shared" si="3"/>
        <v>154</v>
      </c>
      <c r="B155" s="468">
        <f>YEAR(Table6[[#This Row],[Date]])+IF(MONTH(Table6[[#This Row],[Date]])&gt;=4,1,0)</f>
        <v>2026</v>
      </c>
      <c r="C155" s="102">
        <f>YEAR(Table6[[#This Row],[Date]])</f>
        <v>2025</v>
      </c>
      <c r="D155" s="102" t="s">
        <v>1992</v>
      </c>
      <c r="E155" s="469">
        <f>Table6[[#This Row],[Date]]-DAY(Table6[[#This Row],[Date]])+1</f>
        <v>45748</v>
      </c>
      <c r="F155" s="470">
        <v>45758</v>
      </c>
      <c r="G155" s="35" t="s">
        <v>83</v>
      </c>
      <c r="H155" s="35" t="str">
        <f>IFERROR(_xlfn.XLOOKUP(Table6[[#This Row],[Affected WTG]],'Basic Data'!$A:$A,'Basic Data'!$B:$B),"")</f>
        <v>TQGXIIPL</v>
      </c>
      <c r="I155" s="35" t="str">
        <f>IFERROR(_xlfn.XLOOKUP(Table6[[#This Row],[Affected WTG]],'Basic Data'!$A:$A,'Basic Data'!$C:$C),"")</f>
        <v>GEDA</v>
      </c>
      <c r="J155" s="471">
        <f>IFERROR(_xlfn.XLOOKUP(Table6[[#This Row],[Affected WTG]],'Basic Data'!$A:$A,'Basic Data'!$E:$E),"")</f>
        <v>3.846153846153845E-2</v>
      </c>
      <c r="K155" s="102">
        <v>6130</v>
      </c>
      <c r="L155" s="35" t="str">
        <f>IFERROR(_xlfn.XLOOKUP(Table6[[#This Row],[Error Code]],'Basic Data'!$AA:$AA,'Basic Data'!$AB:$AB),"Incorrect Error Code")</f>
        <v>Yaw speed high</v>
      </c>
      <c r="M155" s="35" t="s">
        <v>292</v>
      </c>
      <c r="N155" s="475"/>
      <c r="O155" s="476">
        <v>0.55972222222222223</v>
      </c>
      <c r="P155" s="476">
        <v>0.55972222222222223</v>
      </c>
      <c r="Q155" s="477">
        <v>0.56388888888888888</v>
      </c>
      <c r="R155" s="472">
        <f>IF(Table6[[#This Row],[Work Start TimeStamp]]="","",(Table6[[#This Row],[Work Start TimeStamp]]-Table6[[#This Row],[Fault Start TimeStamp]])*24)</f>
        <v>0</v>
      </c>
      <c r="S155" s="472">
        <f>(Table6[[#This Row],[Fault Clearance time]]-Table6[[#This Row],[Work Start TimeStamp]])*24</f>
        <v>9.9999999999999645E-2</v>
      </c>
      <c r="T155" s="472">
        <f>(Table6[[#This Row],[Fault Clearance time]]-Table6[[#This Row],[Fault Start TimeStamp]])*24</f>
        <v>9.9999999999999645E-2</v>
      </c>
      <c r="U155" s="35" t="s">
        <v>336</v>
      </c>
      <c r="V155" s="102" t="s">
        <v>293</v>
      </c>
      <c r="W155" s="478">
        <f>IFERROR(Table6[[#This Row],[Breakdown Time]]*Table6[[#This Row],[Plant Equivalent Weightage]],"")</f>
        <v>3.8461538461538312E-3</v>
      </c>
      <c r="X155" s="473" t="s">
        <v>294</v>
      </c>
      <c r="Y155" s="474" t="s">
        <v>312</v>
      </c>
      <c r="Z155" s="102">
        <v>40666</v>
      </c>
      <c r="AA155" s="468">
        <f>(Table6[[#This Row],[Paired WTG Generation for loss calculation]]/24)*Table6[[#This Row],[Breakdown Time]]</f>
        <v>169.44166666666607</v>
      </c>
      <c r="AB155" s="102"/>
      <c r="AC155" s="35"/>
      <c r="AD155" s="35"/>
    </row>
    <row r="156" spans="1:30">
      <c r="A156" s="102">
        <f t="shared" si="3"/>
        <v>155</v>
      </c>
      <c r="B156" s="468">
        <f>YEAR(Table6[[#This Row],[Date]])+IF(MONTH(Table6[[#This Row],[Date]])&gt;=4,1,0)</f>
        <v>2026</v>
      </c>
      <c r="C156" s="102">
        <f>YEAR(Table6[[#This Row],[Date]])</f>
        <v>2025</v>
      </c>
      <c r="D156" s="102" t="s">
        <v>1992</v>
      </c>
      <c r="E156" s="469">
        <f>Table6[[#This Row],[Date]]-DAY(Table6[[#This Row],[Date]])+1</f>
        <v>45748</v>
      </c>
      <c r="F156" s="470">
        <v>45758</v>
      </c>
      <c r="G156" s="35" t="s">
        <v>86</v>
      </c>
      <c r="H156" s="35" t="str">
        <f>IFERROR(_xlfn.XLOOKUP(Table6[[#This Row],[Affected WTG]],'Basic Data'!$A:$A,'Basic Data'!$B:$B),"")</f>
        <v>TQGXIIPL</v>
      </c>
      <c r="I156" s="35" t="str">
        <f>IFERROR(_xlfn.XLOOKUP(Table6[[#This Row],[Affected WTG]],'Basic Data'!$A:$A,'Basic Data'!$C:$C),"")</f>
        <v>GEDA</v>
      </c>
      <c r="J156" s="471">
        <f>IFERROR(_xlfn.XLOOKUP(Table6[[#This Row],[Affected WTG]],'Basic Data'!$A:$A,'Basic Data'!$E:$E),"")</f>
        <v>3.846153846153845E-2</v>
      </c>
      <c r="K156" s="102">
        <v>6056</v>
      </c>
      <c r="L156" s="35" t="str">
        <f>IFERROR(_xlfn.XLOOKUP(Table6[[#This Row],[Error Code]],'Basic Data'!$AA:$AA,'Basic Data'!$AB:$AB),"Incorrect Error Code")</f>
        <v>High yaw load</v>
      </c>
      <c r="M156" s="35" t="s">
        <v>292</v>
      </c>
      <c r="N156" s="475"/>
      <c r="O156" s="476">
        <v>0.5708333333333333</v>
      </c>
      <c r="P156" s="476">
        <v>0.5708333333333333</v>
      </c>
      <c r="Q156" s="477">
        <v>0.57291666666666663</v>
      </c>
      <c r="R156" s="472">
        <f>IF(Table6[[#This Row],[Work Start TimeStamp]]="","",(Table6[[#This Row],[Work Start TimeStamp]]-Table6[[#This Row],[Fault Start TimeStamp]])*24)</f>
        <v>0</v>
      </c>
      <c r="S156" s="472">
        <f>(Table6[[#This Row],[Fault Clearance time]]-Table6[[#This Row],[Work Start TimeStamp]])*24</f>
        <v>4.9999999999999822E-2</v>
      </c>
      <c r="T156" s="472">
        <f>(Table6[[#This Row],[Fault Clearance time]]-Table6[[#This Row],[Fault Start TimeStamp]])*24</f>
        <v>4.9999999999999822E-2</v>
      </c>
      <c r="U156" s="35" t="s">
        <v>336</v>
      </c>
      <c r="V156" s="102" t="s">
        <v>293</v>
      </c>
      <c r="W156" s="478">
        <f>IFERROR(Table6[[#This Row],[Breakdown Time]]*Table6[[#This Row],[Plant Equivalent Weightage]],"")</f>
        <v>1.9230769230769156E-3</v>
      </c>
      <c r="X156" s="473" t="s">
        <v>294</v>
      </c>
      <c r="Y156" s="474" t="s">
        <v>313</v>
      </c>
      <c r="Z156" s="102">
        <v>37304</v>
      </c>
      <c r="AA156" s="468">
        <f>(Table6[[#This Row],[Paired WTG Generation for loss calculation]]/24)*Table6[[#This Row],[Breakdown Time]]</f>
        <v>77.716666666666384</v>
      </c>
      <c r="AB156" s="102"/>
      <c r="AC156" s="35"/>
      <c r="AD156" s="35"/>
    </row>
    <row r="157" spans="1:30">
      <c r="A157" s="102">
        <f t="shared" si="3"/>
        <v>156</v>
      </c>
      <c r="B157" s="468">
        <f>YEAR(Table6[[#This Row],[Date]])+IF(MONTH(Table6[[#This Row],[Date]])&gt;=4,1,0)</f>
        <v>2026</v>
      </c>
      <c r="C157" s="102">
        <f>YEAR(Table6[[#This Row],[Date]])</f>
        <v>2025</v>
      </c>
      <c r="D157" s="102" t="s">
        <v>1992</v>
      </c>
      <c r="E157" s="469">
        <f>Table6[[#This Row],[Date]]-DAY(Table6[[#This Row],[Date]])+1</f>
        <v>45748</v>
      </c>
      <c r="F157" s="470">
        <v>45758</v>
      </c>
      <c r="G157" s="35" t="s">
        <v>86</v>
      </c>
      <c r="H157" s="35" t="str">
        <f>IFERROR(_xlfn.XLOOKUP(Table6[[#This Row],[Affected WTG]],'Basic Data'!$A:$A,'Basic Data'!$B:$B),"")</f>
        <v>TQGXIIPL</v>
      </c>
      <c r="I157" s="35" t="str">
        <f>IFERROR(_xlfn.XLOOKUP(Table6[[#This Row],[Affected WTG]],'Basic Data'!$A:$A,'Basic Data'!$C:$C),"")</f>
        <v>GEDA</v>
      </c>
      <c r="J157" s="471">
        <f>IFERROR(_xlfn.XLOOKUP(Table6[[#This Row],[Affected WTG]],'Basic Data'!$A:$A,'Basic Data'!$E:$E),"")</f>
        <v>3.846153846153845E-2</v>
      </c>
      <c r="K157" s="102">
        <v>6130</v>
      </c>
      <c r="L157" s="35" t="str">
        <f>IFERROR(_xlfn.XLOOKUP(Table6[[#This Row],[Error Code]],'Basic Data'!$AA:$AA,'Basic Data'!$AB:$AB),"Incorrect Error Code")</f>
        <v>Yaw speed high</v>
      </c>
      <c r="M157" s="35" t="s">
        <v>292</v>
      </c>
      <c r="N157" s="475"/>
      <c r="O157" s="476">
        <v>0.61111111111111116</v>
      </c>
      <c r="P157" s="476">
        <v>0.61111111111111116</v>
      </c>
      <c r="Q157" s="477">
        <v>0.61527777777777781</v>
      </c>
      <c r="R157" s="472">
        <f>IF(Table6[[#This Row],[Work Start TimeStamp]]="","",(Table6[[#This Row],[Work Start TimeStamp]]-Table6[[#This Row],[Fault Start TimeStamp]])*24)</f>
        <v>0</v>
      </c>
      <c r="S157" s="472">
        <f>(Table6[[#This Row],[Fault Clearance time]]-Table6[[#This Row],[Work Start TimeStamp]])*24</f>
        <v>9.9999999999999645E-2</v>
      </c>
      <c r="T157" s="472">
        <f>(Table6[[#This Row],[Fault Clearance time]]-Table6[[#This Row],[Fault Start TimeStamp]])*24</f>
        <v>9.9999999999999645E-2</v>
      </c>
      <c r="U157" s="35" t="s">
        <v>336</v>
      </c>
      <c r="V157" s="102" t="s">
        <v>293</v>
      </c>
      <c r="W157" s="478">
        <f>IFERROR(Table6[[#This Row],[Breakdown Time]]*Table6[[#This Row],[Plant Equivalent Weightage]],"")</f>
        <v>3.8461538461538312E-3</v>
      </c>
      <c r="X157" s="473" t="s">
        <v>294</v>
      </c>
      <c r="Y157" s="474" t="s">
        <v>313</v>
      </c>
      <c r="Z157" s="102">
        <v>37304</v>
      </c>
      <c r="AA157" s="468">
        <f>(Table6[[#This Row],[Paired WTG Generation for loss calculation]]/24)*Table6[[#This Row],[Breakdown Time]]</f>
        <v>155.43333333333277</v>
      </c>
      <c r="AB157" s="102"/>
      <c r="AC157" s="35"/>
      <c r="AD157" s="35"/>
    </row>
    <row r="158" spans="1:30">
      <c r="A158" s="102">
        <f t="shared" si="3"/>
        <v>157</v>
      </c>
      <c r="B158" s="468">
        <f>YEAR(Table6[[#This Row],[Date]])+IF(MONTH(Table6[[#This Row],[Date]])&gt;=4,1,0)</f>
        <v>2026</v>
      </c>
      <c r="C158" s="102">
        <f>YEAR(Table6[[#This Row],[Date]])</f>
        <v>2025</v>
      </c>
      <c r="D158" s="102" t="s">
        <v>1992</v>
      </c>
      <c r="E158" s="469">
        <f>Table6[[#This Row],[Date]]-DAY(Table6[[#This Row],[Date]])+1</f>
        <v>45748</v>
      </c>
      <c r="F158" s="470">
        <v>45758</v>
      </c>
      <c r="G158" s="35" t="s">
        <v>87</v>
      </c>
      <c r="H158" s="35" t="str">
        <f>IFERROR(_xlfn.XLOOKUP(Table6[[#This Row],[Affected WTG]],'Basic Data'!$A:$A,'Basic Data'!$B:$B),"")</f>
        <v>TQGXIIPL</v>
      </c>
      <c r="I158" s="35" t="str">
        <f>IFERROR(_xlfn.XLOOKUP(Table6[[#This Row],[Affected WTG]],'Basic Data'!$A:$A,'Basic Data'!$C:$C),"")</f>
        <v>GEDA</v>
      </c>
      <c r="J158" s="471">
        <f>IFERROR(_xlfn.XLOOKUP(Table6[[#This Row],[Affected WTG]],'Basic Data'!$A:$A,'Basic Data'!$E:$E),"")</f>
        <v>3.846153846153845E-2</v>
      </c>
      <c r="K158" s="102">
        <v>3110</v>
      </c>
      <c r="L158" s="35" t="str">
        <f>IFERROR(_xlfn.XLOOKUP(Table6[[#This Row],[Error Code]],'Basic Data'!$AA:$AA,'Basic Data'!$AB:$AB),"Incorrect Error Code")</f>
        <v>Frequency converter error</v>
      </c>
      <c r="M158" s="35" t="s">
        <v>295</v>
      </c>
      <c r="N158" s="475"/>
      <c r="O158" s="476">
        <v>4.5138888888888888E-2</v>
      </c>
      <c r="P158" s="476">
        <v>0.10416666666666667</v>
      </c>
      <c r="Q158" s="477">
        <v>0.32430555555555557</v>
      </c>
      <c r="R158" s="472">
        <f>IF(Table6[[#This Row],[Work Start TimeStamp]]="","",(Table6[[#This Row],[Work Start TimeStamp]]-Table6[[#This Row],[Fault Start TimeStamp]])*24)</f>
        <v>1.4166666666666667</v>
      </c>
      <c r="S158" s="472">
        <f>(Table6[[#This Row],[Fault Clearance time]]-Table6[[#This Row],[Work Start TimeStamp]])*24</f>
        <v>5.2833333333333332</v>
      </c>
      <c r="T158" s="472">
        <f>(Table6[[#This Row],[Fault Clearance time]]-Table6[[#This Row],[Fault Start TimeStamp]])*24</f>
        <v>6.7</v>
      </c>
      <c r="U158" s="35" t="s">
        <v>385</v>
      </c>
      <c r="V158" s="102" t="s">
        <v>293</v>
      </c>
      <c r="W158" s="478">
        <f>IFERROR(Table6[[#This Row],[Breakdown Time]]*Table6[[#This Row],[Plant Equivalent Weightage]],"")</f>
        <v>0.25769230769230761</v>
      </c>
      <c r="X158" s="473" t="s">
        <v>294</v>
      </c>
      <c r="Y158" s="474" t="s">
        <v>327</v>
      </c>
      <c r="Z158" s="102">
        <v>42973</v>
      </c>
      <c r="AA158" s="468">
        <f>(Table6[[#This Row],[Paired WTG Generation for loss calculation]]/24)*Table6[[#This Row],[Breakdown Time]]</f>
        <v>11996.629166666668</v>
      </c>
      <c r="AB158" s="102"/>
      <c r="AC158" s="35"/>
      <c r="AD158" s="35"/>
    </row>
    <row r="159" spans="1:30">
      <c r="A159" s="102">
        <f t="shared" si="3"/>
        <v>158</v>
      </c>
      <c r="B159" s="468">
        <f>YEAR(Table6[[#This Row],[Date]])+IF(MONTH(Table6[[#This Row],[Date]])&gt;=4,1,0)</f>
        <v>2026</v>
      </c>
      <c r="C159" s="102">
        <f>YEAR(Table6[[#This Row],[Date]])</f>
        <v>2025</v>
      </c>
      <c r="D159" s="102" t="s">
        <v>1992</v>
      </c>
      <c r="E159" s="469">
        <f>Table6[[#This Row],[Date]]-DAY(Table6[[#This Row],[Date]])+1</f>
        <v>45748</v>
      </c>
      <c r="F159" s="470">
        <v>45758</v>
      </c>
      <c r="G159" s="35" t="s">
        <v>87</v>
      </c>
      <c r="H159" s="35" t="str">
        <f>IFERROR(_xlfn.XLOOKUP(Table6[[#This Row],[Affected WTG]],'Basic Data'!$A:$A,'Basic Data'!$B:$B),"")</f>
        <v>TQGXIIPL</v>
      </c>
      <c r="I159" s="35" t="str">
        <f>IFERROR(_xlfn.XLOOKUP(Table6[[#This Row],[Affected WTG]],'Basic Data'!$A:$A,'Basic Data'!$C:$C),"")</f>
        <v>GEDA</v>
      </c>
      <c r="J159" s="471">
        <f>IFERROR(_xlfn.XLOOKUP(Table6[[#This Row],[Affected WTG]],'Basic Data'!$A:$A,'Basic Data'!$E:$E),"")</f>
        <v>3.846153846153845E-2</v>
      </c>
      <c r="K159" s="102">
        <v>55</v>
      </c>
      <c r="L159" s="35" t="str">
        <f>IFERROR(_xlfn.XLOOKUP(Table6[[#This Row],[Error Code]],'Basic Data'!$AA:$AA,'Basic Data'!$AB:$AB),"Incorrect Error Code")</f>
        <v>WTG shut down</v>
      </c>
      <c r="M159" s="35" t="s">
        <v>328</v>
      </c>
      <c r="N159" s="475"/>
      <c r="O159" s="476">
        <v>0.44583333333333336</v>
      </c>
      <c r="P159" s="476">
        <v>0.44583333333333336</v>
      </c>
      <c r="Q159" s="477">
        <v>1</v>
      </c>
      <c r="R159" s="472">
        <f>IF(Table6[[#This Row],[Work Start TimeStamp]]="","",(Table6[[#This Row],[Work Start TimeStamp]]-Table6[[#This Row],[Fault Start TimeStamp]])*24)</f>
        <v>0</v>
      </c>
      <c r="S159" s="472">
        <f>(Table6[[#This Row],[Fault Clearance time]]-Table6[[#This Row],[Work Start TimeStamp]])*24</f>
        <v>13.3</v>
      </c>
      <c r="T159" s="472">
        <f>(Table6[[#This Row],[Fault Clearance time]]-Table6[[#This Row],[Fault Start TimeStamp]])*24</f>
        <v>13.3</v>
      </c>
      <c r="U159" s="35" t="s">
        <v>386</v>
      </c>
      <c r="V159" s="102" t="s">
        <v>293</v>
      </c>
      <c r="W159" s="478">
        <f>IFERROR(Table6[[#This Row],[Breakdown Time]]*Table6[[#This Row],[Plant Equivalent Weightage]],"")</f>
        <v>0.51153846153846139</v>
      </c>
      <c r="X159" s="473" t="s">
        <v>305</v>
      </c>
      <c r="Y159" s="474" t="s">
        <v>327</v>
      </c>
      <c r="Z159" s="102">
        <v>42973</v>
      </c>
      <c r="AA159" s="468">
        <f>(Table6[[#This Row],[Paired WTG Generation for loss calculation]]/24)*Table6[[#This Row],[Breakdown Time]]</f>
        <v>23814.20416666667</v>
      </c>
      <c r="AB159" s="102"/>
      <c r="AC159" s="35"/>
      <c r="AD159" s="35"/>
    </row>
    <row r="160" spans="1:30">
      <c r="A160" s="102">
        <f t="shared" si="3"/>
        <v>159</v>
      </c>
      <c r="B160" s="468">
        <f>YEAR(Table6[[#This Row],[Date]])+IF(MONTH(Table6[[#This Row],[Date]])&gt;=4,1,0)</f>
        <v>2026</v>
      </c>
      <c r="C160" s="102">
        <f>YEAR(Table6[[#This Row],[Date]])</f>
        <v>2025</v>
      </c>
      <c r="D160" s="102" t="s">
        <v>1992</v>
      </c>
      <c r="E160" s="469">
        <f>Table6[[#This Row],[Date]]-DAY(Table6[[#This Row],[Date]])+1</f>
        <v>45748</v>
      </c>
      <c r="F160" s="470">
        <v>45758</v>
      </c>
      <c r="G160" s="35" t="s">
        <v>89</v>
      </c>
      <c r="H160" s="35" t="str">
        <f>IFERROR(_xlfn.XLOOKUP(Table6[[#This Row],[Affected WTG]],'Basic Data'!$A:$A,'Basic Data'!$B:$B),"")</f>
        <v>TQGXIIPL</v>
      </c>
      <c r="I160" s="35" t="str">
        <f>IFERROR(_xlfn.XLOOKUP(Table6[[#This Row],[Affected WTG]],'Basic Data'!$A:$A,'Basic Data'!$C:$C),"")</f>
        <v>GEDA</v>
      </c>
      <c r="J160" s="471">
        <f>IFERROR(_xlfn.XLOOKUP(Table6[[#This Row],[Affected WTG]],'Basic Data'!$A:$A,'Basic Data'!$E:$E),"")</f>
        <v>3.846153846153845E-2</v>
      </c>
      <c r="K160" s="102">
        <v>6130</v>
      </c>
      <c r="L160" s="35" t="str">
        <f>IFERROR(_xlfn.XLOOKUP(Table6[[#This Row],[Error Code]],'Basic Data'!$AA:$AA,'Basic Data'!$AB:$AB),"Incorrect Error Code")</f>
        <v>Yaw speed high</v>
      </c>
      <c r="M160" s="35" t="s">
        <v>291</v>
      </c>
      <c r="N160" s="475"/>
      <c r="O160" s="476">
        <v>0.69722222222222219</v>
      </c>
      <c r="P160" s="476">
        <v>0.69722222222222219</v>
      </c>
      <c r="Q160" s="477">
        <v>0.70138888888888884</v>
      </c>
      <c r="R160" s="472">
        <f>IF(Table6[[#This Row],[Work Start TimeStamp]]="","",(Table6[[#This Row],[Work Start TimeStamp]]-Table6[[#This Row],[Fault Start TimeStamp]])*24)</f>
        <v>0</v>
      </c>
      <c r="S160" s="472">
        <f>(Table6[[#This Row],[Fault Clearance time]]-Table6[[#This Row],[Work Start TimeStamp]])*24</f>
        <v>9.9999999999999645E-2</v>
      </c>
      <c r="T160" s="472">
        <f>(Table6[[#This Row],[Fault Clearance time]]-Table6[[#This Row],[Fault Start TimeStamp]])*24</f>
        <v>9.9999999999999645E-2</v>
      </c>
      <c r="U160" s="35" t="s">
        <v>336</v>
      </c>
      <c r="V160" s="102" t="s">
        <v>293</v>
      </c>
      <c r="W160" s="478">
        <f>IFERROR(Table6[[#This Row],[Breakdown Time]]*Table6[[#This Row],[Plant Equivalent Weightage]],"")</f>
        <v>3.8461538461538312E-3</v>
      </c>
      <c r="X160" s="473" t="s">
        <v>294</v>
      </c>
      <c r="Y160" s="474" t="s">
        <v>325</v>
      </c>
      <c r="Z160" s="102">
        <v>40132</v>
      </c>
      <c r="AA160" s="468">
        <f>(Table6[[#This Row],[Paired WTG Generation for loss calculation]]/24)*Table6[[#This Row],[Breakdown Time]]</f>
        <v>167.21666666666607</v>
      </c>
      <c r="AB160" s="102"/>
      <c r="AC160" s="35"/>
      <c r="AD160" s="35"/>
    </row>
    <row r="161" spans="1:30">
      <c r="A161" s="102">
        <f t="shared" si="3"/>
        <v>160</v>
      </c>
      <c r="B161" s="468">
        <f>YEAR(Table6[[#This Row],[Date]])+IF(MONTH(Table6[[#This Row],[Date]])&gt;=4,1,0)</f>
        <v>2026</v>
      </c>
      <c r="C161" s="102">
        <f>YEAR(Table6[[#This Row],[Date]])</f>
        <v>2025</v>
      </c>
      <c r="D161" s="102" t="s">
        <v>1992</v>
      </c>
      <c r="E161" s="469">
        <f>Table6[[#This Row],[Date]]-DAY(Table6[[#This Row],[Date]])+1</f>
        <v>45748</v>
      </c>
      <c r="F161" s="470">
        <v>45758</v>
      </c>
      <c r="G161" s="35" t="s">
        <v>89</v>
      </c>
      <c r="H161" s="35" t="str">
        <f>IFERROR(_xlfn.XLOOKUP(Table6[[#This Row],[Affected WTG]],'Basic Data'!$A:$A,'Basic Data'!$B:$B),"")</f>
        <v>TQGXIIPL</v>
      </c>
      <c r="I161" s="35" t="str">
        <f>IFERROR(_xlfn.XLOOKUP(Table6[[#This Row],[Affected WTG]],'Basic Data'!$A:$A,'Basic Data'!$C:$C),"")</f>
        <v>GEDA</v>
      </c>
      <c r="J161" s="471">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291</v>
      </c>
      <c r="N161" s="475"/>
      <c r="O161" s="476">
        <v>0.78333333333333333</v>
      </c>
      <c r="P161" s="476">
        <v>0.78333333333333333</v>
      </c>
      <c r="Q161" s="477">
        <v>0.79583333333333328</v>
      </c>
      <c r="R161" s="472">
        <f>IF(Table6[[#This Row],[Work Start TimeStamp]]="","",(Table6[[#This Row],[Work Start TimeStamp]]-Table6[[#This Row],[Fault Start TimeStamp]])*24)</f>
        <v>0</v>
      </c>
      <c r="S161" s="472">
        <f>(Table6[[#This Row],[Fault Clearance time]]-Table6[[#This Row],[Work Start TimeStamp]])*24</f>
        <v>0.29999999999999893</v>
      </c>
      <c r="T161" s="472">
        <f>(Table6[[#This Row],[Fault Clearance time]]-Table6[[#This Row],[Fault Start TimeStamp]])*24</f>
        <v>0.29999999999999893</v>
      </c>
      <c r="U161" s="35" t="s">
        <v>374</v>
      </c>
      <c r="V161" s="102" t="s">
        <v>293</v>
      </c>
      <c r="W161" s="478">
        <f>IFERROR(Table6[[#This Row],[Breakdown Time]]*Table6[[#This Row],[Plant Equivalent Weightage]],"")</f>
        <v>1.1538461538461494E-2</v>
      </c>
      <c r="X161" s="473" t="s">
        <v>294</v>
      </c>
      <c r="Y161" s="474" t="s">
        <v>325</v>
      </c>
      <c r="Z161" s="102">
        <v>40132</v>
      </c>
      <c r="AA161" s="468">
        <f>(Table6[[#This Row],[Paired WTG Generation for loss calculation]]/24)*Table6[[#This Row],[Breakdown Time]]</f>
        <v>501.64999999999822</v>
      </c>
      <c r="AB161" s="102"/>
      <c r="AC161" s="35"/>
      <c r="AD161" s="35"/>
    </row>
    <row r="162" spans="1:30">
      <c r="A162" s="102">
        <f t="shared" si="3"/>
        <v>161</v>
      </c>
      <c r="B162" s="468">
        <f>YEAR(Table6[[#This Row],[Date]])+IF(MONTH(Table6[[#This Row],[Date]])&gt;=4,1,0)</f>
        <v>2026</v>
      </c>
      <c r="C162" s="102">
        <f>YEAR(Table6[[#This Row],[Date]])</f>
        <v>2025</v>
      </c>
      <c r="D162" s="102" t="s">
        <v>1992</v>
      </c>
      <c r="E162" s="469">
        <f>Table6[[#This Row],[Date]]-DAY(Table6[[#This Row],[Date]])+1</f>
        <v>45748</v>
      </c>
      <c r="F162" s="470">
        <v>45758</v>
      </c>
      <c r="G162" s="35" t="s">
        <v>90</v>
      </c>
      <c r="H162" s="35" t="str">
        <f>IFERROR(_xlfn.XLOOKUP(Table6[[#This Row],[Affected WTG]],'Basic Data'!$A:$A,'Basic Data'!$B:$B),"")</f>
        <v>TQGXIIPL</v>
      </c>
      <c r="I162" s="35" t="str">
        <f>IFERROR(_xlfn.XLOOKUP(Table6[[#This Row],[Affected WTG]],'Basic Data'!$A:$A,'Basic Data'!$C:$C),"")</f>
        <v>GEDA</v>
      </c>
      <c r="J162" s="471">
        <f>IFERROR(_xlfn.XLOOKUP(Table6[[#This Row],[Affected WTG]],'Basic Data'!$A:$A,'Basic Data'!$E:$E),"")</f>
        <v>3.846153846153845E-2</v>
      </c>
      <c r="K162" s="102">
        <v>6605</v>
      </c>
      <c r="L162" s="35" t="str">
        <f>IFERROR(_xlfn.XLOOKUP(Table6[[#This Row],[Error Code]],'Basic Data'!$AA:$AA,'Basic Data'!$AB:$AB),"Incorrect Error Code")</f>
        <v>Wind.dir. diff. level 2</v>
      </c>
      <c r="M162" s="35" t="s">
        <v>291</v>
      </c>
      <c r="N162" s="475"/>
      <c r="O162" s="476">
        <v>0.55347222222222225</v>
      </c>
      <c r="P162" s="476">
        <v>0.55347222222222225</v>
      </c>
      <c r="Q162" s="477">
        <v>0.55555555555555558</v>
      </c>
      <c r="R162" s="472">
        <f>IF(Table6[[#This Row],[Work Start TimeStamp]]="","",(Table6[[#This Row],[Work Start TimeStamp]]-Table6[[#This Row],[Fault Start TimeStamp]])*24)</f>
        <v>0</v>
      </c>
      <c r="S162" s="472">
        <f>(Table6[[#This Row],[Fault Clearance time]]-Table6[[#This Row],[Work Start TimeStamp]])*24</f>
        <v>4.9999999999999822E-2</v>
      </c>
      <c r="T162" s="472">
        <f>(Table6[[#This Row],[Fault Clearance time]]-Table6[[#This Row],[Fault Start TimeStamp]])*24</f>
        <v>4.9999999999999822E-2</v>
      </c>
      <c r="U162" s="35" t="s">
        <v>349</v>
      </c>
      <c r="V162" s="102" t="s">
        <v>293</v>
      </c>
      <c r="W162" s="478">
        <f>IFERROR(Table6[[#This Row],[Breakdown Time]]*Table6[[#This Row],[Plant Equivalent Weightage]],"")</f>
        <v>1.9230769230769156E-3</v>
      </c>
      <c r="X162" s="473" t="s">
        <v>294</v>
      </c>
      <c r="Y162" s="474" t="s">
        <v>339</v>
      </c>
      <c r="Z162" s="102">
        <v>39622</v>
      </c>
      <c r="AA162" s="468">
        <f>(Table6[[#This Row],[Paired WTG Generation for loss calculation]]/24)*Table6[[#This Row],[Breakdown Time]]</f>
        <v>82.54583333333305</v>
      </c>
      <c r="AB162" s="102"/>
      <c r="AC162" s="35"/>
      <c r="AD162" s="35"/>
    </row>
    <row r="163" spans="1:30">
      <c r="A163" s="102">
        <f t="shared" si="3"/>
        <v>162</v>
      </c>
      <c r="B163" s="468">
        <f>YEAR(Table6[[#This Row],[Date]])+IF(MONTH(Table6[[#This Row],[Date]])&gt;=4,1,0)</f>
        <v>2026</v>
      </c>
      <c r="C163" s="102">
        <f>YEAR(Table6[[#This Row],[Date]])</f>
        <v>2025</v>
      </c>
      <c r="D163" s="102" t="s">
        <v>1992</v>
      </c>
      <c r="E163" s="469">
        <f>Table6[[#This Row],[Date]]-DAY(Table6[[#This Row],[Date]])+1</f>
        <v>45748</v>
      </c>
      <c r="F163" s="470">
        <v>45758</v>
      </c>
      <c r="G163" s="35" t="s">
        <v>91</v>
      </c>
      <c r="H163" s="35" t="str">
        <f>IFERROR(_xlfn.XLOOKUP(Table6[[#This Row],[Affected WTG]],'Basic Data'!$A:$A,'Basic Data'!$B:$B),"")</f>
        <v>TQGXIIPL</v>
      </c>
      <c r="I163" s="35" t="str">
        <f>IFERROR(_xlfn.XLOOKUP(Table6[[#This Row],[Affected WTG]],'Basic Data'!$A:$A,'Basic Data'!$C:$C),"")</f>
        <v>GEDA</v>
      </c>
      <c r="J163" s="471">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291</v>
      </c>
      <c r="N163" s="475"/>
      <c r="O163" s="476">
        <v>5.9027777777777776E-2</v>
      </c>
      <c r="P163" s="476">
        <v>5.9027777777777776E-2</v>
      </c>
      <c r="Q163" s="477">
        <v>6.7361111111111108E-2</v>
      </c>
      <c r="R163" s="472">
        <f>IF(Table6[[#This Row],[Work Start TimeStamp]]="","",(Table6[[#This Row],[Work Start TimeStamp]]-Table6[[#This Row],[Fault Start TimeStamp]])*24)</f>
        <v>0</v>
      </c>
      <c r="S163" s="472">
        <f>(Table6[[#This Row],[Fault Clearance time]]-Table6[[#This Row],[Work Start TimeStamp]])*24</f>
        <v>0.19999999999999996</v>
      </c>
      <c r="T163" s="472">
        <f>(Table6[[#This Row],[Fault Clearance time]]-Table6[[#This Row],[Fault Start TimeStamp]])*24</f>
        <v>0.19999999999999996</v>
      </c>
      <c r="U163" s="35" t="s">
        <v>374</v>
      </c>
      <c r="V163" s="102" t="s">
        <v>293</v>
      </c>
      <c r="W163" s="478">
        <f>IFERROR(Table6[[#This Row],[Breakdown Time]]*Table6[[#This Row],[Plant Equivalent Weightage]],"")</f>
        <v>7.6923076923076884E-3</v>
      </c>
      <c r="X163" s="473" t="s">
        <v>294</v>
      </c>
      <c r="Y163" s="474" t="s">
        <v>319</v>
      </c>
      <c r="Z163" s="102">
        <v>39764</v>
      </c>
      <c r="AA163" s="468">
        <f>(Table6[[#This Row],[Paired WTG Generation for loss calculation]]/24)*Table6[[#This Row],[Breakdown Time]]</f>
        <v>331.36666666666656</v>
      </c>
      <c r="AB163" s="102"/>
      <c r="AC163" s="35"/>
      <c r="AD163" s="35"/>
    </row>
    <row r="164" spans="1:30">
      <c r="A164" s="102">
        <f t="shared" si="3"/>
        <v>163</v>
      </c>
      <c r="B164" s="468">
        <f>YEAR(Table6[[#This Row],[Date]])+IF(MONTH(Table6[[#This Row],[Date]])&gt;=4,1,0)</f>
        <v>2026</v>
      </c>
      <c r="C164" s="102">
        <f>YEAR(Table6[[#This Row],[Date]])</f>
        <v>2025</v>
      </c>
      <c r="D164" s="102" t="s">
        <v>1992</v>
      </c>
      <c r="E164" s="469">
        <f>Table6[[#This Row],[Date]]-DAY(Table6[[#This Row],[Date]])+1</f>
        <v>45748</v>
      </c>
      <c r="F164" s="470">
        <v>45758</v>
      </c>
      <c r="G164" s="35" t="s">
        <v>91</v>
      </c>
      <c r="H164" s="35" t="str">
        <f>IFERROR(_xlfn.XLOOKUP(Table6[[#This Row],[Affected WTG]],'Basic Data'!$A:$A,'Basic Data'!$B:$B),"")</f>
        <v>TQGXIIPL</v>
      </c>
      <c r="I164" s="35" t="str">
        <f>IFERROR(_xlfn.XLOOKUP(Table6[[#This Row],[Affected WTG]],'Basic Data'!$A:$A,'Basic Data'!$C:$C),"")</f>
        <v>GEDA</v>
      </c>
      <c r="J164" s="471">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291</v>
      </c>
      <c r="N164" s="475"/>
      <c r="O164" s="476">
        <v>0.62986111111111109</v>
      </c>
      <c r="P164" s="476">
        <v>0.62986111111111109</v>
      </c>
      <c r="Q164" s="477">
        <v>0.63194444444444442</v>
      </c>
      <c r="R164" s="472">
        <f>IF(Table6[[#This Row],[Work Start TimeStamp]]="","",(Table6[[#This Row],[Work Start TimeStamp]]-Table6[[#This Row],[Fault Start TimeStamp]])*24)</f>
        <v>0</v>
      </c>
      <c r="S164" s="472">
        <f>(Table6[[#This Row],[Fault Clearance time]]-Table6[[#This Row],[Work Start TimeStamp]])*24</f>
        <v>4.9999999999999822E-2</v>
      </c>
      <c r="T164" s="472">
        <f>(Table6[[#This Row],[Fault Clearance time]]-Table6[[#This Row],[Fault Start TimeStamp]])*24</f>
        <v>4.9999999999999822E-2</v>
      </c>
      <c r="U164" s="35" t="s">
        <v>349</v>
      </c>
      <c r="V164" s="102" t="s">
        <v>293</v>
      </c>
      <c r="W164" s="478">
        <f>IFERROR(Table6[[#This Row],[Breakdown Time]]*Table6[[#This Row],[Plant Equivalent Weightage]],"")</f>
        <v>1.9230769230769156E-3</v>
      </c>
      <c r="X164" s="473" t="s">
        <v>294</v>
      </c>
      <c r="Y164" s="474" t="s">
        <v>319</v>
      </c>
      <c r="Z164" s="102">
        <v>39764</v>
      </c>
      <c r="AA164" s="468">
        <f>(Table6[[#This Row],[Paired WTG Generation for loss calculation]]/24)*Table6[[#This Row],[Breakdown Time]]</f>
        <v>82.84166666666637</v>
      </c>
      <c r="AB164" s="102"/>
      <c r="AC164" s="35"/>
      <c r="AD164" s="35"/>
    </row>
    <row r="165" spans="1:30">
      <c r="A165" s="102">
        <f t="shared" si="3"/>
        <v>164</v>
      </c>
      <c r="B165" s="468">
        <f>YEAR(Table6[[#This Row],[Date]])+IF(MONTH(Table6[[#This Row],[Date]])&gt;=4,1,0)</f>
        <v>2026</v>
      </c>
      <c r="C165" s="102">
        <f>YEAR(Table6[[#This Row],[Date]])</f>
        <v>2025</v>
      </c>
      <c r="D165" s="102" t="s">
        <v>1992</v>
      </c>
      <c r="E165" s="469">
        <f>Table6[[#This Row],[Date]]-DAY(Table6[[#This Row],[Date]])+1</f>
        <v>45748</v>
      </c>
      <c r="F165" s="470">
        <v>45758</v>
      </c>
      <c r="G165" s="35" t="s">
        <v>91</v>
      </c>
      <c r="H165" s="35" t="str">
        <f>IFERROR(_xlfn.XLOOKUP(Table6[[#This Row],[Affected WTG]],'Basic Data'!$A:$A,'Basic Data'!$B:$B),"")</f>
        <v>TQGXIIPL</v>
      </c>
      <c r="I165" s="35" t="str">
        <f>IFERROR(_xlfn.XLOOKUP(Table6[[#This Row],[Affected WTG]],'Basic Data'!$A:$A,'Basic Data'!$C:$C),"")</f>
        <v>GEDA</v>
      </c>
      <c r="J165" s="471">
        <f>IFERROR(_xlfn.XLOOKUP(Table6[[#This Row],[Affected WTG]],'Basic Data'!$A:$A,'Basic Data'!$E:$E),"")</f>
        <v>3.846153846153845E-2</v>
      </c>
      <c r="K165" s="102">
        <v>6130</v>
      </c>
      <c r="L165" s="35" t="str">
        <f>IFERROR(_xlfn.XLOOKUP(Table6[[#This Row],[Error Code]],'Basic Data'!$AA:$AA,'Basic Data'!$AB:$AB),"Incorrect Error Code")</f>
        <v>Yaw speed high</v>
      </c>
      <c r="M165" s="35" t="s">
        <v>292</v>
      </c>
      <c r="N165" s="475"/>
      <c r="O165" s="476">
        <v>0.6479166666666667</v>
      </c>
      <c r="P165" s="476">
        <v>0.6479166666666667</v>
      </c>
      <c r="Q165" s="477">
        <v>0.65208333333333335</v>
      </c>
      <c r="R165" s="472">
        <f>IF(Table6[[#This Row],[Work Start TimeStamp]]="","",(Table6[[#This Row],[Work Start TimeStamp]]-Table6[[#This Row],[Fault Start TimeStamp]])*24)</f>
        <v>0</v>
      </c>
      <c r="S165" s="472">
        <f>(Table6[[#This Row],[Fault Clearance time]]-Table6[[#This Row],[Work Start TimeStamp]])*24</f>
        <v>9.9999999999999645E-2</v>
      </c>
      <c r="T165" s="472">
        <f>(Table6[[#This Row],[Fault Clearance time]]-Table6[[#This Row],[Fault Start TimeStamp]])*24</f>
        <v>9.9999999999999645E-2</v>
      </c>
      <c r="U165" s="35" t="s">
        <v>336</v>
      </c>
      <c r="V165" s="102" t="s">
        <v>293</v>
      </c>
      <c r="W165" s="478">
        <f>IFERROR(Table6[[#This Row],[Breakdown Time]]*Table6[[#This Row],[Plant Equivalent Weightage]],"")</f>
        <v>3.8461538461538312E-3</v>
      </c>
      <c r="X165" s="473" t="s">
        <v>294</v>
      </c>
      <c r="Y165" s="474" t="s">
        <v>319</v>
      </c>
      <c r="Z165" s="102">
        <v>39764</v>
      </c>
      <c r="AA165" s="468">
        <f>(Table6[[#This Row],[Paired WTG Generation for loss calculation]]/24)*Table6[[#This Row],[Breakdown Time]]</f>
        <v>165.68333333333274</v>
      </c>
      <c r="AB165" s="102"/>
      <c r="AC165" s="35"/>
      <c r="AD165" s="35"/>
    </row>
    <row r="166" spans="1:30">
      <c r="A166" s="102">
        <f t="shared" si="3"/>
        <v>165</v>
      </c>
      <c r="B166" s="468">
        <f>YEAR(Table6[[#This Row],[Date]])+IF(MONTH(Table6[[#This Row],[Date]])&gt;=4,1,0)</f>
        <v>2026</v>
      </c>
      <c r="C166" s="102">
        <f>YEAR(Table6[[#This Row],[Date]])</f>
        <v>2025</v>
      </c>
      <c r="D166" s="102" t="s">
        <v>1992</v>
      </c>
      <c r="E166" s="469">
        <f>Table6[[#This Row],[Date]]-DAY(Table6[[#This Row],[Date]])+1</f>
        <v>45748</v>
      </c>
      <c r="F166" s="470">
        <v>45758</v>
      </c>
      <c r="G166" s="35" t="s">
        <v>96</v>
      </c>
      <c r="H166" s="35" t="str">
        <f>IFERROR(_xlfn.XLOOKUP(Table6[[#This Row],[Affected WTG]],'Basic Data'!$A:$A,'Basic Data'!$B:$B),"")</f>
        <v>TQGXIIPL</v>
      </c>
      <c r="I166" s="35" t="str">
        <f>IFERROR(_xlfn.XLOOKUP(Table6[[#This Row],[Affected WTG]],'Basic Data'!$A:$A,'Basic Data'!$C:$C),"")</f>
        <v>GEDA</v>
      </c>
      <c r="J166" s="471">
        <f>IFERROR(_xlfn.XLOOKUP(Table6[[#This Row],[Affected WTG]],'Basic Data'!$A:$A,'Basic Data'!$E:$E),"")</f>
        <v>3.846153846153845E-2</v>
      </c>
      <c r="K166" s="102">
        <v>6130</v>
      </c>
      <c r="L166" s="35" t="str">
        <f>IFERROR(_xlfn.XLOOKUP(Table6[[#This Row],[Error Code]],'Basic Data'!$AA:$AA,'Basic Data'!$AB:$AB),"Incorrect Error Code")</f>
        <v>Yaw speed high</v>
      </c>
      <c r="M166" s="35" t="s">
        <v>292</v>
      </c>
      <c r="N166" s="475"/>
      <c r="O166" s="476">
        <v>0.56805555555555554</v>
      </c>
      <c r="P166" s="476">
        <v>0.56805555555555554</v>
      </c>
      <c r="Q166" s="477">
        <v>0.57222222222222219</v>
      </c>
      <c r="R166" s="472">
        <f>IF(Table6[[#This Row],[Work Start TimeStamp]]="","",(Table6[[#This Row],[Work Start TimeStamp]]-Table6[[#This Row],[Fault Start TimeStamp]])*24)</f>
        <v>0</v>
      </c>
      <c r="S166" s="472">
        <f>(Table6[[#This Row],[Fault Clearance time]]-Table6[[#This Row],[Work Start TimeStamp]])*24</f>
        <v>9.9999999999999645E-2</v>
      </c>
      <c r="T166" s="472">
        <f>(Table6[[#This Row],[Fault Clearance time]]-Table6[[#This Row],[Fault Start TimeStamp]])*24</f>
        <v>9.9999999999999645E-2</v>
      </c>
      <c r="U166" s="35" t="s">
        <v>336</v>
      </c>
      <c r="V166" s="102" t="s">
        <v>293</v>
      </c>
      <c r="W166" s="478">
        <f>IFERROR(Table6[[#This Row],[Breakdown Time]]*Table6[[#This Row],[Plant Equivalent Weightage]],"")</f>
        <v>3.8461538461538312E-3</v>
      </c>
      <c r="X166" s="473" t="s">
        <v>294</v>
      </c>
      <c r="Y166" s="474" t="s">
        <v>313</v>
      </c>
      <c r="Z166" s="102">
        <v>37304</v>
      </c>
      <c r="AA166" s="468">
        <f>(Table6[[#This Row],[Paired WTG Generation for loss calculation]]/24)*Table6[[#This Row],[Breakdown Time]]</f>
        <v>155.43333333333277</v>
      </c>
      <c r="AB166" s="102"/>
      <c r="AC166" s="35"/>
      <c r="AD166" s="35"/>
    </row>
    <row r="167" spans="1:30">
      <c r="A167" s="102">
        <f t="shared" si="3"/>
        <v>166</v>
      </c>
      <c r="B167" s="468">
        <f>YEAR(Table6[[#This Row],[Date]])+IF(MONTH(Table6[[#This Row],[Date]])&gt;=4,1,0)</f>
        <v>2026</v>
      </c>
      <c r="C167" s="102">
        <f>YEAR(Table6[[#This Row],[Date]])</f>
        <v>2025</v>
      </c>
      <c r="D167" s="102" t="s">
        <v>1992</v>
      </c>
      <c r="E167" s="469">
        <f>Table6[[#This Row],[Date]]-DAY(Table6[[#This Row],[Date]])+1</f>
        <v>45748</v>
      </c>
      <c r="F167" s="470">
        <v>45758</v>
      </c>
      <c r="G167" s="35" t="s">
        <v>96</v>
      </c>
      <c r="H167" s="35" t="str">
        <f>IFERROR(_xlfn.XLOOKUP(Table6[[#This Row],[Affected WTG]],'Basic Data'!$A:$A,'Basic Data'!$B:$B),"")</f>
        <v>TQGXIIPL</v>
      </c>
      <c r="I167" s="35" t="str">
        <f>IFERROR(_xlfn.XLOOKUP(Table6[[#This Row],[Affected WTG]],'Basic Data'!$A:$A,'Basic Data'!$C:$C),"")</f>
        <v>GEDA</v>
      </c>
      <c r="J167" s="471">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291</v>
      </c>
      <c r="N167" s="475"/>
      <c r="O167" s="476">
        <v>0.63958333333333328</v>
      </c>
      <c r="P167" s="476">
        <v>0.63958333333333328</v>
      </c>
      <c r="Q167" s="477">
        <v>0.64444444444444449</v>
      </c>
      <c r="R167" s="472">
        <f>IF(Table6[[#This Row],[Work Start TimeStamp]]="","",(Table6[[#This Row],[Work Start TimeStamp]]-Table6[[#This Row],[Fault Start TimeStamp]])*24)</f>
        <v>0</v>
      </c>
      <c r="S167" s="472">
        <f>(Table6[[#This Row],[Fault Clearance time]]-Table6[[#This Row],[Work Start TimeStamp]])*24</f>
        <v>0.11666666666666892</v>
      </c>
      <c r="T167" s="472">
        <f>(Table6[[#This Row],[Fault Clearance time]]-Table6[[#This Row],[Fault Start TimeStamp]])*24</f>
        <v>0.11666666666666892</v>
      </c>
      <c r="U167" s="35" t="s">
        <v>349</v>
      </c>
      <c r="V167" s="102" t="s">
        <v>293</v>
      </c>
      <c r="W167" s="478">
        <f>IFERROR(Table6[[#This Row],[Breakdown Time]]*Table6[[#This Row],[Plant Equivalent Weightage]],"")</f>
        <v>4.4871794871795727E-3</v>
      </c>
      <c r="X167" s="473" t="s">
        <v>294</v>
      </c>
      <c r="Y167" s="474" t="s">
        <v>313</v>
      </c>
      <c r="Z167" s="102">
        <v>37304</v>
      </c>
      <c r="AA167" s="468">
        <f>(Table6[[#This Row],[Paired WTG Generation for loss calculation]]/24)*Table6[[#This Row],[Breakdown Time]]</f>
        <v>181.33888888889237</v>
      </c>
      <c r="AB167" s="102"/>
      <c r="AC167" s="35"/>
      <c r="AD167" s="35"/>
    </row>
    <row r="168" spans="1:30">
      <c r="A168" s="102">
        <f t="shared" si="3"/>
        <v>167</v>
      </c>
      <c r="B168" s="468">
        <f>YEAR(Table6[[#This Row],[Date]])+IF(MONTH(Table6[[#This Row],[Date]])&gt;=4,1,0)</f>
        <v>2026</v>
      </c>
      <c r="C168" s="102">
        <f>YEAR(Table6[[#This Row],[Date]])</f>
        <v>2025</v>
      </c>
      <c r="D168" s="102" t="s">
        <v>1992</v>
      </c>
      <c r="E168" s="469">
        <f>Table6[[#This Row],[Date]]-DAY(Table6[[#This Row],[Date]])+1</f>
        <v>45748</v>
      </c>
      <c r="F168" s="470">
        <v>45758</v>
      </c>
      <c r="G168" s="35" t="s">
        <v>97</v>
      </c>
      <c r="H168" s="35" t="str">
        <f>IFERROR(_xlfn.XLOOKUP(Table6[[#This Row],[Affected WTG]],'Basic Data'!$A:$A,'Basic Data'!$B:$B),"")</f>
        <v>TQGXIIPL</v>
      </c>
      <c r="I168" s="35" t="str">
        <f>IFERROR(_xlfn.XLOOKUP(Table6[[#This Row],[Affected WTG]],'Basic Data'!$A:$A,'Basic Data'!$C:$C),"")</f>
        <v>GEDA</v>
      </c>
      <c r="J168" s="471">
        <f>IFERROR(_xlfn.XLOOKUP(Table6[[#This Row],[Affected WTG]],'Basic Data'!$A:$A,'Basic Data'!$E:$E),"")</f>
        <v>3.846153846153845E-2</v>
      </c>
      <c r="K168" s="102">
        <v>6130</v>
      </c>
      <c r="L168" s="35" t="str">
        <f>IFERROR(_xlfn.XLOOKUP(Table6[[#This Row],[Error Code]],'Basic Data'!$AA:$AA,'Basic Data'!$AB:$AB),"Incorrect Error Code")</f>
        <v>Yaw speed high</v>
      </c>
      <c r="M168" s="35" t="s">
        <v>292</v>
      </c>
      <c r="N168" s="475"/>
      <c r="O168" s="476">
        <v>0.57638888888888884</v>
      </c>
      <c r="P168" s="476">
        <v>0.57638888888888884</v>
      </c>
      <c r="Q168" s="477">
        <v>0.5805555555555556</v>
      </c>
      <c r="R168" s="472">
        <f>IF(Table6[[#This Row],[Work Start TimeStamp]]="","",(Table6[[#This Row],[Work Start TimeStamp]]-Table6[[#This Row],[Fault Start TimeStamp]])*24)</f>
        <v>0</v>
      </c>
      <c r="S168" s="472">
        <f>(Table6[[#This Row],[Fault Clearance time]]-Table6[[#This Row],[Work Start TimeStamp]])*24</f>
        <v>0.10000000000000231</v>
      </c>
      <c r="T168" s="472">
        <f>(Table6[[#This Row],[Fault Clearance time]]-Table6[[#This Row],[Fault Start TimeStamp]])*24</f>
        <v>0.10000000000000231</v>
      </c>
      <c r="U168" s="35" t="s">
        <v>336</v>
      </c>
      <c r="V168" s="102" t="s">
        <v>293</v>
      </c>
      <c r="W168" s="478">
        <f>IFERROR(Table6[[#This Row],[Breakdown Time]]*Table6[[#This Row],[Plant Equivalent Weightage]],"")</f>
        <v>3.846153846153934E-3</v>
      </c>
      <c r="X168" s="473" t="s">
        <v>294</v>
      </c>
      <c r="Y168" s="474" t="s">
        <v>320</v>
      </c>
      <c r="Z168" s="102">
        <v>40190</v>
      </c>
      <c r="AA168" s="468">
        <f>(Table6[[#This Row],[Paired WTG Generation for loss calculation]]/24)*Table6[[#This Row],[Breakdown Time]]</f>
        <v>167.45833333333718</v>
      </c>
      <c r="AB168" s="102"/>
      <c r="AC168" s="35"/>
      <c r="AD168" s="35"/>
    </row>
    <row r="169" spans="1:30">
      <c r="A169" s="102">
        <f t="shared" si="3"/>
        <v>168</v>
      </c>
      <c r="B169" s="468">
        <f>YEAR(Table6[[#This Row],[Date]])+IF(MONTH(Table6[[#This Row],[Date]])&gt;=4,1,0)</f>
        <v>2026</v>
      </c>
      <c r="C169" s="102">
        <f>YEAR(Table6[[#This Row],[Date]])</f>
        <v>2025</v>
      </c>
      <c r="D169" s="102" t="s">
        <v>1992</v>
      </c>
      <c r="E169" s="469">
        <f>Table6[[#This Row],[Date]]-DAY(Table6[[#This Row],[Date]])+1</f>
        <v>45748</v>
      </c>
      <c r="F169" s="470">
        <v>45758</v>
      </c>
      <c r="G169" s="35" t="s">
        <v>98</v>
      </c>
      <c r="H169" s="35" t="str">
        <f>IFERROR(_xlfn.XLOOKUP(Table6[[#This Row],[Affected WTG]],'Basic Data'!$A:$A,'Basic Data'!$B:$B),"")</f>
        <v>TQGXIIPL</v>
      </c>
      <c r="I169" s="35" t="str">
        <f>IFERROR(_xlfn.XLOOKUP(Table6[[#This Row],[Affected WTG]],'Basic Data'!$A:$A,'Basic Data'!$C:$C),"")</f>
        <v>GEDA</v>
      </c>
      <c r="J169" s="471">
        <f>IFERROR(_xlfn.XLOOKUP(Table6[[#This Row],[Affected WTG]],'Basic Data'!$A:$A,'Basic Data'!$E:$E),"")</f>
        <v>3.846153846153845E-2</v>
      </c>
      <c r="K169" s="102">
        <v>6130</v>
      </c>
      <c r="L169" s="35" t="str">
        <f>IFERROR(_xlfn.XLOOKUP(Table6[[#This Row],[Error Code]],'Basic Data'!$AA:$AA,'Basic Data'!$AB:$AB),"Incorrect Error Code")</f>
        <v>Yaw speed high</v>
      </c>
      <c r="M169" s="35" t="s">
        <v>292</v>
      </c>
      <c r="N169" s="475"/>
      <c r="O169" s="476">
        <v>0.4826388888888889</v>
      </c>
      <c r="P169" s="476">
        <v>0.4826388888888889</v>
      </c>
      <c r="Q169" s="477">
        <v>0.48680555555555555</v>
      </c>
      <c r="R169" s="472">
        <f>IF(Table6[[#This Row],[Work Start TimeStamp]]="","",(Table6[[#This Row],[Work Start TimeStamp]]-Table6[[#This Row],[Fault Start TimeStamp]])*24)</f>
        <v>0</v>
      </c>
      <c r="S169" s="472">
        <f>(Table6[[#This Row],[Fault Clearance time]]-Table6[[#This Row],[Work Start TimeStamp]])*24</f>
        <v>9.9999999999999645E-2</v>
      </c>
      <c r="T169" s="472">
        <f>(Table6[[#This Row],[Fault Clearance time]]-Table6[[#This Row],[Fault Start TimeStamp]])*24</f>
        <v>9.9999999999999645E-2</v>
      </c>
      <c r="U169" s="35" t="s">
        <v>336</v>
      </c>
      <c r="V169" s="102" t="s">
        <v>293</v>
      </c>
      <c r="W169" s="478">
        <f>IFERROR(Table6[[#This Row],[Breakdown Time]]*Table6[[#This Row],[Plant Equivalent Weightage]],"")</f>
        <v>3.8461538461538312E-3</v>
      </c>
      <c r="X169" s="473" t="s">
        <v>294</v>
      </c>
      <c r="Y169" s="474" t="s">
        <v>315</v>
      </c>
      <c r="Z169" s="102">
        <v>41447</v>
      </c>
      <c r="AA169" s="468">
        <f>(Table6[[#This Row],[Paired WTG Generation for loss calculation]]/24)*Table6[[#This Row],[Breakdown Time]]</f>
        <v>172.6958333333327</v>
      </c>
      <c r="AB169" s="102"/>
      <c r="AC169" s="35"/>
      <c r="AD169" s="35"/>
    </row>
    <row r="170" spans="1:30">
      <c r="A170" s="102">
        <f t="shared" si="3"/>
        <v>169</v>
      </c>
      <c r="B170" s="468">
        <f>YEAR(Table6[[#This Row],[Date]])+IF(MONTH(Table6[[#This Row],[Date]])&gt;=4,1,0)</f>
        <v>2026</v>
      </c>
      <c r="C170" s="102">
        <f>YEAR(Table6[[#This Row],[Date]])</f>
        <v>2025</v>
      </c>
      <c r="D170" s="102" t="s">
        <v>1992</v>
      </c>
      <c r="E170" s="469">
        <f>Table6[[#This Row],[Date]]-DAY(Table6[[#This Row],[Date]])+1</f>
        <v>45748</v>
      </c>
      <c r="F170" s="470">
        <v>45759</v>
      </c>
      <c r="G170" s="35" t="s">
        <v>74</v>
      </c>
      <c r="H170" s="35" t="str">
        <f>IFERROR(_xlfn.XLOOKUP(Table6[[#This Row],[Affected WTG]],'Basic Data'!$A:$A,'Basic Data'!$B:$B),"")</f>
        <v>TQGXIIPL</v>
      </c>
      <c r="I170" s="35" t="str">
        <f>IFERROR(_xlfn.XLOOKUP(Table6[[#This Row],[Affected WTG]],'Basic Data'!$A:$A,'Basic Data'!$C:$C),"")</f>
        <v>GEDA</v>
      </c>
      <c r="J170" s="471">
        <f>IFERROR(_xlfn.XLOOKUP(Table6[[#This Row],[Affected WTG]],'Basic Data'!$A:$A,'Basic Data'!$E:$E),"")</f>
        <v>3.846153846153845E-2</v>
      </c>
      <c r="K170" s="102">
        <v>55</v>
      </c>
      <c r="L170" s="35" t="str">
        <f>IFERROR(_xlfn.XLOOKUP(Table6[[#This Row],[Error Code]],'Basic Data'!$AA:$AA,'Basic Data'!$AB:$AB),"Incorrect Error Code")</f>
        <v>WTG shut down</v>
      </c>
      <c r="M170" s="35" t="s">
        <v>291</v>
      </c>
      <c r="N170" s="475"/>
      <c r="O170" s="476">
        <v>0.44305555555555554</v>
      </c>
      <c r="P170" s="476">
        <v>0.44305555555555554</v>
      </c>
      <c r="Q170" s="477">
        <v>0.47916666666666669</v>
      </c>
      <c r="R170" s="472">
        <f>IF(Table6[[#This Row],[Work Start TimeStamp]]="","",(Table6[[#This Row],[Work Start TimeStamp]]-Table6[[#This Row],[Fault Start TimeStamp]])*24)</f>
        <v>0</v>
      </c>
      <c r="S170" s="472">
        <f>(Table6[[#This Row],[Fault Clearance time]]-Table6[[#This Row],[Work Start TimeStamp]])*24</f>
        <v>0.86666666666666758</v>
      </c>
      <c r="T170" s="472">
        <f>(Table6[[#This Row],[Fault Clearance time]]-Table6[[#This Row],[Fault Start TimeStamp]])*24</f>
        <v>0.86666666666666758</v>
      </c>
      <c r="U170" s="35" t="s">
        <v>387</v>
      </c>
      <c r="V170" s="102" t="s">
        <v>293</v>
      </c>
      <c r="W170" s="478">
        <f>IFERROR(Table6[[#This Row],[Breakdown Time]]*Table6[[#This Row],[Plant Equivalent Weightage]],"")</f>
        <v>3.3333333333333361E-2</v>
      </c>
      <c r="X170" s="473" t="s">
        <v>294</v>
      </c>
      <c r="Y170" s="474" t="s">
        <v>334</v>
      </c>
      <c r="Z170" s="102">
        <v>7028</v>
      </c>
      <c r="AA170" s="468">
        <f>(Table6[[#This Row],[Paired WTG Generation for loss calculation]]/24)*Table6[[#This Row],[Breakdown Time]]</f>
        <v>253.78888888888915</v>
      </c>
      <c r="AB170" s="102"/>
      <c r="AC170" s="35"/>
      <c r="AD170" s="35"/>
    </row>
    <row r="171" spans="1:30">
      <c r="A171" s="102">
        <f t="shared" si="3"/>
        <v>170</v>
      </c>
      <c r="B171" s="468">
        <f>YEAR(Table6[[#This Row],[Date]])+IF(MONTH(Table6[[#This Row],[Date]])&gt;=4,1,0)</f>
        <v>2026</v>
      </c>
      <c r="C171" s="102">
        <f>YEAR(Table6[[#This Row],[Date]])</f>
        <v>2025</v>
      </c>
      <c r="D171" s="102" t="s">
        <v>1992</v>
      </c>
      <c r="E171" s="469">
        <f>Table6[[#This Row],[Date]]-DAY(Table6[[#This Row],[Date]])+1</f>
        <v>45748</v>
      </c>
      <c r="F171" s="470">
        <v>45759</v>
      </c>
      <c r="G171" s="35" t="s">
        <v>76</v>
      </c>
      <c r="H171" s="35" t="str">
        <f>IFERROR(_xlfn.XLOOKUP(Table6[[#This Row],[Affected WTG]],'Basic Data'!$A:$A,'Basic Data'!$B:$B),"")</f>
        <v>TQGXIIPL</v>
      </c>
      <c r="I171" s="35" t="str">
        <f>IFERROR(_xlfn.XLOOKUP(Table6[[#This Row],[Affected WTG]],'Basic Data'!$A:$A,'Basic Data'!$C:$C),"")</f>
        <v>GEDA</v>
      </c>
      <c r="J171" s="471">
        <f>IFERROR(_xlfn.XLOOKUP(Table6[[#This Row],[Affected WTG]],'Basic Data'!$A:$A,'Basic Data'!$E:$E),"")</f>
        <v>3.846153846153845E-2</v>
      </c>
      <c r="K171" s="102">
        <v>741</v>
      </c>
      <c r="L171" s="35" t="str">
        <f>IFERROR(_xlfn.XLOOKUP(Table6[[#This Row],[Error Code]],'Basic Data'!$AA:$AA,'Basic Data'!$AB:$AB),"Incorrect Error Code")</f>
        <v>Battery drive trigger by HC</v>
      </c>
      <c r="M171" s="35" t="s">
        <v>291</v>
      </c>
      <c r="N171" s="475"/>
      <c r="O171" s="476">
        <v>0.31388888888888888</v>
      </c>
      <c r="P171" s="476">
        <v>0.31388888888888888</v>
      </c>
      <c r="Q171" s="477">
        <v>0.35</v>
      </c>
      <c r="R171" s="472">
        <f>IF(Table6[[#This Row],[Work Start TimeStamp]]="","",(Table6[[#This Row],[Work Start TimeStamp]]-Table6[[#This Row],[Fault Start TimeStamp]])*24)</f>
        <v>0</v>
      </c>
      <c r="S171" s="472">
        <f>(Table6[[#This Row],[Fault Clearance time]]-Table6[[#This Row],[Work Start TimeStamp]])*24</f>
        <v>0.86666666666666625</v>
      </c>
      <c r="T171" s="472">
        <f>(Table6[[#This Row],[Fault Clearance time]]-Table6[[#This Row],[Fault Start TimeStamp]])*24</f>
        <v>0.86666666666666625</v>
      </c>
      <c r="U171" s="35" t="s">
        <v>374</v>
      </c>
      <c r="V171" s="102" t="s">
        <v>293</v>
      </c>
      <c r="W171" s="478">
        <f>IFERROR(Table6[[#This Row],[Breakdown Time]]*Table6[[#This Row],[Plant Equivalent Weightage]],"")</f>
        <v>3.3333333333333305E-2</v>
      </c>
      <c r="X171" s="473" t="s">
        <v>294</v>
      </c>
      <c r="Y171" s="474" t="s">
        <v>309</v>
      </c>
      <c r="Z171" s="102">
        <v>7345</v>
      </c>
      <c r="AA171" s="468">
        <f>(Table6[[#This Row],[Paired WTG Generation for loss calculation]]/24)*Table6[[#This Row],[Breakdown Time]]</f>
        <v>265.23611111111103</v>
      </c>
      <c r="AB171" s="102"/>
      <c r="AC171" s="35"/>
      <c r="AD171" s="35"/>
    </row>
    <row r="172" spans="1:30">
      <c r="A172" s="102">
        <f t="shared" si="3"/>
        <v>171</v>
      </c>
      <c r="B172" s="468">
        <f>YEAR(Table6[[#This Row],[Date]])+IF(MONTH(Table6[[#This Row],[Date]])&gt;=4,1,0)</f>
        <v>2026</v>
      </c>
      <c r="C172" s="102">
        <f>YEAR(Table6[[#This Row],[Date]])</f>
        <v>2025</v>
      </c>
      <c r="D172" s="102" t="s">
        <v>1992</v>
      </c>
      <c r="E172" s="469">
        <f>Table6[[#This Row],[Date]]-DAY(Table6[[#This Row],[Date]])+1</f>
        <v>45748</v>
      </c>
      <c r="F172" s="470">
        <v>45759</v>
      </c>
      <c r="G172" s="35" t="s">
        <v>78</v>
      </c>
      <c r="H172" s="35" t="str">
        <f>IFERROR(_xlfn.XLOOKUP(Table6[[#This Row],[Affected WTG]],'Basic Data'!$A:$A,'Basic Data'!$B:$B),"")</f>
        <v>TQGXIIPL</v>
      </c>
      <c r="I172" s="35" t="str">
        <f>IFERROR(_xlfn.XLOOKUP(Table6[[#This Row],[Affected WTG]],'Basic Data'!$A:$A,'Basic Data'!$C:$C),"")</f>
        <v>GEDA</v>
      </c>
      <c r="J172" s="471">
        <f>IFERROR(_xlfn.XLOOKUP(Table6[[#This Row],[Affected WTG]],'Basic Data'!$A:$A,'Basic Data'!$E:$E),"")</f>
        <v>3.846153846153845E-2</v>
      </c>
      <c r="K172" s="102">
        <v>55</v>
      </c>
      <c r="L172" s="35" t="str">
        <f>IFERROR(_xlfn.XLOOKUP(Table6[[#This Row],[Error Code]],'Basic Data'!$AA:$AA,'Basic Data'!$AB:$AB),"Incorrect Error Code")</f>
        <v>WTG shut down</v>
      </c>
      <c r="M172" s="35" t="s">
        <v>291</v>
      </c>
      <c r="N172" s="475"/>
      <c r="O172" s="476">
        <v>0.4826388888888889</v>
      </c>
      <c r="P172" s="476">
        <v>0.4826388888888889</v>
      </c>
      <c r="Q172" s="477">
        <v>0.4909722222222222</v>
      </c>
      <c r="R172" s="472">
        <f>IF(Table6[[#This Row],[Work Start TimeStamp]]="","",(Table6[[#This Row],[Work Start TimeStamp]]-Table6[[#This Row],[Fault Start TimeStamp]])*24)</f>
        <v>0</v>
      </c>
      <c r="S172" s="472">
        <f>(Table6[[#This Row],[Fault Clearance time]]-Table6[[#This Row],[Work Start TimeStamp]])*24</f>
        <v>0.19999999999999929</v>
      </c>
      <c r="T172" s="472">
        <f>(Table6[[#This Row],[Fault Clearance time]]-Table6[[#This Row],[Fault Start TimeStamp]])*24</f>
        <v>0.19999999999999929</v>
      </c>
      <c r="U172" s="35" t="s">
        <v>387</v>
      </c>
      <c r="V172" s="102" t="s">
        <v>293</v>
      </c>
      <c r="W172" s="478">
        <f>IFERROR(Table6[[#This Row],[Breakdown Time]]*Table6[[#This Row],[Plant Equivalent Weightage]],"")</f>
        <v>7.6923076923076624E-3</v>
      </c>
      <c r="X172" s="473" t="s">
        <v>294</v>
      </c>
      <c r="Y172" s="474" t="s">
        <v>333</v>
      </c>
      <c r="Z172" s="102">
        <v>8948</v>
      </c>
      <c r="AA172" s="468">
        <f>(Table6[[#This Row],[Paired WTG Generation for loss calculation]]/24)*Table6[[#This Row],[Breakdown Time]]</f>
        <v>74.566666666666393</v>
      </c>
      <c r="AB172" s="102"/>
      <c r="AC172" s="35"/>
      <c r="AD172" s="35"/>
    </row>
    <row r="173" spans="1:30">
      <c r="A173" s="102">
        <f t="shared" si="3"/>
        <v>172</v>
      </c>
      <c r="B173" s="468">
        <f>YEAR(Table6[[#This Row],[Date]])+IF(MONTH(Table6[[#This Row],[Date]])&gt;=4,1,0)</f>
        <v>2026</v>
      </c>
      <c r="C173" s="102">
        <f>YEAR(Table6[[#This Row],[Date]])</f>
        <v>2025</v>
      </c>
      <c r="D173" s="102" t="s">
        <v>1992</v>
      </c>
      <c r="E173" s="469">
        <f>Table6[[#This Row],[Date]]-DAY(Table6[[#This Row],[Date]])+1</f>
        <v>45748</v>
      </c>
      <c r="F173" s="470">
        <v>45759</v>
      </c>
      <c r="G173" s="35" t="s">
        <v>87</v>
      </c>
      <c r="H173" s="35" t="str">
        <f>IFERROR(_xlfn.XLOOKUP(Table6[[#This Row],[Affected WTG]],'Basic Data'!$A:$A,'Basic Data'!$B:$B),"")</f>
        <v>TQGXIIPL</v>
      </c>
      <c r="I173" s="35" t="str">
        <f>IFERROR(_xlfn.XLOOKUP(Table6[[#This Row],[Affected WTG]],'Basic Data'!$A:$A,'Basic Data'!$C:$C),"")</f>
        <v>GEDA</v>
      </c>
      <c r="J173" s="471">
        <f>IFERROR(_xlfn.XLOOKUP(Table6[[#This Row],[Affected WTG]],'Basic Data'!$A:$A,'Basic Data'!$E:$E),"")</f>
        <v>3.846153846153845E-2</v>
      </c>
      <c r="K173" s="102">
        <v>55</v>
      </c>
      <c r="L173" s="35" t="str">
        <f>IFERROR(_xlfn.XLOOKUP(Table6[[#This Row],[Error Code]],'Basic Data'!$AA:$AA,'Basic Data'!$AB:$AB),"Incorrect Error Code")</f>
        <v>WTG shut down</v>
      </c>
      <c r="M173" s="35" t="s">
        <v>328</v>
      </c>
      <c r="N173" s="475"/>
      <c r="O173" s="476">
        <v>0</v>
      </c>
      <c r="P173" s="476">
        <v>0</v>
      </c>
      <c r="Q173" s="477">
        <v>0.2013888888888889</v>
      </c>
      <c r="R173" s="472">
        <f>IF(Table6[[#This Row],[Work Start TimeStamp]]="","",(Table6[[#This Row],[Work Start TimeStamp]]-Table6[[#This Row],[Fault Start TimeStamp]])*24)</f>
        <v>0</v>
      </c>
      <c r="S173" s="472">
        <f>(Table6[[#This Row],[Fault Clearance time]]-Table6[[#This Row],[Work Start TimeStamp]])*24</f>
        <v>4.8333333333333339</v>
      </c>
      <c r="T173" s="472">
        <f>(Table6[[#This Row],[Fault Clearance time]]-Table6[[#This Row],[Fault Start TimeStamp]])*24</f>
        <v>4.8333333333333339</v>
      </c>
      <c r="U173" s="35" t="s">
        <v>388</v>
      </c>
      <c r="V173" s="102" t="s">
        <v>293</v>
      </c>
      <c r="W173" s="478">
        <f>IFERROR(Table6[[#This Row],[Breakdown Time]]*Table6[[#This Row],[Plant Equivalent Weightage]],"")</f>
        <v>0.18589743589743588</v>
      </c>
      <c r="X173" s="473" t="s">
        <v>305</v>
      </c>
      <c r="Y173" s="474" t="s">
        <v>327</v>
      </c>
      <c r="Z173" s="102">
        <v>7785</v>
      </c>
      <c r="AA173" s="468">
        <f>(Table6[[#This Row],[Paired WTG Generation for loss calculation]]/24)*Table6[[#This Row],[Breakdown Time]]</f>
        <v>1567.8125000000002</v>
      </c>
      <c r="AB173" s="102"/>
      <c r="AC173" s="35"/>
      <c r="AD173" s="35"/>
    </row>
    <row r="174" spans="1:30">
      <c r="A174" s="102">
        <f t="shared" si="3"/>
        <v>173</v>
      </c>
      <c r="B174" s="468">
        <f>YEAR(Table6[[#This Row],[Date]])+IF(MONTH(Table6[[#This Row],[Date]])&gt;=4,1,0)</f>
        <v>2026</v>
      </c>
      <c r="C174" s="102">
        <f>YEAR(Table6[[#This Row],[Date]])</f>
        <v>2025</v>
      </c>
      <c r="D174" s="102" t="s">
        <v>1992</v>
      </c>
      <c r="E174" s="469">
        <f>Table6[[#This Row],[Date]]-DAY(Table6[[#This Row],[Date]])+1</f>
        <v>45748</v>
      </c>
      <c r="F174" s="470">
        <v>45760</v>
      </c>
      <c r="G174" s="35" t="s">
        <v>78</v>
      </c>
      <c r="H174" s="35" t="str">
        <f>IFERROR(_xlfn.XLOOKUP(Table6[[#This Row],[Affected WTG]],'Basic Data'!$A:$A,'Basic Data'!$B:$B),"")</f>
        <v>TQGXIIPL</v>
      </c>
      <c r="I174" s="35" t="str">
        <f>IFERROR(_xlfn.XLOOKUP(Table6[[#This Row],[Affected WTG]],'Basic Data'!$A:$A,'Basic Data'!$C:$C),"")</f>
        <v>GEDA</v>
      </c>
      <c r="J174" s="471">
        <f>IFERROR(_xlfn.XLOOKUP(Table6[[#This Row],[Affected WTG]],'Basic Data'!$A:$A,'Basic Data'!$E:$E),"")</f>
        <v>3.846153846153845E-2</v>
      </c>
      <c r="K174" s="102">
        <v>3110</v>
      </c>
      <c r="L174" s="35" t="str">
        <f>IFERROR(_xlfn.XLOOKUP(Table6[[#This Row],[Error Code]],'Basic Data'!$AA:$AA,'Basic Data'!$AB:$AB),"Incorrect Error Code")</f>
        <v>Frequency converter error</v>
      </c>
      <c r="M174" s="35" t="s">
        <v>291</v>
      </c>
      <c r="N174" s="475"/>
      <c r="O174" s="476">
        <v>0.91041666666666665</v>
      </c>
      <c r="P174" s="476">
        <v>0.91041666666666665</v>
      </c>
      <c r="Q174" s="477">
        <v>0.91666666666666663</v>
      </c>
      <c r="R174" s="472">
        <f>IF(Table6[[#This Row],[Work Start TimeStamp]]="","",(Table6[[#This Row],[Work Start TimeStamp]]-Table6[[#This Row],[Fault Start TimeStamp]])*24)</f>
        <v>0</v>
      </c>
      <c r="S174" s="472">
        <f>(Table6[[#This Row],[Fault Clearance time]]-Table6[[#This Row],[Work Start TimeStamp]])*24</f>
        <v>0.14999999999999947</v>
      </c>
      <c r="T174" s="472">
        <f>(Table6[[#This Row],[Fault Clearance time]]-Table6[[#This Row],[Fault Start TimeStamp]])*24</f>
        <v>0.14999999999999947</v>
      </c>
      <c r="U174" s="35" t="s">
        <v>349</v>
      </c>
      <c r="V174" s="102" t="s">
        <v>293</v>
      </c>
      <c r="W174" s="478">
        <f>IFERROR(Table6[[#This Row],[Breakdown Time]]*Table6[[#This Row],[Plant Equivalent Weightage]],"")</f>
        <v>5.769230769230747E-3</v>
      </c>
      <c r="X174" s="473" t="s">
        <v>294</v>
      </c>
      <c r="Y174" s="474" t="s">
        <v>333</v>
      </c>
      <c r="Z174" s="102">
        <v>28616</v>
      </c>
      <c r="AA174" s="468">
        <f>(Table6[[#This Row],[Paired WTG Generation for loss calculation]]/24)*Table6[[#This Row],[Breakdown Time]]</f>
        <v>178.84999999999934</v>
      </c>
      <c r="AB174" s="102"/>
      <c r="AC174" s="35"/>
      <c r="AD174" s="35"/>
    </row>
    <row r="175" spans="1:30">
      <c r="A175" s="102">
        <f t="shared" si="3"/>
        <v>174</v>
      </c>
      <c r="B175" s="468">
        <f>YEAR(Table6[[#This Row],[Date]])+IF(MONTH(Table6[[#This Row],[Date]])&gt;=4,1,0)</f>
        <v>2026</v>
      </c>
      <c r="C175" s="102">
        <f>YEAR(Table6[[#This Row],[Date]])</f>
        <v>2025</v>
      </c>
      <c r="D175" s="102" t="s">
        <v>1992</v>
      </c>
      <c r="E175" s="469">
        <f>Table6[[#This Row],[Date]]-DAY(Table6[[#This Row],[Date]])+1</f>
        <v>45748</v>
      </c>
      <c r="F175" s="470">
        <v>45760</v>
      </c>
      <c r="G175" s="35" t="s">
        <v>78</v>
      </c>
      <c r="H175" s="35" t="str">
        <f>IFERROR(_xlfn.XLOOKUP(Table6[[#This Row],[Affected WTG]],'Basic Data'!$A:$A,'Basic Data'!$B:$B),"")</f>
        <v>TQGXIIPL</v>
      </c>
      <c r="I175" s="35" t="str">
        <f>IFERROR(_xlfn.XLOOKUP(Table6[[#This Row],[Affected WTG]],'Basic Data'!$A:$A,'Basic Data'!$C:$C),"")</f>
        <v>GEDA</v>
      </c>
      <c r="J175" s="471">
        <f>IFERROR(_xlfn.XLOOKUP(Table6[[#This Row],[Affected WTG]],'Basic Data'!$A:$A,'Basic Data'!$E:$E),"")</f>
        <v>3.846153846153845E-2</v>
      </c>
      <c r="K175" s="102">
        <v>3211</v>
      </c>
      <c r="L175" s="35" t="str">
        <f>IFERROR(_xlfn.XLOOKUP(Table6[[#This Row],[Error Code]],'Basic Data'!$AA:$AA,'Basic Data'!$AB:$AB),"Incorrect Error Code")</f>
        <v>Conv. load shedding (CAN)</v>
      </c>
      <c r="M175" s="35" t="s">
        <v>291</v>
      </c>
      <c r="N175" s="475"/>
      <c r="O175" s="476">
        <v>0.9506944444444444</v>
      </c>
      <c r="P175" s="476">
        <v>0.9506944444444444</v>
      </c>
      <c r="Q175" s="477">
        <v>0.95347222222222228</v>
      </c>
      <c r="R175" s="472">
        <f>IF(Table6[[#This Row],[Work Start TimeStamp]]="","",(Table6[[#This Row],[Work Start TimeStamp]]-Table6[[#This Row],[Fault Start TimeStamp]])*24)</f>
        <v>0</v>
      </c>
      <c r="S175" s="472">
        <f>(Table6[[#This Row],[Fault Clearance time]]-Table6[[#This Row],[Work Start TimeStamp]])*24</f>
        <v>6.6666666666669094E-2</v>
      </c>
      <c r="T175" s="472">
        <f>(Table6[[#This Row],[Fault Clearance time]]-Table6[[#This Row],[Fault Start TimeStamp]])*24</f>
        <v>6.6666666666669094E-2</v>
      </c>
      <c r="U175" s="35" t="s">
        <v>349</v>
      </c>
      <c r="V175" s="102" t="s">
        <v>293</v>
      </c>
      <c r="W175" s="478">
        <f>IFERROR(Table6[[#This Row],[Breakdown Time]]*Table6[[#This Row],[Plant Equivalent Weightage]],"")</f>
        <v>2.5641025641026569E-3</v>
      </c>
      <c r="X175" s="473" t="s">
        <v>294</v>
      </c>
      <c r="Y175" s="474" t="s">
        <v>333</v>
      </c>
      <c r="Z175" s="102">
        <v>28616</v>
      </c>
      <c r="AA175" s="468">
        <f>(Table6[[#This Row],[Paired WTG Generation for loss calculation]]/24)*Table6[[#This Row],[Breakdown Time]]</f>
        <v>79.488888888891779</v>
      </c>
      <c r="AB175" s="102"/>
      <c r="AC175" s="35"/>
      <c r="AD175" s="35"/>
    </row>
    <row r="176" spans="1:30">
      <c r="A176" s="102">
        <f t="shared" si="3"/>
        <v>175</v>
      </c>
      <c r="B176" s="468">
        <f>YEAR(Table6[[#This Row],[Date]])+IF(MONTH(Table6[[#This Row],[Date]])&gt;=4,1,0)</f>
        <v>2026</v>
      </c>
      <c r="C176" s="102">
        <f>YEAR(Table6[[#This Row],[Date]])</f>
        <v>2025</v>
      </c>
      <c r="D176" s="102" t="s">
        <v>1992</v>
      </c>
      <c r="E176" s="469">
        <f>Table6[[#This Row],[Date]]-DAY(Table6[[#This Row],[Date]])+1</f>
        <v>45748</v>
      </c>
      <c r="F176" s="470">
        <v>45760</v>
      </c>
      <c r="G176" s="35" t="s">
        <v>79</v>
      </c>
      <c r="H176" s="35" t="str">
        <f>IFERROR(_xlfn.XLOOKUP(Table6[[#This Row],[Affected WTG]],'Basic Data'!$A:$A,'Basic Data'!$B:$B),"")</f>
        <v>TQGXIIPL</v>
      </c>
      <c r="I176" s="35" t="str">
        <f>IFERROR(_xlfn.XLOOKUP(Table6[[#This Row],[Affected WTG]],'Basic Data'!$A:$A,'Basic Data'!$C:$C),"")</f>
        <v>GEDA</v>
      </c>
      <c r="J176" s="471">
        <f>IFERROR(_xlfn.XLOOKUP(Table6[[#This Row],[Affected WTG]],'Basic Data'!$A:$A,'Basic Data'!$E:$E),"")</f>
        <v>3.846153846153845E-2</v>
      </c>
      <c r="K176" s="102">
        <v>4520</v>
      </c>
      <c r="L176" s="35" t="str">
        <f>IFERROR(_xlfn.XLOOKUP(Table6[[#This Row],[Error Code]],'Basic Data'!$AA:$AA,'Basic Data'!$AB:$AB),"Incorrect Error Code")</f>
        <v>Tower oscillation X level 1</v>
      </c>
      <c r="M176" s="35" t="s">
        <v>291</v>
      </c>
      <c r="N176" s="475"/>
      <c r="O176" s="476">
        <v>0.31388888888888888</v>
      </c>
      <c r="P176" s="476">
        <v>0.31388888888888888</v>
      </c>
      <c r="Q176" s="477">
        <v>0.3215277777777778</v>
      </c>
      <c r="R176" s="472">
        <f>IF(Table6[[#This Row],[Work Start TimeStamp]]="","",(Table6[[#This Row],[Work Start TimeStamp]]-Table6[[#This Row],[Fault Start TimeStamp]])*24)</f>
        <v>0</v>
      </c>
      <c r="S176" s="472">
        <f>(Table6[[#This Row],[Fault Clearance time]]-Table6[[#This Row],[Work Start TimeStamp]])*24</f>
        <v>0.18333333333333401</v>
      </c>
      <c r="T176" s="472">
        <f>(Table6[[#This Row],[Fault Clearance time]]-Table6[[#This Row],[Fault Start TimeStamp]])*24</f>
        <v>0.18333333333333401</v>
      </c>
      <c r="U176" s="35" t="s">
        <v>336</v>
      </c>
      <c r="V176" s="102" t="s">
        <v>293</v>
      </c>
      <c r="W176" s="478">
        <f>IFERROR(Table6[[#This Row],[Breakdown Time]]*Table6[[#This Row],[Plant Equivalent Weightage]],"")</f>
        <v>7.0512820512820757E-3</v>
      </c>
      <c r="X176" s="473" t="s">
        <v>294</v>
      </c>
      <c r="Y176" s="474" t="s">
        <v>325</v>
      </c>
      <c r="Z176" s="102">
        <v>23356</v>
      </c>
      <c r="AA176" s="468">
        <f>(Table6[[#This Row],[Paired WTG Generation for loss calculation]]/24)*Table6[[#This Row],[Breakdown Time]]</f>
        <v>178.41388888888955</v>
      </c>
      <c r="AB176" s="102"/>
      <c r="AC176" s="35"/>
      <c r="AD176" s="35"/>
    </row>
    <row r="177" spans="1:30">
      <c r="A177" s="102">
        <f t="shared" si="3"/>
        <v>176</v>
      </c>
      <c r="B177" s="468">
        <f>YEAR(Table6[[#This Row],[Date]])+IF(MONTH(Table6[[#This Row],[Date]])&gt;=4,1,0)</f>
        <v>2026</v>
      </c>
      <c r="C177" s="102">
        <f>YEAR(Table6[[#This Row],[Date]])</f>
        <v>2025</v>
      </c>
      <c r="D177" s="102" t="s">
        <v>1992</v>
      </c>
      <c r="E177" s="469">
        <f>Table6[[#This Row],[Date]]-DAY(Table6[[#This Row],[Date]])+1</f>
        <v>45748</v>
      </c>
      <c r="F177" s="470">
        <v>45760</v>
      </c>
      <c r="G177" s="35" t="s">
        <v>79</v>
      </c>
      <c r="H177" s="35" t="str">
        <f>IFERROR(_xlfn.XLOOKUP(Table6[[#This Row],[Affected WTG]],'Basic Data'!$A:$A,'Basic Data'!$B:$B),"")</f>
        <v>TQGXIIPL</v>
      </c>
      <c r="I177" s="35" t="str">
        <f>IFERROR(_xlfn.XLOOKUP(Table6[[#This Row],[Affected WTG]],'Basic Data'!$A:$A,'Basic Data'!$C:$C),"")</f>
        <v>GEDA</v>
      </c>
      <c r="J177" s="471">
        <f>IFERROR(_xlfn.XLOOKUP(Table6[[#This Row],[Affected WTG]],'Basic Data'!$A:$A,'Basic Data'!$E:$E),"")</f>
        <v>3.846153846153845E-2</v>
      </c>
      <c r="K177" s="102">
        <v>6056</v>
      </c>
      <c r="L177" s="35" t="str">
        <f>IFERROR(_xlfn.XLOOKUP(Table6[[#This Row],[Error Code]],'Basic Data'!$AA:$AA,'Basic Data'!$AB:$AB),"Incorrect Error Code")</f>
        <v>High yaw load</v>
      </c>
      <c r="M177" s="35" t="s">
        <v>291</v>
      </c>
      <c r="N177" s="475"/>
      <c r="O177" s="476">
        <v>0.63402777777777775</v>
      </c>
      <c r="P177" s="476">
        <v>0.63402777777777775</v>
      </c>
      <c r="Q177" s="477">
        <v>0.63611111111111107</v>
      </c>
      <c r="R177" s="472">
        <f>IF(Table6[[#This Row],[Work Start TimeStamp]]="","",(Table6[[#This Row],[Work Start TimeStamp]]-Table6[[#This Row],[Fault Start TimeStamp]])*24)</f>
        <v>0</v>
      </c>
      <c r="S177" s="472">
        <f>(Table6[[#This Row],[Fault Clearance time]]-Table6[[#This Row],[Work Start TimeStamp]])*24</f>
        <v>4.9999999999999822E-2</v>
      </c>
      <c r="T177" s="472">
        <f>(Table6[[#This Row],[Fault Clearance time]]-Table6[[#This Row],[Fault Start TimeStamp]])*24</f>
        <v>4.9999999999999822E-2</v>
      </c>
      <c r="U177" s="35" t="s">
        <v>349</v>
      </c>
      <c r="V177" s="102" t="s">
        <v>293</v>
      </c>
      <c r="W177" s="478">
        <f>IFERROR(Table6[[#This Row],[Breakdown Time]]*Table6[[#This Row],[Plant Equivalent Weightage]],"")</f>
        <v>1.9230769230769156E-3</v>
      </c>
      <c r="X177" s="473" t="s">
        <v>294</v>
      </c>
      <c r="Y177" s="474" t="s">
        <v>325</v>
      </c>
      <c r="Z177" s="102">
        <v>23356</v>
      </c>
      <c r="AA177" s="468">
        <f>(Table6[[#This Row],[Paired WTG Generation for loss calculation]]/24)*Table6[[#This Row],[Breakdown Time]]</f>
        <v>48.658333333333161</v>
      </c>
      <c r="AB177" s="102"/>
      <c r="AC177" s="35"/>
      <c r="AD177" s="35"/>
    </row>
    <row r="178" spans="1:30">
      <c r="A178" s="102">
        <f t="shared" si="3"/>
        <v>177</v>
      </c>
      <c r="B178" s="468">
        <f>YEAR(Table6[[#This Row],[Date]])+IF(MONTH(Table6[[#This Row],[Date]])&gt;=4,1,0)</f>
        <v>2026</v>
      </c>
      <c r="C178" s="102">
        <f>YEAR(Table6[[#This Row],[Date]])</f>
        <v>2025</v>
      </c>
      <c r="D178" s="102" t="s">
        <v>1992</v>
      </c>
      <c r="E178" s="469">
        <f>Table6[[#This Row],[Date]]-DAY(Table6[[#This Row],[Date]])+1</f>
        <v>45748</v>
      </c>
      <c r="F178" s="470">
        <v>45760</v>
      </c>
      <c r="G178" s="35" t="s">
        <v>81</v>
      </c>
      <c r="H178" s="35" t="str">
        <f>IFERROR(_xlfn.XLOOKUP(Table6[[#This Row],[Affected WTG]],'Basic Data'!$A:$A,'Basic Data'!$B:$B),"")</f>
        <v>TQGXIIPL</v>
      </c>
      <c r="I178" s="35" t="str">
        <f>IFERROR(_xlfn.XLOOKUP(Table6[[#This Row],[Affected WTG]],'Basic Data'!$A:$A,'Basic Data'!$C:$C),"")</f>
        <v>GEDA</v>
      </c>
      <c r="J178" s="471">
        <f>IFERROR(_xlfn.XLOOKUP(Table6[[#This Row],[Affected WTG]],'Basic Data'!$A:$A,'Basic Data'!$E:$E),"")</f>
        <v>3.846153846153845E-2</v>
      </c>
      <c r="K178" s="102">
        <v>4520</v>
      </c>
      <c r="L178" s="35" t="str">
        <f>IFERROR(_xlfn.XLOOKUP(Table6[[#This Row],[Error Code]],'Basic Data'!$AA:$AA,'Basic Data'!$AB:$AB),"Incorrect Error Code")</f>
        <v>Tower oscillation X level 1</v>
      </c>
      <c r="M178" s="35" t="s">
        <v>292</v>
      </c>
      <c r="N178" s="475"/>
      <c r="O178" s="476">
        <v>0.34166666666666667</v>
      </c>
      <c r="P178" s="476">
        <v>0.34166666666666667</v>
      </c>
      <c r="Q178" s="477">
        <v>0.34930555555555554</v>
      </c>
      <c r="R178" s="472">
        <f>IF(Table6[[#This Row],[Work Start TimeStamp]]="","",(Table6[[#This Row],[Work Start TimeStamp]]-Table6[[#This Row],[Fault Start TimeStamp]])*24)</f>
        <v>0</v>
      </c>
      <c r="S178" s="472">
        <f>(Table6[[#This Row],[Fault Clearance time]]-Table6[[#This Row],[Work Start TimeStamp]])*24</f>
        <v>0.18333333333333268</v>
      </c>
      <c r="T178" s="472">
        <f>(Table6[[#This Row],[Fault Clearance time]]-Table6[[#This Row],[Fault Start TimeStamp]])*24</f>
        <v>0.18333333333333268</v>
      </c>
      <c r="U178" s="35" t="s">
        <v>336</v>
      </c>
      <c r="V178" s="102" t="s">
        <v>293</v>
      </c>
      <c r="W178" s="478">
        <f>IFERROR(Table6[[#This Row],[Breakdown Time]]*Table6[[#This Row],[Plant Equivalent Weightage]],"")</f>
        <v>7.0512820512820245E-3</v>
      </c>
      <c r="X178" s="473" t="s">
        <v>294</v>
      </c>
      <c r="Y178" s="474" t="s">
        <v>321</v>
      </c>
      <c r="Z178" s="102">
        <v>25025</v>
      </c>
      <c r="AA178" s="468">
        <f>(Table6[[#This Row],[Paired WTG Generation for loss calculation]]/24)*Table6[[#This Row],[Breakdown Time]]</f>
        <v>191.16319444444375</v>
      </c>
      <c r="AB178" s="102"/>
      <c r="AC178" s="35"/>
      <c r="AD178" s="35"/>
    </row>
    <row r="179" spans="1:30">
      <c r="A179" s="102">
        <f t="shared" si="3"/>
        <v>178</v>
      </c>
      <c r="B179" s="468">
        <f>YEAR(Table6[[#This Row],[Date]])+IF(MONTH(Table6[[#This Row],[Date]])&gt;=4,1,0)</f>
        <v>2026</v>
      </c>
      <c r="C179" s="102">
        <f>YEAR(Table6[[#This Row],[Date]])</f>
        <v>2025</v>
      </c>
      <c r="D179" s="102" t="s">
        <v>1992</v>
      </c>
      <c r="E179" s="469">
        <f>Table6[[#This Row],[Date]]-DAY(Table6[[#This Row],[Date]])+1</f>
        <v>45748</v>
      </c>
      <c r="F179" s="470">
        <v>45760</v>
      </c>
      <c r="G179" s="35" t="s">
        <v>81</v>
      </c>
      <c r="H179" s="35" t="str">
        <f>IFERROR(_xlfn.XLOOKUP(Table6[[#This Row],[Affected WTG]],'Basic Data'!$A:$A,'Basic Data'!$B:$B),"")</f>
        <v>TQGXIIPL</v>
      </c>
      <c r="I179" s="35" t="str">
        <f>IFERROR(_xlfn.XLOOKUP(Table6[[#This Row],[Affected WTG]],'Basic Data'!$A:$A,'Basic Data'!$C:$C),"")</f>
        <v>GEDA</v>
      </c>
      <c r="J179" s="471">
        <f>IFERROR(_xlfn.XLOOKUP(Table6[[#This Row],[Affected WTG]],'Basic Data'!$A:$A,'Basic Data'!$E:$E),"")</f>
        <v>3.846153846153845E-2</v>
      </c>
      <c r="K179" s="102">
        <v>55</v>
      </c>
      <c r="L179" s="35" t="str">
        <f>IFERROR(_xlfn.XLOOKUP(Table6[[#This Row],[Error Code]],'Basic Data'!$AA:$AA,'Basic Data'!$AB:$AB),"Incorrect Error Code")</f>
        <v>WTG shut down</v>
      </c>
      <c r="M179" s="35" t="s">
        <v>330</v>
      </c>
      <c r="N179" s="475"/>
      <c r="O179" s="476">
        <v>0.77430555555555558</v>
      </c>
      <c r="P179" s="476">
        <v>0.77430555555555558</v>
      </c>
      <c r="Q179" s="477">
        <v>0.89166666666666672</v>
      </c>
      <c r="R179" s="472">
        <f>IF(Table6[[#This Row],[Work Start TimeStamp]]="","",(Table6[[#This Row],[Work Start TimeStamp]]-Table6[[#This Row],[Fault Start TimeStamp]])*24)</f>
        <v>0</v>
      </c>
      <c r="S179" s="472">
        <f>(Table6[[#This Row],[Fault Clearance time]]-Table6[[#This Row],[Work Start TimeStamp]])*24</f>
        <v>2.8166666666666673</v>
      </c>
      <c r="T179" s="472">
        <f>(Table6[[#This Row],[Fault Clearance time]]-Table6[[#This Row],[Fault Start TimeStamp]])*24</f>
        <v>2.8166666666666673</v>
      </c>
      <c r="U179" s="35" t="s">
        <v>337</v>
      </c>
      <c r="V179" s="102" t="s">
        <v>293</v>
      </c>
      <c r="W179" s="478">
        <f>IFERROR(Table6[[#This Row],[Breakdown Time]]*Table6[[#This Row],[Plant Equivalent Weightage]],"")</f>
        <v>0.10833333333333332</v>
      </c>
      <c r="X179" s="473" t="s">
        <v>290</v>
      </c>
      <c r="Y179" s="474" t="s">
        <v>321</v>
      </c>
      <c r="Z179" s="102">
        <v>25025</v>
      </c>
      <c r="AA179" s="468">
        <f>(Table6[[#This Row],[Paired WTG Generation for loss calculation]]/24)*Table6[[#This Row],[Breakdown Time]]</f>
        <v>2936.9618055555561</v>
      </c>
      <c r="AB179" s="102"/>
      <c r="AC179" s="35"/>
      <c r="AD179" s="35"/>
    </row>
    <row r="180" spans="1:30">
      <c r="A180" s="102">
        <f t="shared" si="3"/>
        <v>179</v>
      </c>
      <c r="B180" s="468">
        <f>YEAR(Table6[[#This Row],[Date]])+IF(MONTH(Table6[[#This Row],[Date]])&gt;=4,1,0)</f>
        <v>2026</v>
      </c>
      <c r="C180" s="102">
        <f>YEAR(Table6[[#This Row],[Date]])</f>
        <v>2025</v>
      </c>
      <c r="D180" s="102" t="s">
        <v>1992</v>
      </c>
      <c r="E180" s="469">
        <f>Table6[[#This Row],[Date]]-DAY(Table6[[#This Row],[Date]])+1</f>
        <v>45748</v>
      </c>
      <c r="F180" s="470">
        <v>45760</v>
      </c>
      <c r="G180" s="35" t="s">
        <v>81</v>
      </c>
      <c r="H180" s="35" t="str">
        <f>IFERROR(_xlfn.XLOOKUP(Table6[[#This Row],[Affected WTG]],'Basic Data'!$A:$A,'Basic Data'!$B:$B),"")</f>
        <v>TQGXIIPL</v>
      </c>
      <c r="I180" s="35" t="str">
        <f>IFERROR(_xlfn.XLOOKUP(Table6[[#This Row],[Affected WTG]],'Basic Data'!$A:$A,'Basic Data'!$C:$C),"")</f>
        <v>GEDA</v>
      </c>
      <c r="J180" s="471">
        <f>IFERROR(_xlfn.XLOOKUP(Table6[[#This Row],[Affected WTG]],'Basic Data'!$A:$A,'Basic Data'!$E:$E),"")</f>
        <v>3.846153846153845E-2</v>
      </c>
      <c r="K180" s="102">
        <v>55</v>
      </c>
      <c r="L180" s="35" t="str">
        <f>IFERROR(_xlfn.XLOOKUP(Table6[[#This Row],[Error Code]],'Basic Data'!$AA:$AA,'Basic Data'!$AB:$AB),"Incorrect Error Code")</f>
        <v>WTG shut down</v>
      </c>
      <c r="M180" s="35" t="s">
        <v>330</v>
      </c>
      <c r="N180" s="475"/>
      <c r="O180" s="476">
        <v>0.89097222222222228</v>
      </c>
      <c r="P180" s="476">
        <v>0.89097222222222228</v>
      </c>
      <c r="Q180" s="477">
        <v>1</v>
      </c>
      <c r="R180" s="472">
        <f>IF(Table6[[#This Row],[Work Start TimeStamp]]="","",(Table6[[#This Row],[Work Start TimeStamp]]-Table6[[#This Row],[Fault Start TimeStamp]])*24)</f>
        <v>0</v>
      </c>
      <c r="S180" s="472">
        <f>(Table6[[#This Row],[Fault Clearance time]]-Table6[[#This Row],[Work Start TimeStamp]])*24</f>
        <v>2.6166666666666654</v>
      </c>
      <c r="T180" s="472">
        <f>(Table6[[#This Row],[Fault Clearance time]]-Table6[[#This Row],[Fault Start TimeStamp]])*24</f>
        <v>2.6166666666666654</v>
      </c>
      <c r="U180" s="35" t="s">
        <v>337</v>
      </c>
      <c r="V180" s="102" t="s">
        <v>293</v>
      </c>
      <c r="W180" s="478">
        <f>IFERROR(Table6[[#This Row],[Breakdown Time]]*Table6[[#This Row],[Plant Equivalent Weightage]],"")</f>
        <v>0.10064102564102556</v>
      </c>
      <c r="X180" s="473" t="s">
        <v>290</v>
      </c>
      <c r="Y180" s="474" t="s">
        <v>321</v>
      </c>
      <c r="Z180" s="102">
        <v>25025</v>
      </c>
      <c r="AA180" s="468">
        <f>(Table6[[#This Row],[Paired WTG Generation for loss calculation]]/24)*Table6[[#This Row],[Breakdown Time]]</f>
        <v>2728.4201388888873</v>
      </c>
      <c r="AB180" s="102"/>
      <c r="AC180" s="35"/>
      <c r="AD180" s="35"/>
    </row>
    <row r="181" spans="1:30">
      <c r="A181" s="102">
        <f t="shared" si="3"/>
        <v>180</v>
      </c>
      <c r="B181" s="468">
        <f>YEAR(Table6[[#This Row],[Date]])+IF(MONTH(Table6[[#This Row],[Date]])&gt;=4,1,0)</f>
        <v>2026</v>
      </c>
      <c r="C181" s="102">
        <f>YEAR(Table6[[#This Row],[Date]])</f>
        <v>2025</v>
      </c>
      <c r="D181" s="102" t="s">
        <v>1992</v>
      </c>
      <c r="E181" s="469">
        <f>Table6[[#This Row],[Date]]-DAY(Table6[[#This Row],[Date]])+1</f>
        <v>45748</v>
      </c>
      <c r="F181" s="470">
        <v>45760</v>
      </c>
      <c r="G181" s="35" t="s">
        <v>82</v>
      </c>
      <c r="H181" s="35" t="str">
        <f>IFERROR(_xlfn.XLOOKUP(Table6[[#This Row],[Affected WTG]],'Basic Data'!$A:$A,'Basic Data'!$B:$B),"")</f>
        <v>TQGXIIPL</v>
      </c>
      <c r="I181" s="35" t="str">
        <f>IFERROR(_xlfn.XLOOKUP(Table6[[#This Row],[Affected WTG]],'Basic Data'!$A:$A,'Basic Data'!$C:$C),"")</f>
        <v>GEDA</v>
      </c>
      <c r="J181" s="471">
        <f>IFERROR(_xlfn.XLOOKUP(Table6[[#This Row],[Affected WTG]],'Basic Data'!$A:$A,'Basic Data'!$E:$E),"")</f>
        <v>3.846153846153845E-2</v>
      </c>
      <c r="K181" s="102">
        <v>55</v>
      </c>
      <c r="L181" s="35" t="str">
        <f>IFERROR(_xlfn.XLOOKUP(Table6[[#This Row],[Error Code]],'Basic Data'!$AA:$AA,'Basic Data'!$AB:$AB),"Incorrect Error Code")</f>
        <v>WTG shut down</v>
      </c>
      <c r="M181" s="35" t="s">
        <v>291</v>
      </c>
      <c r="N181" s="475"/>
      <c r="O181" s="476">
        <v>0.65277777777777779</v>
      </c>
      <c r="P181" s="476">
        <v>0.65277777777777779</v>
      </c>
      <c r="Q181" s="477">
        <v>0.66111111111111109</v>
      </c>
      <c r="R181" s="472">
        <f>IF(Table6[[#This Row],[Work Start TimeStamp]]="","",(Table6[[#This Row],[Work Start TimeStamp]]-Table6[[#This Row],[Fault Start TimeStamp]])*24)</f>
        <v>0</v>
      </c>
      <c r="S181" s="472">
        <f>(Table6[[#This Row],[Fault Clearance time]]-Table6[[#This Row],[Work Start TimeStamp]])*24</f>
        <v>0.19999999999999929</v>
      </c>
      <c r="T181" s="472">
        <f>(Table6[[#This Row],[Fault Clearance time]]-Table6[[#This Row],[Fault Start TimeStamp]])*24</f>
        <v>0.19999999999999929</v>
      </c>
      <c r="U181" s="35" t="s">
        <v>389</v>
      </c>
      <c r="V181" s="102" t="s">
        <v>293</v>
      </c>
      <c r="W181" s="478">
        <f>IFERROR(Table6[[#This Row],[Breakdown Time]]*Table6[[#This Row],[Plant Equivalent Weightage]],"")</f>
        <v>7.6923076923076624E-3</v>
      </c>
      <c r="X181" s="473" t="s">
        <v>290</v>
      </c>
      <c r="Y181" s="474" t="s">
        <v>332</v>
      </c>
      <c r="Z181" s="102">
        <v>25705</v>
      </c>
      <c r="AA181" s="468">
        <f>(Table6[[#This Row],[Paired WTG Generation for loss calculation]]/24)*Table6[[#This Row],[Breakdown Time]]</f>
        <v>214.20833333333258</v>
      </c>
      <c r="AB181" s="102"/>
      <c r="AC181" s="35"/>
      <c r="AD181" s="35"/>
    </row>
    <row r="182" spans="1:30">
      <c r="A182" s="102">
        <f t="shared" si="3"/>
        <v>181</v>
      </c>
      <c r="B182" s="468">
        <f>YEAR(Table6[[#This Row],[Date]])+IF(MONTH(Table6[[#This Row],[Date]])&gt;=4,1,0)</f>
        <v>2026</v>
      </c>
      <c r="C182" s="102">
        <f>YEAR(Table6[[#This Row],[Date]])</f>
        <v>2025</v>
      </c>
      <c r="D182" s="102" t="s">
        <v>1992</v>
      </c>
      <c r="E182" s="469">
        <f>Table6[[#This Row],[Date]]-DAY(Table6[[#This Row],[Date]])+1</f>
        <v>45748</v>
      </c>
      <c r="F182" s="470">
        <v>45760</v>
      </c>
      <c r="G182" s="35" t="s">
        <v>83</v>
      </c>
      <c r="H182" s="35" t="str">
        <f>IFERROR(_xlfn.XLOOKUP(Table6[[#This Row],[Affected WTG]],'Basic Data'!$A:$A,'Basic Data'!$B:$B),"")</f>
        <v>TQGXIIPL</v>
      </c>
      <c r="I182" s="35" t="str">
        <f>IFERROR(_xlfn.XLOOKUP(Table6[[#This Row],[Affected WTG]],'Basic Data'!$A:$A,'Basic Data'!$C:$C),"")</f>
        <v>GEDA</v>
      </c>
      <c r="J182" s="471">
        <f>IFERROR(_xlfn.XLOOKUP(Table6[[#This Row],[Affected WTG]],'Basic Data'!$A:$A,'Basic Data'!$E:$E),"")</f>
        <v>3.846153846153845E-2</v>
      </c>
      <c r="K182" s="102">
        <v>4520</v>
      </c>
      <c r="L182" s="35" t="str">
        <f>IFERROR(_xlfn.XLOOKUP(Table6[[#This Row],[Error Code]],'Basic Data'!$AA:$AA,'Basic Data'!$AB:$AB),"Incorrect Error Code")</f>
        <v>Tower oscillation X level 1</v>
      </c>
      <c r="M182" s="35" t="s">
        <v>292</v>
      </c>
      <c r="N182" s="475"/>
      <c r="O182" s="476">
        <v>0.32500000000000001</v>
      </c>
      <c r="P182" s="476">
        <v>0.32500000000000001</v>
      </c>
      <c r="Q182" s="477">
        <v>0.33263888888888887</v>
      </c>
      <c r="R182" s="472">
        <f>IF(Table6[[#This Row],[Work Start TimeStamp]]="","",(Table6[[#This Row],[Work Start TimeStamp]]-Table6[[#This Row],[Fault Start TimeStamp]])*24)</f>
        <v>0</v>
      </c>
      <c r="S182" s="472">
        <f>(Table6[[#This Row],[Fault Clearance time]]-Table6[[#This Row],[Work Start TimeStamp]])*24</f>
        <v>0.18333333333333268</v>
      </c>
      <c r="T182" s="472">
        <f>(Table6[[#This Row],[Fault Clearance time]]-Table6[[#This Row],[Fault Start TimeStamp]])*24</f>
        <v>0.18333333333333268</v>
      </c>
      <c r="U182" s="35" t="s">
        <v>336</v>
      </c>
      <c r="V182" s="102" t="s">
        <v>293</v>
      </c>
      <c r="W182" s="478">
        <f>IFERROR(Table6[[#This Row],[Breakdown Time]]*Table6[[#This Row],[Plant Equivalent Weightage]],"")</f>
        <v>7.0512820512820245E-3</v>
      </c>
      <c r="X182" s="473" t="s">
        <v>294</v>
      </c>
      <c r="Y182" s="474" t="s">
        <v>312</v>
      </c>
      <c r="Z182" s="102">
        <v>20653</v>
      </c>
      <c r="AA182" s="468">
        <f>(Table6[[#This Row],[Paired WTG Generation for loss calculation]]/24)*Table6[[#This Row],[Breakdown Time]]</f>
        <v>157.76597222222165</v>
      </c>
      <c r="AB182" s="102"/>
      <c r="AC182" s="35"/>
      <c r="AD182" s="35"/>
    </row>
    <row r="183" spans="1:30">
      <c r="A183" s="102">
        <f t="shared" si="3"/>
        <v>182</v>
      </c>
      <c r="B183" s="468">
        <f>YEAR(Table6[[#This Row],[Date]])+IF(MONTH(Table6[[#This Row],[Date]])&gt;=4,1,0)</f>
        <v>2026</v>
      </c>
      <c r="C183" s="102">
        <f>YEAR(Table6[[#This Row],[Date]])</f>
        <v>2025</v>
      </c>
      <c r="D183" s="102" t="s">
        <v>1992</v>
      </c>
      <c r="E183" s="469">
        <f>Table6[[#This Row],[Date]]-DAY(Table6[[#This Row],[Date]])+1</f>
        <v>45748</v>
      </c>
      <c r="F183" s="470">
        <v>45760</v>
      </c>
      <c r="G183" s="35" t="s">
        <v>84</v>
      </c>
      <c r="H183" s="35" t="str">
        <f>IFERROR(_xlfn.XLOOKUP(Table6[[#This Row],[Affected WTG]],'Basic Data'!$A:$A,'Basic Data'!$B:$B),"")</f>
        <v>TQGXIIPL</v>
      </c>
      <c r="I183" s="35" t="str">
        <f>IFERROR(_xlfn.XLOOKUP(Table6[[#This Row],[Affected WTG]],'Basic Data'!$A:$A,'Basic Data'!$C:$C),"")</f>
        <v>GEDA</v>
      </c>
      <c r="J183" s="471">
        <f>IFERROR(_xlfn.XLOOKUP(Table6[[#This Row],[Affected WTG]],'Basic Data'!$A:$A,'Basic Data'!$E:$E),"")</f>
        <v>3.846153846153845E-2</v>
      </c>
      <c r="K183" s="102">
        <v>3110</v>
      </c>
      <c r="L183" s="35" t="str">
        <f>IFERROR(_xlfn.XLOOKUP(Table6[[#This Row],[Error Code]],'Basic Data'!$AA:$AA,'Basic Data'!$AB:$AB),"Incorrect Error Code")</f>
        <v>Frequency converter error</v>
      </c>
      <c r="M183" s="35" t="s">
        <v>291</v>
      </c>
      <c r="N183" s="475"/>
      <c r="O183" s="476">
        <v>0.31111111111111112</v>
      </c>
      <c r="P183" s="476">
        <v>0.31111111111111112</v>
      </c>
      <c r="Q183" s="477">
        <v>0.31319444444444444</v>
      </c>
      <c r="R183" s="472">
        <f>IF(Table6[[#This Row],[Work Start TimeStamp]]="","",(Table6[[#This Row],[Work Start TimeStamp]]-Table6[[#This Row],[Fault Start TimeStamp]])*24)</f>
        <v>0</v>
      </c>
      <c r="S183" s="472">
        <f>(Table6[[#This Row],[Fault Clearance time]]-Table6[[#This Row],[Work Start TimeStamp]])*24</f>
        <v>4.9999999999999822E-2</v>
      </c>
      <c r="T183" s="472">
        <f>(Table6[[#This Row],[Fault Clearance time]]-Table6[[#This Row],[Fault Start TimeStamp]])*24</f>
        <v>4.9999999999999822E-2</v>
      </c>
      <c r="U183" s="35" t="s">
        <v>349</v>
      </c>
      <c r="V183" s="102" t="s">
        <v>293</v>
      </c>
      <c r="W183" s="478">
        <f>IFERROR(Table6[[#This Row],[Breakdown Time]]*Table6[[#This Row],[Plant Equivalent Weightage]],"")</f>
        <v>1.9230769230769156E-3</v>
      </c>
      <c r="X183" s="473" t="s">
        <v>294</v>
      </c>
      <c r="Y183" s="474" t="s">
        <v>327</v>
      </c>
      <c r="Z183" s="102">
        <v>25190</v>
      </c>
      <c r="AA183" s="468">
        <f>(Table6[[#This Row],[Paired WTG Generation for loss calculation]]/24)*Table6[[#This Row],[Breakdown Time]]</f>
        <v>52.47916666666648</v>
      </c>
      <c r="AB183" s="102"/>
      <c r="AC183" s="35"/>
      <c r="AD183" s="35"/>
    </row>
    <row r="184" spans="1:30">
      <c r="A184" s="102">
        <f t="shared" si="3"/>
        <v>183</v>
      </c>
      <c r="B184" s="468">
        <f>YEAR(Table6[[#This Row],[Date]])+IF(MONTH(Table6[[#This Row],[Date]])&gt;=4,1,0)</f>
        <v>2026</v>
      </c>
      <c r="C184" s="102">
        <f>YEAR(Table6[[#This Row],[Date]])</f>
        <v>2025</v>
      </c>
      <c r="D184" s="102" t="s">
        <v>1992</v>
      </c>
      <c r="E184" s="469">
        <f>Table6[[#This Row],[Date]]-DAY(Table6[[#This Row],[Date]])+1</f>
        <v>45748</v>
      </c>
      <c r="F184" s="470">
        <v>45760</v>
      </c>
      <c r="G184" s="35" t="s">
        <v>84</v>
      </c>
      <c r="H184" s="35" t="str">
        <f>IFERROR(_xlfn.XLOOKUP(Table6[[#This Row],[Affected WTG]],'Basic Data'!$A:$A,'Basic Data'!$B:$B),"")</f>
        <v>TQGXIIPL</v>
      </c>
      <c r="I184" s="35" t="str">
        <f>IFERROR(_xlfn.XLOOKUP(Table6[[#This Row],[Affected WTG]],'Basic Data'!$A:$A,'Basic Data'!$C:$C),"")</f>
        <v>GEDA</v>
      </c>
      <c r="J184" s="471">
        <f>IFERROR(_xlfn.XLOOKUP(Table6[[#This Row],[Affected WTG]],'Basic Data'!$A:$A,'Basic Data'!$E:$E),"")</f>
        <v>3.846153846153845E-2</v>
      </c>
      <c r="K184" s="102">
        <v>3211</v>
      </c>
      <c r="L184" s="35" t="str">
        <f>IFERROR(_xlfn.XLOOKUP(Table6[[#This Row],[Error Code]],'Basic Data'!$AA:$AA,'Basic Data'!$AB:$AB),"Incorrect Error Code")</f>
        <v>Conv. load shedding (CAN)</v>
      </c>
      <c r="M184" s="35" t="s">
        <v>291</v>
      </c>
      <c r="N184" s="475"/>
      <c r="O184" s="476">
        <v>0.31666666666666665</v>
      </c>
      <c r="P184" s="476">
        <v>0.31666666666666665</v>
      </c>
      <c r="Q184" s="477">
        <v>0.32013888888888886</v>
      </c>
      <c r="R184" s="472">
        <f>IF(Table6[[#This Row],[Work Start TimeStamp]]="","",(Table6[[#This Row],[Work Start TimeStamp]]-Table6[[#This Row],[Fault Start TimeStamp]])*24)</f>
        <v>0</v>
      </c>
      <c r="S184" s="472">
        <f>(Table6[[#This Row],[Fault Clearance time]]-Table6[[#This Row],[Work Start TimeStamp]])*24</f>
        <v>8.3333333333333037E-2</v>
      </c>
      <c r="T184" s="472">
        <f>(Table6[[#This Row],[Fault Clearance time]]-Table6[[#This Row],[Fault Start TimeStamp]])*24</f>
        <v>8.3333333333333037E-2</v>
      </c>
      <c r="U184" s="35" t="s">
        <v>349</v>
      </c>
      <c r="V184" s="102" t="s">
        <v>293</v>
      </c>
      <c r="W184" s="478">
        <f>IFERROR(Table6[[#This Row],[Breakdown Time]]*Table6[[#This Row],[Plant Equivalent Weightage]],"")</f>
        <v>3.2051282051281929E-3</v>
      </c>
      <c r="X184" s="473" t="s">
        <v>294</v>
      </c>
      <c r="Y184" s="474" t="s">
        <v>327</v>
      </c>
      <c r="Z184" s="102">
        <v>25190</v>
      </c>
      <c r="AA184" s="468">
        <f>(Table6[[#This Row],[Paired WTG Generation for loss calculation]]/24)*Table6[[#This Row],[Breakdown Time]]</f>
        <v>87.465277777777459</v>
      </c>
      <c r="AB184" s="102"/>
      <c r="AC184" s="35"/>
      <c r="AD184" s="35"/>
    </row>
    <row r="185" spans="1:30">
      <c r="A185" s="102">
        <f t="shared" si="3"/>
        <v>184</v>
      </c>
      <c r="B185" s="468">
        <f>YEAR(Table6[[#This Row],[Date]])+IF(MONTH(Table6[[#This Row],[Date]])&gt;=4,1,0)</f>
        <v>2026</v>
      </c>
      <c r="C185" s="102">
        <f>YEAR(Table6[[#This Row],[Date]])</f>
        <v>2025</v>
      </c>
      <c r="D185" s="102" t="s">
        <v>1992</v>
      </c>
      <c r="E185" s="469">
        <f>Table6[[#This Row],[Date]]-DAY(Table6[[#This Row],[Date]])+1</f>
        <v>45748</v>
      </c>
      <c r="F185" s="470">
        <v>45760</v>
      </c>
      <c r="G185" s="35" t="s">
        <v>84</v>
      </c>
      <c r="H185" s="35" t="str">
        <f>IFERROR(_xlfn.XLOOKUP(Table6[[#This Row],[Affected WTG]],'Basic Data'!$A:$A,'Basic Data'!$B:$B),"")</f>
        <v>TQGXIIPL</v>
      </c>
      <c r="I185" s="35" t="str">
        <f>IFERROR(_xlfn.XLOOKUP(Table6[[#This Row],[Affected WTG]],'Basic Data'!$A:$A,'Basic Data'!$C:$C),"")</f>
        <v>GEDA</v>
      </c>
      <c r="J185" s="471">
        <f>IFERROR(_xlfn.XLOOKUP(Table6[[#This Row],[Affected WTG]],'Basic Data'!$A:$A,'Basic Data'!$E:$E),"")</f>
        <v>3.846153846153845E-2</v>
      </c>
      <c r="K185" s="102">
        <v>3211</v>
      </c>
      <c r="L185" s="35" t="str">
        <f>IFERROR(_xlfn.XLOOKUP(Table6[[#This Row],[Error Code]],'Basic Data'!$AA:$AA,'Basic Data'!$AB:$AB),"Incorrect Error Code")</f>
        <v>Conv. load shedding (CAN)</v>
      </c>
      <c r="M185" s="35" t="s">
        <v>291</v>
      </c>
      <c r="N185" s="475"/>
      <c r="O185" s="476">
        <v>0.3263888888888889</v>
      </c>
      <c r="P185" s="476">
        <v>0.3263888888888889</v>
      </c>
      <c r="Q185" s="477">
        <v>0.33194444444444443</v>
      </c>
      <c r="R185" s="472">
        <f>IF(Table6[[#This Row],[Work Start TimeStamp]]="","",(Table6[[#This Row],[Work Start TimeStamp]]-Table6[[#This Row],[Fault Start TimeStamp]])*24)</f>
        <v>0</v>
      </c>
      <c r="S185" s="472">
        <f>(Table6[[#This Row],[Fault Clearance time]]-Table6[[#This Row],[Work Start TimeStamp]])*24</f>
        <v>0.13333333333333286</v>
      </c>
      <c r="T185" s="472">
        <f>(Table6[[#This Row],[Fault Clearance time]]-Table6[[#This Row],[Fault Start TimeStamp]])*24</f>
        <v>0.13333333333333286</v>
      </c>
      <c r="U185" s="35" t="s">
        <v>349</v>
      </c>
      <c r="V185" s="102" t="s">
        <v>293</v>
      </c>
      <c r="W185" s="478">
        <f>IFERROR(Table6[[#This Row],[Breakdown Time]]*Table6[[#This Row],[Plant Equivalent Weightage]],"")</f>
        <v>5.1282051282051083E-3</v>
      </c>
      <c r="X185" s="473" t="s">
        <v>294</v>
      </c>
      <c r="Y185" s="474" t="s">
        <v>327</v>
      </c>
      <c r="Z185" s="102">
        <v>25190</v>
      </c>
      <c r="AA185" s="468">
        <f>(Table6[[#This Row],[Paired WTG Generation for loss calculation]]/24)*Table6[[#This Row],[Breakdown Time]]</f>
        <v>139.94444444444395</v>
      </c>
      <c r="AB185" s="102"/>
      <c r="AC185" s="35"/>
      <c r="AD185" s="35"/>
    </row>
    <row r="186" spans="1:30">
      <c r="A186" s="102">
        <f t="shared" si="3"/>
        <v>185</v>
      </c>
      <c r="B186" s="468">
        <f>YEAR(Table6[[#This Row],[Date]])+IF(MONTH(Table6[[#This Row],[Date]])&gt;=4,1,0)</f>
        <v>2026</v>
      </c>
      <c r="C186" s="102">
        <f>YEAR(Table6[[#This Row],[Date]])</f>
        <v>2025</v>
      </c>
      <c r="D186" s="102" t="s">
        <v>1992</v>
      </c>
      <c r="E186" s="469">
        <f>Table6[[#This Row],[Date]]-DAY(Table6[[#This Row],[Date]])+1</f>
        <v>45748</v>
      </c>
      <c r="F186" s="470">
        <v>45760</v>
      </c>
      <c r="G186" s="35" t="s">
        <v>84</v>
      </c>
      <c r="H186" s="35" t="str">
        <f>IFERROR(_xlfn.XLOOKUP(Table6[[#This Row],[Affected WTG]],'Basic Data'!$A:$A,'Basic Data'!$B:$B),"")</f>
        <v>TQGXIIPL</v>
      </c>
      <c r="I186" s="35" t="str">
        <f>IFERROR(_xlfn.XLOOKUP(Table6[[#This Row],[Affected WTG]],'Basic Data'!$A:$A,'Basic Data'!$C:$C),"")</f>
        <v>GEDA</v>
      </c>
      <c r="J186" s="471">
        <f>IFERROR(_xlfn.XLOOKUP(Table6[[#This Row],[Affected WTG]],'Basic Data'!$A:$A,'Basic Data'!$E:$E),"")</f>
        <v>3.846153846153845E-2</v>
      </c>
      <c r="K186" s="102">
        <v>55</v>
      </c>
      <c r="L186" s="35" t="str">
        <f>IFERROR(_xlfn.XLOOKUP(Table6[[#This Row],[Error Code]],'Basic Data'!$AA:$AA,'Basic Data'!$AB:$AB),"Incorrect Error Code")</f>
        <v>WTG shut down</v>
      </c>
      <c r="M186" s="35" t="s">
        <v>291</v>
      </c>
      <c r="N186" s="475"/>
      <c r="O186" s="476">
        <v>0.67222222222222228</v>
      </c>
      <c r="P186" s="476">
        <v>0.67222222222222228</v>
      </c>
      <c r="Q186" s="477">
        <v>0.69374999999999998</v>
      </c>
      <c r="R186" s="472">
        <f>IF(Table6[[#This Row],[Work Start TimeStamp]]="","",(Table6[[#This Row],[Work Start TimeStamp]]-Table6[[#This Row],[Fault Start TimeStamp]])*24)</f>
        <v>0</v>
      </c>
      <c r="S186" s="472">
        <f>(Table6[[#This Row],[Fault Clearance time]]-Table6[[#This Row],[Work Start TimeStamp]])*24</f>
        <v>0.51666666666666483</v>
      </c>
      <c r="T186" s="472">
        <f>(Table6[[#This Row],[Fault Clearance time]]-Table6[[#This Row],[Fault Start TimeStamp]])*24</f>
        <v>0.51666666666666483</v>
      </c>
      <c r="U186" s="35" t="s">
        <v>389</v>
      </c>
      <c r="V186" s="102" t="s">
        <v>293</v>
      </c>
      <c r="W186" s="478">
        <f>IFERROR(Table6[[#This Row],[Breakdown Time]]*Table6[[#This Row],[Plant Equivalent Weightage]],"")</f>
        <v>1.9871794871794794E-2</v>
      </c>
      <c r="X186" s="473" t="s">
        <v>290</v>
      </c>
      <c r="Y186" s="474" t="s">
        <v>327</v>
      </c>
      <c r="Z186" s="102">
        <v>25190</v>
      </c>
      <c r="AA186" s="468">
        <f>(Table6[[#This Row],[Paired WTG Generation for loss calculation]]/24)*Table6[[#This Row],[Breakdown Time]]</f>
        <v>542.28472222222024</v>
      </c>
      <c r="AB186" s="102"/>
      <c r="AC186" s="35"/>
      <c r="AD186" s="35"/>
    </row>
    <row r="187" spans="1:30">
      <c r="A187" s="102">
        <f t="shared" si="3"/>
        <v>186</v>
      </c>
      <c r="B187" s="468">
        <f>YEAR(Table6[[#This Row],[Date]])+IF(MONTH(Table6[[#This Row],[Date]])&gt;=4,1,0)</f>
        <v>2026</v>
      </c>
      <c r="C187" s="102">
        <f>YEAR(Table6[[#This Row],[Date]])</f>
        <v>2025</v>
      </c>
      <c r="D187" s="102" t="s">
        <v>1992</v>
      </c>
      <c r="E187" s="469">
        <f>Table6[[#This Row],[Date]]-DAY(Table6[[#This Row],[Date]])+1</f>
        <v>45748</v>
      </c>
      <c r="F187" s="470">
        <v>45760</v>
      </c>
      <c r="G187" s="35" t="s">
        <v>86</v>
      </c>
      <c r="H187" s="35" t="str">
        <f>IFERROR(_xlfn.XLOOKUP(Table6[[#This Row],[Affected WTG]],'Basic Data'!$A:$A,'Basic Data'!$B:$B),"")</f>
        <v>TQGXIIPL</v>
      </c>
      <c r="I187" s="35" t="str">
        <f>IFERROR(_xlfn.XLOOKUP(Table6[[#This Row],[Affected WTG]],'Basic Data'!$A:$A,'Basic Data'!$C:$C),"")</f>
        <v>GEDA</v>
      </c>
      <c r="J187" s="471">
        <f>IFERROR(_xlfn.XLOOKUP(Table6[[#This Row],[Affected WTG]],'Basic Data'!$A:$A,'Basic Data'!$E:$E),"")</f>
        <v>3.846153846153845E-2</v>
      </c>
      <c r="K187" s="102">
        <v>3211</v>
      </c>
      <c r="L187" s="35" t="str">
        <f>IFERROR(_xlfn.XLOOKUP(Table6[[#This Row],[Error Code]],'Basic Data'!$AA:$AA,'Basic Data'!$AB:$AB),"Incorrect Error Code")</f>
        <v>Conv. load shedding (CAN)</v>
      </c>
      <c r="M187" s="35" t="s">
        <v>291</v>
      </c>
      <c r="N187" s="475"/>
      <c r="O187" s="476">
        <v>0.31319444444444444</v>
      </c>
      <c r="P187" s="476">
        <v>0.31319444444444444</v>
      </c>
      <c r="Q187" s="477">
        <v>0.31597222222222221</v>
      </c>
      <c r="R187" s="472">
        <f>IF(Table6[[#This Row],[Work Start TimeStamp]]="","",(Table6[[#This Row],[Work Start TimeStamp]]-Table6[[#This Row],[Fault Start TimeStamp]])*24)</f>
        <v>0</v>
      </c>
      <c r="S187" s="472">
        <f>(Table6[[#This Row],[Fault Clearance time]]-Table6[[#This Row],[Work Start TimeStamp]])*24</f>
        <v>6.666666666666643E-2</v>
      </c>
      <c r="T187" s="472">
        <f>(Table6[[#This Row],[Fault Clearance time]]-Table6[[#This Row],[Fault Start TimeStamp]])*24</f>
        <v>6.666666666666643E-2</v>
      </c>
      <c r="U187" s="35" t="s">
        <v>349</v>
      </c>
      <c r="V187" s="102" t="s">
        <v>293</v>
      </c>
      <c r="W187" s="478">
        <f>IFERROR(Table6[[#This Row],[Breakdown Time]]*Table6[[#This Row],[Plant Equivalent Weightage]],"")</f>
        <v>2.5641025641025541E-3</v>
      </c>
      <c r="X187" s="473" t="s">
        <v>294</v>
      </c>
      <c r="Y187" s="474" t="s">
        <v>313</v>
      </c>
      <c r="Z187" s="102">
        <v>23698</v>
      </c>
      <c r="AA187" s="468">
        <f>(Table6[[#This Row],[Paired WTG Generation for loss calculation]]/24)*Table6[[#This Row],[Breakdown Time]]</f>
        <v>65.827777777777541</v>
      </c>
      <c r="AB187" s="102"/>
      <c r="AC187" s="35"/>
      <c r="AD187" s="35"/>
    </row>
    <row r="188" spans="1:30">
      <c r="A188" s="102">
        <f t="shared" si="3"/>
        <v>187</v>
      </c>
      <c r="B188" s="468">
        <f>YEAR(Table6[[#This Row],[Date]])+IF(MONTH(Table6[[#This Row],[Date]])&gt;=4,1,0)</f>
        <v>2026</v>
      </c>
      <c r="C188" s="102">
        <f>YEAR(Table6[[#This Row],[Date]])</f>
        <v>2025</v>
      </c>
      <c r="D188" s="102" t="s">
        <v>1992</v>
      </c>
      <c r="E188" s="469">
        <f>Table6[[#This Row],[Date]]-DAY(Table6[[#This Row],[Date]])+1</f>
        <v>45748</v>
      </c>
      <c r="F188" s="470">
        <v>45760</v>
      </c>
      <c r="G188" s="35" t="s">
        <v>86</v>
      </c>
      <c r="H188" s="35" t="str">
        <f>IFERROR(_xlfn.XLOOKUP(Table6[[#This Row],[Affected WTG]],'Basic Data'!$A:$A,'Basic Data'!$B:$B),"")</f>
        <v>TQGXIIPL</v>
      </c>
      <c r="I188" s="35" t="str">
        <f>IFERROR(_xlfn.XLOOKUP(Table6[[#This Row],[Affected WTG]],'Basic Data'!$A:$A,'Basic Data'!$C:$C),"")</f>
        <v>GEDA</v>
      </c>
      <c r="J188" s="471">
        <f>IFERROR(_xlfn.XLOOKUP(Table6[[#This Row],[Affected WTG]],'Basic Data'!$A:$A,'Basic Data'!$E:$E),"")</f>
        <v>3.846153846153845E-2</v>
      </c>
      <c r="K188" s="102">
        <v>3211</v>
      </c>
      <c r="L188" s="35" t="str">
        <f>IFERROR(_xlfn.XLOOKUP(Table6[[#This Row],[Error Code]],'Basic Data'!$AA:$AA,'Basic Data'!$AB:$AB),"Incorrect Error Code")</f>
        <v>Conv. load shedding (CAN)</v>
      </c>
      <c r="M188" s="35" t="s">
        <v>291</v>
      </c>
      <c r="N188" s="475"/>
      <c r="O188" s="476">
        <v>0.32013888888888886</v>
      </c>
      <c r="P188" s="476">
        <v>0.32013888888888886</v>
      </c>
      <c r="Q188" s="477">
        <v>0.32291666666666669</v>
      </c>
      <c r="R188" s="472">
        <f>IF(Table6[[#This Row],[Work Start TimeStamp]]="","",(Table6[[#This Row],[Work Start TimeStamp]]-Table6[[#This Row],[Fault Start TimeStamp]])*24)</f>
        <v>0</v>
      </c>
      <c r="S188" s="472">
        <f>(Table6[[#This Row],[Fault Clearance time]]-Table6[[#This Row],[Work Start TimeStamp]])*24</f>
        <v>6.6666666666667762E-2</v>
      </c>
      <c r="T188" s="472">
        <f>(Table6[[#This Row],[Fault Clearance time]]-Table6[[#This Row],[Fault Start TimeStamp]])*24</f>
        <v>6.6666666666667762E-2</v>
      </c>
      <c r="U188" s="35" t="s">
        <v>349</v>
      </c>
      <c r="V188" s="102" t="s">
        <v>293</v>
      </c>
      <c r="W188" s="478">
        <f>IFERROR(Table6[[#This Row],[Breakdown Time]]*Table6[[#This Row],[Plant Equivalent Weightage]],"")</f>
        <v>2.5641025641026053E-3</v>
      </c>
      <c r="X188" s="473" t="s">
        <v>294</v>
      </c>
      <c r="Y188" s="474" t="s">
        <v>313</v>
      </c>
      <c r="Z188" s="102">
        <v>23698</v>
      </c>
      <c r="AA188" s="468">
        <f>(Table6[[#This Row],[Paired WTG Generation for loss calculation]]/24)*Table6[[#This Row],[Breakdown Time]]</f>
        <v>65.827777777778863</v>
      </c>
      <c r="AB188" s="102"/>
      <c r="AC188" s="35"/>
      <c r="AD188" s="35"/>
    </row>
    <row r="189" spans="1:30">
      <c r="A189" s="102">
        <f t="shared" si="3"/>
        <v>188</v>
      </c>
      <c r="B189" s="468">
        <f>YEAR(Table6[[#This Row],[Date]])+IF(MONTH(Table6[[#This Row],[Date]])&gt;=4,1,0)</f>
        <v>2026</v>
      </c>
      <c r="C189" s="102">
        <f>YEAR(Table6[[#This Row],[Date]])</f>
        <v>2025</v>
      </c>
      <c r="D189" s="102" t="s">
        <v>1992</v>
      </c>
      <c r="E189" s="469">
        <f>Table6[[#This Row],[Date]]-DAY(Table6[[#This Row],[Date]])+1</f>
        <v>45748</v>
      </c>
      <c r="F189" s="470">
        <v>45760</v>
      </c>
      <c r="G189" s="35" t="s">
        <v>86</v>
      </c>
      <c r="H189" s="35" t="str">
        <f>IFERROR(_xlfn.XLOOKUP(Table6[[#This Row],[Affected WTG]],'Basic Data'!$A:$A,'Basic Data'!$B:$B),"")</f>
        <v>TQGXIIPL</v>
      </c>
      <c r="I189" s="35" t="str">
        <f>IFERROR(_xlfn.XLOOKUP(Table6[[#This Row],[Affected WTG]],'Basic Data'!$A:$A,'Basic Data'!$C:$C),"")</f>
        <v>GEDA</v>
      </c>
      <c r="J189" s="471">
        <f>IFERROR(_xlfn.XLOOKUP(Table6[[#This Row],[Affected WTG]],'Basic Data'!$A:$A,'Basic Data'!$E:$E),"")</f>
        <v>3.846153846153845E-2</v>
      </c>
      <c r="K189" s="102">
        <v>6130</v>
      </c>
      <c r="L189" s="35" t="str">
        <f>IFERROR(_xlfn.XLOOKUP(Table6[[#This Row],[Error Code]],'Basic Data'!$AA:$AA,'Basic Data'!$AB:$AB),"Incorrect Error Code")</f>
        <v>Yaw speed high</v>
      </c>
      <c r="M189" s="35" t="s">
        <v>291</v>
      </c>
      <c r="N189" s="475"/>
      <c r="O189" s="476">
        <v>0.69722222222222219</v>
      </c>
      <c r="P189" s="476">
        <v>0.69722222222222219</v>
      </c>
      <c r="Q189" s="477">
        <v>0.70138888888888884</v>
      </c>
      <c r="R189" s="472">
        <f>IF(Table6[[#This Row],[Work Start TimeStamp]]="","",(Table6[[#This Row],[Work Start TimeStamp]]-Table6[[#This Row],[Fault Start TimeStamp]])*24)</f>
        <v>0</v>
      </c>
      <c r="S189" s="472">
        <f>(Table6[[#This Row],[Fault Clearance time]]-Table6[[#This Row],[Work Start TimeStamp]])*24</f>
        <v>9.9999999999999645E-2</v>
      </c>
      <c r="T189" s="472">
        <f>(Table6[[#This Row],[Fault Clearance time]]-Table6[[#This Row],[Fault Start TimeStamp]])*24</f>
        <v>9.9999999999999645E-2</v>
      </c>
      <c r="U189" s="35" t="s">
        <v>349</v>
      </c>
      <c r="V189" s="102" t="s">
        <v>293</v>
      </c>
      <c r="W189" s="478">
        <f>IFERROR(Table6[[#This Row],[Breakdown Time]]*Table6[[#This Row],[Plant Equivalent Weightage]],"")</f>
        <v>3.8461538461538312E-3</v>
      </c>
      <c r="X189" s="473" t="s">
        <v>294</v>
      </c>
      <c r="Y189" s="474" t="s">
        <v>313</v>
      </c>
      <c r="Z189" s="102">
        <v>23698</v>
      </c>
      <c r="AA189" s="468">
        <f>(Table6[[#This Row],[Paired WTG Generation for loss calculation]]/24)*Table6[[#This Row],[Breakdown Time]]</f>
        <v>98.741666666666319</v>
      </c>
      <c r="AB189" s="102"/>
      <c r="AC189" s="35"/>
      <c r="AD189" s="35"/>
    </row>
    <row r="190" spans="1:30">
      <c r="A190" s="102">
        <f t="shared" si="3"/>
        <v>189</v>
      </c>
      <c r="B190" s="468">
        <f>YEAR(Table6[[#This Row],[Date]])+IF(MONTH(Table6[[#This Row],[Date]])&gt;=4,1,0)</f>
        <v>2026</v>
      </c>
      <c r="C190" s="102">
        <f>YEAR(Table6[[#This Row],[Date]])</f>
        <v>2025</v>
      </c>
      <c r="D190" s="102" t="s">
        <v>1992</v>
      </c>
      <c r="E190" s="469">
        <f>Table6[[#This Row],[Date]]-DAY(Table6[[#This Row],[Date]])+1</f>
        <v>45748</v>
      </c>
      <c r="F190" s="470">
        <v>45760</v>
      </c>
      <c r="G190" s="35" t="s">
        <v>86</v>
      </c>
      <c r="H190" s="35" t="str">
        <f>IFERROR(_xlfn.XLOOKUP(Table6[[#This Row],[Affected WTG]],'Basic Data'!$A:$A,'Basic Data'!$B:$B),"")</f>
        <v>TQGXIIPL</v>
      </c>
      <c r="I190" s="35" t="str">
        <f>IFERROR(_xlfn.XLOOKUP(Table6[[#This Row],[Affected WTG]],'Basic Data'!$A:$A,'Basic Data'!$C:$C),"")</f>
        <v>GEDA</v>
      </c>
      <c r="J190" s="471">
        <f>IFERROR(_xlfn.XLOOKUP(Table6[[#This Row],[Affected WTG]],'Basic Data'!$A:$A,'Basic Data'!$E:$E),"")</f>
        <v>3.846153846153845E-2</v>
      </c>
      <c r="K190" s="102">
        <v>55</v>
      </c>
      <c r="L190" s="35" t="str">
        <f>IFERROR(_xlfn.XLOOKUP(Table6[[#This Row],[Error Code]],'Basic Data'!$AA:$AA,'Basic Data'!$AB:$AB),"Incorrect Error Code")</f>
        <v>WTG shut down</v>
      </c>
      <c r="M190" s="35" t="s">
        <v>330</v>
      </c>
      <c r="N190" s="475"/>
      <c r="O190" s="476">
        <v>0.76875000000000004</v>
      </c>
      <c r="P190" s="476">
        <v>0.76875000000000004</v>
      </c>
      <c r="Q190" s="477">
        <v>0.80625000000000002</v>
      </c>
      <c r="R190" s="472">
        <f>IF(Table6[[#This Row],[Work Start TimeStamp]]="","",(Table6[[#This Row],[Work Start TimeStamp]]-Table6[[#This Row],[Fault Start TimeStamp]])*24)</f>
        <v>0</v>
      </c>
      <c r="S190" s="472">
        <f>(Table6[[#This Row],[Fault Clearance time]]-Table6[[#This Row],[Work Start TimeStamp]])*24</f>
        <v>0.89999999999999947</v>
      </c>
      <c r="T190" s="472">
        <f>(Table6[[#This Row],[Fault Clearance time]]-Table6[[#This Row],[Fault Start TimeStamp]])*24</f>
        <v>0.89999999999999947</v>
      </c>
      <c r="U190" s="35" t="s">
        <v>337</v>
      </c>
      <c r="V190" s="102" t="s">
        <v>293</v>
      </c>
      <c r="W190" s="478">
        <f>IFERROR(Table6[[#This Row],[Breakdown Time]]*Table6[[#This Row],[Plant Equivalent Weightage]],"")</f>
        <v>3.4615384615384583E-2</v>
      </c>
      <c r="X190" s="473" t="s">
        <v>290</v>
      </c>
      <c r="Y190" s="474" t="s">
        <v>313</v>
      </c>
      <c r="Z190" s="102">
        <v>23698</v>
      </c>
      <c r="AA190" s="468">
        <f>(Table6[[#This Row],[Paired WTG Generation for loss calculation]]/24)*Table6[[#This Row],[Breakdown Time]]</f>
        <v>888.67499999999939</v>
      </c>
      <c r="AB190" s="102"/>
      <c r="AC190" s="35"/>
      <c r="AD190" s="35"/>
    </row>
    <row r="191" spans="1:30">
      <c r="A191" s="102">
        <f t="shared" si="3"/>
        <v>190</v>
      </c>
      <c r="B191" s="468">
        <f>YEAR(Table6[[#This Row],[Date]])+IF(MONTH(Table6[[#This Row],[Date]])&gt;=4,1,0)</f>
        <v>2026</v>
      </c>
      <c r="C191" s="102">
        <f>YEAR(Table6[[#This Row],[Date]])</f>
        <v>2025</v>
      </c>
      <c r="D191" s="102" t="s">
        <v>1992</v>
      </c>
      <c r="E191" s="469">
        <f>Table6[[#This Row],[Date]]-DAY(Table6[[#This Row],[Date]])+1</f>
        <v>45748</v>
      </c>
      <c r="F191" s="470">
        <v>45760</v>
      </c>
      <c r="G191" s="35" t="s">
        <v>86</v>
      </c>
      <c r="H191" s="35" t="str">
        <f>IFERROR(_xlfn.XLOOKUP(Table6[[#This Row],[Affected WTG]],'Basic Data'!$A:$A,'Basic Data'!$B:$B),"")</f>
        <v>TQGXIIPL</v>
      </c>
      <c r="I191" s="35" t="str">
        <f>IFERROR(_xlfn.XLOOKUP(Table6[[#This Row],[Affected WTG]],'Basic Data'!$A:$A,'Basic Data'!$C:$C),"")</f>
        <v>GEDA</v>
      </c>
      <c r="J191" s="471">
        <f>IFERROR(_xlfn.XLOOKUP(Table6[[#This Row],[Affected WTG]],'Basic Data'!$A:$A,'Basic Data'!$E:$E),"")</f>
        <v>3.846153846153845E-2</v>
      </c>
      <c r="K191" s="102">
        <v>55</v>
      </c>
      <c r="L191" s="35" t="str">
        <f>IFERROR(_xlfn.XLOOKUP(Table6[[#This Row],[Error Code]],'Basic Data'!$AA:$AA,'Basic Data'!$AB:$AB),"Incorrect Error Code")</f>
        <v>WTG shut down</v>
      </c>
      <c r="M191" s="35" t="s">
        <v>330</v>
      </c>
      <c r="N191" s="475"/>
      <c r="O191" s="476">
        <v>0.84236111111111112</v>
      </c>
      <c r="P191" s="476">
        <v>0.84236111111111112</v>
      </c>
      <c r="Q191" s="477">
        <v>1</v>
      </c>
      <c r="R191" s="472">
        <f>IF(Table6[[#This Row],[Work Start TimeStamp]]="","",(Table6[[#This Row],[Work Start TimeStamp]]-Table6[[#This Row],[Fault Start TimeStamp]])*24)</f>
        <v>0</v>
      </c>
      <c r="S191" s="472">
        <f>(Table6[[#This Row],[Fault Clearance time]]-Table6[[#This Row],[Work Start TimeStamp]])*24</f>
        <v>3.7833333333333332</v>
      </c>
      <c r="T191" s="472">
        <f>(Table6[[#This Row],[Fault Clearance time]]-Table6[[#This Row],[Fault Start TimeStamp]])*24</f>
        <v>3.7833333333333332</v>
      </c>
      <c r="U191" s="35" t="s">
        <v>337</v>
      </c>
      <c r="V191" s="102" t="s">
        <v>293</v>
      </c>
      <c r="W191" s="478">
        <f>IFERROR(Table6[[#This Row],[Breakdown Time]]*Table6[[#This Row],[Plant Equivalent Weightage]],"")</f>
        <v>0.14551282051282047</v>
      </c>
      <c r="X191" s="473" t="s">
        <v>290</v>
      </c>
      <c r="Y191" s="474" t="s">
        <v>313</v>
      </c>
      <c r="Z191" s="102">
        <v>23698</v>
      </c>
      <c r="AA191" s="468">
        <f>(Table6[[#This Row],[Paired WTG Generation for loss calculation]]/24)*Table6[[#This Row],[Breakdown Time]]</f>
        <v>3735.7263888888888</v>
      </c>
      <c r="AB191" s="102"/>
      <c r="AC191" s="35"/>
      <c r="AD191" s="35"/>
    </row>
    <row r="192" spans="1:30">
      <c r="A192" s="102">
        <f t="shared" si="3"/>
        <v>191</v>
      </c>
      <c r="B192" s="468">
        <f>YEAR(Table6[[#This Row],[Date]])+IF(MONTH(Table6[[#This Row],[Date]])&gt;=4,1,0)</f>
        <v>2026</v>
      </c>
      <c r="C192" s="102">
        <f>YEAR(Table6[[#This Row],[Date]])</f>
        <v>2025</v>
      </c>
      <c r="D192" s="102" t="s">
        <v>1992</v>
      </c>
      <c r="E192" s="469">
        <f>Table6[[#This Row],[Date]]-DAY(Table6[[#This Row],[Date]])+1</f>
        <v>45748</v>
      </c>
      <c r="F192" s="470">
        <v>45760</v>
      </c>
      <c r="G192" s="35" t="s">
        <v>87</v>
      </c>
      <c r="H192" s="35" t="str">
        <f>IFERROR(_xlfn.XLOOKUP(Table6[[#This Row],[Affected WTG]],'Basic Data'!$A:$A,'Basic Data'!$B:$B),"")</f>
        <v>TQGXIIPL</v>
      </c>
      <c r="I192" s="35" t="str">
        <f>IFERROR(_xlfn.XLOOKUP(Table6[[#This Row],[Affected WTG]],'Basic Data'!$A:$A,'Basic Data'!$C:$C),"")</f>
        <v>GEDA</v>
      </c>
      <c r="J192" s="471">
        <f>IFERROR(_xlfn.XLOOKUP(Table6[[#This Row],[Affected WTG]],'Basic Data'!$A:$A,'Basic Data'!$E:$E),"")</f>
        <v>3.846153846153845E-2</v>
      </c>
      <c r="K192" s="102">
        <v>3211</v>
      </c>
      <c r="L192" s="35" t="str">
        <f>IFERROR(_xlfn.XLOOKUP(Table6[[#This Row],[Error Code]],'Basic Data'!$AA:$AA,'Basic Data'!$AB:$AB),"Incorrect Error Code")</f>
        <v>Conv. load shedding (CAN)</v>
      </c>
      <c r="M192" s="35" t="s">
        <v>291</v>
      </c>
      <c r="N192" s="475"/>
      <c r="O192" s="476">
        <v>0.31319444444444444</v>
      </c>
      <c r="P192" s="476">
        <v>0.31319444444444444</v>
      </c>
      <c r="Q192" s="477">
        <v>0.31666666666666665</v>
      </c>
      <c r="R192" s="472">
        <f>IF(Table6[[#This Row],[Work Start TimeStamp]]="","",(Table6[[#This Row],[Work Start TimeStamp]]-Table6[[#This Row],[Fault Start TimeStamp]])*24)</f>
        <v>0</v>
      </c>
      <c r="S192" s="472">
        <f>(Table6[[#This Row],[Fault Clearance time]]-Table6[[#This Row],[Work Start TimeStamp]])*24</f>
        <v>8.3333333333333037E-2</v>
      </c>
      <c r="T192" s="472">
        <f>(Table6[[#This Row],[Fault Clearance time]]-Table6[[#This Row],[Fault Start TimeStamp]])*24</f>
        <v>8.3333333333333037E-2</v>
      </c>
      <c r="U192" s="35" t="s">
        <v>349</v>
      </c>
      <c r="V192" s="102" t="s">
        <v>293</v>
      </c>
      <c r="W192" s="478">
        <f>IFERROR(Table6[[#This Row],[Breakdown Time]]*Table6[[#This Row],[Plant Equivalent Weightage]],"")</f>
        <v>3.2051282051281929E-3</v>
      </c>
      <c r="X192" s="473" t="s">
        <v>294</v>
      </c>
      <c r="Y192" s="474" t="s">
        <v>327</v>
      </c>
      <c r="Z192" s="102">
        <v>25190</v>
      </c>
      <c r="AA192" s="468">
        <f>(Table6[[#This Row],[Paired WTG Generation for loss calculation]]/24)*Table6[[#This Row],[Breakdown Time]]</f>
        <v>87.465277777777459</v>
      </c>
      <c r="AB192" s="102"/>
      <c r="AC192" s="35"/>
      <c r="AD192" s="35"/>
    </row>
    <row r="193" spans="1:30">
      <c r="A193" s="102">
        <f t="shared" si="3"/>
        <v>192</v>
      </c>
      <c r="B193" s="468">
        <f>YEAR(Table6[[#This Row],[Date]])+IF(MONTH(Table6[[#This Row],[Date]])&gt;=4,1,0)</f>
        <v>2026</v>
      </c>
      <c r="C193" s="102">
        <f>YEAR(Table6[[#This Row],[Date]])</f>
        <v>2025</v>
      </c>
      <c r="D193" s="102" t="s">
        <v>1992</v>
      </c>
      <c r="E193" s="469">
        <f>Table6[[#This Row],[Date]]-DAY(Table6[[#This Row],[Date]])+1</f>
        <v>45748</v>
      </c>
      <c r="F193" s="470">
        <v>45760</v>
      </c>
      <c r="G193" s="35" t="s">
        <v>87</v>
      </c>
      <c r="H193" s="35" t="str">
        <f>IFERROR(_xlfn.XLOOKUP(Table6[[#This Row],[Affected WTG]],'Basic Data'!$A:$A,'Basic Data'!$B:$B),"")</f>
        <v>TQGXIIPL</v>
      </c>
      <c r="I193" s="35" t="str">
        <f>IFERROR(_xlfn.XLOOKUP(Table6[[#This Row],[Affected WTG]],'Basic Data'!$A:$A,'Basic Data'!$C:$C),"")</f>
        <v>GEDA</v>
      </c>
      <c r="J193" s="471">
        <f>IFERROR(_xlfn.XLOOKUP(Table6[[#This Row],[Affected WTG]],'Basic Data'!$A:$A,'Basic Data'!$E:$E),"")</f>
        <v>3.846153846153845E-2</v>
      </c>
      <c r="K193" s="102">
        <v>3211</v>
      </c>
      <c r="L193" s="35" t="str">
        <f>IFERROR(_xlfn.XLOOKUP(Table6[[#This Row],[Error Code]],'Basic Data'!$AA:$AA,'Basic Data'!$AB:$AB),"Incorrect Error Code")</f>
        <v>Conv. load shedding (CAN)</v>
      </c>
      <c r="M193" s="35" t="s">
        <v>291</v>
      </c>
      <c r="N193" s="475"/>
      <c r="O193" s="476">
        <v>0.31944444444444442</v>
      </c>
      <c r="P193" s="476">
        <v>0.31944444444444442</v>
      </c>
      <c r="Q193" s="477">
        <v>0.32569444444444445</v>
      </c>
      <c r="R193" s="472">
        <f>IF(Table6[[#This Row],[Work Start TimeStamp]]="","",(Table6[[#This Row],[Work Start TimeStamp]]-Table6[[#This Row],[Fault Start TimeStamp]])*24)</f>
        <v>0</v>
      </c>
      <c r="S193" s="472">
        <f>(Table6[[#This Row],[Fault Clearance time]]-Table6[[#This Row],[Work Start TimeStamp]])*24</f>
        <v>0.1500000000000008</v>
      </c>
      <c r="T193" s="472">
        <f>(Table6[[#This Row],[Fault Clearance time]]-Table6[[#This Row],[Fault Start TimeStamp]])*24</f>
        <v>0.1500000000000008</v>
      </c>
      <c r="U193" s="35" t="s">
        <v>349</v>
      </c>
      <c r="V193" s="102" t="s">
        <v>293</v>
      </c>
      <c r="W193" s="478">
        <f>IFERROR(Table6[[#This Row],[Breakdown Time]]*Table6[[#This Row],[Plant Equivalent Weightage]],"")</f>
        <v>5.7692307692307982E-3</v>
      </c>
      <c r="X193" s="473" t="s">
        <v>294</v>
      </c>
      <c r="Y193" s="474" t="s">
        <v>327</v>
      </c>
      <c r="Z193" s="102">
        <v>25190</v>
      </c>
      <c r="AA193" s="468">
        <f>(Table6[[#This Row],[Paired WTG Generation for loss calculation]]/24)*Table6[[#This Row],[Breakdown Time]]</f>
        <v>157.43750000000082</v>
      </c>
      <c r="AB193" s="102"/>
      <c r="AC193" s="35"/>
      <c r="AD193" s="35"/>
    </row>
    <row r="194" spans="1:30">
      <c r="A194" s="102">
        <f t="shared" si="3"/>
        <v>193</v>
      </c>
      <c r="B194" s="468">
        <f>YEAR(Table6[[#This Row],[Date]])+IF(MONTH(Table6[[#This Row],[Date]])&gt;=4,1,0)</f>
        <v>2026</v>
      </c>
      <c r="C194" s="102">
        <f>YEAR(Table6[[#This Row],[Date]])</f>
        <v>2025</v>
      </c>
      <c r="D194" s="102" t="s">
        <v>1992</v>
      </c>
      <c r="E194" s="469">
        <f>Table6[[#This Row],[Date]]-DAY(Table6[[#This Row],[Date]])+1</f>
        <v>45748</v>
      </c>
      <c r="F194" s="470">
        <v>45760</v>
      </c>
      <c r="G194" s="35" t="s">
        <v>87</v>
      </c>
      <c r="H194" s="35" t="str">
        <f>IFERROR(_xlfn.XLOOKUP(Table6[[#This Row],[Affected WTG]],'Basic Data'!$A:$A,'Basic Data'!$B:$B),"")</f>
        <v>TQGXIIPL</v>
      </c>
      <c r="I194" s="35" t="str">
        <f>IFERROR(_xlfn.XLOOKUP(Table6[[#This Row],[Affected WTG]],'Basic Data'!$A:$A,'Basic Data'!$C:$C),"")</f>
        <v>GEDA</v>
      </c>
      <c r="J194" s="471">
        <f>IFERROR(_xlfn.XLOOKUP(Table6[[#This Row],[Affected WTG]],'Basic Data'!$A:$A,'Basic Data'!$E:$E),"")</f>
        <v>3.846153846153845E-2</v>
      </c>
      <c r="K194" s="102">
        <v>55</v>
      </c>
      <c r="L194" s="35" t="str">
        <f>IFERROR(_xlfn.XLOOKUP(Table6[[#This Row],[Error Code]],'Basic Data'!$AA:$AA,'Basic Data'!$AB:$AB),"Incorrect Error Code")</f>
        <v>WTG shut down</v>
      </c>
      <c r="M194" s="35" t="s">
        <v>291</v>
      </c>
      <c r="N194" s="475"/>
      <c r="O194" s="476">
        <v>0.6381944444444444</v>
      </c>
      <c r="P194" s="476">
        <v>0.6381944444444444</v>
      </c>
      <c r="Q194" s="477">
        <v>0.65694444444444444</v>
      </c>
      <c r="R194" s="472">
        <f>IF(Table6[[#This Row],[Work Start TimeStamp]]="","",(Table6[[#This Row],[Work Start TimeStamp]]-Table6[[#This Row],[Fault Start TimeStamp]])*24)</f>
        <v>0</v>
      </c>
      <c r="S194" s="472">
        <f>(Table6[[#This Row],[Fault Clearance time]]-Table6[[#This Row],[Work Start TimeStamp]])*24</f>
        <v>0.45000000000000107</v>
      </c>
      <c r="T194" s="472">
        <f>(Table6[[#This Row],[Fault Clearance time]]-Table6[[#This Row],[Fault Start TimeStamp]])*24</f>
        <v>0.45000000000000107</v>
      </c>
      <c r="U194" s="35" t="s">
        <v>389</v>
      </c>
      <c r="V194" s="102" t="s">
        <v>293</v>
      </c>
      <c r="W194" s="478">
        <f>IFERROR(Table6[[#This Row],[Breakdown Time]]*Table6[[#This Row],[Plant Equivalent Weightage]],"")</f>
        <v>1.7307692307692343E-2</v>
      </c>
      <c r="X194" s="473" t="s">
        <v>290</v>
      </c>
      <c r="Y194" s="474" t="s">
        <v>327</v>
      </c>
      <c r="Z194" s="102">
        <v>25190</v>
      </c>
      <c r="AA194" s="468">
        <f>(Table6[[#This Row],[Paired WTG Generation for loss calculation]]/24)*Table6[[#This Row],[Breakdown Time]]</f>
        <v>472.31250000000108</v>
      </c>
      <c r="AB194" s="102"/>
      <c r="AC194" s="35"/>
      <c r="AD194" s="35"/>
    </row>
    <row r="195" spans="1:30">
      <c r="A195" s="102">
        <f t="shared" si="3"/>
        <v>194</v>
      </c>
      <c r="B195" s="468">
        <f>YEAR(Table6[[#This Row],[Date]])+IF(MONTH(Table6[[#This Row],[Date]])&gt;=4,1,0)</f>
        <v>2026</v>
      </c>
      <c r="C195" s="102">
        <f>YEAR(Table6[[#This Row],[Date]])</f>
        <v>2025</v>
      </c>
      <c r="D195" s="102" t="s">
        <v>1992</v>
      </c>
      <c r="E195" s="469">
        <f>Table6[[#This Row],[Date]]-DAY(Table6[[#This Row],[Date]])+1</f>
        <v>45748</v>
      </c>
      <c r="F195" s="470">
        <v>45760</v>
      </c>
      <c r="G195" s="35" t="s">
        <v>88</v>
      </c>
      <c r="H195" s="35" t="str">
        <f>IFERROR(_xlfn.XLOOKUP(Table6[[#This Row],[Affected WTG]],'Basic Data'!$A:$A,'Basic Data'!$B:$B),"")</f>
        <v>TQGXIIPL</v>
      </c>
      <c r="I195" s="35" t="str">
        <f>IFERROR(_xlfn.XLOOKUP(Table6[[#This Row],[Affected WTG]],'Basic Data'!$A:$A,'Basic Data'!$C:$C),"")</f>
        <v>GEDA</v>
      </c>
      <c r="J195" s="471">
        <f>IFERROR(_xlfn.XLOOKUP(Table6[[#This Row],[Affected WTG]],'Basic Data'!$A:$A,'Basic Data'!$E:$E),"")</f>
        <v>3.846153846153845E-2</v>
      </c>
      <c r="K195" s="102">
        <v>55</v>
      </c>
      <c r="L195" s="35" t="str">
        <f>IFERROR(_xlfn.XLOOKUP(Table6[[#This Row],[Error Code]],'Basic Data'!$AA:$AA,'Basic Data'!$AB:$AB),"Incorrect Error Code")</f>
        <v>WTG shut down</v>
      </c>
      <c r="M195" s="35" t="s">
        <v>304</v>
      </c>
      <c r="N195" s="475"/>
      <c r="O195" s="476">
        <v>0.33402777777777776</v>
      </c>
      <c r="P195" s="476">
        <v>0.33402777777777776</v>
      </c>
      <c r="Q195" s="477">
        <v>0.62986111111111109</v>
      </c>
      <c r="R195" s="472">
        <f>IF(Table6[[#This Row],[Work Start TimeStamp]]="","",(Table6[[#This Row],[Work Start TimeStamp]]-Table6[[#This Row],[Fault Start TimeStamp]])*24)</f>
        <v>0</v>
      </c>
      <c r="S195" s="472">
        <f>(Table6[[#This Row],[Fault Clearance time]]-Table6[[#This Row],[Work Start TimeStamp]])*24</f>
        <v>7.1</v>
      </c>
      <c r="T195" s="472">
        <f>(Table6[[#This Row],[Fault Clearance time]]-Table6[[#This Row],[Fault Start TimeStamp]])*24</f>
        <v>7.1</v>
      </c>
      <c r="U195" s="35" t="s">
        <v>351</v>
      </c>
      <c r="V195" s="102" t="s">
        <v>293</v>
      </c>
      <c r="W195" s="478">
        <f>IFERROR(Table6[[#This Row],[Breakdown Time]]*Table6[[#This Row],[Plant Equivalent Weightage]],"")</f>
        <v>0.27307692307692299</v>
      </c>
      <c r="X195" s="473" t="s">
        <v>305</v>
      </c>
      <c r="Y195" s="474" t="s">
        <v>323</v>
      </c>
      <c r="Z195" s="102">
        <v>25909</v>
      </c>
      <c r="AA195" s="468">
        <f>(Table6[[#This Row],[Paired WTG Generation for loss calculation]]/24)*Table6[[#This Row],[Breakdown Time]]</f>
        <v>7664.7458333333334</v>
      </c>
      <c r="AB195" s="102"/>
      <c r="AC195" s="35"/>
      <c r="AD195" s="35"/>
    </row>
    <row r="196" spans="1:30">
      <c r="A196" s="102">
        <f t="shared" si="3"/>
        <v>195</v>
      </c>
      <c r="B196" s="468">
        <f>YEAR(Table6[[#This Row],[Date]])+IF(MONTH(Table6[[#This Row],[Date]])&gt;=4,1,0)</f>
        <v>2026</v>
      </c>
      <c r="C196" s="102">
        <f>YEAR(Table6[[#This Row],[Date]])</f>
        <v>2025</v>
      </c>
      <c r="D196" s="102" t="s">
        <v>1992</v>
      </c>
      <c r="E196" s="469">
        <f>Table6[[#This Row],[Date]]-DAY(Table6[[#This Row],[Date]])+1</f>
        <v>45748</v>
      </c>
      <c r="F196" s="470">
        <v>45760</v>
      </c>
      <c r="G196" s="35" t="s">
        <v>90</v>
      </c>
      <c r="H196" s="35" t="str">
        <f>IFERROR(_xlfn.XLOOKUP(Table6[[#This Row],[Affected WTG]],'Basic Data'!$A:$A,'Basic Data'!$B:$B),"")</f>
        <v>TQGXIIPL</v>
      </c>
      <c r="I196" s="35" t="str">
        <f>IFERROR(_xlfn.XLOOKUP(Table6[[#This Row],[Affected WTG]],'Basic Data'!$A:$A,'Basic Data'!$C:$C),"")</f>
        <v>GEDA</v>
      </c>
      <c r="J196" s="471">
        <f>IFERROR(_xlfn.XLOOKUP(Table6[[#This Row],[Affected WTG]],'Basic Data'!$A:$A,'Basic Data'!$E:$E),"")</f>
        <v>3.846153846153845E-2</v>
      </c>
      <c r="K196" s="102">
        <v>3211</v>
      </c>
      <c r="L196" s="35" t="str">
        <f>IFERROR(_xlfn.XLOOKUP(Table6[[#This Row],[Error Code]],'Basic Data'!$AA:$AA,'Basic Data'!$AB:$AB),"Incorrect Error Code")</f>
        <v>Conv. load shedding (CAN)</v>
      </c>
      <c r="M196" s="35" t="s">
        <v>291</v>
      </c>
      <c r="N196" s="475"/>
      <c r="O196" s="476">
        <v>0.91319444444444442</v>
      </c>
      <c r="P196" s="476">
        <v>0.91319444444444442</v>
      </c>
      <c r="Q196" s="477">
        <v>0.9194444444444444</v>
      </c>
      <c r="R196" s="472">
        <f>IF(Table6[[#This Row],[Work Start TimeStamp]]="","",(Table6[[#This Row],[Work Start TimeStamp]]-Table6[[#This Row],[Fault Start TimeStamp]])*24)</f>
        <v>0</v>
      </c>
      <c r="S196" s="472">
        <f>(Table6[[#This Row],[Fault Clearance time]]-Table6[[#This Row],[Work Start TimeStamp]])*24</f>
        <v>0.14999999999999947</v>
      </c>
      <c r="T196" s="472">
        <f>(Table6[[#This Row],[Fault Clearance time]]-Table6[[#This Row],[Fault Start TimeStamp]])*24</f>
        <v>0.14999999999999947</v>
      </c>
      <c r="U196" s="35" t="s">
        <v>349</v>
      </c>
      <c r="V196" s="102" t="s">
        <v>293</v>
      </c>
      <c r="W196" s="478">
        <f>IFERROR(Table6[[#This Row],[Breakdown Time]]*Table6[[#This Row],[Plant Equivalent Weightage]],"")</f>
        <v>5.769230769230747E-3</v>
      </c>
      <c r="X196" s="473" t="s">
        <v>294</v>
      </c>
      <c r="Y196" s="474" t="s">
        <v>339</v>
      </c>
      <c r="Z196" s="102">
        <v>23878</v>
      </c>
      <c r="AA196" s="468">
        <f>(Table6[[#This Row],[Paired WTG Generation for loss calculation]]/24)*Table6[[#This Row],[Breakdown Time]]</f>
        <v>149.23749999999947</v>
      </c>
      <c r="AB196" s="102"/>
      <c r="AC196" s="35"/>
      <c r="AD196" s="35"/>
    </row>
    <row r="197" spans="1:30">
      <c r="A197" s="102">
        <f t="shared" si="3"/>
        <v>196</v>
      </c>
      <c r="B197" s="468">
        <f>YEAR(Table6[[#This Row],[Date]])+IF(MONTH(Table6[[#This Row],[Date]])&gt;=4,1,0)</f>
        <v>2026</v>
      </c>
      <c r="C197" s="102">
        <f>YEAR(Table6[[#This Row],[Date]])</f>
        <v>2025</v>
      </c>
      <c r="D197" s="102" t="s">
        <v>1992</v>
      </c>
      <c r="E197" s="469">
        <f>Table6[[#This Row],[Date]]-DAY(Table6[[#This Row],[Date]])+1</f>
        <v>45748</v>
      </c>
      <c r="F197" s="470">
        <v>45760</v>
      </c>
      <c r="G197" s="35" t="s">
        <v>91</v>
      </c>
      <c r="H197" s="35" t="str">
        <f>IFERROR(_xlfn.XLOOKUP(Table6[[#This Row],[Affected WTG]],'Basic Data'!$A:$A,'Basic Data'!$B:$B),"")</f>
        <v>TQGXIIPL</v>
      </c>
      <c r="I197" s="35" t="str">
        <f>IFERROR(_xlfn.XLOOKUP(Table6[[#This Row],[Affected WTG]],'Basic Data'!$A:$A,'Basic Data'!$C:$C),"")</f>
        <v>GEDA</v>
      </c>
      <c r="J197" s="471">
        <f>IFERROR(_xlfn.XLOOKUP(Table6[[#This Row],[Affected WTG]],'Basic Data'!$A:$A,'Basic Data'!$E:$E),"")</f>
        <v>3.846153846153845E-2</v>
      </c>
      <c r="K197" s="102">
        <v>152</v>
      </c>
      <c r="L197" s="35" t="str">
        <f>IFERROR(_xlfn.XLOOKUP(Table6[[#This Row],[Error Code]],'Basic Data'!$AA:$AA,'Basic Data'!$AB:$AB),"Incorrect Error Code")</f>
        <v>SLC app. not in SAFE mode</v>
      </c>
      <c r="M197" s="35" t="s">
        <v>291</v>
      </c>
      <c r="N197" s="475"/>
      <c r="O197" s="476">
        <v>0.30486111111111114</v>
      </c>
      <c r="P197" s="476">
        <v>0.30486111111111114</v>
      </c>
      <c r="Q197" s="477">
        <v>0.30763888888888891</v>
      </c>
      <c r="R197" s="472">
        <f>IF(Table6[[#This Row],[Work Start TimeStamp]]="","",(Table6[[#This Row],[Work Start TimeStamp]]-Table6[[#This Row],[Fault Start TimeStamp]])*24)</f>
        <v>0</v>
      </c>
      <c r="S197" s="472">
        <f>(Table6[[#This Row],[Fault Clearance time]]-Table6[[#This Row],[Work Start TimeStamp]])*24</f>
        <v>6.666666666666643E-2</v>
      </c>
      <c r="T197" s="472">
        <f>(Table6[[#This Row],[Fault Clearance time]]-Table6[[#This Row],[Fault Start TimeStamp]])*24</f>
        <v>6.666666666666643E-2</v>
      </c>
      <c r="U197" s="35" t="s">
        <v>390</v>
      </c>
      <c r="V197" s="102" t="s">
        <v>293</v>
      </c>
      <c r="W197" s="478">
        <f>IFERROR(Table6[[#This Row],[Breakdown Time]]*Table6[[#This Row],[Plant Equivalent Weightage]],"")</f>
        <v>2.5641025641025541E-3</v>
      </c>
      <c r="X197" s="473" t="s">
        <v>294</v>
      </c>
      <c r="Y197" s="474" t="s">
        <v>319</v>
      </c>
      <c r="Z197" s="102">
        <v>23521</v>
      </c>
      <c r="AA197" s="468">
        <f>(Table6[[#This Row],[Paired WTG Generation for loss calculation]]/24)*Table6[[#This Row],[Breakdown Time]]</f>
        <v>65.336111111110881</v>
      </c>
      <c r="AB197" s="102"/>
      <c r="AC197" s="35"/>
      <c r="AD197" s="35"/>
    </row>
    <row r="198" spans="1:30">
      <c r="A198" s="102">
        <f t="shared" si="3"/>
        <v>197</v>
      </c>
      <c r="B198" s="468">
        <f>YEAR(Table6[[#This Row],[Date]])+IF(MONTH(Table6[[#This Row],[Date]])&gt;=4,1,0)</f>
        <v>2026</v>
      </c>
      <c r="C198" s="102">
        <f>YEAR(Table6[[#This Row],[Date]])</f>
        <v>2025</v>
      </c>
      <c r="D198" s="102" t="s">
        <v>1992</v>
      </c>
      <c r="E198" s="469">
        <f>Table6[[#This Row],[Date]]-DAY(Table6[[#This Row],[Date]])+1</f>
        <v>45748</v>
      </c>
      <c r="F198" s="470">
        <v>45760</v>
      </c>
      <c r="G198" s="35" t="s">
        <v>91</v>
      </c>
      <c r="H198" s="35" t="str">
        <f>IFERROR(_xlfn.XLOOKUP(Table6[[#This Row],[Affected WTG]],'Basic Data'!$A:$A,'Basic Data'!$B:$B),"")</f>
        <v>TQGXIIPL</v>
      </c>
      <c r="I198" s="35" t="str">
        <f>IFERROR(_xlfn.XLOOKUP(Table6[[#This Row],[Affected WTG]],'Basic Data'!$A:$A,'Basic Data'!$C:$C),"")</f>
        <v>GEDA</v>
      </c>
      <c r="J198" s="471">
        <f>IFERROR(_xlfn.XLOOKUP(Table6[[#This Row],[Affected WTG]],'Basic Data'!$A:$A,'Basic Data'!$E:$E),"")</f>
        <v>3.846153846153845E-2</v>
      </c>
      <c r="K198" s="102">
        <v>3110</v>
      </c>
      <c r="L198" s="35" t="str">
        <f>IFERROR(_xlfn.XLOOKUP(Table6[[#This Row],[Error Code]],'Basic Data'!$AA:$AA,'Basic Data'!$AB:$AB),"Incorrect Error Code")</f>
        <v>Frequency converter error</v>
      </c>
      <c r="M198" s="35" t="s">
        <v>291</v>
      </c>
      <c r="N198" s="475"/>
      <c r="O198" s="476">
        <v>0.85624999999999996</v>
      </c>
      <c r="P198" s="476">
        <v>0.85624999999999996</v>
      </c>
      <c r="Q198" s="477">
        <v>0.8618055555555556</v>
      </c>
      <c r="R198" s="472">
        <f>IF(Table6[[#This Row],[Work Start TimeStamp]]="","",(Table6[[#This Row],[Work Start TimeStamp]]-Table6[[#This Row],[Fault Start TimeStamp]])*24)</f>
        <v>0</v>
      </c>
      <c r="S198" s="472">
        <f>(Table6[[#This Row],[Fault Clearance time]]-Table6[[#This Row],[Work Start TimeStamp]])*24</f>
        <v>0.13333333333333552</v>
      </c>
      <c r="T198" s="472">
        <f>(Table6[[#This Row],[Fault Clearance time]]-Table6[[#This Row],[Fault Start TimeStamp]])*24</f>
        <v>0.13333333333333552</v>
      </c>
      <c r="U198" s="35" t="s">
        <v>349</v>
      </c>
      <c r="V198" s="102" t="s">
        <v>293</v>
      </c>
      <c r="W198" s="478">
        <f>IFERROR(Table6[[#This Row],[Breakdown Time]]*Table6[[#This Row],[Plant Equivalent Weightage]],"")</f>
        <v>5.1282051282052106E-3</v>
      </c>
      <c r="X198" s="473" t="s">
        <v>294</v>
      </c>
      <c r="Y198" s="474" t="s">
        <v>319</v>
      </c>
      <c r="Z198" s="102">
        <v>23521</v>
      </c>
      <c r="AA198" s="468">
        <f>(Table6[[#This Row],[Paired WTG Generation for loss calculation]]/24)*Table6[[#This Row],[Breakdown Time]]</f>
        <v>130.67222222222438</v>
      </c>
      <c r="AB198" s="102"/>
      <c r="AC198" s="35"/>
      <c r="AD198" s="35"/>
    </row>
    <row r="199" spans="1:30">
      <c r="A199" s="102">
        <f t="shared" si="3"/>
        <v>198</v>
      </c>
      <c r="B199" s="468">
        <f>YEAR(Table6[[#This Row],[Date]])+IF(MONTH(Table6[[#This Row],[Date]])&gt;=4,1,0)</f>
        <v>2026</v>
      </c>
      <c r="C199" s="102">
        <f>YEAR(Table6[[#This Row],[Date]])</f>
        <v>2025</v>
      </c>
      <c r="D199" s="102" t="s">
        <v>1992</v>
      </c>
      <c r="E199" s="469">
        <f>Table6[[#This Row],[Date]]-DAY(Table6[[#This Row],[Date]])+1</f>
        <v>45748</v>
      </c>
      <c r="F199" s="470">
        <v>45760</v>
      </c>
      <c r="G199" s="35" t="s">
        <v>91</v>
      </c>
      <c r="H199" s="35" t="str">
        <f>IFERROR(_xlfn.XLOOKUP(Table6[[#This Row],[Affected WTG]],'Basic Data'!$A:$A,'Basic Data'!$B:$B),"")</f>
        <v>TQGXIIPL</v>
      </c>
      <c r="I199" s="35" t="str">
        <f>IFERROR(_xlfn.XLOOKUP(Table6[[#This Row],[Affected WTG]],'Basic Data'!$A:$A,'Basic Data'!$C:$C),"")</f>
        <v>GEDA</v>
      </c>
      <c r="J199" s="471">
        <f>IFERROR(_xlfn.XLOOKUP(Table6[[#This Row],[Affected WTG]],'Basic Data'!$A:$A,'Basic Data'!$E:$E),"")</f>
        <v>3.846153846153845E-2</v>
      </c>
      <c r="K199" s="102">
        <v>3110</v>
      </c>
      <c r="L199" s="35" t="str">
        <f>IFERROR(_xlfn.XLOOKUP(Table6[[#This Row],[Error Code]],'Basic Data'!$AA:$AA,'Basic Data'!$AB:$AB),"Incorrect Error Code")</f>
        <v>Frequency converter error</v>
      </c>
      <c r="M199" s="35" t="s">
        <v>291</v>
      </c>
      <c r="N199" s="475"/>
      <c r="O199" s="476">
        <v>0.88124999999999998</v>
      </c>
      <c r="P199" s="476">
        <v>0.88124999999999998</v>
      </c>
      <c r="Q199" s="477">
        <v>0.9</v>
      </c>
      <c r="R199" s="472">
        <f>IF(Table6[[#This Row],[Work Start TimeStamp]]="","",(Table6[[#This Row],[Work Start TimeStamp]]-Table6[[#This Row],[Fault Start TimeStamp]])*24)</f>
        <v>0</v>
      </c>
      <c r="S199" s="472">
        <f>(Table6[[#This Row],[Fault Clearance time]]-Table6[[#This Row],[Work Start TimeStamp]])*24</f>
        <v>0.45000000000000107</v>
      </c>
      <c r="T199" s="472">
        <f>(Table6[[#This Row],[Fault Clearance time]]-Table6[[#This Row],[Fault Start TimeStamp]])*24</f>
        <v>0.45000000000000107</v>
      </c>
      <c r="U199" s="35" t="s">
        <v>349</v>
      </c>
      <c r="V199" s="102" t="s">
        <v>293</v>
      </c>
      <c r="W199" s="478">
        <f>IFERROR(Table6[[#This Row],[Breakdown Time]]*Table6[[#This Row],[Plant Equivalent Weightage]],"")</f>
        <v>1.7307692307692343E-2</v>
      </c>
      <c r="X199" s="473" t="s">
        <v>294</v>
      </c>
      <c r="Y199" s="474" t="s">
        <v>319</v>
      </c>
      <c r="Z199" s="102">
        <v>23521</v>
      </c>
      <c r="AA199" s="468">
        <f>(Table6[[#This Row],[Paired WTG Generation for loss calculation]]/24)*Table6[[#This Row],[Breakdown Time]]</f>
        <v>441.01875000000103</v>
      </c>
      <c r="AB199" s="102"/>
      <c r="AC199" s="35"/>
      <c r="AD199" s="35"/>
    </row>
    <row r="200" spans="1:30">
      <c r="A200" s="102">
        <f t="shared" si="3"/>
        <v>199</v>
      </c>
      <c r="B200" s="468">
        <f>YEAR(Table6[[#This Row],[Date]])+IF(MONTH(Table6[[#This Row],[Date]])&gt;=4,1,0)</f>
        <v>2026</v>
      </c>
      <c r="C200" s="102">
        <f>YEAR(Table6[[#This Row],[Date]])</f>
        <v>2025</v>
      </c>
      <c r="D200" s="102" t="s">
        <v>1992</v>
      </c>
      <c r="E200" s="469">
        <f>Table6[[#This Row],[Date]]-DAY(Table6[[#This Row],[Date]])+1</f>
        <v>45748</v>
      </c>
      <c r="F200" s="470">
        <v>45760</v>
      </c>
      <c r="G200" s="35" t="s">
        <v>91</v>
      </c>
      <c r="H200" s="35" t="str">
        <f>IFERROR(_xlfn.XLOOKUP(Table6[[#This Row],[Affected WTG]],'Basic Data'!$A:$A,'Basic Data'!$B:$B),"")</f>
        <v>TQGXIIPL</v>
      </c>
      <c r="I200" s="35" t="str">
        <f>IFERROR(_xlfn.XLOOKUP(Table6[[#This Row],[Affected WTG]],'Basic Data'!$A:$A,'Basic Data'!$C:$C),"")</f>
        <v>GEDA</v>
      </c>
      <c r="J200" s="471">
        <f>IFERROR(_xlfn.XLOOKUP(Table6[[#This Row],[Affected WTG]],'Basic Data'!$A:$A,'Basic Data'!$E:$E),"")</f>
        <v>3.846153846153845E-2</v>
      </c>
      <c r="K200" s="102">
        <v>665</v>
      </c>
      <c r="L200" s="35" t="str">
        <f>IFERROR(_xlfn.XLOOKUP(Table6[[#This Row],[Error Code]],'Basic Data'!$AA:$AA,'Basic Data'!$AB:$AB),"Incorrect Error Code")</f>
        <v>Pitch error</v>
      </c>
      <c r="M200" s="35" t="s">
        <v>291</v>
      </c>
      <c r="N200" s="475"/>
      <c r="O200" s="476">
        <v>0.97291666666666665</v>
      </c>
      <c r="P200" s="476">
        <v>0.97291666666666665</v>
      </c>
      <c r="Q200" s="477">
        <v>0.9770833333333333</v>
      </c>
      <c r="R200" s="472">
        <f>IF(Table6[[#This Row],[Work Start TimeStamp]]="","",(Table6[[#This Row],[Work Start TimeStamp]]-Table6[[#This Row],[Fault Start TimeStamp]])*24)</f>
        <v>0</v>
      </c>
      <c r="S200" s="472">
        <f>(Table6[[#This Row],[Fault Clearance time]]-Table6[[#This Row],[Work Start TimeStamp]])*24</f>
        <v>9.9999999999999645E-2</v>
      </c>
      <c r="T200" s="472">
        <f>(Table6[[#This Row],[Fault Clearance time]]-Table6[[#This Row],[Fault Start TimeStamp]])*24</f>
        <v>9.9999999999999645E-2</v>
      </c>
      <c r="U200" s="35" t="s">
        <v>349</v>
      </c>
      <c r="V200" s="102" t="s">
        <v>293</v>
      </c>
      <c r="W200" s="478">
        <f>IFERROR(Table6[[#This Row],[Breakdown Time]]*Table6[[#This Row],[Plant Equivalent Weightage]],"")</f>
        <v>3.8461538461538312E-3</v>
      </c>
      <c r="X200" s="473" t="s">
        <v>294</v>
      </c>
      <c r="Y200" s="474" t="s">
        <v>319</v>
      </c>
      <c r="Z200" s="102">
        <v>23521</v>
      </c>
      <c r="AA200" s="468">
        <f>(Table6[[#This Row],[Paired WTG Generation for loss calculation]]/24)*Table6[[#This Row],[Breakdown Time]]</f>
        <v>98.004166666666308</v>
      </c>
      <c r="AB200" s="102"/>
      <c r="AC200" s="35"/>
      <c r="AD200" s="35"/>
    </row>
    <row r="201" spans="1:30">
      <c r="A201" s="102">
        <f t="shared" si="3"/>
        <v>200</v>
      </c>
      <c r="B201" s="468">
        <f>YEAR(Table6[[#This Row],[Date]])+IF(MONTH(Table6[[#This Row],[Date]])&gt;=4,1,0)</f>
        <v>2026</v>
      </c>
      <c r="C201" s="102">
        <f>YEAR(Table6[[#This Row],[Date]])</f>
        <v>2025</v>
      </c>
      <c r="D201" s="102" t="s">
        <v>1992</v>
      </c>
      <c r="E201" s="469">
        <f>Table6[[#This Row],[Date]]-DAY(Table6[[#This Row],[Date]])+1</f>
        <v>45748</v>
      </c>
      <c r="F201" s="470">
        <v>45760</v>
      </c>
      <c r="G201" s="35" t="s">
        <v>92</v>
      </c>
      <c r="H201" s="35" t="str">
        <f>IFERROR(_xlfn.XLOOKUP(Table6[[#This Row],[Affected WTG]],'Basic Data'!$A:$A,'Basic Data'!$B:$B),"")</f>
        <v>TQGXIIPL</v>
      </c>
      <c r="I201" s="35" t="str">
        <f>IFERROR(_xlfn.XLOOKUP(Table6[[#This Row],[Affected WTG]],'Basic Data'!$A:$A,'Basic Data'!$C:$C),"")</f>
        <v>GEDA</v>
      </c>
      <c r="J201" s="471">
        <f>IFERROR(_xlfn.XLOOKUP(Table6[[#This Row],[Affected WTG]],'Basic Data'!$A:$A,'Basic Data'!$E:$E),"")</f>
        <v>3.846153846153845E-2</v>
      </c>
      <c r="K201" s="102">
        <v>3110</v>
      </c>
      <c r="L201" s="35" t="str">
        <f>IFERROR(_xlfn.XLOOKUP(Table6[[#This Row],[Error Code]],'Basic Data'!$AA:$AA,'Basic Data'!$AB:$AB),"Incorrect Error Code")</f>
        <v>Frequency converter error</v>
      </c>
      <c r="M201" s="35" t="s">
        <v>291</v>
      </c>
      <c r="N201" s="475"/>
      <c r="O201" s="476">
        <v>0.31041666666666667</v>
      </c>
      <c r="P201" s="476">
        <v>0.31041666666666667</v>
      </c>
      <c r="Q201" s="477">
        <v>0.32708333333333334</v>
      </c>
      <c r="R201" s="472">
        <f>IF(Table6[[#This Row],[Work Start TimeStamp]]="","",(Table6[[#This Row],[Work Start TimeStamp]]-Table6[[#This Row],[Fault Start TimeStamp]])*24)</f>
        <v>0</v>
      </c>
      <c r="S201" s="472">
        <f>(Table6[[#This Row],[Fault Clearance time]]-Table6[[#This Row],[Work Start TimeStamp]])*24</f>
        <v>0.39999999999999991</v>
      </c>
      <c r="T201" s="472">
        <f>(Table6[[#This Row],[Fault Clearance time]]-Table6[[#This Row],[Fault Start TimeStamp]])*24</f>
        <v>0.39999999999999991</v>
      </c>
      <c r="U201" s="35" t="s">
        <v>390</v>
      </c>
      <c r="V201" s="102" t="s">
        <v>293</v>
      </c>
      <c r="W201" s="478">
        <f>IFERROR(Table6[[#This Row],[Breakdown Time]]*Table6[[#This Row],[Plant Equivalent Weightage]],"")</f>
        <v>1.5384615384615377E-2</v>
      </c>
      <c r="X201" s="473" t="s">
        <v>294</v>
      </c>
      <c r="Y201" s="474" t="s">
        <v>310</v>
      </c>
      <c r="Z201" s="102">
        <v>22036</v>
      </c>
      <c r="AA201" s="468">
        <f>(Table6[[#This Row],[Paired WTG Generation for loss calculation]]/24)*Table6[[#This Row],[Breakdown Time]]</f>
        <v>367.26666666666659</v>
      </c>
      <c r="AB201" s="102"/>
      <c r="AC201" s="35"/>
      <c r="AD201" s="35"/>
    </row>
    <row r="202" spans="1:30">
      <c r="A202" s="102">
        <f t="shared" si="3"/>
        <v>201</v>
      </c>
      <c r="B202" s="468">
        <f>YEAR(Table6[[#This Row],[Date]])+IF(MONTH(Table6[[#This Row],[Date]])&gt;=4,1,0)</f>
        <v>2026</v>
      </c>
      <c r="C202" s="102">
        <f>YEAR(Table6[[#This Row],[Date]])</f>
        <v>2025</v>
      </c>
      <c r="D202" s="102" t="s">
        <v>1992</v>
      </c>
      <c r="E202" s="469">
        <f>Table6[[#This Row],[Date]]-DAY(Table6[[#This Row],[Date]])+1</f>
        <v>45748</v>
      </c>
      <c r="F202" s="470">
        <v>45760</v>
      </c>
      <c r="G202" s="35" t="s">
        <v>92</v>
      </c>
      <c r="H202" s="35" t="str">
        <f>IFERROR(_xlfn.XLOOKUP(Table6[[#This Row],[Affected WTG]],'Basic Data'!$A:$A,'Basic Data'!$B:$B),"")</f>
        <v>TQGXIIPL</v>
      </c>
      <c r="I202" s="35" t="str">
        <f>IFERROR(_xlfn.XLOOKUP(Table6[[#This Row],[Affected WTG]],'Basic Data'!$A:$A,'Basic Data'!$C:$C),"")</f>
        <v>GEDA</v>
      </c>
      <c r="J202" s="471">
        <f>IFERROR(_xlfn.XLOOKUP(Table6[[#This Row],[Affected WTG]],'Basic Data'!$A:$A,'Basic Data'!$E:$E),"")</f>
        <v>3.846153846153845E-2</v>
      </c>
      <c r="K202" s="102">
        <v>55</v>
      </c>
      <c r="L202" s="35" t="str">
        <f>IFERROR(_xlfn.XLOOKUP(Table6[[#This Row],[Error Code]],'Basic Data'!$AA:$AA,'Basic Data'!$AB:$AB),"Incorrect Error Code")</f>
        <v>WTG shut down</v>
      </c>
      <c r="M202" s="35" t="s">
        <v>291</v>
      </c>
      <c r="N202" s="475"/>
      <c r="O202" s="476">
        <v>0.32708333333333334</v>
      </c>
      <c r="P202" s="476">
        <v>0.38541666666666669</v>
      </c>
      <c r="Q202" s="477">
        <v>0.4465277777777778</v>
      </c>
      <c r="R202" s="472">
        <f>IF(Table6[[#This Row],[Work Start TimeStamp]]="","",(Table6[[#This Row],[Work Start TimeStamp]]-Table6[[#This Row],[Fault Start TimeStamp]])*24)</f>
        <v>1.4000000000000004</v>
      </c>
      <c r="S202" s="472">
        <f>(Table6[[#This Row],[Fault Clearance time]]-Table6[[#This Row],[Work Start TimeStamp]])*24</f>
        <v>1.4666666666666668</v>
      </c>
      <c r="T202" s="472">
        <f>(Table6[[#This Row],[Fault Clearance time]]-Table6[[#This Row],[Fault Start TimeStamp]])*24</f>
        <v>2.8666666666666671</v>
      </c>
      <c r="U202" s="35" t="s">
        <v>389</v>
      </c>
      <c r="V202" s="102" t="s">
        <v>293</v>
      </c>
      <c r="W202" s="478">
        <f>IFERROR(Table6[[#This Row],[Breakdown Time]]*Table6[[#This Row],[Plant Equivalent Weightage]],"")</f>
        <v>0.11025641025641024</v>
      </c>
      <c r="X202" s="473" t="s">
        <v>290</v>
      </c>
      <c r="Y202" s="474" t="s">
        <v>310</v>
      </c>
      <c r="Z202" s="102">
        <v>22036</v>
      </c>
      <c r="AA202" s="468">
        <f>(Table6[[#This Row],[Paired WTG Generation for loss calculation]]/24)*Table6[[#This Row],[Breakdown Time]]</f>
        <v>2632.077777777778</v>
      </c>
      <c r="AB202" s="102"/>
      <c r="AC202" s="35"/>
      <c r="AD202" s="35"/>
    </row>
    <row r="203" spans="1:30">
      <c r="A203" s="102">
        <f t="shared" si="3"/>
        <v>202</v>
      </c>
      <c r="B203" s="468">
        <f>YEAR(Table6[[#This Row],[Date]])+IF(MONTH(Table6[[#This Row],[Date]])&gt;=4,1,0)</f>
        <v>2026</v>
      </c>
      <c r="C203" s="102">
        <f>YEAR(Table6[[#This Row],[Date]])</f>
        <v>2025</v>
      </c>
      <c r="D203" s="102" t="s">
        <v>1992</v>
      </c>
      <c r="E203" s="469">
        <f>Table6[[#This Row],[Date]]-DAY(Table6[[#This Row],[Date]])+1</f>
        <v>45748</v>
      </c>
      <c r="F203" s="470">
        <v>45760</v>
      </c>
      <c r="G203" s="35" t="s">
        <v>92</v>
      </c>
      <c r="H203" s="35" t="str">
        <f>IFERROR(_xlfn.XLOOKUP(Table6[[#This Row],[Affected WTG]],'Basic Data'!$A:$A,'Basic Data'!$B:$B),"")</f>
        <v>TQGXIIPL</v>
      </c>
      <c r="I203" s="35" t="str">
        <f>IFERROR(_xlfn.XLOOKUP(Table6[[#This Row],[Affected WTG]],'Basic Data'!$A:$A,'Basic Data'!$C:$C),"")</f>
        <v>GEDA</v>
      </c>
      <c r="J203" s="471">
        <f>IFERROR(_xlfn.XLOOKUP(Table6[[#This Row],[Affected WTG]],'Basic Data'!$A:$A,'Basic Data'!$E:$E),"")</f>
        <v>3.846153846153845E-2</v>
      </c>
      <c r="K203" s="102">
        <v>53</v>
      </c>
      <c r="L203" s="35" t="str">
        <f>IFERROR(_xlfn.XLOOKUP(Table6[[#This Row],[Error Code]],'Basic Data'!$AA:$AA,'Basic Data'!$AB:$AB),"Incorrect Error Code")</f>
        <v>Wind dir.dev. level 1</v>
      </c>
      <c r="M203" s="35" t="s">
        <v>291</v>
      </c>
      <c r="N203" s="475"/>
      <c r="O203" s="476">
        <v>0.66041666666666665</v>
      </c>
      <c r="P203" s="476">
        <v>0.66041666666666665</v>
      </c>
      <c r="Q203" s="477">
        <v>0.66249999999999998</v>
      </c>
      <c r="R203" s="472">
        <f>IF(Table6[[#This Row],[Work Start TimeStamp]]="","",(Table6[[#This Row],[Work Start TimeStamp]]-Table6[[#This Row],[Fault Start TimeStamp]])*24)</f>
        <v>0</v>
      </c>
      <c r="S203" s="472">
        <f>(Table6[[#This Row],[Fault Clearance time]]-Table6[[#This Row],[Work Start TimeStamp]])*24</f>
        <v>4.9999999999999822E-2</v>
      </c>
      <c r="T203" s="472">
        <f>(Table6[[#This Row],[Fault Clearance time]]-Table6[[#This Row],[Fault Start TimeStamp]])*24</f>
        <v>4.9999999999999822E-2</v>
      </c>
      <c r="U203" s="35" t="s">
        <v>349</v>
      </c>
      <c r="V203" s="102" t="s">
        <v>293</v>
      </c>
      <c r="W203" s="478">
        <f>IFERROR(Table6[[#This Row],[Breakdown Time]]*Table6[[#This Row],[Plant Equivalent Weightage]],"")</f>
        <v>1.9230769230769156E-3</v>
      </c>
      <c r="X203" s="473" t="s">
        <v>294</v>
      </c>
      <c r="Y203" s="474" t="s">
        <v>310</v>
      </c>
      <c r="Z203" s="102">
        <v>22036</v>
      </c>
      <c r="AA203" s="468">
        <f>(Table6[[#This Row],[Paired WTG Generation for loss calculation]]/24)*Table6[[#This Row],[Breakdown Time]]</f>
        <v>45.908333333333168</v>
      </c>
      <c r="AB203" s="102"/>
      <c r="AC203" s="35"/>
      <c r="AD203" s="35"/>
    </row>
    <row r="204" spans="1:30">
      <c r="A204" s="102">
        <f t="shared" si="3"/>
        <v>203</v>
      </c>
      <c r="B204" s="468">
        <f>YEAR(Table6[[#This Row],[Date]])+IF(MONTH(Table6[[#This Row],[Date]])&gt;=4,1,0)</f>
        <v>2026</v>
      </c>
      <c r="C204" s="102">
        <f>YEAR(Table6[[#This Row],[Date]])</f>
        <v>2025</v>
      </c>
      <c r="D204" s="102" t="s">
        <v>1992</v>
      </c>
      <c r="E204" s="469">
        <f>Table6[[#This Row],[Date]]-DAY(Table6[[#This Row],[Date]])+1</f>
        <v>45748</v>
      </c>
      <c r="F204" s="470">
        <v>45760</v>
      </c>
      <c r="G204" s="35" t="s">
        <v>94</v>
      </c>
      <c r="H204" s="35" t="str">
        <f>IFERROR(_xlfn.XLOOKUP(Table6[[#This Row],[Affected WTG]],'Basic Data'!$A:$A,'Basic Data'!$B:$B),"")</f>
        <v>TQGXIIPL</v>
      </c>
      <c r="I204" s="35" t="str">
        <f>IFERROR(_xlfn.XLOOKUP(Table6[[#This Row],[Affected WTG]],'Basic Data'!$A:$A,'Basic Data'!$C:$C),"")</f>
        <v>GEDA</v>
      </c>
      <c r="J204" s="471">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291</v>
      </c>
      <c r="N204" s="475"/>
      <c r="O204" s="476">
        <v>0.29444444444444445</v>
      </c>
      <c r="P204" s="476">
        <v>0.29444444444444445</v>
      </c>
      <c r="Q204" s="477">
        <v>0.36249999999999999</v>
      </c>
      <c r="R204" s="472">
        <f>IF(Table6[[#This Row],[Work Start TimeStamp]]="","",(Table6[[#This Row],[Work Start TimeStamp]]-Table6[[#This Row],[Fault Start TimeStamp]])*24)</f>
        <v>0</v>
      </c>
      <c r="S204" s="472">
        <f>(Table6[[#This Row],[Fault Clearance time]]-Table6[[#This Row],[Work Start TimeStamp]])*24</f>
        <v>1.6333333333333329</v>
      </c>
      <c r="T204" s="472">
        <f>(Table6[[#This Row],[Fault Clearance time]]-Table6[[#This Row],[Fault Start TimeStamp]])*24</f>
        <v>1.6333333333333329</v>
      </c>
      <c r="U204" s="35" t="s">
        <v>345</v>
      </c>
      <c r="V204" s="102" t="s">
        <v>293</v>
      </c>
      <c r="W204" s="478">
        <f>IFERROR(Table6[[#This Row],[Breakdown Time]]*Table6[[#This Row],[Plant Equivalent Weightage]],"")</f>
        <v>6.2820512820512778E-2</v>
      </c>
      <c r="X204" s="473" t="s">
        <v>294</v>
      </c>
      <c r="Y204" s="474" t="s">
        <v>319</v>
      </c>
      <c r="Z204" s="102">
        <v>23521</v>
      </c>
      <c r="AA204" s="468">
        <f>(Table6[[#This Row],[Paired WTG Generation for loss calculation]]/24)*Table6[[#This Row],[Breakdown Time]]</f>
        <v>1600.7347222222218</v>
      </c>
      <c r="AB204" s="102"/>
      <c r="AC204" s="35"/>
      <c r="AD204" s="35"/>
    </row>
    <row r="205" spans="1:30">
      <c r="A205" s="102">
        <f t="shared" si="3"/>
        <v>204</v>
      </c>
      <c r="B205" s="468">
        <f>YEAR(Table6[[#This Row],[Date]])+IF(MONTH(Table6[[#This Row],[Date]])&gt;=4,1,0)</f>
        <v>2026</v>
      </c>
      <c r="C205" s="102">
        <f>YEAR(Table6[[#This Row],[Date]])</f>
        <v>2025</v>
      </c>
      <c r="D205" s="102" t="s">
        <v>1992</v>
      </c>
      <c r="E205" s="469">
        <f>Table6[[#This Row],[Date]]-DAY(Table6[[#This Row],[Date]])+1</f>
        <v>45748</v>
      </c>
      <c r="F205" s="470">
        <v>45760</v>
      </c>
      <c r="G205" s="35" t="s">
        <v>97</v>
      </c>
      <c r="H205" s="35" t="str">
        <f>IFERROR(_xlfn.XLOOKUP(Table6[[#This Row],[Affected WTG]],'Basic Data'!$A:$A,'Basic Data'!$B:$B),"")</f>
        <v>TQGXIIPL</v>
      </c>
      <c r="I205" s="35" t="str">
        <f>IFERROR(_xlfn.XLOOKUP(Table6[[#This Row],[Affected WTG]],'Basic Data'!$A:$A,'Basic Data'!$C:$C),"")</f>
        <v>GEDA</v>
      </c>
      <c r="J205" s="471">
        <f>IFERROR(_xlfn.XLOOKUP(Table6[[#This Row],[Affected WTG]],'Basic Data'!$A:$A,'Basic Data'!$E:$E),"")</f>
        <v>3.846153846153845E-2</v>
      </c>
      <c r="K205" s="102">
        <v>3110</v>
      </c>
      <c r="L205" s="35" t="str">
        <f>IFERROR(_xlfn.XLOOKUP(Table6[[#This Row],[Error Code]],'Basic Data'!$AA:$AA,'Basic Data'!$AB:$AB),"Incorrect Error Code")</f>
        <v>Frequency converter error</v>
      </c>
      <c r="M205" s="35" t="s">
        <v>291</v>
      </c>
      <c r="N205" s="475"/>
      <c r="O205" s="476">
        <v>0.30833333333333335</v>
      </c>
      <c r="P205" s="476">
        <v>0.33194444444444443</v>
      </c>
      <c r="Q205" s="477">
        <v>0.38541666666666669</v>
      </c>
      <c r="R205" s="472">
        <f>IF(Table6[[#This Row],[Work Start TimeStamp]]="","",(Table6[[#This Row],[Work Start TimeStamp]]-Table6[[#This Row],[Fault Start TimeStamp]])*24)</f>
        <v>0.56666666666666599</v>
      </c>
      <c r="S205" s="472">
        <f>(Table6[[#This Row],[Fault Clearance time]]-Table6[[#This Row],[Work Start TimeStamp]])*24</f>
        <v>1.2833333333333341</v>
      </c>
      <c r="T205" s="472">
        <f>(Table6[[#This Row],[Fault Clearance time]]-Table6[[#This Row],[Fault Start TimeStamp]])*24</f>
        <v>1.85</v>
      </c>
      <c r="U205" s="35" t="s">
        <v>391</v>
      </c>
      <c r="V205" s="102" t="s">
        <v>293</v>
      </c>
      <c r="W205" s="478">
        <f>IFERROR(Table6[[#This Row],[Breakdown Time]]*Table6[[#This Row],[Plant Equivalent Weightage]],"")</f>
        <v>7.1153846153846137E-2</v>
      </c>
      <c r="X205" s="473" t="s">
        <v>294</v>
      </c>
      <c r="Y205" s="474" t="s">
        <v>320</v>
      </c>
      <c r="Z205" s="102">
        <v>24441</v>
      </c>
      <c r="AA205" s="468">
        <f>(Table6[[#This Row],[Paired WTG Generation for loss calculation]]/24)*Table6[[#This Row],[Breakdown Time]]</f>
        <v>1883.9937500000001</v>
      </c>
      <c r="AB205" s="102"/>
      <c r="AC205" s="35"/>
      <c r="AD205" s="35"/>
    </row>
    <row r="206" spans="1:30">
      <c r="A206" s="102">
        <f t="shared" ref="A206:A269" si="4">A205+1</f>
        <v>205</v>
      </c>
      <c r="B206" s="468">
        <f>YEAR(Table6[[#This Row],[Date]])+IF(MONTH(Table6[[#This Row],[Date]])&gt;=4,1,0)</f>
        <v>2026</v>
      </c>
      <c r="C206" s="102">
        <f>YEAR(Table6[[#This Row],[Date]])</f>
        <v>2025</v>
      </c>
      <c r="D206" s="102" t="s">
        <v>1992</v>
      </c>
      <c r="E206" s="469">
        <f>Table6[[#This Row],[Date]]-DAY(Table6[[#This Row],[Date]])+1</f>
        <v>45748</v>
      </c>
      <c r="F206" s="470">
        <v>45760</v>
      </c>
      <c r="G206" s="35" t="s">
        <v>98</v>
      </c>
      <c r="H206" s="35" t="str">
        <f>IFERROR(_xlfn.XLOOKUP(Table6[[#This Row],[Affected WTG]],'Basic Data'!$A:$A,'Basic Data'!$B:$B),"")</f>
        <v>TQGXIIPL</v>
      </c>
      <c r="I206" s="35" t="str">
        <f>IFERROR(_xlfn.XLOOKUP(Table6[[#This Row],[Affected WTG]],'Basic Data'!$A:$A,'Basic Data'!$C:$C),"")</f>
        <v>GEDA</v>
      </c>
      <c r="J206" s="471">
        <f>IFERROR(_xlfn.XLOOKUP(Table6[[#This Row],[Affected WTG]],'Basic Data'!$A:$A,'Basic Data'!$E:$E),"")</f>
        <v>3.846153846153845E-2</v>
      </c>
      <c r="K206" s="102">
        <v>3110</v>
      </c>
      <c r="L206" s="35" t="str">
        <f>IFERROR(_xlfn.XLOOKUP(Table6[[#This Row],[Error Code]],'Basic Data'!$AA:$AA,'Basic Data'!$AB:$AB),"Incorrect Error Code")</f>
        <v>Frequency converter error</v>
      </c>
      <c r="M206" s="35" t="s">
        <v>291</v>
      </c>
      <c r="N206" s="475"/>
      <c r="O206" s="476">
        <v>0.91666666666666663</v>
      </c>
      <c r="P206" s="476">
        <v>0.91666666666666663</v>
      </c>
      <c r="Q206" s="477">
        <v>0.92083333333333328</v>
      </c>
      <c r="R206" s="472">
        <f>IF(Table6[[#This Row],[Work Start TimeStamp]]="","",(Table6[[#This Row],[Work Start TimeStamp]]-Table6[[#This Row],[Fault Start TimeStamp]])*24)</f>
        <v>0</v>
      </c>
      <c r="S206" s="472">
        <f>(Table6[[#This Row],[Fault Clearance time]]-Table6[[#This Row],[Work Start TimeStamp]])*24</f>
        <v>9.9999999999999645E-2</v>
      </c>
      <c r="T206" s="472">
        <f>(Table6[[#This Row],[Fault Clearance time]]-Table6[[#This Row],[Fault Start TimeStamp]])*24</f>
        <v>9.9999999999999645E-2</v>
      </c>
      <c r="U206" s="35" t="s">
        <v>349</v>
      </c>
      <c r="V206" s="102" t="s">
        <v>293</v>
      </c>
      <c r="W206" s="478">
        <f>IFERROR(Table6[[#This Row],[Breakdown Time]]*Table6[[#This Row],[Plant Equivalent Weightage]],"")</f>
        <v>3.8461538461538312E-3</v>
      </c>
      <c r="X206" s="473" t="s">
        <v>294</v>
      </c>
      <c r="Y206" s="474" t="s">
        <v>315</v>
      </c>
      <c r="Z206" s="102">
        <v>26489</v>
      </c>
      <c r="AA206" s="468">
        <f>(Table6[[#This Row],[Paired WTG Generation for loss calculation]]/24)*Table6[[#This Row],[Breakdown Time]]</f>
        <v>110.37083333333294</v>
      </c>
      <c r="AB206" s="102"/>
      <c r="AC206" s="35"/>
      <c r="AD206" s="35"/>
    </row>
    <row r="207" spans="1:30">
      <c r="A207" s="102">
        <f t="shared" si="4"/>
        <v>206</v>
      </c>
      <c r="B207" s="468">
        <f>YEAR(Table6[[#This Row],[Date]])+IF(MONTH(Table6[[#This Row],[Date]])&gt;=4,1,0)</f>
        <v>2026</v>
      </c>
      <c r="C207" s="102">
        <f>YEAR(Table6[[#This Row],[Date]])</f>
        <v>2025</v>
      </c>
      <c r="D207" s="102" t="s">
        <v>1992</v>
      </c>
      <c r="E207" s="469">
        <f>Table6[[#This Row],[Date]]-DAY(Table6[[#This Row],[Date]])+1</f>
        <v>45748</v>
      </c>
      <c r="F207" s="470">
        <v>45760</v>
      </c>
      <c r="G207" s="35" t="s">
        <v>98</v>
      </c>
      <c r="H207" s="35" t="str">
        <f>IFERROR(_xlfn.XLOOKUP(Table6[[#This Row],[Affected WTG]],'Basic Data'!$A:$A,'Basic Data'!$B:$B),"")</f>
        <v>TQGXIIPL</v>
      </c>
      <c r="I207" s="35" t="str">
        <f>IFERROR(_xlfn.XLOOKUP(Table6[[#This Row],[Affected WTG]],'Basic Data'!$A:$A,'Basic Data'!$C:$C),"")</f>
        <v>GEDA</v>
      </c>
      <c r="J207" s="471">
        <f>IFERROR(_xlfn.XLOOKUP(Table6[[#This Row],[Affected WTG]],'Basic Data'!$A:$A,'Basic Data'!$E:$E),"")</f>
        <v>3.846153846153845E-2</v>
      </c>
      <c r="K207" s="102">
        <v>1070</v>
      </c>
      <c r="L207" s="35" t="str">
        <f>IFERROR(_xlfn.XLOOKUP(Table6[[#This Row],[Error Code]],'Basic Data'!$AA:$AA,'Basic Data'!$AB:$AB),"Incorrect Error Code")</f>
        <v>Drive train monitor level 2</v>
      </c>
      <c r="M207" s="35" t="s">
        <v>291</v>
      </c>
      <c r="N207" s="475"/>
      <c r="O207" s="476">
        <v>0.98263888888888884</v>
      </c>
      <c r="P207" s="476">
        <v>0.98263888888888884</v>
      </c>
      <c r="Q207" s="477">
        <v>0.98402777777777772</v>
      </c>
      <c r="R207" s="472">
        <f>IF(Table6[[#This Row],[Work Start TimeStamp]]="","",(Table6[[#This Row],[Work Start TimeStamp]]-Table6[[#This Row],[Fault Start TimeStamp]])*24)</f>
        <v>0</v>
      </c>
      <c r="S207" s="472">
        <f>(Table6[[#This Row],[Fault Clearance time]]-Table6[[#This Row],[Work Start TimeStamp]])*24</f>
        <v>3.3333333333333215E-2</v>
      </c>
      <c r="T207" s="472">
        <f>(Table6[[#This Row],[Fault Clearance time]]-Table6[[#This Row],[Fault Start TimeStamp]])*24</f>
        <v>3.3333333333333215E-2</v>
      </c>
      <c r="U207" s="35" t="s">
        <v>349</v>
      </c>
      <c r="V207" s="102" t="s">
        <v>293</v>
      </c>
      <c r="W207" s="478">
        <f>IFERROR(Table6[[#This Row],[Breakdown Time]]*Table6[[#This Row],[Plant Equivalent Weightage]],"")</f>
        <v>1.2820512820512771E-3</v>
      </c>
      <c r="X207" s="473" t="s">
        <v>294</v>
      </c>
      <c r="Y207" s="474" t="s">
        <v>315</v>
      </c>
      <c r="Z207" s="102">
        <v>26489</v>
      </c>
      <c r="AA207" s="468">
        <f>(Table6[[#This Row],[Paired WTG Generation for loss calculation]]/24)*Table6[[#This Row],[Breakdown Time]]</f>
        <v>36.790277777777646</v>
      </c>
      <c r="AB207" s="102"/>
      <c r="AC207" s="35"/>
      <c r="AD207" s="35"/>
    </row>
    <row r="208" spans="1:30">
      <c r="A208" s="102">
        <f t="shared" si="4"/>
        <v>207</v>
      </c>
      <c r="B208" s="468">
        <f>YEAR(Table6[[#This Row],[Date]])+IF(MONTH(Table6[[#This Row],[Date]])&gt;=4,1,0)</f>
        <v>2026</v>
      </c>
      <c r="C208" s="102">
        <f>YEAR(Table6[[#This Row],[Date]])</f>
        <v>2025</v>
      </c>
      <c r="D208" s="102" t="s">
        <v>1992</v>
      </c>
      <c r="E208" s="469">
        <f>Table6[[#This Row],[Date]]-DAY(Table6[[#This Row],[Date]])+1</f>
        <v>45748</v>
      </c>
      <c r="F208" s="470">
        <v>45761</v>
      </c>
      <c r="G208" s="35" t="s">
        <v>75</v>
      </c>
      <c r="H208" s="35" t="str">
        <f>IFERROR(_xlfn.XLOOKUP(Table6[[#This Row],[Affected WTG]],'Basic Data'!$A:$A,'Basic Data'!$B:$B),"")</f>
        <v>TQGXIIPL</v>
      </c>
      <c r="I208" s="35" t="str">
        <f>IFERROR(_xlfn.XLOOKUP(Table6[[#This Row],[Affected WTG]],'Basic Data'!$A:$A,'Basic Data'!$C:$C),"")</f>
        <v>GEDA</v>
      </c>
      <c r="J208" s="471">
        <f>IFERROR(_xlfn.XLOOKUP(Table6[[#This Row],[Affected WTG]],'Basic Data'!$A:$A,'Basic Data'!$E:$E),"")</f>
        <v>3.846153846153845E-2</v>
      </c>
      <c r="K208" s="102">
        <v>6130</v>
      </c>
      <c r="L208" s="35" t="str">
        <f>IFERROR(_xlfn.XLOOKUP(Table6[[#This Row],[Error Code]],'Basic Data'!$AA:$AA,'Basic Data'!$AB:$AB),"Incorrect Error Code")</f>
        <v>Yaw speed high</v>
      </c>
      <c r="M208" s="35" t="s">
        <v>291</v>
      </c>
      <c r="N208" s="475"/>
      <c r="O208" s="476">
        <v>0.34166666666666667</v>
      </c>
      <c r="P208" s="476">
        <v>0.34166666666666667</v>
      </c>
      <c r="Q208" s="477">
        <v>0.34583333333333333</v>
      </c>
      <c r="R208" s="472">
        <f>IF(Table6[[#This Row],[Work Start TimeStamp]]="","",(Table6[[#This Row],[Work Start TimeStamp]]-Table6[[#This Row],[Fault Start TimeStamp]])*24)</f>
        <v>0</v>
      </c>
      <c r="S208" s="472">
        <f>(Table6[[#This Row],[Fault Clearance time]]-Table6[[#This Row],[Work Start TimeStamp]])*24</f>
        <v>9.9999999999999645E-2</v>
      </c>
      <c r="T208" s="472">
        <f>(Table6[[#This Row],[Fault Clearance time]]-Table6[[#This Row],[Fault Start TimeStamp]])*24</f>
        <v>9.9999999999999645E-2</v>
      </c>
      <c r="U208" s="35" t="s">
        <v>349</v>
      </c>
      <c r="V208" s="102" t="s">
        <v>293</v>
      </c>
      <c r="W208" s="478">
        <f>IFERROR(Table6[[#This Row],[Breakdown Time]]*Table6[[#This Row],[Plant Equivalent Weightage]],"")</f>
        <v>3.8461538461538312E-3</v>
      </c>
      <c r="X208" s="473" t="s">
        <v>294</v>
      </c>
      <c r="Y208" s="474" t="s">
        <v>318</v>
      </c>
      <c r="Z208" s="102">
        <v>54526</v>
      </c>
      <c r="AA208" s="468">
        <f>(Table6[[#This Row],[Paired WTG Generation for loss calculation]]/24)*Table6[[#This Row],[Breakdown Time]]</f>
        <v>227.19166666666584</v>
      </c>
      <c r="AB208" s="102"/>
      <c r="AC208" s="35"/>
      <c r="AD208" s="35"/>
    </row>
    <row r="209" spans="1:30">
      <c r="A209" s="102">
        <f t="shared" si="4"/>
        <v>208</v>
      </c>
      <c r="B209" s="468">
        <f>YEAR(Table6[[#This Row],[Date]])+IF(MONTH(Table6[[#This Row],[Date]])&gt;=4,1,0)</f>
        <v>2026</v>
      </c>
      <c r="C209" s="102">
        <f>YEAR(Table6[[#This Row],[Date]])</f>
        <v>2025</v>
      </c>
      <c r="D209" s="102" t="s">
        <v>1992</v>
      </c>
      <c r="E209" s="469">
        <f>Table6[[#This Row],[Date]]-DAY(Table6[[#This Row],[Date]])+1</f>
        <v>45748</v>
      </c>
      <c r="F209" s="470">
        <v>45761</v>
      </c>
      <c r="G209" s="35" t="s">
        <v>75</v>
      </c>
      <c r="H209" s="35" t="str">
        <f>IFERROR(_xlfn.XLOOKUP(Table6[[#This Row],[Affected WTG]],'Basic Data'!$A:$A,'Basic Data'!$B:$B),"")</f>
        <v>TQGXIIPL</v>
      </c>
      <c r="I209" s="35" t="str">
        <f>IFERROR(_xlfn.XLOOKUP(Table6[[#This Row],[Affected WTG]],'Basic Data'!$A:$A,'Basic Data'!$C:$C),"")</f>
        <v>GEDA</v>
      </c>
      <c r="J209" s="471">
        <f>IFERROR(_xlfn.XLOOKUP(Table6[[#This Row],[Affected WTG]],'Basic Data'!$A:$A,'Basic Data'!$E:$E),"")</f>
        <v>3.846153846153845E-2</v>
      </c>
      <c r="K209" s="102">
        <v>6130</v>
      </c>
      <c r="L209" s="35" t="str">
        <f>IFERROR(_xlfn.XLOOKUP(Table6[[#This Row],[Error Code]],'Basic Data'!$AA:$AA,'Basic Data'!$AB:$AB),"Incorrect Error Code")</f>
        <v>Yaw speed high</v>
      </c>
      <c r="M209" s="35" t="s">
        <v>291</v>
      </c>
      <c r="N209" s="475"/>
      <c r="O209" s="476">
        <v>0.50416666666666665</v>
      </c>
      <c r="P209" s="476">
        <v>0.50416666666666665</v>
      </c>
      <c r="Q209" s="477">
        <v>0.50972222222222219</v>
      </c>
      <c r="R209" s="472">
        <f>IF(Table6[[#This Row],[Work Start TimeStamp]]="","",(Table6[[#This Row],[Work Start TimeStamp]]-Table6[[#This Row],[Fault Start TimeStamp]])*24)</f>
        <v>0</v>
      </c>
      <c r="S209" s="472">
        <f>(Table6[[#This Row],[Fault Clearance time]]-Table6[[#This Row],[Work Start TimeStamp]])*24</f>
        <v>0.13333333333333286</v>
      </c>
      <c r="T209" s="472">
        <f>(Table6[[#This Row],[Fault Clearance time]]-Table6[[#This Row],[Fault Start TimeStamp]])*24</f>
        <v>0.13333333333333286</v>
      </c>
      <c r="U209" s="35" t="s">
        <v>349</v>
      </c>
      <c r="V209" s="102" t="s">
        <v>293</v>
      </c>
      <c r="W209" s="478">
        <f>IFERROR(Table6[[#This Row],[Breakdown Time]]*Table6[[#This Row],[Plant Equivalent Weightage]],"")</f>
        <v>5.1282051282051083E-3</v>
      </c>
      <c r="X209" s="473" t="s">
        <v>294</v>
      </c>
      <c r="Y209" s="474" t="s">
        <v>318</v>
      </c>
      <c r="Z209" s="102">
        <v>54526</v>
      </c>
      <c r="AA209" s="468">
        <f>(Table6[[#This Row],[Paired WTG Generation for loss calculation]]/24)*Table6[[#This Row],[Breakdown Time]]</f>
        <v>302.92222222222114</v>
      </c>
      <c r="AB209" s="102"/>
      <c r="AC209" s="35"/>
      <c r="AD209" s="35"/>
    </row>
    <row r="210" spans="1:30">
      <c r="A210" s="102">
        <f t="shared" si="4"/>
        <v>209</v>
      </c>
      <c r="B210" s="468">
        <f>YEAR(Table6[[#This Row],[Date]])+IF(MONTH(Table6[[#This Row],[Date]])&gt;=4,1,0)</f>
        <v>2026</v>
      </c>
      <c r="C210" s="102">
        <f>YEAR(Table6[[#This Row],[Date]])</f>
        <v>2025</v>
      </c>
      <c r="D210" s="102" t="s">
        <v>1992</v>
      </c>
      <c r="E210" s="469">
        <f>Table6[[#This Row],[Date]]-DAY(Table6[[#This Row],[Date]])+1</f>
        <v>45748</v>
      </c>
      <c r="F210" s="470">
        <v>45761</v>
      </c>
      <c r="G210" s="35" t="s">
        <v>76</v>
      </c>
      <c r="H210" s="35" t="str">
        <f>IFERROR(_xlfn.XLOOKUP(Table6[[#This Row],[Affected WTG]],'Basic Data'!$A:$A,'Basic Data'!$B:$B),"")</f>
        <v>TQGXIIPL</v>
      </c>
      <c r="I210" s="35" t="str">
        <f>IFERROR(_xlfn.XLOOKUP(Table6[[#This Row],[Affected WTG]],'Basic Data'!$A:$A,'Basic Data'!$C:$C),"")</f>
        <v>GEDA</v>
      </c>
      <c r="J210" s="471">
        <f>IFERROR(_xlfn.XLOOKUP(Table6[[#This Row],[Affected WTG]],'Basic Data'!$A:$A,'Basic Data'!$E:$E),"")</f>
        <v>3.846153846153845E-2</v>
      </c>
      <c r="K210" s="102">
        <v>175</v>
      </c>
      <c r="L210" s="35" t="str">
        <f>IFERROR(_xlfn.XLOOKUP(Table6[[#This Row],[Error Code]],'Basic Data'!$AA:$AA,'Basic Data'!$AB:$AB),"Incorrect Error Code")</f>
        <v>SLC error</v>
      </c>
      <c r="M210" s="35" t="s">
        <v>298</v>
      </c>
      <c r="N210" s="475"/>
      <c r="O210" s="476">
        <v>0.16597222222222222</v>
      </c>
      <c r="P210" s="476">
        <v>0.16597222222222222</v>
      </c>
      <c r="Q210" s="477">
        <v>0.2048611111111111</v>
      </c>
      <c r="R210" s="472">
        <f>IF(Table6[[#This Row],[Work Start TimeStamp]]="","",(Table6[[#This Row],[Work Start TimeStamp]]-Table6[[#This Row],[Fault Start TimeStamp]])*24)</f>
        <v>0</v>
      </c>
      <c r="S210" s="472">
        <f>(Table6[[#This Row],[Fault Clearance time]]-Table6[[#This Row],[Work Start TimeStamp]])*24</f>
        <v>0.93333333333333335</v>
      </c>
      <c r="T210" s="472">
        <f>(Table6[[#This Row],[Fault Clearance time]]-Table6[[#This Row],[Fault Start TimeStamp]])*24</f>
        <v>0.93333333333333335</v>
      </c>
      <c r="U210" s="35" t="s">
        <v>392</v>
      </c>
      <c r="V210" s="102" t="s">
        <v>293</v>
      </c>
      <c r="W210" s="478">
        <f>IFERROR(Table6[[#This Row],[Breakdown Time]]*Table6[[#This Row],[Plant Equivalent Weightage]],"")</f>
        <v>3.5897435897435888E-2</v>
      </c>
      <c r="X210" s="473" t="s">
        <v>294</v>
      </c>
      <c r="Y210" s="474" t="s">
        <v>309</v>
      </c>
      <c r="Z210" s="102">
        <v>45058</v>
      </c>
      <c r="AA210" s="468">
        <f>(Table6[[#This Row],[Paired WTG Generation for loss calculation]]/24)*Table6[[#This Row],[Breakdown Time]]</f>
        <v>1752.2555555555557</v>
      </c>
      <c r="AB210" s="102"/>
      <c r="AC210" s="35"/>
      <c r="AD210" s="35"/>
    </row>
    <row r="211" spans="1:30">
      <c r="A211" s="102">
        <f t="shared" si="4"/>
        <v>210</v>
      </c>
      <c r="B211" s="468">
        <f>YEAR(Table6[[#This Row],[Date]])+IF(MONTH(Table6[[#This Row],[Date]])&gt;=4,1,0)</f>
        <v>2026</v>
      </c>
      <c r="C211" s="102">
        <f>YEAR(Table6[[#This Row],[Date]])</f>
        <v>2025</v>
      </c>
      <c r="D211" s="102" t="s">
        <v>1992</v>
      </c>
      <c r="E211" s="469">
        <f>Table6[[#This Row],[Date]]-DAY(Table6[[#This Row],[Date]])+1</f>
        <v>45748</v>
      </c>
      <c r="F211" s="470">
        <v>45761</v>
      </c>
      <c r="G211" s="35" t="s">
        <v>76</v>
      </c>
      <c r="H211" s="35" t="str">
        <f>IFERROR(_xlfn.XLOOKUP(Table6[[#This Row],[Affected WTG]],'Basic Data'!$A:$A,'Basic Data'!$B:$B),"")</f>
        <v>TQGXIIPL</v>
      </c>
      <c r="I211" s="35" t="str">
        <f>IFERROR(_xlfn.XLOOKUP(Table6[[#This Row],[Affected WTG]],'Basic Data'!$A:$A,'Basic Data'!$C:$C),"")</f>
        <v>GEDA</v>
      </c>
      <c r="J211" s="471">
        <f>IFERROR(_xlfn.XLOOKUP(Table6[[#This Row],[Affected WTG]],'Basic Data'!$A:$A,'Basic Data'!$E:$E),"")</f>
        <v>3.846153846153845E-2</v>
      </c>
      <c r="K211" s="102">
        <v>175</v>
      </c>
      <c r="L211" s="35" t="str">
        <f>IFERROR(_xlfn.XLOOKUP(Table6[[#This Row],[Error Code]],'Basic Data'!$AA:$AA,'Basic Data'!$AB:$AB),"Incorrect Error Code")</f>
        <v>SLC error</v>
      </c>
      <c r="M211" s="35" t="s">
        <v>291</v>
      </c>
      <c r="N211" s="475"/>
      <c r="O211" s="476">
        <v>0.6958333333333333</v>
      </c>
      <c r="P211" s="476">
        <v>0.6958333333333333</v>
      </c>
      <c r="Q211" s="477">
        <v>0.79097222222222219</v>
      </c>
      <c r="R211" s="472">
        <f>IF(Table6[[#This Row],[Work Start TimeStamp]]="","",(Table6[[#This Row],[Work Start TimeStamp]]-Table6[[#This Row],[Fault Start TimeStamp]])*24)</f>
        <v>0</v>
      </c>
      <c r="S211" s="472">
        <f>(Table6[[#This Row],[Fault Clearance time]]-Table6[[#This Row],[Work Start TimeStamp]])*24</f>
        <v>2.2833333333333332</v>
      </c>
      <c r="T211" s="472">
        <f>(Table6[[#This Row],[Fault Clearance time]]-Table6[[#This Row],[Fault Start TimeStamp]])*24</f>
        <v>2.2833333333333332</v>
      </c>
      <c r="U211" s="35" t="s">
        <v>393</v>
      </c>
      <c r="V211" s="102" t="s">
        <v>293</v>
      </c>
      <c r="W211" s="478">
        <f>IFERROR(Table6[[#This Row],[Breakdown Time]]*Table6[[#This Row],[Plant Equivalent Weightage]],"")</f>
        <v>8.7820512820512786E-2</v>
      </c>
      <c r="X211" s="473" t="s">
        <v>294</v>
      </c>
      <c r="Y211" s="474" t="s">
        <v>309</v>
      </c>
      <c r="Z211" s="102">
        <v>45058</v>
      </c>
      <c r="AA211" s="468">
        <f>(Table6[[#This Row],[Paired WTG Generation for loss calculation]]/24)*Table6[[#This Row],[Breakdown Time]]</f>
        <v>4286.7680555555553</v>
      </c>
      <c r="AB211" s="102"/>
      <c r="AC211" s="35"/>
      <c r="AD211" s="35"/>
    </row>
    <row r="212" spans="1:30">
      <c r="A212" s="102">
        <f t="shared" si="4"/>
        <v>211</v>
      </c>
      <c r="B212" s="468">
        <f>YEAR(Table6[[#This Row],[Date]])+IF(MONTH(Table6[[#This Row],[Date]])&gt;=4,1,0)</f>
        <v>2026</v>
      </c>
      <c r="C212" s="102">
        <f>YEAR(Table6[[#This Row],[Date]])</f>
        <v>2025</v>
      </c>
      <c r="D212" s="102" t="s">
        <v>1992</v>
      </c>
      <c r="E212" s="469">
        <f>Table6[[#This Row],[Date]]-DAY(Table6[[#This Row],[Date]])+1</f>
        <v>45748</v>
      </c>
      <c r="F212" s="470">
        <v>45761</v>
      </c>
      <c r="G212" s="35" t="s">
        <v>77</v>
      </c>
      <c r="H212" s="35" t="str">
        <f>IFERROR(_xlfn.XLOOKUP(Table6[[#This Row],[Affected WTG]],'Basic Data'!$A:$A,'Basic Data'!$B:$B),"")</f>
        <v>TQGXIIPL</v>
      </c>
      <c r="I212" s="35" t="str">
        <f>IFERROR(_xlfn.XLOOKUP(Table6[[#This Row],[Affected WTG]],'Basic Data'!$A:$A,'Basic Data'!$C:$C),"")</f>
        <v>GEDA</v>
      </c>
      <c r="J212" s="471">
        <f>IFERROR(_xlfn.XLOOKUP(Table6[[#This Row],[Affected WTG]],'Basic Data'!$A:$A,'Basic Data'!$E:$E),"")</f>
        <v>3.846153846153845E-2</v>
      </c>
      <c r="K212" s="102">
        <v>1700</v>
      </c>
      <c r="L212" s="35" t="str">
        <f>IFERROR(_xlfn.XLOOKUP(Table6[[#This Row],[Error Code]],'Basic Data'!$AA:$AA,'Basic Data'!$AB:$AB),"Incorrect Error Code")</f>
        <v>High temp. gear bearing 1</v>
      </c>
      <c r="M212" s="35" t="s">
        <v>291</v>
      </c>
      <c r="N212" s="475"/>
      <c r="O212" s="476">
        <v>0.78333333333333333</v>
      </c>
      <c r="P212" s="476">
        <v>0.78333333333333333</v>
      </c>
      <c r="Q212" s="477">
        <v>0.79027777777777775</v>
      </c>
      <c r="R212" s="472">
        <f>IF(Table6[[#This Row],[Work Start TimeStamp]]="","",(Table6[[#This Row],[Work Start TimeStamp]]-Table6[[#This Row],[Fault Start TimeStamp]])*24)</f>
        <v>0</v>
      </c>
      <c r="S212" s="472">
        <f>(Table6[[#This Row],[Fault Clearance time]]-Table6[[#This Row],[Work Start TimeStamp]])*24</f>
        <v>0.16666666666666607</v>
      </c>
      <c r="T212" s="472">
        <f>(Table6[[#This Row],[Fault Clearance time]]-Table6[[#This Row],[Fault Start TimeStamp]])*24</f>
        <v>0.16666666666666607</v>
      </c>
      <c r="U212" s="35" t="s">
        <v>349</v>
      </c>
      <c r="V212" s="102" t="s">
        <v>293</v>
      </c>
      <c r="W212" s="478">
        <f>IFERROR(Table6[[#This Row],[Breakdown Time]]*Table6[[#This Row],[Plant Equivalent Weightage]],"")</f>
        <v>6.4102564102563857E-3</v>
      </c>
      <c r="X212" s="473" t="s">
        <v>294</v>
      </c>
      <c r="Y212" s="474" t="s">
        <v>310</v>
      </c>
      <c r="Z212" s="102">
        <v>52855</v>
      </c>
      <c r="AA212" s="468">
        <f>(Table6[[#This Row],[Paired WTG Generation for loss calculation]]/24)*Table6[[#This Row],[Breakdown Time]]</f>
        <v>367.04861111110978</v>
      </c>
      <c r="AB212" s="102"/>
      <c r="AC212" s="35"/>
      <c r="AD212" s="35"/>
    </row>
    <row r="213" spans="1:30">
      <c r="A213" s="102">
        <f t="shared" si="4"/>
        <v>212</v>
      </c>
      <c r="B213" s="468">
        <f>YEAR(Table6[[#This Row],[Date]])+IF(MONTH(Table6[[#This Row],[Date]])&gt;=4,1,0)</f>
        <v>2026</v>
      </c>
      <c r="C213" s="102">
        <f>YEAR(Table6[[#This Row],[Date]])</f>
        <v>2025</v>
      </c>
      <c r="D213" s="102" t="s">
        <v>1992</v>
      </c>
      <c r="E213" s="469">
        <f>Table6[[#This Row],[Date]]-DAY(Table6[[#This Row],[Date]])+1</f>
        <v>45748</v>
      </c>
      <c r="F213" s="470">
        <v>45761</v>
      </c>
      <c r="G213" s="35" t="s">
        <v>78</v>
      </c>
      <c r="H213" s="35" t="str">
        <f>IFERROR(_xlfn.XLOOKUP(Table6[[#This Row],[Affected WTG]],'Basic Data'!$A:$A,'Basic Data'!$B:$B),"")</f>
        <v>TQGXIIPL</v>
      </c>
      <c r="I213" s="35" t="str">
        <f>IFERROR(_xlfn.XLOOKUP(Table6[[#This Row],[Affected WTG]],'Basic Data'!$A:$A,'Basic Data'!$C:$C),"")</f>
        <v>GEDA</v>
      </c>
      <c r="J213" s="471">
        <f>IFERROR(_xlfn.XLOOKUP(Table6[[#This Row],[Affected WTG]],'Basic Data'!$A:$A,'Basic Data'!$E:$E),"")</f>
        <v>3.846153846153845E-2</v>
      </c>
      <c r="K213" s="102">
        <v>6130</v>
      </c>
      <c r="L213" s="35" t="str">
        <f>IFERROR(_xlfn.XLOOKUP(Table6[[#This Row],[Error Code]],'Basic Data'!$AA:$AA,'Basic Data'!$AB:$AB),"Incorrect Error Code")</f>
        <v>Yaw speed high</v>
      </c>
      <c r="M213" s="35" t="s">
        <v>291</v>
      </c>
      <c r="N213" s="475"/>
      <c r="O213" s="476">
        <v>0.49930555555555556</v>
      </c>
      <c r="P213" s="476">
        <v>0.49930555555555556</v>
      </c>
      <c r="Q213" s="477">
        <v>0.50347222222222221</v>
      </c>
      <c r="R213" s="472">
        <f>IF(Table6[[#This Row],[Work Start TimeStamp]]="","",(Table6[[#This Row],[Work Start TimeStamp]]-Table6[[#This Row],[Fault Start TimeStamp]])*24)</f>
        <v>0</v>
      </c>
      <c r="S213" s="472">
        <f>(Table6[[#This Row],[Fault Clearance time]]-Table6[[#This Row],[Work Start TimeStamp]])*24</f>
        <v>9.9999999999999645E-2</v>
      </c>
      <c r="T213" s="472">
        <f>(Table6[[#This Row],[Fault Clearance time]]-Table6[[#This Row],[Fault Start TimeStamp]])*24</f>
        <v>9.9999999999999645E-2</v>
      </c>
      <c r="U213" s="35" t="s">
        <v>394</v>
      </c>
      <c r="V213" s="102" t="s">
        <v>293</v>
      </c>
      <c r="W213" s="478">
        <f>IFERROR(Table6[[#This Row],[Breakdown Time]]*Table6[[#This Row],[Plant Equivalent Weightage]],"")</f>
        <v>3.8461538461538312E-3</v>
      </c>
      <c r="X213" s="473" t="s">
        <v>294</v>
      </c>
      <c r="Y213" s="474" t="s">
        <v>333</v>
      </c>
      <c r="Z213" s="102">
        <v>54587</v>
      </c>
      <c r="AA213" s="468">
        <f>(Table6[[#This Row],[Paired WTG Generation for loss calculation]]/24)*Table6[[#This Row],[Breakdown Time]]</f>
        <v>227.44583333333253</v>
      </c>
      <c r="AB213" s="102"/>
      <c r="AC213" s="35"/>
      <c r="AD213" s="35"/>
    </row>
    <row r="214" spans="1:30">
      <c r="A214" s="102">
        <f t="shared" si="4"/>
        <v>213</v>
      </c>
      <c r="B214" s="468">
        <f>YEAR(Table6[[#This Row],[Date]])+IF(MONTH(Table6[[#This Row],[Date]])&gt;=4,1,0)</f>
        <v>2026</v>
      </c>
      <c r="C214" s="102">
        <f>YEAR(Table6[[#This Row],[Date]])</f>
        <v>2025</v>
      </c>
      <c r="D214" s="102" t="s">
        <v>1992</v>
      </c>
      <c r="E214" s="469">
        <f>Table6[[#This Row],[Date]]-DAY(Table6[[#This Row],[Date]])+1</f>
        <v>45748</v>
      </c>
      <c r="F214" s="470">
        <v>45761</v>
      </c>
      <c r="G214" s="35" t="s">
        <v>80</v>
      </c>
      <c r="H214" s="35" t="str">
        <f>IFERROR(_xlfn.XLOOKUP(Table6[[#This Row],[Affected WTG]],'Basic Data'!$A:$A,'Basic Data'!$B:$B),"")</f>
        <v>TQGXIIPL</v>
      </c>
      <c r="I214" s="35" t="str">
        <f>IFERROR(_xlfn.XLOOKUP(Table6[[#This Row],[Affected WTG]],'Basic Data'!$A:$A,'Basic Data'!$C:$C),"")</f>
        <v>GEDA</v>
      </c>
      <c r="J214" s="471">
        <f>IFERROR(_xlfn.XLOOKUP(Table6[[#This Row],[Affected WTG]],'Basic Data'!$A:$A,'Basic Data'!$E:$E),"")</f>
        <v>3.846153846153845E-2</v>
      </c>
      <c r="K214" s="102">
        <v>6130</v>
      </c>
      <c r="L214" s="35" t="str">
        <f>IFERROR(_xlfn.XLOOKUP(Table6[[#This Row],[Error Code]],'Basic Data'!$AA:$AA,'Basic Data'!$AB:$AB),"Incorrect Error Code")</f>
        <v>Yaw speed high</v>
      </c>
      <c r="M214" s="35" t="s">
        <v>291</v>
      </c>
      <c r="N214" s="475"/>
      <c r="O214" s="476">
        <v>0.33750000000000002</v>
      </c>
      <c r="P214" s="476">
        <v>0.33750000000000002</v>
      </c>
      <c r="Q214" s="477">
        <v>0.33958333333333335</v>
      </c>
      <c r="R214" s="472">
        <f>IF(Table6[[#This Row],[Work Start TimeStamp]]="","",(Table6[[#This Row],[Work Start TimeStamp]]-Table6[[#This Row],[Fault Start TimeStamp]])*24)</f>
        <v>0</v>
      </c>
      <c r="S214" s="472">
        <f>(Table6[[#This Row],[Fault Clearance time]]-Table6[[#This Row],[Work Start TimeStamp]])*24</f>
        <v>4.9999999999999822E-2</v>
      </c>
      <c r="T214" s="472">
        <f>(Table6[[#This Row],[Fault Clearance time]]-Table6[[#This Row],[Fault Start TimeStamp]])*24</f>
        <v>4.9999999999999822E-2</v>
      </c>
      <c r="U214" s="35" t="s">
        <v>394</v>
      </c>
      <c r="V214" s="102" t="s">
        <v>293</v>
      </c>
      <c r="W214" s="478">
        <f>IFERROR(Table6[[#This Row],[Breakdown Time]]*Table6[[#This Row],[Plant Equivalent Weightage]],"")</f>
        <v>1.9230769230769156E-3</v>
      </c>
      <c r="X214" s="473" t="s">
        <v>294</v>
      </c>
      <c r="Y214" s="474" t="s">
        <v>317</v>
      </c>
      <c r="Z214" s="102">
        <v>55152</v>
      </c>
      <c r="AA214" s="468">
        <f>(Table6[[#This Row],[Paired WTG Generation for loss calculation]]/24)*Table6[[#This Row],[Breakdown Time]]</f>
        <v>114.89999999999959</v>
      </c>
      <c r="AB214" s="102"/>
      <c r="AC214" s="35"/>
      <c r="AD214" s="35"/>
    </row>
    <row r="215" spans="1:30">
      <c r="A215" s="102">
        <f t="shared" si="4"/>
        <v>214</v>
      </c>
      <c r="B215" s="468">
        <f>YEAR(Table6[[#This Row],[Date]])+IF(MONTH(Table6[[#This Row],[Date]])&gt;=4,1,0)</f>
        <v>2026</v>
      </c>
      <c r="C215" s="102">
        <f>YEAR(Table6[[#This Row],[Date]])</f>
        <v>2025</v>
      </c>
      <c r="D215" s="102" t="s">
        <v>1992</v>
      </c>
      <c r="E215" s="469">
        <f>Table6[[#This Row],[Date]]-DAY(Table6[[#This Row],[Date]])+1</f>
        <v>45748</v>
      </c>
      <c r="F215" s="470">
        <v>45761</v>
      </c>
      <c r="G215" s="35" t="s">
        <v>81</v>
      </c>
      <c r="H215" s="35" t="str">
        <f>IFERROR(_xlfn.XLOOKUP(Table6[[#This Row],[Affected WTG]],'Basic Data'!$A:$A,'Basic Data'!$B:$B),"")</f>
        <v>TQGXIIPL</v>
      </c>
      <c r="I215" s="35" t="str">
        <f>IFERROR(_xlfn.XLOOKUP(Table6[[#This Row],[Affected WTG]],'Basic Data'!$A:$A,'Basic Data'!$C:$C),"")</f>
        <v>GEDA</v>
      </c>
      <c r="J215" s="471">
        <f>IFERROR(_xlfn.XLOOKUP(Table6[[#This Row],[Affected WTG]],'Basic Data'!$A:$A,'Basic Data'!$E:$E),"")</f>
        <v>3.846153846153845E-2</v>
      </c>
      <c r="K215" s="102">
        <v>55</v>
      </c>
      <c r="L215" s="35" t="str">
        <f>IFERROR(_xlfn.XLOOKUP(Table6[[#This Row],[Error Code]],'Basic Data'!$AA:$AA,'Basic Data'!$AB:$AB),"Incorrect Error Code")</f>
        <v>WTG shut down</v>
      </c>
      <c r="M215" s="35" t="s">
        <v>330</v>
      </c>
      <c r="N215" s="475"/>
      <c r="O215" s="476">
        <v>0</v>
      </c>
      <c r="P215" s="476">
        <v>0</v>
      </c>
      <c r="Q215" s="477">
        <v>4.6527777777777779E-2</v>
      </c>
      <c r="R215" s="472">
        <f>IF(Table6[[#This Row],[Work Start TimeStamp]]="","",(Table6[[#This Row],[Work Start TimeStamp]]-Table6[[#This Row],[Fault Start TimeStamp]])*24)</f>
        <v>0</v>
      </c>
      <c r="S215" s="472">
        <f>(Table6[[#This Row],[Fault Clearance time]]-Table6[[#This Row],[Work Start TimeStamp]])*24</f>
        <v>1.1166666666666667</v>
      </c>
      <c r="T215" s="472">
        <f>(Table6[[#This Row],[Fault Clearance time]]-Table6[[#This Row],[Fault Start TimeStamp]])*24</f>
        <v>1.1166666666666667</v>
      </c>
      <c r="U215" s="35" t="s">
        <v>337</v>
      </c>
      <c r="V215" s="102" t="s">
        <v>293</v>
      </c>
      <c r="W215" s="478">
        <f>IFERROR(Table6[[#This Row],[Breakdown Time]]*Table6[[#This Row],[Plant Equivalent Weightage]],"")</f>
        <v>4.2948717948717935E-2</v>
      </c>
      <c r="X215" s="473" t="s">
        <v>290</v>
      </c>
      <c r="Y215" s="474" t="s">
        <v>321</v>
      </c>
      <c r="Z215" s="102">
        <v>46555</v>
      </c>
      <c r="AA215" s="468">
        <f>(Table6[[#This Row],[Paired WTG Generation for loss calculation]]/24)*Table6[[#This Row],[Breakdown Time]]</f>
        <v>2166.1006944444448</v>
      </c>
      <c r="AB215" s="102"/>
      <c r="AC215" s="35"/>
      <c r="AD215" s="35"/>
    </row>
    <row r="216" spans="1:30">
      <c r="A216" s="102">
        <f t="shared" si="4"/>
        <v>215</v>
      </c>
      <c r="B216" s="468">
        <f>YEAR(Table6[[#This Row],[Date]])+IF(MONTH(Table6[[#This Row],[Date]])&gt;=4,1,0)</f>
        <v>2026</v>
      </c>
      <c r="C216" s="102">
        <f>YEAR(Table6[[#This Row],[Date]])</f>
        <v>2025</v>
      </c>
      <c r="D216" s="102" t="s">
        <v>1992</v>
      </c>
      <c r="E216" s="469">
        <f>Table6[[#This Row],[Date]]-DAY(Table6[[#This Row],[Date]])+1</f>
        <v>45748</v>
      </c>
      <c r="F216" s="470">
        <v>45761</v>
      </c>
      <c r="G216" s="35" t="s">
        <v>81</v>
      </c>
      <c r="H216" s="35" t="str">
        <f>IFERROR(_xlfn.XLOOKUP(Table6[[#This Row],[Affected WTG]],'Basic Data'!$A:$A,'Basic Data'!$B:$B),"")</f>
        <v>TQGXIIPL</v>
      </c>
      <c r="I216" s="35" t="str">
        <f>IFERROR(_xlfn.XLOOKUP(Table6[[#This Row],[Affected WTG]],'Basic Data'!$A:$A,'Basic Data'!$C:$C),"")</f>
        <v>GEDA</v>
      </c>
      <c r="J216" s="471">
        <f>IFERROR(_xlfn.XLOOKUP(Table6[[#This Row],[Affected WTG]],'Basic Data'!$A:$A,'Basic Data'!$E:$E),"")</f>
        <v>3.846153846153845E-2</v>
      </c>
      <c r="K216" s="102">
        <v>6130</v>
      </c>
      <c r="L216" s="35" t="str">
        <f>IFERROR(_xlfn.XLOOKUP(Table6[[#This Row],[Error Code]],'Basic Data'!$AA:$AA,'Basic Data'!$AB:$AB),"Incorrect Error Code")</f>
        <v>Yaw speed high</v>
      </c>
      <c r="M216" s="35" t="s">
        <v>291</v>
      </c>
      <c r="N216" s="475"/>
      <c r="O216" s="476">
        <v>0.48819444444444443</v>
      </c>
      <c r="P216" s="476">
        <v>0.48819444444444443</v>
      </c>
      <c r="Q216" s="477">
        <v>0.49930555555555556</v>
      </c>
      <c r="R216" s="472">
        <f>IF(Table6[[#This Row],[Work Start TimeStamp]]="","",(Table6[[#This Row],[Work Start TimeStamp]]-Table6[[#This Row],[Fault Start TimeStamp]])*24)</f>
        <v>0</v>
      </c>
      <c r="S216" s="472">
        <f>(Table6[[#This Row],[Fault Clearance time]]-Table6[[#This Row],[Work Start TimeStamp]])*24</f>
        <v>0.26666666666666705</v>
      </c>
      <c r="T216" s="472">
        <f>(Table6[[#This Row],[Fault Clearance time]]-Table6[[#This Row],[Fault Start TimeStamp]])*24</f>
        <v>0.26666666666666705</v>
      </c>
      <c r="U216" s="35" t="s">
        <v>394</v>
      </c>
      <c r="V216" s="102" t="s">
        <v>293</v>
      </c>
      <c r="W216" s="478">
        <f>IFERROR(Table6[[#This Row],[Breakdown Time]]*Table6[[#This Row],[Plant Equivalent Weightage]],"")</f>
        <v>1.0256410256410269E-2</v>
      </c>
      <c r="X216" s="473" t="s">
        <v>294</v>
      </c>
      <c r="Y216" s="474" t="s">
        <v>321</v>
      </c>
      <c r="Z216" s="102">
        <v>46555</v>
      </c>
      <c r="AA216" s="468">
        <f>(Table6[[#This Row],[Paired WTG Generation for loss calculation]]/24)*Table6[[#This Row],[Breakdown Time]]</f>
        <v>517.27777777777851</v>
      </c>
      <c r="AB216" s="102"/>
      <c r="AC216" s="35"/>
      <c r="AD216" s="35"/>
    </row>
    <row r="217" spans="1:30">
      <c r="A217" s="102">
        <f t="shared" si="4"/>
        <v>216</v>
      </c>
      <c r="B217" s="468">
        <f>YEAR(Table6[[#This Row],[Date]])+IF(MONTH(Table6[[#This Row],[Date]])&gt;=4,1,0)</f>
        <v>2026</v>
      </c>
      <c r="C217" s="102">
        <f>YEAR(Table6[[#This Row],[Date]])</f>
        <v>2025</v>
      </c>
      <c r="D217" s="102" t="s">
        <v>1992</v>
      </c>
      <c r="E217" s="469">
        <f>Table6[[#This Row],[Date]]-DAY(Table6[[#This Row],[Date]])+1</f>
        <v>45748</v>
      </c>
      <c r="F217" s="470">
        <v>45761</v>
      </c>
      <c r="G217" s="35" t="s">
        <v>85</v>
      </c>
      <c r="H217" s="35" t="str">
        <f>IFERROR(_xlfn.XLOOKUP(Table6[[#This Row],[Affected WTG]],'Basic Data'!$A:$A,'Basic Data'!$B:$B),"")</f>
        <v>TQGXIIPL</v>
      </c>
      <c r="I217" s="35" t="str">
        <f>IFERROR(_xlfn.XLOOKUP(Table6[[#This Row],[Affected WTG]],'Basic Data'!$A:$A,'Basic Data'!$C:$C),"")</f>
        <v>GEDA</v>
      </c>
      <c r="J217" s="471">
        <f>IFERROR(_xlfn.XLOOKUP(Table6[[#This Row],[Affected WTG]],'Basic Data'!$A:$A,'Basic Data'!$E:$E),"")</f>
        <v>3.846153846153845E-2</v>
      </c>
      <c r="K217" s="102">
        <v>1700</v>
      </c>
      <c r="L217" s="35" t="str">
        <f>IFERROR(_xlfn.XLOOKUP(Table6[[#This Row],[Error Code]],'Basic Data'!$AA:$AA,'Basic Data'!$AB:$AB),"Incorrect Error Code")</f>
        <v>High temp. gear bearing 1</v>
      </c>
      <c r="M217" s="35" t="s">
        <v>291</v>
      </c>
      <c r="N217" s="475"/>
      <c r="O217" s="476">
        <v>0.74444444444444446</v>
      </c>
      <c r="P217" s="476">
        <v>0.74444444444444446</v>
      </c>
      <c r="Q217" s="477">
        <v>0.75555555555555554</v>
      </c>
      <c r="R217" s="472">
        <f>IF(Table6[[#This Row],[Work Start TimeStamp]]="","",(Table6[[#This Row],[Work Start TimeStamp]]-Table6[[#This Row],[Fault Start TimeStamp]])*24)</f>
        <v>0</v>
      </c>
      <c r="S217" s="472">
        <f>(Table6[[#This Row],[Fault Clearance time]]-Table6[[#This Row],[Work Start TimeStamp]])*24</f>
        <v>0.26666666666666572</v>
      </c>
      <c r="T217" s="472">
        <f>(Table6[[#This Row],[Fault Clearance time]]-Table6[[#This Row],[Fault Start TimeStamp]])*24</f>
        <v>0.26666666666666572</v>
      </c>
      <c r="U217" s="35" t="s">
        <v>349</v>
      </c>
      <c r="V217" s="102" t="s">
        <v>293</v>
      </c>
      <c r="W217" s="478">
        <f>IFERROR(Table6[[#This Row],[Breakdown Time]]*Table6[[#This Row],[Plant Equivalent Weightage]],"")</f>
        <v>1.0256410256410217E-2</v>
      </c>
      <c r="X217" s="473" t="s">
        <v>294</v>
      </c>
      <c r="Y217" s="474" t="s">
        <v>322</v>
      </c>
      <c r="Z217" s="102">
        <v>41611</v>
      </c>
      <c r="AA217" s="468">
        <f>(Table6[[#This Row],[Paired WTG Generation for loss calculation]]/24)*Table6[[#This Row],[Breakdown Time]]</f>
        <v>462.34444444444284</v>
      </c>
      <c r="AB217" s="102"/>
      <c r="AC217" s="35"/>
      <c r="AD217" s="35"/>
    </row>
    <row r="218" spans="1:30">
      <c r="A218" s="102">
        <f t="shared" si="4"/>
        <v>217</v>
      </c>
      <c r="B218" s="468">
        <f>YEAR(Table6[[#This Row],[Date]])+IF(MONTH(Table6[[#This Row],[Date]])&gt;=4,1,0)</f>
        <v>2026</v>
      </c>
      <c r="C218" s="102">
        <f>YEAR(Table6[[#This Row],[Date]])</f>
        <v>2025</v>
      </c>
      <c r="D218" s="102" t="s">
        <v>1992</v>
      </c>
      <c r="E218" s="469">
        <f>Table6[[#This Row],[Date]]-DAY(Table6[[#This Row],[Date]])+1</f>
        <v>45748</v>
      </c>
      <c r="F218" s="470">
        <v>45761</v>
      </c>
      <c r="G218" s="35" t="s">
        <v>86</v>
      </c>
      <c r="H218" s="35" t="str">
        <f>IFERROR(_xlfn.XLOOKUP(Table6[[#This Row],[Affected WTG]],'Basic Data'!$A:$A,'Basic Data'!$B:$B),"")</f>
        <v>TQGXIIPL</v>
      </c>
      <c r="I218" s="35" t="str">
        <f>IFERROR(_xlfn.XLOOKUP(Table6[[#This Row],[Affected WTG]],'Basic Data'!$A:$A,'Basic Data'!$C:$C),"")</f>
        <v>GEDA</v>
      </c>
      <c r="J218" s="471">
        <f>IFERROR(_xlfn.XLOOKUP(Table6[[#This Row],[Affected WTG]],'Basic Data'!$A:$A,'Basic Data'!$E:$E),"")</f>
        <v>3.846153846153845E-2</v>
      </c>
      <c r="K218" s="102">
        <v>55</v>
      </c>
      <c r="L218" s="35" t="str">
        <f>IFERROR(_xlfn.XLOOKUP(Table6[[#This Row],[Error Code]],'Basic Data'!$AA:$AA,'Basic Data'!$AB:$AB),"Incorrect Error Code")</f>
        <v>WTG shut down</v>
      </c>
      <c r="M218" s="35" t="s">
        <v>330</v>
      </c>
      <c r="N218" s="475"/>
      <c r="O218" s="476">
        <v>0</v>
      </c>
      <c r="P218" s="476">
        <v>0</v>
      </c>
      <c r="Q218" s="477">
        <v>2.6388888888888889E-2</v>
      </c>
      <c r="R218" s="472">
        <f>IF(Table6[[#This Row],[Work Start TimeStamp]]="","",(Table6[[#This Row],[Work Start TimeStamp]]-Table6[[#This Row],[Fault Start TimeStamp]])*24)</f>
        <v>0</v>
      </c>
      <c r="S218" s="472">
        <f>(Table6[[#This Row],[Fault Clearance time]]-Table6[[#This Row],[Work Start TimeStamp]])*24</f>
        <v>0.6333333333333333</v>
      </c>
      <c r="T218" s="472">
        <f>(Table6[[#This Row],[Fault Clearance time]]-Table6[[#This Row],[Fault Start TimeStamp]])*24</f>
        <v>0.6333333333333333</v>
      </c>
      <c r="U218" s="35" t="s">
        <v>337</v>
      </c>
      <c r="V218" s="102" t="s">
        <v>293</v>
      </c>
      <c r="W218" s="478">
        <f>IFERROR(Table6[[#This Row],[Breakdown Time]]*Table6[[#This Row],[Plant Equivalent Weightage]],"")</f>
        <v>2.4358974358974349E-2</v>
      </c>
      <c r="X218" s="473" t="s">
        <v>290</v>
      </c>
      <c r="Y218" s="474" t="s">
        <v>313</v>
      </c>
      <c r="Z218" s="102">
        <v>46926</v>
      </c>
      <c r="AA218" s="468">
        <f>(Table6[[#This Row],[Paired WTG Generation for loss calculation]]/24)*Table6[[#This Row],[Breakdown Time]]</f>
        <v>1238.325</v>
      </c>
      <c r="AB218" s="102"/>
      <c r="AC218" s="35"/>
      <c r="AD218" s="35"/>
    </row>
    <row r="219" spans="1:30">
      <c r="A219" s="102">
        <f t="shared" si="4"/>
        <v>218</v>
      </c>
      <c r="B219" s="468">
        <f>YEAR(Table6[[#This Row],[Date]])+IF(MONTH(Table6[[#This Row],[Date]])&gt;=4,1,0)</f>
        <v>2026</v>
      </c>
      <c r="C219" s="102">
        <f>YEAR(Table6[[#This Row],[Date]])</f>
        <v>2025</v>
      </c>
      <c r="D219" s="102" t="s">
        <v>1992</v>
      </c>
      <c r="E219" s="469">
        <f>Table6[[#This Row],[Date]]-DAY(Table6[[#This Row],[Date]])+1</f>
        <v>45748</v>
      </c>
      <c r="F219" s="470">
        <v>45761</v>
      </c>
      <c r="G219" s="35" t="s">
        <v>86</v>
      </c>
      <c r="H219" s="35" t="str">
        <f>IFERROR(_xlfn.XLOOKUP(Table6[[#This Row],[Affected WTG]],'Basic Data'!$A:$A,'Basic Data'!$B:$B),"")</f>
        <v>TQGXIIPL</v>
      </c>
      <c r="I219" s="35" t="str">
        <f>IFERROR(_xlfn.XLOOKUP(Table6[[#This Row],[Affected WTG]],'Basic Data'!$A:$A,'Basic Data'!$C:$C),"")</f>
        <v>GEDA</v>
      </c>
      <c r="J219" s="471">
        <f>IFERROR(_xlfn.XLOOKUP(Table6[[#This Row],[Affected WTG]],'Basic Data'!$A:$A,'Basic Data'!$E:$E),"")</f>
        <v>3.846153846153845E-2</v>
      </c>
      <c r="K219" s="102">
        <v>55</v>
      </c>
      <c r="L219" s="35" t="str">
        <f>IFERROR(_xlfn.XLOOKUP(Table6[[#This Row],[Error Code]],'Basic Data'!$AA:$AA,'Basic Data'!$AB:$AB),"Incorrect Error Code")</f>
        <v>WTG shut down</v>
      </c>
      <c r="M219" s="35" t="s">
        <v>330</v>
      </c>
      <c r="N219" s="475"/>
      <c r="O219" s="476">
        <v>0.79583333333333328</v>
      </c>
      <c r="P219" s="476">
        <v>0.79583333333333328</v>
      </c>
      <c r="Q219" s="477">
        <v>0.95416666666666672</v>
      </c>
      <c r="R219" s="472">
        <f>IF(Table6[[#This Row],[Work Start TimeStamp]]="","",(Table6[[#This Row],[Work Start TimeStamp]]-Table6[[#This Row],[Fault Start TimeStamp]])*24)</f>
        <v>0</v>
      </c>
      <c r="S219" s="472">
        <f>(Table6[[#This Row],[Fault Clearance time]]-Table6[[#This Row],[Work Start TimeStamp]])*24</f>
        <v>3.8000000000000025</v>
      </c>
      <c r="T219" s="472">
        <f>(Table6[[#This Row],[Fault Clearance time]]-Table6[[#This Row],[Fault Start TimeStamp]])*24</f>
        <v>3.8000000000000025</v>
      </c>
      <c r="U219" s="35" t="s">
        <v>337</v>
      </c>
      <c r="V219" s="102" t="s">
        <v>293</v>
      </c>
      <c r="W219" s="478">
        <f>IFERROR(Table6[[#This Row],[Breakdown Time]]*Table6[[#This Row],[Plant Equivalent Weightage]],"")</f>
        <v>0.14615384615384622</v>
      </c>
      <c r="X219" s="473" t="s">
        <v>290</v>
      </c>
      <c r="Y219" s="474" t="s">
        <v>313</v>
      </c>
      <c r="Z219" s="102">
        <v>46926</v>
      </c>
      <c r="AA219" s="468">
        <f>(Table6[[#This Row],[Paired WTG Generation for loss calculation]]/24)*Table6[[#This Row],[Breakdown Time]]</f>
        <v>7429.9500000000053</v>
      </c>
      <c r="AB219" s="102"/>
      <c r="AC219" s="35"/>
      <c r="AD219" s="35"/>
    </row>
    <row r="220" spans="1:30">
      <c r="A220" s="102">
        <f t="shared" si="4"/>
        <v>219</v>
      </c>
      <c r="B220" s="468">
        <f>YEAR(Table6[[#This Row],[Date]])+IF(MONTH(Table6[[#This Row],[Date]])&gt;=4,1,0)</f>
        <v>2026</v>
      </c>
      <c r="C220" s="102">
        <f>YEAR(Table6[[#This Row],[Date]])</f>
        <v>2025</v>
      </c>
      <c r="D220" s="102" t="s">
        <v>1992</v>
      </c>
      <c r="E220" s="469">
        <f>Table6[[#This Row],[Date]]-DAY(Table6[[#This Row],[Date]])+1</f>
        <v>45748</v>
      </c>
      <c r="F220" s="470">
        <v>45761</v>
      </c>
      <c r="G220" s="35" t="s">
        <v>87</v>
      </c>
      <c r="H220" s="35" t="str">
        <f>IFERROR(_xlfn.XLOOKUP(Table6[[#This Row],[Affected WTG]],'Basic Data'!$A:$A,'Basic Data'!$B:$B),"")</f>
        <v>TQGXIIPL</v>
      </c>
      <c r="I220" s="35" t="str">
        <f>IFERROR(_xlfn.XLOOKUP(Table6[[#This Row],[Affected WTG]],'Basic Data'!$A:$A,'Basic Data'!$C:$C),"")</f>
        <v>GEDA</v>
      </c>
      <c r="J220" s="471">
        <f>IFERROR(_xlfn.XLOOKUP(Table6[[#This Row],[Affected WTG]],'Basic Data'!$A:$A,'Basic Data'!$E:$E),"")</f>
        <v>3.846153846153845E-2</v>
      </c>
      <c r="K220" s="102">
        <v>4540</v>
      </c>
      <c r="L220" s="35" t="str">
        <f>IFERROR(_xlfn.XLOOKUP(Table6[[#This Row],[Error Code]],'Basic Data'!$AA:$AA,'Basic Data'!$AB:$AB),"Incorrect Error Code")</f>
        <v>Tower oscillation X level 2</v>
      </c>
      <c r="M220" s="35" t="s">
        <v>291</v>
      </c>
      <c r="N220" s="475"/>
      <c r="O220" s="476">
        <v>0.56180555555555556</v>
      </c>
      <c r="P220" s="476">
        <v>0.56180555555555556</v>
      </c>
      <c r="Q220" s="477">
        <v>0.57291666666666663</v>
      </c>
      <c r="R220" s="472">
        <f>IF(Table6[[#This Row],[Work Start TimeStamp]]="","",(Table6[[#This Row],[Work Start TimeStamp]]-Table6[[#This Row],[Fault Start TimeStamp]])*24)</f>
        <v>0</v>
      </c>
      <c r="S220" s="472">
        <f>(Table6[[#This Row],[Fault Clearance time]]-Table6[[#This Row],[Work Start TimeStamp]])*24</f>
        <v>0.26666666666666572</v>
      </c>
      <c r="T220" s="472">
        <f>(Table6[[#This Row],[Fault Clearance time]]-Table6[[#This Row],[Fault Start TimeStamp]])*24</f>
        <v>0.26666666666666572</v>
      </c>
      <c r="U220" s="35" t="s">
        <v>349</v>
      </c>
      <c r="V220" s="102" t="s">
        <v>293</v>
      </c>
      <c r="W220" s="478">
        <f>IFERROR(Table6[[#This Row],[Breakdown Time]]*Table6[[#This Row],[Plant Equivalent Weightage]],"")</f>
        <v>1.0256410256410217E-2</v>
      </c>
      <c r="X220" s="473" t="s">
        <v>294</v>
      </c>
      <c r="Y220" s="474" t="s">
        <v>327</v>
      </c>
      <c r="Z220" s="102">
        <v>44309</v>
      </c>
      <c r="AA220" s="468">
        <f>(Table6[[#This Row],[Paired WTG Generation for loss calculation]]/24)*Table6[[#This Row],[Breakdown Time]]</f>
        <v>492.32222222222043</v>
      </c>
      <c r="AB220" s="102"/>
      <c r="AC220" s="35"/>
      <c r="AD220" s="35"/>
    </row>
    <row r="221" spans="1:30">
      <c r="A221" s="102">
        <f t="shared" si="4"/>
        <v>220</v>
      </c>
      <c r="B221" s="468">
        <f>YEAR(Table6[[#This Row],[Date]])+IF(MONTH(Table6[[#This Row],[Date]])&gt;=4,1,0)</f>
        <v>2026</v>
      </c>
      <c r="C221" s="102">
        <f>YEAR(Table6[[#This Row],[Date]])</f>
        <v>2025</v>
      </c>
      <c r="D221" s="102" t="s">
        <v>1992</v>
      </c>
      <c r="E221" s="469">
        <f>Table6[[#This Row],[Date]]-DAY(Table6[[#This Row],[Date]])+1</f>
        <v>45748</v>
      </c>
      <c r="F221" s="470">
        <v>45761</v>
      </c>
      <c r="G221" s="35" t="s">
        <v>88</v>
      </c>
      <c r="H221" s="35" t="str">
        <f>IFERROR(_xlfn.XLOOKUP(Table6[[#This Row],[Affected WTG]],'Basic Data'!$A:$A,'Basic Data'!$B:$B),"")</f>
        <v>TQGXIIPL</v>
      </c>
      <c r="I221" s="35" t="str">
        <f>IFERROR(_xlfn.XLOOKUP(Table6[[#This Row],[Affected WTG]],'Basic Data'!$A:$A,'Basic Data'!$C:$C),"")</f>
        <v>GEDA</v>
      </c>
      <c r="J221" s="471">
        <f>IFERROR(_xlfn.XLOOKUP(Table6[[#This Row],[Affected WTG]],'Basic Data'!$A:$A,'Basic Data'!$E:$E),"")</f>
        <v>3.846153846153845E-2</v>
      </c>
      <c r="K221" s="102">
        <v>55</v>
      </c>
      <c r="L221" s="35" t="str">
        <f>IFERROR(_xlfn.XLOOKUP(Table6[[#This Row],[Error Code]],'Basic Data'!$AA:$AA,'Basic Data'!$AB:$AB),"Incorrect Error Code")</f>
        <v>WTG shut down</v>
      </c>
      <c r="M221" s="35" t="s">
        <v>304</v>
      </c>
      <c r="N221" s="475"/>
      <c r="O221" s="476">
        <v>0.28888888888888886</v>
      </c>
      <c r="P221" s="476">
        <v>0.29583333333333334</v>
      </c>
      <c r="Q221" s="477">
        <v>0.50208333333333333</v>
      </c>
      <c r="R221" s="472">
        <f>IF(Table6[[#This Row],[Work Start TimeStamp]]="","",(Table6[[#This Row],[Work Start TimeStamp]]-Table6[[#This Row],[Fault Start TimeStamp]])*24)</f>
        <v>0.16666666666666741</v>
      </c>
      <c r="S221" s="472">
        <f>(Table6[[#This Row],[Fault Clearance time]]-Table6[[#This Row],[Work Start TimeStamp]])*24</f>
        <v>4.9499999999999993</v>
      </c>
      <c r="T221" s="472">
        <f>(Table6[[#This Row],[Fault Clearance time]]-Table6[[#This Row],[Fault Start TimeStamp]])*24</f>
        <v>5.1166666666666671</v>
      </c>
      <c r="U221" s="35" t="s">
        <v>395</v>
      </c>
      <c r="V221" s="102" t="s">
        <v>293</v>
      </c>
      <c r="W221" s="478">
        <f>IFERROR(Table6[[#This Row],[Breakdown Time]]*Table6[[#This Row],[Plant Equivalent Weightage]],"")</f>
        <v>0.19679487179487176</v>
      </c>
      <c r="X221" s="473" t="s">
        <v>305</v>
      </c>
      <c r="Y221" s="474" t="s">
        <v>323</v>
      </c>
      <c r="Z221" s="102">
        <v>42261</v>
      </c>
      <c r="AA221" s="468">
        <f>(Table6[[#This Row],[Paired WTG Generation for loss calculation]]/24)*Table6[[#This Row],[Breakdown Time]]</f>
        <v>9009.8104166666672</v>
      </c>
      <c r="AB221" s="102"/>
      <c r="AC221" s="35"/>
      <c r="AD221" s="35"/>
    </row>
    <row r="222" spans="1:30">
      <c r="A222" s="102">
        <f t="shared" si="4"/>
        <v>221</v>
      </c>
      <c r="B222" s="468">
        <f>YEAR(Table6[[#This Row],[Date]])+IF(MONTH(Table6[[#This Row],[Date]])&gt;=4,1,0)</f>
        <v>2026</v>
      </c>
      <c r="C222" s="102">
        <f>YEAR(Table6[[#This Row],[Date]])</f>
        <v>2025</v>
      </c>
      <c r="D222" s="102" t="s">
        <v>1992</v>
      </c>
      <c r="E222" s="469">
        <f>Table6[[#This Row],[Date]]-DAY(Table6[[#This Row],[Date]])+1</f>
        <v>45748</v>
      </c>
      <c r="F222" s="470">
        <v>45761</v>
      </c>
      <c r="G222" s="35" t="s">
        <v>89</v>
      </c>
      <c r="H222" s="35" t="str">
        <f>IFERROR(_xlfn.XLOOKUP(Table6[[#This Row],[Affected WTG]],'Basic Data'!$A:$A,'Basic Data'!$B:$B),"")</f>
        <v>TQGXIIPL</v>
      </c>
      <c r="I222" s="35" t="str">
        <f>IFERROR(_xlfn.XLOOKUP(Table6[[#This Row],[Affected WTG]],'Basic Data'!$A:$A,'Basic Data'!$C:$C),"")</f>
        <v>GEDA</v>
      </c>
      <c r="J222" s="471">
        <f>IFERROR(_xlfn.XLOOKUP(Table6[[#This Row],[Affected WTG]],'Basic Data'!$A:$A,'Basic Data'!$E:$E),"")</f>
        <v>3.846153846153845E-2</v>
      </c>
      <c r="K222" s="102">
        <v>6130</v>
      </c>
      <c r="L222" s="35" t="str">
        <f>IFERROR(_xlfn.XLOOKUP(Table6[[#This Row],[Error Code]],'Basic Data'!$AA:$AA,'Basic Data'!$AB:$AB),"Incorrect Error Code")</f>
        <v>Yaw speed high</v>
      </c>
      <c r="M222" s="35" t="s">
        <v>291</v>
      </c>
      <c r="N222" s="475"/>
      <c r="O222" s="476">
        <v>0.52013888888888893</v>
      </c>
      <c r="P222" s="476">
        <v>0.52013888888888893</v>
      </c>
      <c r="Q222" s="477">
        <v>0.52430555555555558</v>
      </c>
      <c r="R222" s="472">
        <f>IF(Table6[[#This Row],[Work Start TimeStamp]]="","",(Table6[[#This Row],[Work Start TimeStamp]]-Table6[[#This Row],[Fault Start TimeStamp]])*24)</f>
        <v>0</v>
      </c>
      <c r="S222" s="472">
        <f>(Table6[[#This Row],[Fault Clearance time]]-Table6[[#This Row],[Work Start TimeStamp]])*24</f>
        <v>9.9999999999999645E-2</v>
      </c>
      <c r="T222" s="472">
        <f>(Table6[[#This Row],[Fault Clearance time]]-Table6[[#This Row],[Fault Start TimeStamp]])*24</f>
        <v>9.9999999999999645E-2</v>
      </c>
      <c r="U222" s="35" t="s">
        <v>394</v>
      </c>
      <c r="V222" s="102" t="s">
        <v>293</v>
      </c>
      <c r="W222" s="478">
        <f>IFERROR(Table6[[#This Row],[Breakdown Time]]*Table6[[#This Row],[Plant Equivalent Weightage]],"")</f>
        <v>3.8461538461538312E-3</v>
      </c>
      <c r="X222" s="473" t="s">
        <v>294</v>
      </c>
      <c r="Y222" s="474" t="s">
        <v>325</v>
      </c>
      <c r="Z222" s="102">
        <v>43699</v>
      </c>
      <c r="AA222" s="468">
        <f>(Table6[[#This Row],[Paired WTG Generation for loss calculation]]/24)*Table6[[#This Row],[Breakdown Time]]</f>
        <v>182.07916666666603</v>
      </c>
      <c r="AB222" s="102"/>
      <c r="AC222" s="35"/>
      <c r="AD222" s="35"/>
    </row>
    <row r="223" spans="1:30">
      <c r="A223" s="102">
        <f t="shared" si="4"/>
        <v>222</v>
      </c>
      <c r="B223" s="468">
        <f>YEAR(Table6[[#This Row],[Date]])+IF(MONTH(Table6[[#This Row],[Date]])&gt;=4,1,0)</f>
        <v>2026</v>
      </c>
      <c r="C223" s="102">
        <f>YEAR(Table6[[#This Row],[Date]])</f>
        <v>2025</v>
      </c>
      <c r="D223" s="102" t="s">
        <v>1992</v>
      </c>
      <c r="E223" s="469">
        <f>Table6[[#This Row],[Date]]-DAY(Table6[[#This Row],[Date]])+1</f>
        <v>45748</v>
      </c>
      <c r="F223" s="470">
        <v>45761</v>
      </c>
      <c r="G223" s="35" t="s">
        <v>90</v>
      </c>
      <c r="H223" s="35" t="str">
        <f>IFERROR(_xlfn.XLOOKUP(Table6[[#This Row],[Affected WTG]],'Basic Data'!$A:$A,'Basic Data'!$B:$B),"")</f>
        <v>TQGXIIPL</v>
      </c>
      <c r="I223" s="35" t="str">
        <f>IFERROR(_xlfn.XLOOKUP(Table6[[#This Row],[Affected WTG]],'Basic Data'!$A:$A,'Basic Data'!$C:$C),"")</f>
        <v>GEDA</v>
      </c>
      <c r="J223" s="471">
        <f>IFERROR(_xlfn.XLOOKUP(Table6[[#This Row],[Affected WTG]],'Basic Data'!$A:$A,'Basic Data'!$E:$E),"")</f>
        <v>3.846153846153845E-2</v>
      </c>
      <c r="K223" s="102">
        <v>1070</v>
      </c>
      <c r="L223" s="35" t="str">
        <f>IFERROR(_xlfn.XLOOKUP(Table6[[#This Row],[Error Code]],'Basic Data'!$AA:$AA,'Basic Data'!$AB:$AB),"Incorrect Error Code")</f>
        <v>Drive train monitor level 2</v>
      </c>
      <c r="M223" s="35" t="s">
        <v>291</v>
      </c>
      <c r="N223" s="475"/>
      <c r="O223" s="476">
        <v>0.14166666666666666</v>
      </c>
      <c r="P223" s="476">
        <v>0.14166666666666666</v>
      </c>
      <c r="Q223" s="477">
        <v>0.15555555555555556</v>
      </c>
      <c r="R223" s="472">
        <f>IF(Table6[[#This Row],[Work Start TimeStamp]]="","",(Table6[[#This Row],[Work Start TimeStamp]]-Table6[[#This Row],[Fault Start TimeStamp]])*24)</f>
        <v>0</v>
      </c>
      <c r="S223" s="472">
        <f>(Table6[[#This Row],[Fault Clearance time]]-Table6[[#This Row],[Work Start TimeStamp]])*24</f>
        <v>0.33333333333333348</v>
      </c>
      <c r="T223" s="472">
        <f>(Table6[[#This Row],[Fault Clearance time]]-Table6[[#This Row],[Fault Start TimeStamp]])*24</f>
        <v>0.33333333333333348</v>
      </c>
      <c r="U223" s="35" t="s">
        <v>349</v>
      </c>
      <c r="V223" s="102" t="s">
        <v>293</v>
      </c>
      <c r="W223" s="478">
        <f>IFERROR(Table6[[#This Row],[Breakdown Time]]*Table6[[#This Row],[Plant Equivalent Weightage]],"")</f>
        <v>1.2820512820512822E-2</v>
      </c>
      <c r="X223" s="473" t="s">
        <v>294</v>
      </c>
      <c r="Y223" s="474" t="s">
        <v>339</v>
      </c>
      <c r="Z223" s="102">
        <v>49144</v>
      </c>
      <c r="AA223" s="468">
        <f>(Table6[[#This Row],[Paired WTG Generation for loss calculation]]/24)*Table6[[#This Row],[Breakdown Time]]</f>
        <v>682.55555555555588</v>
      </c>
      <c r="AB223" s="102"/>
      <c r="AC223" s="35"/>
      <c r="AD223" s="35"/>
    </row>
    <row r="224" spans="1:30">
      <c r="A224" s="102">
        <f t="shared" si="4"/>
        <v>223</v>
      </c>
      <c r="B224" s="468">
        <f>YEAR(Table6[[#This Row],[Date]])+IF(MONTH(Table6[[#This Row],[Date]])&gt;=4,1,0)</f>
        <v>2026</v>
      </c>
      <c r="C224" s="102">
        <f>YEAR(Table6[[#This Row],[Date]])</f>
        <v>2025</v>
      </c>
      <c r="D224" s="102" t="s">
        <v>1992</v>
      </c>
      <c r="E224" s="469">
        <f>Table6[[#This Row],[Date]]-DAY(Table6[[#This Row],[Date]])+1</f>
        <v>45748</v>
      </c>
      <c r="F224" s="470">
        <v>45761</v>
      </c>
      <c r="G224" s="35" t="s">
        <v>90</v>
      </c>
      <c r="H224" s="35" t="str">
        <f>IFERROR(_xlfn.XLOOKUP(Table6[[#This Row],[Affected WTG]],'Basic Data'!$A:$A,'Basic Data'!$B:$B),"")</f>
        <v>TQGXIIPL</v>
      </c>
      <c r="I224" s="35" t="str">
        <f>IFERROR(_xlfn.XLOOKUP(Table6[[#This Row],[Affected WTG]],'Basic Data'!$A:$A,'Basic Data'!$C:$C),"")</f>
        <v>GEDA</v>
      </c>
      <c r="J224" s="471">
        <f>IFERROR(_xlfn.XLOOKUP(Table6[[#This Row],[Affected WTG]],'Basic Data'!$A:$A,'Basic Data'!$E:$E),"")</f>
        <v>3.846153846153845E-2</v>
      </c>
      <c r="K224" s="102">
        <v>55</v>
      </c>
      <c r="L224" s="35" t="str">
        <f>IFERROR(_xlfn.XLOOKUP(Table6[[#This Row],[Error Code]],'Basic Data'!$AA:$AA,'Basic Data'!$AB:$AB),"Incorrect Error Code")</f>
        <v>WTG shut down</v>
      </c>
      <c r="M224" s="35" t="s">
        <v>291</v>
      </c>
      <c r="N224" s="475"/>
      <c r="O224" s="476">
        <v>0.17430555555555555</v>
      </c>
      <c r="P224" s="476">
        <v>0.17430555555555555</v>
      </c>
      <c r="Q224" s="477">
        <v>0.17847222222222223</v>
      </c>
      <c r="R224" s="472">
        <f>IF(Table6[[#This Row],[Work Start TimeStamp]]="","",(Table6[[#This Row],[Work Start TimeStamp]]-Table6[[#This Row],[Fault Start TimeStamp]])*24)</f>
        <v>0</v>
      </c>
      <c r="S224" s="472">
        <f>(Table6[[#This Row],[Fault Clearance time]]-Table6[[#This Row],[Work Start TimeStamp]])*24</f>
        <v>0.10000000000000031</v>
      </c>
      <c r="T224" s="472">
        <f>(Table6[[#This Row],[Fault Clearance time]]-Table6[[#This Row],[Fault Start TimeStamp]])*24</f>
        <v>0.10000000000000031</v>
      </c>
      <c r="U224" s="35" t="s">
        <v>396</v>
      </c>
      <c r="V224" s="102" t="s">
        <v>293</v>
      </c>
      <c r="W224" s="478">
        <f>IFERROR(Table6[[#This Row],[Breakdown Time]]*Table6[[#This Row],[Plant Equivalent Weightage]],"")</f>
        <v>3.8461538461538568E-3</v>
      </c>
      <c r="X224" s="473" t="s">
        <v>290</v>
      </c>
      <c r="Y224" s="474" t="s">
        <v>339</v>
      </c>
      <c r="Z224" s="102">
        <v>49144</v>
      </c>
      <c r="AA224" s="468">
        <f>(Table6[[#This Row],[Paired WTG Generation for loss calculation]]/24)*Table6[[#This Row],[Breakdown Time]]</f>
        <v>204.76666666666731</v>
      </c>
      <c r="AB224" s="102"/>
      <c r="AC224" s="35"/>
      <c r="AD224" s="35"/>
    </row>
    <row r="225" spans="1:30">
      <c r="A225" s="102">
        <f t="shared" si="4"/>
        <v>224</v>
      </c>
      <c r="B225" s="468">
        <f>YEAR(Table6[[#This Row],[Date]])+IF(MONTH(Table6[[#This Row],[Date]])&gt;=4,1,0)</f>
        <v>2026</v>
      </c>
      <c r="C225" s="102">
        <f>YEAR(Table6[[#This Row],[Date]])</f>
        <v>2025</v>
      </c>
      <c r="D225" s="102" t="s">
        <v>1992</v>
      </c>
      <c r="E225" s="469">
        <f>Table6[[#This Row],[Date]]-DAY(Table6[[#This Row],[Date]])+1</f>
        <v>45748</v>
      </c>
      <c r="F225" s="470">
        <v>45761</v>
      </c>
      <c r="G225" s="35" t="s">
        <v>90</v>
      </c>
      <c r="H225" s="35" t="str">
        <f>IFERROR(_xlfn.XLOOKUP(Table6[[#This Row],[Affected WTG]],'Basic Data'!$A:$A,'Basic Data'!$B:$B),"")</f>
        <v>TQGXIIPL</v>
      </c>
      <c r="I225" s="35" t="str">
        <f>IFERROR(_xlfn.XLOOKUP(Table6[[#This Row],[Affected WTG]],'Basic Data'!$A:$A,'Basic Data'!$C:$C),"")</f>
        <v>GEDA</v>
      </c>
      <c r="J225" s="471">
        <f>IFERROR(_xlfn.XLOOKUP(Table6[[#This Row],[Affected WTG]],'Basic Data'!$A:$A,'Basic Data'!$E:$E),"")</f>
        <v>3.846153846153845E-2</v>
      </c>
      <c r="K225" s="102">
        <v>6605</v>
      </c>
      <c r="L225" s="35" t="str">
        <f>IFERROR(_xlfn.XLOOKUP(Table6[[#This Row],[Error Code]],'Basic Data'!$AA:$AA,'Basic Data'!$AB:$AB),"Incorrect Error Code")</f>
        <v>Wind.dir. diff. level 2</v>
      </c>
      <c r="M225" s="35" t="s">
        <v>291</v>
      </c>
      <c r="N225" s="475"/>
      <c r="O225" s="476">
        <v>0.70902777777777781</v>
      </c>
      <c r="P225" s="476">
        <v>0.70902777777777781</v>
      </c>
      <c r="Q225" s="477">
        <v>0.75694444444444442</v>
      </c>
      <c r="R225" s="472">
        <f>IF(Table6[[#This Row],[Work Start TimeStamp]]="","",(Table6[[#This Row],[Work Start TimeStamp]]-Table6[[#This Row],[Fault Start TimeStamp]])*24)</f>
        <v>0</v>
      </c>
      <c r="S225" s="472">
        <f>(Table6[[#This Row],[Fault Clearance time]]-Table6[[#This Row],[Work Start TimeStamp]])*24</f>
        <v>1.1499999999999986</v>
      </c>
      <c r="T225" s="472">
        <f>(Table6[[#This Row],[Fault Clearance time]]-Table6[[#This Row],[Fault Start TimeStamp]])*24</f>
        <v>1.1499999999999986</v>
      </c>
      <c r="U225" s="35" t="s">
        <v>397</v>
      </c>
      <c r="V225" s="102" t="s">
        <v>293</v>
      </c>
      <c r="W225" s="478">
        <f>IFERROR(Table6[[#This Row],[Breakdown Time]]*Table6[[#This Row],[Plant Equivalent Weightage]],"")</f>
        <v>4.4230769230769164E-2</v>
      </c>
      <c r="X225" s="473" t="s">
        <v>294</v>
      </c>
      <c r="Y225" s="474" t="s">
        <v>339</v>
      </c>
      <c r="Z225" s="102">
        <v>49144</v>
      </c>
      <c r="AA225" s="468">
        <f>(Table6[[#This Row],[Paired WTG Generation for loss calculation]]/24)*Table6[[#This Row],[Breakdown Time]]</f>
        <v>2354.8166666666639</v>
      </c>
      <c r="AB225" s="102"/>
      <c r="AC225" s="35"/>
      <c r="AD225" s="35"/>
    </row>
    <row r="226" spans="1:30">
      <c r="A226" s="102">
        <f t="shared" si="4"/>
        <v>225</v>
      </c>
      <c r="B226" s="468">
        <f>YEAR(Table6[[#This Row],[Date]])+IF(MONTH(Table6[[#This Row],[Date]])&gt;=4,1,0)</f>
        <v>2026</v>
      </c>
      <c r="C226" s="102">
        <f>YEAR(Table6[[#This Row],[Date]])</f>
        <v>2025</v>
      </c>
      <c r="D226" s="102" t="s">
        <v>1992</v>
      </c>
      <c r="E226" s="469">
        <f>Table6[[#This Row],[Date]]-DAY(Table6[[#This Row],[Date]])+1</f>
        <v>45748</v>
      </c>
      <c r="F226" s="470">
        <v>45761</v>
      </c>
      <c r="G226" s="35" t="s">
        <v>91</v>
      </c>
      <c r="H226" s="35" t="str">
        <f>IFERROR(_xlfn.XLOOKUP(Table6[[#This Row],[Affected WTG]],'Basic Data'!$A:$A,'Basic Data'!$B:$B),"")</f>
        <v>TQGXIIPL</v>
      </c>
      <c r="I226" s="35" t="str">
        <f>IFERROR(_xlfn.XLOOKUP(Table6[[#This Row],[Affected WTG]],'Basic Data'!$A:$A,'Basic Data'!$C:$C),"")</f>
        <v>GEDA</v>
      </c>
      <c r="J226" s="471">
        <f>IFERROR(_xlfn.XLOOKUP(Table6[[#This Row],[Affected WTG]],'Basic Data'!$A:$A,'Basic Data'!$E:$E),"")</f>
        <v>3.846153846153845E-2</v>
      </c>
      <c r="K226" s="102">
        <v>6130</v>
      </c>
      <c r="L226" s="35" t="str">
        <f>IFERROR(_xlfn.XLOOKUP(Table6[[#This Row],[Error Code]],'Basic Data'!$AA:$AA,'Basic Data'!$AB:$AB),"Incorrect Error Code")</f>
        <v>Yaw speed high</v>
      </c>
      <c r="M226" s="35" t="s">
        <v>291</v>
      </c>
      <c r="N226" s="475"/>
      <c r="O226" s="476">
        <v>0.62708333333333333</v>
      </c>
      <c r="P226" s="476">
        <v>0.62708333333333333</v>
      </c>
      <c r="Q226" s="477">
        <v>0.63124999999999998</v>
      </c>
      <c r="R226" s="472">
        <f>IF(Table6[[#This Row],[Work Start TimeStamp]]="","",(Table6[[#This Row],[Work Start TimeStamp]]-Table6[[#This Row],[Fault Start TimeStamp]])*24)</f>
        <v>0</v>
      </c>
      <c r="S226" s="472">
        <f>(Table6[[#This Row],[Fault Clearance time]]-Table6[[#This Row],[Work Start TimeStamp]])*24</f>
        <v>9.9999999999999645E-2</v>
      </c>
      <c r="T226" s="472">
        <f>(Table6[[#This Row],[Fault Clearance time]]-Table6[[#This Row],[Fault Start TimeStamp]])*24</f>
        <v>9.9999999999999645E-2</v>
      </c>
      <c r="U226" s="35" t="s">
        <v>349</v>
      </c>
      <c r="V226" s="102" t="s">
        <v>293</v>
      </c>
      <c r="W226" s="478">
        <f>IFERROR(Table6[[#This Row],[Breakdown Time]]*Table6[[#This Row],[Plant Equivalent Weightage]],"")</f>
        <v>3.8461538461538312E-3</v>
      </c>
      <c r="X226" s="473" t="s">
        <v>294</v>
      </c>
      <c r="Y226" s="474" t="s">
        <v>319</v>
      </c>
      <c r="Z226" s="102">
        <v>43979</v>
      </c>
      <c r="AA226" s="468">
        <f>(Table6[[#This Row],[Paired WTG Generation for loss calculation]]/24)*Table6[[#This Row],[Breakdown Time]]</f>
        <v>183.24583333333268</v>
      </c>
      <c r="AB226" s="102"/>
      <c r="AC226" s="35"/>
      <c r="AD226" s="35"/>
    </row>
    <row r="227" spans="1:30">
      <c r="A227" s="102">
        <f t="shared" si="4"/>
        <v>226</v>
      </c>
      <c r="B227" s="468">
        <f>YEAR(Table6[[#This Row],[Date]])+IF(MONTH(Table6[[#This Row],[Date]])&gt;=4,1,0)</f>
        <v>2026</v>
      </c>
      <c r="C227" s="102">
        <f>YEAR(Table6[[#This Row],[Date]])</f>
        <v>2025</v>
      </c>
      <c r="D227" s="102" t="s">
        <v>1992</v>
      </c>
      <c r="E227" s="469">
        <f>Table6[[#This Row],[Date]]-DAY(Table6[[#This Row],[Date]])+1</f>
        <v>45748</v>
      </c>
      <c r="F227" s="470">
        <v>45761</v>
      </c>
      <c r="G227" s="35" t="s">
        <v>92</v>
      </c>
      <c r="H227" s="35" t="str">
        <f>IFERROR(_xlfn.XLOOKUP(Table6[[#This Row],[Affected WTG]],'Basic Data'!$A:$A,'Basic Data'!$B:$B),"")</f>
        <v>TQGXIIPL</v>
      </c>
      <c r="I227" s="35" t="str">
        <f>IFERROR(_xlfn.XLOOKUP(Table6[[#This Row],[Affected WTG]],'Basic Data'!$A:$A,'Basic Data'!$C:$C),"")</f>
        <v>GEDA</v>
      </c>
      <c r="J227" s="471">
        <f>IFERROR(_xlfn.XLOOKUP(Table6[[#This Row],[Affected WTG]],'Basic Data'!$A:$A,'Basic Data'!$E:$E),"")</f>
        <v>3.846153846153845E-2</v>
      </c>
      <c r="K227" s="102">
        <v>1700</v>
      </c>
      <c r="L227" s="35" t="str">
        <f>IFERROR(_xlfn.XLOOKUP(Table6[[#This Row],[Error Code]],'Basic Data'!$AA:$AA,'Basic Data'!$AB:$AB),"Incorrect Error Code")</f>
        <v>High temp. gear bearing 1</v>
      </c>
      <c r="M227" s="35" t="s">
        <v>291</v>
      </c>
      <c r="N227" s="475"/>
      <c r="O227" s="476">
        <v>0.73055555555555551</v>
      </c>
      <c r="P227" s="476">
        <v>0.73055555555555551</v>
      </c>
      <c r="Q227" s="477">
        <v>0.75902777777777775</v>
      </c>
      <c r="R227" s="472">
        <f>IF(Table6[[#This Row],[Work Start TimeStamp]]="","",(Table6[[#This Row],[Work Start TimeStamp]]-Table6[[#This Row],[Fault Start TimeStamp]])*24)</f>
        <v>0</v>
      </c>
      <c r="S227" s="472">
        <f>(Table6[[#This Row],[Fault Clearance time]]-Table6[[#This Row],[Work Start TimeStamp]])*24</f>
        <v>0.68333333333333357</v>
      </c>
      <c r="T227" s="472">
        <f>(Table6[[#This Row],[Fault Clearance time]]-Table6[[#This Row],[Fault Start TimeStamp]])*24</f>
        <v>0.68333333333333357</v>
      </c>
      <c r="U227" s="35" t="s">
        <v>398</v>
      </c>
      <c r="V227" s="102" t="s">
        <v>293</v>
      </c>
      <c r="W227" s="478">
        <f>IFERROR(Table6[[#This Row],[Breakdown Time]]*Table6[[#This Row],[Plant Equivalent Weightage]],"")</f>
        <v>2.6282051282051282E-2</v>
      </c>
      <c r="X227" s="473" t="s">
        <v>294</v>
      </c>
      <c r="Y227" s="474" t="s">
        <v>310</v>
      </c>
      <c r="Z227" s="102">
        <v>52855</v>
      </c>
      <c r="AA227" s="468">
        <f>(Table6[[#This Row],[Paired WTG Generation for loss calculation]]/24)*Table6[[#This Row],[Breakdown Time]]</f>
        <v>1504.8993055555559</v>
      </c>
      <c r="AB227" s="102"/>
      <c r="AC227" s="35"/>
      <c r="AD227" s="35"/>
    </row>
    <row r="228" spans="1:30">
      <c r="A228" s="102">
        <f t="shared" si="4"/>
        <v>227</v>
      </c>
      <c r="B228" s="468">
        <f>YEAR(Table6[[#This Row],[Date]])+IF(MONTH(Table6[[#This Row],[Date]])&gt;=4,1,0)</f>
        <v>2026</v>
      </c>
      <c r="C228" s="102">
        <f>YEAR(Table6[[#This Row],[Date]])</f>
        <v>2025</v>
      </c>
      <c r="D228" s="102" t="s">
        <v>1992</v>
      </c>
      <c r="E228" s="469">
        <f>Table6[[#This Row],[Date]]-DAY(Table6[[#This Row],[Date]])+1</f>
        <v>45748</v>
      </c>
      <c r="F228" s="470">
        <v>45761</v>
      </c>
      <c r="G228" s="35" t="s">
        <v>95</v>
      </c>
      <c r="H228" s="35" t="str">
        <f>IFERROR(_xlfn.XLOOKUP(Table6[[#This Row],[Affected WTG]],'Basic Data'!$A:$A,'Basic Data'!$B:$B),"")</f>
        <v>TQGXIIPL</v>
      </c>
      <c r="I228" s="35" t="str">
        <f>IFERROR(_xlfn.XLOOKUP(Table6[[#This Row],[Affected WTG]],'Basic Data'!$A:$A,'Basic Data'!$C:$C),"")</f>
        <v>GEDA</v>
      </c>
      <c r="J228" s="471">
        <f>IFERROR(_xlfn.XLOOKUP(Table6[[#This Row],[Affected WTG]],'Basic Data'!$A:$A,'Basic Data'!$E:$E),"")</f>
        <v>3.846153846153845E-2</v>
      </c>
      <c r="K228" s="102">
        <v>6130</v>
      </c>
      <c r="L228" s="35" t="str">
        <f>IFERROR(_xlfn.XLOOKUP(Table6[[#This Row],[Error Code]],'Basic Data'!$AA:$AA,'Basic Data'!$AB:$AB),"Incorrect Error Code")</f>
        <v>Yaw speed high</v>
      </c>
      <c r="M228" s="35" t="s">
        <v>291</v>
      </c>
      <c r="N228" s="475"/>
      <c r="O228" s="476">
        <v>0.53333333333333333</v>
      </c>
      <c r="P228" s="476">
        <v>0.53333333333333333</v>
      </c>
      <c r="Q228" s="477">
        <v>0.53749999999999998</v>
      </c>
      <c r="R228" s="472">
        <f>IF(Table6[[#This Row],[Work Start TimeStamp]]="","",(Table6[[#This Row],[Work Start TimeStamp]]-Table6[[#This Row],[Fault Start TimeStamp]])*24)</f>
        <v>0</v>
      </c>
      <c r="S228" s="472">
        <f>(Table6[[#This Row],[Fault Clearance time]]-Table6[[#This Row],[Work Start TimeStamp]])*24</f>
        <v>9.9999999999999645E-2</v>
      </c>
      <c r="T228" s="472">
        <f>(Table6[[#This Row],[Fault Clearance time]]-Table6[[#This Row],[Fault Start TimeStamp]])*24</f>
        <v>9.9999999999999645E-2</v>
      </c>
      <c r="U228" s="35" t="s">
        <v>349</v>
      </c>
      <c r="V228" s="102" t="s">
        <v>293</v>
      </c>
      <c r="W228" s="478">
        <f>IFERROR(Table6[[#This Row],[Breakdown Time]]*Table6[[#This Row],[Plant Equivalent Weightage]],"")</f>
        <v>3.8461538461538312E-3</v>
      </c>
      <c r="X228" s="473" t="s">
        <v>294</v>
      </c>
      <c r="Y228" s="474" t="s">
        <v>319</v>
      </c>
      <c r="Z228" s="102">
        <v>43979</v>
      </c>
      <c r="AA228" s="468">
        <f>(Table6[[#This Row],[Paired WTG Generation for loss calculation]]/24)*Table6[[#This Row],[Breakdown Time]]</f>
        <v>183.24583333333268</v>
      </c>
      <c r="AB228" s="102"/>
      <c r="AC228" s="35"/>
      <c r="AD228" s="35"/>
    </row>
    <row r="229" spans="1:30">
      <c r="A229" s="102">
        <f t="shared" si="4"/>
        <v>228</v>
      </c>
      <c r="B229" s="468">
        <f>YEAR(Table6[[#This Row],[Date]])+IF(MONTH(Table6[[#This Row],[Date]])&gt;=4,1,0)</f>
        <v>2026</v>
      </c>
      <c r="C229" s="102">
        <f>YEAR(Table6[[#This Row],[Date]])</f>
        <v>2025</v>
      </c>
      <c r="D229" s="102" t="s">
        <v>1992</v>
      </c>
      <c r="E229" s="469">
        <f>Table6[[#This Row],[Date]]-DAY(Table6[[#This Row],[Date]])+1</f>
        <v>45748</v>
      </c>
      <c r="F229" s="470">
        <v>45761</v>
      </c>
      <c r="G229" s="35" t="s">
        <v>97</v>
      </c>
      <c r="H229" s="35" t="str">
        <f>IFERROR(_xlfn.XLOOKUP(Table6[[#This Row],[Affected WTG]],'Basic Data'!$A:$A,'Basic Data'!$B:$B),"")</f>
        <v>TQGXIIPL</v>
      </c>
      <c r="I229" s="35" t="str">
        <f>IFERROR(_xlfn.XLOOKUP(Table6[[#This Row],[Affected WTG]],'Basic Data'!$A:$A,'Basic Data'!$C:$C),"")</f>
        <v>GEDA</v>
      </c>
      <c r="J229" s="471">
        <f>IFERROR(_xlfn.XLOOKUP(Table6[[#This Row],[Affected WTG]],'Basic Data'!$A:$A,'Basic Data'!$E:$E),"")</f>
        <v>3.846153846153845E-2</v>
      </c>
      <c r="K229" s="102">
        <v>6130</v>
      </c>
      <c r="L229" s="35" t="str">
        <f>IFERROR(_xlfn.XLOOKUP(Table6[[#This Row],[Error Code]],'Basic Data'!$AA:$AA,'Basic Data'!$AB:$AB),"Incorrect Error Code")</f>
        <v>Yaw speed high</v>
      </c>
      <c r="M229" s="35" t="s">
        <v>291</v>
      </c>
      <c r="N229" s="475"/>
      <c r="O229" s="476">
        <v>0.65694444444444444</v>
      </c>
      <c r="P229" s="476">
        <v>0.65694444444444444</v>
      </c>
      <c r="Q229" s="477">
        <v>0.65972222222222221</v>
      </c>
      <c r="R229" s="472">
        <f>IF(Table6[[#This Row],[Work Start TimeStamp]]="","",(Table6[[#This Row],[Work Start TimeStamp]]-Table6[[#This Row],[Fault Start TimeStamp]])*24)</f>
        <v>0</v>
      </c>
      <c r="S229" s="472">
        <f>(Table6[[#This Row],[Fault Clearance time]]-Table6[[#This Row],[Work Start TimeStamp]])*24</f>
        <v>6.666666666666643E-2</v>
      </c>
      <c r="T229" s="472">
        <f>(Table6[[#This Row],[Fault Clearance time]]-Table6[[#This Row],[Fault Start TimeStamp]])*24</f>
        <v>6.666666666666643E-2</v>
      </c>
      <c r="U229" s="35" t="s">
        <v>349</v>
      </c>
      <c r="V229" s="102" t="s">
        <v>293</v>
      </c>
      <c r="W229" s="478">
        <f>IFERROR(Table6[[#This Row],[Breakdown Time]]*Table6[[#This Row],[Plant Equivalent Weightage]],"")</f>
        <v>2.5641025641025541E-3</v>
      </c>
      <c r="X229" s="473" t="s">
        <v>294</v>
      </c>
      <c r="Y229" s="474" t="s">
        <v>320</v>
      </c>
      <c r="Z229" s="102">
        <v>47867</v>
      </c>
      <c r="AA229" s="468">
        <f>(Table6[[#This Row],[Paired WTG Generation for loss calculation]]/24)*Table6[[#This Row],[Breakdown Time]]</f>
        <v>132.96388888888842</v>
      </c>
      <c r="AB229" s="102"/>
      <c r="AC229" s="35"/>
      <c r="AD229" s="35"/>
    </row>
    <row r="230" spans="1:30">
      <c r="A230" s="102">
        <f t="shared" si="4"/>
        <v>229</v>
      </c>
      <c r="B230" s="468">
        <f>YEAR(Table6[[#This Row],[Date]])+IF(MONTH(Table6[[#This Row],[Date]])&gt;=4,1,0)</f>
        <v>2026</v>
      </c>
      <c r="C230" s="102">
        <f>YEAR(Table6[[#This Row],[Date]])</f>
        <v>2025</v>
      </c>
      <c r="D230" s="102" t="s">
        <v>1992</v>
      </c>
      <c r="E230" s="469">
        <f>Table6[[#This Row],[Date]]-DAY(Table6[[#This Row],[Date]])+1</f>
        <v>45748</v>
      </c>
      <c r="F230" s="470">
        <v>45761</v>
      </c>
      <c r="G230" s="35" t="s">
        <v>98</v>
      </c>
      <c r="H230" s="35" t="str">
        <f>IFERROR(_xlfn.XLOOKUP(Table6[[#This Row],[Affected WTG]],'Basic Data'!$A:$A,'Basic Data'!$B:$B),"")</f>
        <v>TQGXIIPL</v>
      </c>
      <c r="I230" s="35" t="str">
        <f>IFERROR(_xlfn.XLOOKUP(Table6[[#This Row],[Affected WTG]],'Basic Data'!$A:$A,'Basic Data'!$C:$C),"")</f>
        <v>GEDA</v>
      </c>
      <c r="J230" s="471">
        <f>IFERROR(_xlfn.XLOOKUP(Table6[[#This Row],[Affected WTG]],'Basic Data'!$A:$A,'Basic Data'!$E:$E),"")</f>
        <v>3.846153846153845E-2</v>
      </c>
      <c r="K230" s="102">
        <v>1070</v>
      </c>
      <c r="L230" s="35" t="str">
        <f>IFERROR(_xlfn.XLOOKUP(Table6[[#This Row],[Error Code]],'Basic Data'!$AA:$AA,'Basic Data'!$AB:$AB),"Incorrect Error Code")</f>
        <v>Drive train monitor level 2</v>
      </c>
      <c r="M230" s="35" t="s">
        <v>291</v>
      </c>
      <c r="N230" s="475"/>
      <c r="O230" s="476">
        <v>9.7222222222222224E-3</v>
      </c>
      <c r="P230" s="476">
        <v>9.7222222222222224E-3</v>
      </c>
      <c r="Q230" s="477">
        <v>1.8055555555555554E-2</v>
      </c>
      <c r="R230" s="472">
        <f>IF(Table6[[#This Row],[Work Start TimeStamp]]="","",(Table6[[#This Row],[Work Start TimeStamp]]-Table6[[#This Row],[Fault Start TimeStamp]])*24)</f>
        <v>0</v>
      </c>
      <c r="S230" s="472">
        <f>(Table6[[#This Row],[Fault Clearance time]]-Table6[[#This Row],[Work Start TimeStamp]])*24</f>
        <v>0.19999999999999996</v>
      </c>
      <c r="T230" s="472">
        <f>(Table6[[#This Row],[Fault Clearance time]]-Table6[[#This Row],[Fault Start TimeStamp]])*24</f>
        <v>0.19999999999999996</v>
      </c>
      <c r="U230" s="35" t="s">
        <v>396</v>
      </c>
      <c r="V230" s="102" t="s">
        <v>293</v>
      </c>
      <c r="W230" s="478">
        <f>IFERROR(Table6[[#This Row],[Breakdown Time]]*Table6[[#This Row],[Plant Equivalent Weightage]],"")</f>
        <v>7.6923076923076884E-3</v>
      </c>
      <c r="X230" s="473" t="s">
        <v>294</v>
      </c>
      <c r="Y230" s="474" t="s">
        <v>315</v>
      </c>
      <c r="Z230" s="102">
        <v>49494</v>
      </c>
      <c r="AA230" s="468">
        <f>(Table6[[#This Row],[Paired WTG Generation for loss calculation]]/24)*Table6[[#This Row],[Breakdown Time]]</f>
        <v>412.44999999999993</v>
      </c>
      <c r="AB230" s="102"/>
      <c r="AC230" s="35"/>
      <c r="AD230" s="35"/>
    </row>
    <row r="231" spans="1:30">
      <c r="A231" s="102">
        <f t="shared" si="4"/>
        <v>230</v>
      </c>
      <c r="B231" s="468">
        <f>YEAR(Table6[[#This Row],[Date]])+IF(MONTH(Table6[[#This Row],[Date]])&gt;=4,1,0)</f>
        <v>2026</v>
      </c>
      <c r="C231" s="102">
        <f>YEAR(Table6[[#This Row],[Date]])</f>
        <v>2025</v>
      </c>
      <c r="D231" s="102" t="s">
        <v>1992</v>
      </c>
      <c r="E231" s="469">
        <f>Table6[[#This Row],[Date]]-DAY(Table6[[#This Row],[Date]])+1</f>
        <v>45748</v>
      </c>
      <c r="F231" s="470">
        <v>45761</v>
      </c>
      <c r="G231" s="35" t="s">
        <v>98</v>
      </c>
      <c r="H231" s="35" t="str">
        <f>IFERROR(_xlfn.XLOOKUP(Table6[[#This Row],[Affected WTG]],'Basic Data'!$A:$A,'Basic Data'!$B:$B),"")</f>
        <v>TQGXIIPL</v>
      </c>
      <c r="I231" s="35" t="str">
        <f>IFERROR(_xlfn.XLOOKUP(Table6[[#This Row],[Affected WTG]],'Basic Data'!$A:$A,'Basic Data'!$C:$C),"")</f>
        <v>GEDA</v>
      </c>
      <c r="J231" s="471">
        <f>IFERROR(_xlfn.XLOOKUP(Table6[[#This Row],[Affected WTG]],'Basic Data'!$A:$A,'Basic Data'!$E:$E),"")</f>
        <v>3.846153846153845E-2</v>
      </c>
      <c r="K231" s="102">
        <v>55</v>
      </c>
      <c r="L231" s="35" t="str">
        <f>IFERROR(_xlfn.XLOOKUP(Table6[[#This Row],[Error Code]],'Basic Data'!$AA:$AA,'Basic Data'!$AB:$AB),"Incorrect Error Code")</f>
        <v>WTG shut down</v>
      </c>
      <c r="M231" s="35" t="s">
        <v>291</v>
      </c>
      <c r="N231" s="475"/>
      <c r="O231" s="476">
        <v>0.41666666666666669</v>
      </c>
      <c r="P231" s="476">
        <v>0.41666666666666669</v>
      </c>
      <c r="Q231" s="477">
        <v>0.43472222222222223</v>
      </c>
      <c r="R231" s="472">
        <f>IF(Table6[[#This Row],[Work Start TimeStamp]]="","",(Table6[[#This Row],[Work Start TimeStamp]]-Table6[[#This Row],[Fault Start TimeStamp]])*24)</f>
        <v>0</v>
      </c>
      <c r="S231" s="472">
        <f>(Table6[[#This Row],[Fault Clearance time]]-Table6[[#This Row],[Work Start TimeStamp]])*24</f>
        <v>0.43333333333333313</v>
      </c>
      <c r="T231" s="472">
        <f>(Table6[[#This Row],[Fault Clearance time]]-Table6[[#This Row],[Fault Start TimeStamp]])*24</f>
        <v>0.43333333333333313</v>
      </c>
      <c r="U231" s="35" t="s">
        <v>389</v>
      </c>
      <c r="V231" s="102" t="s">
        <v>293</v>
      </c>
      <c r="W231" s="478">
        <f>IFERROR(Table6[[#This Row],[Breakdown Time]]*Table6[[#This Row],[Plant Equivalent Weightage]],"")</f>
        <v>1.6666666666666653E-2</v>
      </c>
      <c r="X231" s="473" t="s">
        <v>290</v>
      </c>
      <c r="Y231" s="474" t="s">
        <v>315</v>
      </c>
      <c r="Z231" s="102">
        <v>49494</v>
      </c>
      <c r="AA231" s="468">
        <f>(Table6[[#This Row],[Paired WTG Generation for loss calculation]]/24)*Table6[[#This Row],[Breakdown Time]]</f>
        <v>893.6416666666662</v>
      </c>
      <c r="AB231" s="102"/>
      <c r="AC231" s="35"/>
      <c r="AD231" s="35"/>
    </row>
    <row r="232" spans="1:30">
      <c r="A232" s="102">
        <f t="shared" si="4"/>
        <v>231</v>
      </c>
      <c r="B232" s="468">
        <f>YEAR(Table6[[#This Row],[Date]])+IF(MONTH(Table6[[#This Row],[Date]])&gt;=4,1,0)</f>
        <v>2026</v>
      </c>
      <c r="C232" s="102">
        <f>YEAR(Table6[[#This Row],[Date]])</f>
        <v>2025</v>
      </c>
      <c r="D232" s="102" t="s">
        <v>1992</v>
      </c>
      <c r="E232" s="469">
        <f>Table6[[#This Row],[Date]]-DAY(Table6[[#This Row],[Date]])+1</f>
        <v>45748</v>
      </c>
      <c r="F232" s="470">
        <v>45761</v>
      </c>
      <c r="G232" s="35" t="s">
        <v>98</v>
      </c>
      <c r="H232" s="35" t="str">
        <f>IFERROR(_xlfn.XLOOKUP(Table6[[#This Row],[Affected WTG]],'Basic Data'!$A:$A,'Basic Data'!$B:$B),"")</f>
        <v>TQGXIIPL</v>
      </c>
      <c r="I232" s="35" t="str">
        <f>IFERROR(_xlfn.XLOOKUP(Table6[[#This Row],[Affected WTG]],'Basic Data'!$A:$A,'Basic Data'!$C:$C),"")</f>
        <v>GEDA</v>
      </c>
      <c r="J232" s="471">
        <f>IFERROR(_xlfn.XLOOKUP(Table6[[#This Row],[Affected WTG]],'Basic Data'!$A:$A,'Basic Data'!$E:$E),"")</f>
        <v>3.846153846153845E-2</v>
      </c>
      <c r="K232" s="102">
        <v>1700</v>
      </c>
      <c r="L232" s="35" t="str">
        <f>IFERROR(_xlfn.XLOOKUP(Table6[[#This Row],[Error Code]],'Basic Data'!$AA:$AA,'Basic Data'!$AB:$AB),"Incorrect Error Code")</f>
        <v>High temp. gear bearing 1</v>
      </c>
      <c r="M232" s="35" t="s">
        <v>291</v>
      </c>
      <c r="N232" s="475"/>
      <c r="O232" s="476">
        <v>0.70625000000000004</v>
      </c>
      <c r="P232" s="476">
        <v>0.70625000000000004</v>
      </c>
      <c r="Q232" s="477">
        <v>0.75208333333333333</v>
      </c>
      <c r="R232" s="472">
        <f>IF(Table6[[#This Row],[Work Start TimeStamp]]="","",(Table6[[#This Row],[Work Start TimeStamp]]-Table6[[#This Row],[Fault Start TimeStamp]])*24)</f>
        <v>0</v>
      </c>
      <c r="S232" s="472">
        <f>(Table6[[#This Row],[Fault Clearance time]]-Table6[[#This Row],[Work Start TimeStamp]])*24</f>
        <v>1.0999999999999988</v>
      </c>
      <c r="T232" s="472">
        <f>(Table6[[#This Row],[Fault Clearance time]]-Table6[[#This Row],[Fault Start TimeStamp]])*24</f>
        <v>1.0999999999999988</v>
      </c>
      <c r="U232" s="35" t="s">
        <v>398</v>
      </c>
      <c r="V232" s="102" t="s">
        <v>293</v>
      </c>
      <c r="W232" s="478">
        <f>IFERROR(Table6[[#This Row],[Breakdown Time]]*Table6[[#This Row],[Plant Equivalent Weightage]],"")</f>
        <v>4.2307692307692248E-2</v>
      </c>
      <c r="X232" s="473" t="s">
        <v>294</v>
      </c>
      <c r="Y232" s="474" t="s">
        <v>315</v>
      </c>
      <c r="Z232" s="102">
        <v>49494</v>
      </c>
      <c r="AA232" s="468">
        <f>(Table6[[#This Row],[Paired WTG Generation for loss calculation]]/24)*Table6[[#This Row],[Breakdown Time]]</f>
        <v>2268.4749999999976</v>
      </c>
      <c r="AB232" s="102"/>
      <c r="AC232" s="35"/>
      <c r="AD232" s="35"/>
    </row>
    <row r="233" spans="1:30">
      <c r="A233" s="102">
        <f t="shared" si="4"/>
        <v>232</v>
      </c>
      <c r="B233" s="468">
        <f>YEAR(Table6[[#This Row],[Date]])+IF(MONTH(Table6[[#This Row],[Date]])&gt;=4,1,0)</f>
        <v>2026</v>
      </c>
      <c r="C233" s="102">
        <f>YEAR(Table6[[#This Row],[Date]])</f>
        <v>2025</v>
      </c>
      <c r="D233" s="102" t="s">
        <v>1992</v>
      </c>
      <c r="E233" s="469">
        <f>Table6[[#This Row],[Date]]-DAY(Table6[[#This Row],[Date]])+1</f>
        <v>45748</v>
      </c>
      <c r="F233" s="470">
        <v>45761</v>
      </c>
      <c r="G233" s="35" t="s">
        <v>98</v>
      </c>
      <c r="H233" s="35" t="str">
        <f>IFERROR(_xlfn.XLOOKUP(Table6[[#This Row],[Affected WTG]],'Basic Data'!$A:$A,'Basic Data'!$B:$B),"")</f>
        <v>TQGXIIPL</v>
      </c>
      <c r="I233" s="35" t="str">
        <f>IFERROR(_xlfn.XLOOKUP(Table6[[#This Row],[Affected WTG]],'Basic Data'!$A:$A,'Basic Data'!$C:$C),"")</f>
        <v>GEDA</v>
      </c>
      <c r="J233" s="471">
        <f>IFERROR(_xlfn.XLOOKUP(Table6[[#This Row],[Affected WTG]],'Basic Data'!$A:$A,'Basic Data'!$E:$E),"")</f>
        <v>3.846153846153845E-2</v>
      </c>
      <c r="K233" s="102">
        <v>55</v>
      </c>
      <c r="L233" s="35" t="str">
        <f>IFERROR(_xlfn.XLOOKUP(Table6[[#This Row],[Error Code]],'Basic Data'!$AA:$AA,'Basic Data'!$AB:$AB),"Incorrect Error Code")</f>
        <v>WTG shut down</v>
      </c>
      <c r="M233" s="35" t="s">
        <v>330</v>
      </c>
      <c r="N233" s="475"/>
      <c r="O233" s="476">
        <v>0.76736111111111116</v>
      </c>
      <c r="P233" s="476">
        <v>0.76736111111111116</v>
      </c>
      <c r="Q233" s="477">
        <v>0.96319444444444446</v>
      </c>
      <c r="R233" s="472">
        <f>IF(Table6[[#This Row],[Work Start TimeStamp]]="","",(Table6[[#This Row],[Work Start TimeStamp]]-Table6[[#This Row],[Fault Start TimeStamp]])*24)</f>
        <v>0</v>
      </c>
      <c r="S233" s="472">
        <f>(Table6[[#This Row],[Fault Clearance time]]-Table6[[#This Row],[Work Start TimeStamp]])*24</f>
        <v>4.6999999999999993</v>
      </c>
      <c r="T233" s="472">
        <f>(Table6[[#This Row],[Fault Clearance time]]-Table6[[#This Row],[Fault Start TimeStamp]])*24</f>
        <v>4.6999999999999993</v>
      </c>
      <c r="U233" s="35" t="s">
        <v>337</v>
      </c>
      <c r="V233" s="102" t="s">
        <v>293</v>
      </c>
      <c r="W233" s="478">
        <f>IFERROR(Table6[[#This Row],[Breakdown Time]]*Table6[[#This Row],[Plant Equivalent Weightage]],"")</f>
        <v>0.18076923076923068</v>
      </c>
      <c r="X233" s="473" t="s">
        <v>290</v>
      </c>
      <c r="Y233" s="474" t="s">
        <v>315</v>
      </c>
      <c r="Z233" s="102">
        <v>49494</v>
      </c>
      <c r="AA233" s="468">
        <f>(Table6[[#This Row],[Paired WTG Generation for loss calculation]]/24)*Table6[[#This Row],[Breakdown Time]]</f>
        <v>9692.5749999999989</v>
      </c>
      <c r="AB233" s="102"/>
      <c r="AC233" s="35"/>
      <c r="AD233" s="35"/>
    </row>
    <row r="234" spans="1:30">
      <c r="A234" s="102">
        <f t="shared" si="4"/>
        <v>233</v>
      </c>
      <c r="B234" s="468">
        <f>YEAR(Table6[[#This Row],[Date]])+IF(MONTH(Table6[[#This Row],[Date]])&gt;=4,1,0)</f>
        <v>2026</v>
      </c>
      <c r="C234" s="102">
        <f>YEAR(Table6[[#This Row],[Date]])</f>
        <v>2025</v>
      </c>
      <c r="D234" s="102" t="s">
        <v>1992</v>
      </c>
      <c r="E234" s="469">
        <f>Table6[[#This Row],[Date]]-DAY(Table6[[#This Row],[Date]])+1</f>
        <v>45748</v>
      </c>
      <c r="F234" s="470">
        <v>45762</v>
      </c>
      <c r="G234" s="35" t="s">
        <v>78</v>
      </c>
      <c r="H234" s="35" t="str">
        <f>IFERROR(_xlfn.XLOOKUP(Table6[[#This Row],[Affected WTG]],'Basic Data'!$A:$A,'Basic Data'!$B:$B),"")</f>
        <v>TQGXIIPL</v>
      </c>
      <c r="I234" s="35" t="str">
        <f>IFERROR(_xlfn.XLOOKUP(Table6[[#This Row],[Affected WTG]],'Basic Data'!$A:$A,'Basic Data'!$C:$C),"")</f>
        <v>GEDA</v>
      </c>
      <c r="J234" s="471">
        <f>IFERROR(_xlfn.XLOOKUP(Table6[[#This Row],[Affected WTG]],'Basic Data'!$A:$A,'Basic Data'!$E:$E),"")</f>
        <v>3.846153846153845E-2</v>
      </c>
      <c r="K234" s="102">
        <v>3211</v>
      </c>
      <c r="L234" s="35" t="str">
        <f>IFERROR(_xlfn.XLOOKUP(Table6[[#This Row],[Error Code]],'Basic Data'!$AA:$AA,'Basic Data'!$AB:$AB),"Incorrect Error Code")</f>
        <v>Conv. load shedding (CAN)</v>
      </c>
      <c r="M234" s="35" t="s">
        <v>291</v>
      </c>
      <c r="N234" s="475"/>
      <c r="O234" s="476">
        <v>0.11180555555555556</v>
      </c>
      <c r="P234" s="476">
        <v>0.11180555555555556</v>
      </c>
      <c r="Q234" s="477">
        <v>0.11736111111111111</v>
      </c>
      <c r="R234" s="472">
        <f>IF(Table6[[#This Row],[Work Start TimeStamp]]="","",(Table6[[#This Row],[Work Start TimeStamp]]-Table6[[#This Row],[Fault Start TimeStamp]])*24)</f>
        <v>0</v>
      </c>
      <c r="S234" s="472">
        <f>(Table6[[#This Row],[Fault Clearance time]]-Table6[[#This Row],[Work Start TimeStamp]])*24</f>
        <v>0.13333333333333319</v>
      </c>
      <c r="T234" s="472">
        <f>(Table6[[#This Row],[Fault Clearance time]]-Table6[[#This Row],[Fault Start TimeStamp]])*24</f>
        <v>0.13333333333333319</v>
      </c>
      <c r="U234" s="35" t="s">
        <v>349</v>
      </c>
      <c r="V234" s="102" t="s">
        <v>293</v>
      </c>
      <c r="W234" s="478">
        <f>IFERROR(Table6[[#This Row],[Breakdown Time]]*Table6[[#This Row],[Plant Equivalent Weightage]],"")</f>
        <v>5.1282051282051213E-3</v>
      </c>
      <c r="X234" s="473" t="s">
        <v>294</v>
      </c>
      <c r="Y234" s="474" t="s">
        <v>333</v>
      </c>
      <c r="Z234" s="102">
        <v>48545</v>
      </c>
      <c r="AA234" s="468">
        <f>(Table6[[#This Row],[Paired WTG Generation for loss calculation]]/24)*Table6[[#This Row],[Breakdown Time]]</f>
        <v>269.69444444444417</v>
      </c>
      <c r="AB234" s="102"/>
      <c r="AC234" s="35"/>
      <c r="AD234" s="35"/>
    </row>
    <row r="235" spans="1:30">
      <c r="A235" s="102">
        <f t="shared" si="4"/>
        <v>234</v>
      </c>
      <c r="B235" s="468">
        <f>YEAR(Table6[[#This Row],[Date]])+IF(MONTH(Table6[[#This Row],[Date]])&gt;=4,1,0)</f>
        <v>2026</v>
      </c>
      <c r="C235" s="102">
        <f>YEAR(Table6[[#This Row],[Date]])</f>
        <v>2025</v>
      </c>
      <c r="D235" s="102" t="s">
        <v>1992</v>
      </c>
      <c r="E235" s="469">
        <f>Table6[[#This Row],[Date]]-DAY(Table6[[#This Row],[Date]])+1</f>
        <v>45748</v>
      </c>
      <c r="F235" s="470">
        <v>45762</v>
      </c>
      <c r="G235" s="35" t="s">
        <v>78</v>
      </c>
      <c r="H235" s="35" t="str">
        <f>IFERROR(_xlfn.XLOOKUP(Table6[[#This Row],[Affected WTG]],'Basic Data'!$A:$A,'Basic Data'!$B:$B),"")</f>
        <v>TQGXIIPL</v>
      </c>
      <c r="I235" s="35" t="str">
        <f>IFERROR(_xlfn.XLOOKUP(Table6[[#This Row],[Affected WTG]],'Basic Data'!$A:$A,'Basic Data'!$C:$C),"")</f>
        <v>GEDA</v>
      </c>
      <c r="J235" s="471">
        <f>IFERROR(_xlfn.XLOOKUP(Table6[[#This Row],[Affected WTG]],'Basic Data'!$A:$A,'Basic Data'!$E:$E),"")</f>
        <v>3.846153846153845E-2</v>
      </c>
      <c r="K235" s="102">
        <v>3010</v>
      </c>
      <c r="L235" s="35" t="str">
        <f>IFERROR(_xlfn.XLOOKUP(Table6[[#This Row],[Error Code]],'Basic Data'!$AA:$AA,'Basic Data'!$AB:$AB),"Incorrect Error Code")</f>
        <v>Conv. comm.error</v>
      </c>
      <c r="M235" s="35" t="s">
        <v>291</v>
      </c>
      <c r="N235" s="475"/>
      <c r="O235" s="476">
        <v>0.12152777777777778</v>
      </c>
      <c r="P235" s="476">
        <v>0.12152777777777778</v>
      </c>
      <c r="Q235" s="477">
        <v>0.12986111111111112</v>
      </c>
      <c r="R235" s="472">
        <f>IF(Table6[[#This Row],[Work Start TimeStamp]]="","",(Table6[[#This Row],[Work Start TimeStamp]]-Table6[[#This Row],[Fault Start TimeStamp]])*24)</f>
        <v>0</v>
      </c>
      <c r="S235" s="472">
        <f>(Table6[[#This Row],[Fault Clearance time]]-Table6[[#This Row],[Work Start TimeStamp]])*24</f>
        <v>0.20000000000000029</v>
      </c>
      <c r="T235" s="472">
        <f>(Table6[[#This Row],[Fault Clearance time]]-Table6[[#This Row],[Fault Start TimeStamp]])*24</f>
        <v>0.20000000000000029</v>
      </c>
      <c r="U235" s="35" t="s">
        <v>349</v>
      </c>
      <c r="V235" s="102" t="s">
        <v>293</v>
      </c>
      <c r="W235" s="478">
        <f>IFERROR(Table6[[#This Row],[Breakdown Time]]*Table6[[#This Row],[Plant Equivalent Weightage]],"")</f>
        <v>7.6923076923077014E-3</v>
      </c>
      <c r="X235" s="473" t="s">
        <v>294</v>
      </c>
      <c r="Y235" s="474" t="s">
        <v>333</v>
      </c>
      <c r="Z235" s="102">
        <v>48545</v>
      </c>
      <c r="AA235" s="468">
        <f>(Table6[[#This Row],[Paired WTG Generation for loss calculation]]/24)*Table6[[#This Row],[Breakdown Time]]</f>
        <v>404.54166666666725</v>
      </c>
      <c r="AB235" s="102"/>
      <c r="AC235" s="35"/>
      <c r="AD235" s="35"/>
    </row>
    <row r="236" spans="1:30">
      <c r="A236" s="102">
        <f t="shared" si="4"/>
        <v>235</v>
      </c>
      <c r="B236" s="468">
        <f>YEAR(Table6[[#This Row],[Date]])+IF(MONTH(Table6[[#This Row],[Date]])&gt;=4,1,0)</f>
        <v>2026</v>
      </c>
      <c r="C236" s="102">
        <f>YEAR(Table6[[#This Row],[Date]])</f>
        <v>2025</v>
      </c>
      <c r="D236" s="102" t="s">
        <v>1992</v>
      </c>
      <c r="E236" s="469">
        <f>Table6[[#This Row],[Date]]-DAY(Table6[[#This Row],[Date]])+1</f>
        <v>45748</v>
      </c>
      <c r="F236" s="470">
        <v>45762</v>
      </c>
      <c r="G236" s="35" t="s">
        <v>78</v>
      </c>
      <c r="H236" s="35" t="str">
        <f>IFERROR(_xlfn.XLOOKUP(Table6[[#This Row],[Affected WTG]],'Basic Data'!$A:$A,'Basic Data'!$B:$B),"")</f>
        <v>TQGXIIPL</v>
      </c>
      <c r="I236" s="35" t="str">
        <f>IFERROR(_xlfn.XLOOKUP(Table6[[#This Row],[Affected WTG]],'Basic Data'!$A:$A,'Basic Data'!$C:$C),"")</f>
        <v>GEDA</v>
      </c>
      <c r="J236" s="471">
        <f>IFERROR(_xlfn.XLOOKUP(Table6[[#This Row],[Affected WTG]],'Basic Data'!$A:$A,'Basic Data'!$E:$E),"")</f>
        <v>3.846153846153845E-2</v>
      </c>
      <c r="K236" s="102">
        <v>55</v>
      </c>
      <c r="L236" s="35" t="str">
        <f>IFERROR(_xlfn.XLOOKUP(Table6[[#This Row],[Error Code]],'Basic Data'!$AA:$AA,'Basic Data'!$AB:$AB),"Incorrect Error Code")</f>
        <v>WTG shut down</v>
      </c>
      <c r="M236" s="35" t="s">
        <v>330</v>
      </c>
      <c r="N236" s="475"/>
      <c r="O236" s="476">
        <v>0.14583333333333334</v>
      </c>
      <c r="P236" s="476">
        <v>0.14583333333333334</v>
      </c>
      <c r="Q236" s="477">
        <v>0.34930555555555554</v>
      </c>
      <c r="R236" s="472">
        <f>IF(Table6[[#This Row],[Work Start TimeStamp]]="","",(Table6[[#This Row],[Work Start TimeStamp]]-Table6[[#This Row],[Fault Start TimeStamp]])*24)</f>
        <v>0</v>
      </c>
      <c r="S236" s="472">
        <f>(Table6[[#This Row],[Fault Clearance time]]-Table6[[#This Row],[Work Start TimeStamp]])*24</f>
        <v>4.8833333333333329</v>
      </c>
      <c r="T236" s="472">
        <f>(Table6[[#This Row],[Fault Clearance time]]-Table6[[#This Row],[Fault Start TimeStamp]])*24</f>
        <v>4.8833333333333329</v>
      </c>
      <c r="U236" s="35" t="s">
        <v>337</v>
      </c>
      <c r="V236" s="102" t="s">
        <v>293</v>
      </c>
      <c r="W236" s="478">
        <f>IFERROR(Table6[[#This Row],[Breakdown Time]]*Table6[[#This Row],[Plant Equivalent Weightage]],"")</f>
        <v>0.18782051282051274</v>
      </c>
      <c r="X236" s="473" t="s">
        <v>290</v>
      </c>
      <c r="Y236" s="474" t="s">
        <v>333</v>
      </c>
      <c r="Z236" s="102">
        <v>48545</v>
      </c>
      <c r="AA236" s="468">
        <f>(Table6[[#This Row],[Paired WTG Generation for loss calculation]]/24)*Table6[[#This Row],[Breakdown Time]]</f>
        <v>9877.5590277777756</v>
      </c>
      <c r="AB236" s="102"/>
      <c r="AC236" s="35"/>
      <c r="AD236" s="35"/>
    </row>
    <row r="237" spans="1:30">
      <c r="A237" s="102">
        <f t="shared" si="4"/>
        <v>236</v>
      </c>
      <c r="B237" s="468">
        <f>YEAR(Table6[[#This Row],[Date]])+IF(MONTH(Table6[[#This Row],[Date]])&gt;=4,1,0)</f>
        <v>2026</v>
      </c>
      <c r="C237" s="102">
        <f>YEAR(Table6[[#This Row],[Date]])</f>
        <v>2025</v>
      </c>
      <c r="D237" s="102" t="s">
        <v>1992</v>
      </c>
      <c r="E237" s="469">
        <f>Table6[[#This Row],[Date]]-DAY(Table6[[#This Row],[Date]])+1</f>
        <v>45748</v>
      </c>
      <c r="F237" s="470">
        <v>45762</v>
      </c>
      <c r="G237" s="35" t="s">
        <v>79</v>
      </c>
      <c r="H237" s="35" t="str">
        <f>IFERROR(_xlfn.XLOOKUP(Table6[[#This Row],[Affected WTG]],'Basic Data'!$A:$A,'Basic Data'!$B:$B),"")</f>
        <v>TQGXIIPL</v>
      </c>
      <c r="I237" s="35" t="str">
        <f>IFERROR(_xlfn.XLOOKUP(Table6[[#This Row],[Affected WTG]],'Basic Data'!$A:$A,'Basic Data'!$C:$C),"")</f>
        <v>GEDA</v>
      </c>
      <c r="J237" s="471">
        <f>IFERROR(_xlfn.XLOOKUP(Table6[[#This Row],[Affected WTG]],'Basic Data'!$A:$A,'Basic Data'!$E:$E),"")</f>
        <v>3.846153846153845E-2</v>
      </c>
      <c r="K237" s="102">
        <v>6130</v>
      </c>
      <c r="L237" s="35" t="str">
        <f>IFERROR(_xlfn.XLOOKUP(Table6[[#This Row],[Error Code]],'Basic Data'!$AA:$AA,'Basic Data'!$AB:$AB),"Incorrect Error Code")</f>
        <v>Yaw speed high</v>
      </c>
      <c r="M237" s="35" t="s">
        <v>292</v>
      </c>
      <c r="N237" s="475"/>
      <c r="O237" s="476">
        <v>0.3659722222222222</v>
      </c>
      <c r="P237" s="476">
        <v>0.3659722222222222</v>
      </c>
      <c r="Q237" s="477">
        <v>0.37013888888888891</v>
      </c>
      <c r="R237" s="472">
        <f>IF(Table6[[#This Row],[Work Start TimeStamp]]="","",(Table6[[#This Row],[Work Start TimeStamp]]-Table6[[#This Row],[Fault Start TimeStamp]])*24)</f>
        <v>0</v>
      </c>
      <c r="S237" s="472">
        <f>(Table6[[#This Row],[Fault Clearance time]]-Table6[[#This Row],[Work Start TimeStamp]])*24</f>
        <v>0.10000000000000098</v>
      </c>
      <c r="T237" s="472">
        <f>(Table6[[#This Row],[Fault Clearance time]]-Table6[[#This Row],[Fault Start TimeStamp]])*24</f>
        <v>0.10000000000000098</v>
      </c>
      <c r="U237" s="35" t="s">
        <v>336</v>
      </c>
      <c r="V237" s="102" t="s">
        <v>293</v>
      </c>
      <c r="W237" s="478">
        <f>IFERROR(Table6[[#This Row],[Breakdown Time]]*Table6[[#This Row],[Plant Equivalent Weightage]],"")</f>
        <v>3.8461538461538824E-3</v>
      </c>
      <c r="X237" s="473" t="s">
        <v>294</v>
      </c>
      <c r="Y237" s="474" t="s">
        <v>325</v>
      </c>
      <c r="Z237" s="102">
        <v>46010</v>
      </c>
      <c r="AA237" s="468">
        <f>(Table6[[#This Row],[Paired WTG Generation for loss calculation]]/24)*Table6[[#This Row],[Breakdown Time]]</f>
        <v>191.70833333333519</v>
      </c>
      <c r="AB237" s="102"/>
      <c r="AC237" s="35"/>
      <c r="AD237" s="35"/>
    </row>
    <row r="238" spans="1:30">
      <c r="A238" s="102">
        <f t="shared" si="4"/>
        <v>237</v>
      </c>
      <c r="B238" s="468">
        <f>YEAR(Table6[[#This Row],[Date]])+IF(MONTH(Table6[[#This Row],[Date]])&gt;=4,1,0)</f>
        <v>2026</v>
      </c>
      <c r="C238" s="102">
        <f>YEAR(Table6[[#This Row],[Date]])</f>
        <v>2025</v>
      </c>
      <c r="D238" s="102" t="s">
        <v>1992</v>
      </c>
      <c r="E238" s="469">
        <f>Table6[[#This Row],[Date]]-DAY(Table6[[#This Row],[Date]])+1</f>
        <v>45748</v>
      </c>
      <c r="F238" s="470">
        <v>45762</v>
      </c>
      <c r="G238" s="35" t="s">
        <v>82</v>
      </c>
      <c r="H238" s="35" t="str">
        <f>IFERROR(_xlfn.XLOOKUP(Table6[[#This Row],[Affected WTG]],'Basic Data'!$A:$A,'Basic Data'!$B:$B),"")</f>
        <v>TQGXIIPL</v>
      </c>
      <c r="I238" s="35" t="str">
        <f>IFERROR(_xlfn.XLOOKUP(Table6[[#This Row],[Affected WTG]],'Basic Data'!$A:$A,'Basic Data'!$C:$C),"")</f>
        <v>GEDA</v>
      </c>
      <c r="J238" s="471">
        <f>IFERROR(_xlfn.XLOOKUP(Table6[[#This Row],[Affected WTG]],'Basic Data'!$A:$A,'Basic Data'!$E:$E),"")</f>
        <v>3.846153846153845E-2</v>
      </c>
      <c r="K238" s="102">
        <v>55</v>
      </c>
      <c r="L238" s="35" t="str">
        <f>IFERROR(_xlfn.XLOOKUP(Table6[[#This Row],[Error Code]],'Basic Data'!$AA:$AA,'Basic Data'!$AB:$AB),"Incorrect Error Code")</f>
        <v>WTG shut down</v>
      </c>
      <c r="M238" s="35" t="s">
        <v>330</v>
      </c>
      <c r="N238" s="475"/>
      <c r="O238" s="476">
        <v>0.13055555555555556</v>
      </c>
      <c r="P238" s="476">
        <v>0.13055555555555556</v>
      </c>
      <c r="Q238" s="477">
        <v>0.34583333333333333</v>
      </c>
      <c r="R238" s="472">
        <f>IF(Table6[[#This Row],[Work Start TimeStamp]]="","",(Table6[[#This Row],[Work Start TimeStamp]]-Table6[[#This Row],[Fault Start TimeStamp]])*24)</f>
        <v>0</v>
      </c>
      <c r="S238" s="472">
        <f>(Table6[[#This Row],[Fault Clearance time]]-Table6[[#This Row],[Work Start TimeStamp]])*24</f>
        <v>5.1666666666666661</v>
      </c>
      <c r="T238" s="472">
        <f>(Table6[[#This Row],[Fault Clearance time]]-Table6[[#This Row],[Fault Start TimeStamp]])*24</f>
        <v>5.1666666666666661</v>
      </c>
      <c r="U238" s="35" t="s">
        <v>337</v>
      </c>
      <c r="V238" s="102" t="s">
        <v>293</v>
      </c>
      <c r="W238" s="478">
        <f>IFERROR(Table6[[#This Row],[Breakdown Time]]*Table6[[#This Row],[Plant Equivalent Weightage]],"")</f>
        <v>0.19871794871794862</v>
      </c>
      <c r="X238" s="473" t="s">
        <v>290</v>
      </c>
      <c r="Y238" s="474" t="s">
        <v>332</v>
      </c>
      <c r="Z238" s="102">
        <v>39223</v>
      </c>
      <c r="AA238" s="468">
        <f>(Table6[[#This Row],[Paired WTG Generation for loss calculation]]/24)*Table6[[#This Row],[Breakdown Time]]</f>
        <v>8443.8402777777774</v>
      </c>
      <c r="AB238" s="102"/>
      <c r="AC238" s="35"/>
      <c r="AD238" s="35"/>
    </row>
    <row r="239" spans="1:30">
      <c r="A239" s="102">
        <f t="shared" si="4"/>
        <v>238</v>
      </c>
      <c r="B239" s="468">
        <f>YEAR(Table6[[#This Row],[Date]])+IF(MONTH(Table6[[#This Row],[Date]])&gt;=4,1,0)</f>
        <v>2026</v>
      </c>
      <c r="C239" s="102">
        <f>YEAR(Table6[[#This Row],[Date]])</f>
        <v>2025</v>
      </c>
      <c r="D239" s="102" t="s">
        <v>1992</v>
      </c>
      <c r="E239" s="469">
        <f>Table6[[#This Row],[Date]]-DAY(Table6[[#This Row],[Date]])+1</f>
        <v>45748</v>
      </c>
      <c r="F239" s="470">
        <v>45762</v>
      </c>
      <c r="G239" s="35" t="s">
        <v>83</v>
      </c>
      <c r="H239" s="35" t="str">
        <f>IFERROR(_xlfn.XLOOKUP(Table6[[#This Row],[Affected WTG]],'Basic Data'!$A:$A,'Basic Data'!$B:$B),"")</f>
        <v>TQGXIIPL</v>
      </c>
      <c r="I239" s="35" t="str">
        <f>IFERROR(_xlfn.XLOOKUP(Table6[[#This Row],[Affected WTG]],'Basic Data'!$A:$A,'Basic Data'!$C:$C),"")</f>
        <v>GEDA</v>
      </c>
      <c r="J239" s="471">
        <f>IFERROR(_xlfn.XLOOKUP(Table6[[#This Row],[Affected WTG]],'Basic Data'!$A:$A,'Basic Data'!$E:$E),"")</f>
        <v>3.846153846153845E-2</v>
      </c>
      <c r="K239" s="102">
        <v>55</v>
      </c>
      <c r="L239" s="35" t="str">
        <f>IFERROR(_xlfn.XLOOKUP(Table6[[#This Row],[Error Code]],'Basic Data'!$AA:$AA,'Basic Data'!$AB:$AB),"Incorrect Error Code")</f>
        <v>WTG shut down</v>
      </c>
      <c r="M239" s="35" t="s">
        <v>291</v>
      </c>
      <c r="N239" s="475"/>
      <c r="O239" s="476">
        <v>0.53888888888888886</v>
      </c>
      <c r="P239" s="476">
        <v>0.53888888888888886</v>
      </c>
      <c r="Q239" s="477">
        <v>0.56111111111111112</v>
      </c>
      <c r="R239" s="472">
        <f>IF(Table6[[#This Row],[Work Start TimeStamp]]="","",(Table6[[#This Row],[Work Start TimeStamp]]-Table6[[#This Row],[Fault Start TimeStamp]])*24)</f>
        <v>0</v>
      </c>
      <c r="S239" s="472">
        <f>(Table6[[#This Row],[Fault Clearance time]]-Table6[[#This Row],[Work Start TimeStamp]])*24</f>
        <v>0.5333333333333341</v>
      </c>
      <c r="T239" s="472">
        <f>(Table6[[#This Row],[Fault Clearance time]]-Table6[[#This Row],[Fault Start TimeStamp]])*24</f>
        <v>0.5333333333333341</v>
      </c>
      <c r="U239" s="35" t="s">
        <v>399</v>
      </c>
      <c r="V239" s="102" t="s">
        <v>293</v>
      </c>
      <c r="W239" s="478">
        <f>IFERROR(Table6[[#This Row],[Breakdown Time]]*Table6[[#This Row],[Plant Equivalent Weightage]],"")</f>
        <v>2.0512820512820537E-2</v>
      </c>
      <c r="X239" s="473" t="s">
        <v>290</v>
      </c>
      <c r="Y239" s="474" t="s">
        <v>312</v>
      </c>
      <c r="Z239" s="102">
        <v>44736</v>
      </c>
      <c r="AA239" s="468">
        <f>(Table6[[#This Row],[Paired WTG Generation for loss calculation]]/24)*Table6[[#This Row],[Breakdown Time]]</f>
        <v>994.1333333333348</v>
      </c>
      <c r="AB239" s="102"/>
      <c r="AC239" s="35"/>
      <c r="AD239" s="35"/>
    </row>
    <row r="240" spans="1:30">
      <c r="A240" s="102">
        <f t="shared" si="4"/>
        <v>239</v>
      </c>
      <c r="B240" s="468">
        <f>YEAR(Table6[[#This Row],[Date]])+IF(MONTH(Table6[[#This Row],[Date]])&gt;=4,1,0)</f>
        <v>2026</v>
      </c>
      <c r="C240" s="102">
        <f>YEAR(Table6[[#This Row],[Date]])</f>
        <v>2025</v>
      </c>
      <c r="D240" s="102" t="s">
        <v>1992</v>
      </c>
      <c r="E240" s="469">
        <f>Table6[[#This Row],[Date]]-DAY(Table6[[#This Row],[Date]])+1</f>
        <v>45748</v>
      </c>
      <c r="F240" s="470">
        <v>45762</v>
      </c>
      <c r="G240" s="35" t="s">
        <v>83</v>
      </c>
      <c r="H240" s="35" t="str">
        <f>IFERROR(_xlfn.XLOOKUP(Table6[[#This Row],[Affected WTG]],'Basic Data'!$A:$A,'Basic Data'!$B:$B),"")</f>
        <v>TQGXIIPL</v>
      </c>
      <c r="I240" s="35" t="str">
        <f>IFERROR(_xlfn.XLOOKUP(Table6[[#This Row],[Affected WTG]],'Basic Data'!$A:$A,'Basic Data'!$C:$C),"")</f>
        <v>GEDA</v>
      </c>
      <c r="J240" s="471">
        <f>IFERROR(_xlfn.XLOOKUP(Table6[[#This Row],[Affected WTG]],'Basic Data'!$A:$A,'Basic Data'!$E:$E),"")</f>
        <v>3.846153846153845E-2</v>
      </c>
      <c r="K240" s="102">
        <v>6130</v>
      </c>
      <c r="L240" s="35" t="str">
        <f>IFERROR(_xlfn.XLOOKUP(Table6[[#This Row],[Error Code]],'Basic Data'!$AA:$AA,'Basic Data'!$AB:$AB),"Incorrect Error Code")</f>
        <v>Yaw speed high</v>
      </c>
      <c r="M240" s="35" t="s">
        <v>291</v>
      </c>
      <c r="N240" s="475"/>
      <c r="O240" s="476">
        <v>0.6694444444444444</v>
      </c>
      <c r="P240" s="476">
        <v>0.6694444444444444</v>
      </c>
      <c r="Q240" s="477">
        <v>0.67291666666666672</v>
      </c>
      <c r="R240" s="472">
        <f>IF(Table6[[#This Row],[Work Start TimeStamp]]="","",(Table6[[#This Row],[Work Start TimeStamp]]-Table6[[#This Row],[Fault Start TimeStamp]])*24)</f>
        <v>0</v>
      </c>
      <c r="S240" s="472">
        <f>(Table6[[#This Row],[Fault Clearance time]]-Table6[[#This Row],[Work Start TimeStamp]])*24</f>
        <v>8.3333333333335702E-2</v>
      </c>
      <c r="T240" s="472">
        <f>(Table6[[#This Row],[Fault Clearance time]]-Table6[[#This Row],[Fault Start TimeStamp]])*24</f>
        <v>8.3333333333335702E-2</v>
      </c>
      <c r="U240" s="35" t="s">
        <v>336</v>
      </c>
      <c r="V240" s="102" t="s">
        <v>293</v>
      </c>
      <c r="W240" s="478">
        <f>IFERROR(Table6[[#This Row],[Breakdown Time]]*Table6[[#This Row],[Plant Equivalent Weightage]],"")</f>
        <v>3.2051282051282952E-3</v>
      </c>
      <c r="X240" s="473" t="s">
        <v>294</v>
      </c>
      <c r="Y240" s="474" t="s">
        <v>312</v>
      </c>
      <c r="Z240" s="102">
        <v>44736</v>
      </c>
      <c r="AA240" s="468">
        <f>(Table6[[#This Row],[Paired WTG Generation for loss calculation]]/24)*Table6[[#This Row],[Breakdown Time]]</f>
        <v>155.33333333333775</v>
      </c>
      <c r="AB240" s="102"/>
      <c r="AC240" s="35"/>
      <c r="AD240" s="35"/>
    </row>
    <row r="241" spans="1:30">
      <c r="A241" s="102">
        <f t="shared" si="4"/>
        <v>240</v>
      </c>
      <c r="B241" s="468">
        <f>YEAR(Table6[[#This Row],[Date]])+IF(MONTH(Table6[[#This Row],[Date]])&gt;=4,1,0)</f>
        <v>2026</v>
      </c>
      <c r="C241" s="102">
        <f>YEAR(Table6[[#This Row],[Date]])</f>
        <v>2025</v>
      </c>
      <c r="D241" s="102" t="s">
        <v>1992</v>
      </c>
      <c r="E241" s="469">
        <f>Table6[[#This Row],[Date]]-DAY(Table6[[#This Row],[Date]])+1</f>
        <v>45748</v>
      </c>
      <c r="F241" s="470">
        <v>45762</v>
      </c>
      <c r="G241" s="35" t="s">
        <v>84</v>
      </c>
      <c r="H241" s="35" t="str">
        <f>IFERROR(_xlfn.XLOOKUP(Table6[[#This Row],[Affected WTG]],'Basic Data'!$A:$A,'Basic Data'!$B:$B),"")</f>
        <v>TQGXIIPL</v>
      </c>
      <c r="I241" s="35" t="str">
        <f>IFERROR(_xlfn.XLOOKUP(Table6[[#This Row],[Affected WTG]],'Basic Data'!$A:$A,'Basic Data'!$C:$C),"")</f>
        <v>GEDA</v>
      </c>
      <c r="J241" s="471">
        <f>IFERROR(_xlfn.XLOOKUP(Table6[[#This Row],[Affected WTG]],'Basic Data'!$A:$A,'Basic Data'!$E:$E),"")</f>
        <v>3.846153846153845E-2</v>
      </c>
      <c r="K241" s="102">
        <v>6130</v>
      </c>
      <c r="L241" s="35" t="str">
        <f>IFERROR(_xlfn.XLOOKUP(Table6[[#This Row],[Error Code]],'Basic Data'!$AA:$AA,'Basic Data'!$AB:$AB),"Incorrect Error Code")</f>
        <v>Yaw speed high</v>
      </c>
      <c r="M241" s="35" t="s">
        <v>291</v>
      </c>
      <c r="N241" s="475"/>
      <c r="O241" s="476">
        <v>0.58611111111111114</v>
      </c>
      <c r="P241" s="476">
        <v>0.58611111111111114</v>
      </c>
      <c r="Q241" s="477">
        <v>0.59027777777777779</v>
      </c>
      <c r="R241" s="472">
        <f>IF(Table6[[#This Row],[Work Start TimeStamp]]="","",(Table6[[#This Row],[Work Start TimeStamp]]-Table6[[#This Row],[Fault Start TimeStamp]])*24)</f>
        <v>0</v>
      </c>
      <c r="S241" s="472">
        <f>(Table6[[#This Row],[Fault Clearance time]]-Table6[[#This Row],[Work Start TimeStamp]])*24</f>
        <v>9.9999999999999645E-2</v>
      </c>
      <c r="T241" s="472">
        <f>(Table6[[#This Row],[Fault Clearance time]]-Table6[[#This Row],[Fault Start TimeStamp]])*24</f>
        <v>9.9999999999999645E-2</v>
      </c>
      <c r="U241" s="35" t="s">
        <v>336</v>
      </c>
      <c r="V241" s="102" t="s">
        <v>293</v>
      </c>
      <c r="W241" s="478">
        <f>IFERROR(Table6[[#This Row],[Breakdown Time]]*Table6[[#This Row],[Plant Equivalent Weightage]],"")</f>
        <v>3.8461538461538312E-3</v>
      </c>
      <c r="X241" s="473" t="s">
        <v>294</v>
      </c>
      <c r="Y241" s="474" t="s">
        <v>327</v>
      </c>
      <c r="Z241" s="102">
        <v>40662</v>
      </c>
      <c r="AA241" s="468">
        <f>(Table6[[#This Row],[Paired WTG Generation for loss calculation]]/24)*Table6[[#This Row],[Breakdown Time]]</f>
        <v>169.42499999999939</v>
      </c>
      <c r="AB241" s="102"/>
      <c r="AC241" s="35"/>
      <c r="AD241" s="35"/>
    </row>
    <row r="242" spans="1:30">
      <c r="A242" s="102">
        <f t="shared" si="4"/>
        <v>241</v>
      </c>
      <c r="B242" s="468">
        <f>YEAR(Table6[[#This Row],[Date]])+IF(MONTH(Table6[[#This Row],[Date]])&gt;=4,1,0)</f>
        <v>2026</v>
      </c>
      <c r="C242" s="102">
        <f>YEAR(Table6[[#This Row],[Date]])</f>
        <v>2025</v>
      </c>
      <c r="D242" s="102" t="s">
        <v>1992</v>
      </c>
      <c r="E242" s="469">
        <f>Table6[[#This Row],[Date]]-DAY(Table6[[#This Row],[Date]])+1</f>
        <v>45748</v>
      </c>
      <c r="F242" s="470">
        <v>45762</v>
      </c>
      <c r="G242" s="35" t="s">
        <v>89</v>
      </c>
      <c r="H242" s="35" t="str">
        <f>IFERROR(_xlfn.XLOOKUP(Table6[[#This Row],[Affected WTG]],'Basic Data'!$A:$A,'Basic Data'!$B:$B),"")</f>
        <v>TQGXIIPL</v>
      </c>
      <c r="I242" s="35" t="str">
        <f>IFERROR(_xlfn.XLOOKUP(Table6[[#This Row],[Affected WTG]],'Basic Data'!$A:$A,'Basic Data'!$C:$C),"")</f>
        <v>GEDA</v>
      </c>
      <c r="J242" s="471">
        <f>IFERROR(_xlfn.XLOOKUP(Table6[[#This Row],[Affected WTG]],'Basic Data'!$A:$A,'Basic Data'!$E:$E),"")</f>
        <v>3.846153846153845E-2</v>
      </c>
      <c r="K242" s="102">
        <v>55</v>
      </c>
      <c r="L242" s="35" t="str">
        <f>IFERROR(_xlfn.XLOOKUP(Table6[[#This Row],[Error Code]],'Basic Data'!$AA:$AA,'Basic Data'!$AB:$AB),"Incorrect Error Code")</f>
        <v>WTG shut down</v>
      </c>
      <c r="M242" s="35" t="s">
        <v>304</v>
      </c>
      <c r="N242" s="475"/>
      <c r="O242" s="476">
        <v>0.29305555555555557</v>
      </c>
      <c r="P242" s="476">
        <v>0.30069444444444443</v>
      </c>
      <c r="Q242" s="477">
        <v>0.53333333333333333</v>
      </c>
      <c r="R242" s="472">
        <f>IF(Table6[[#This Row],[Work Start TimeStamp]]="","",(Table6[[#This Row],[Work Start TimeStamp]]-Table6[[#This Row],[Fault Start TimeStamp]])*24)</f>
        <v>0.18333333333333268</v>
      </c>
      <c r="S242" s="472">
        <f>(Table6[[#This Row],[Fault Clearance time]]-Table6[[#This Row],[Work Start TimeStamp]])*24</f>
        <v>5.5833333333333339</v>
      </c>
      <c r="T242" s="472">
        <f>(Table6[[#This Row],[Fault Clearance time]]-Table6[[#This Row],[Fault Start TimeStamp]])*24</f>
        <v>5.7666666666666657</v>
      </c>
      <c r="U242" s="35" t="s">
        <v>400</v>
      </c>
      <c r="V242" s="102" t="s">
        <v>293</v>
      </c>
      <c r="W242" s="478">
        <f>IFERROR(Table6[[#This Row],[Breakdown Time]]*Table6[[#This Row],[Plant Equivalent Weightage]],"")</f>
        <v>0.2217948717948717</v>
      </c>
      <c r="X242" s="473" t="s">
        <v>305</v>
      </c>
      <c r="Y242" s="474" t="s">
        <v>325</v>
      </c>
      <c r="Z242" s="102">
        <v>46010</v>
      </c>
      <c r="AA242" s="468">
        <f>(Table6[[#This Row],[Paired WTG Generation for loss calculation]]/24)*Table6[[#This Row],[Breakdown Time]]</f>
        <v>11055.180555555553</v>
      </c>
      <c r="AB242" s="102"/>
      <c r="AC242" s="35"/>
      <c r="AD242" s="35"/>
    </row>
    <row r="243" spans="1:30">
      <c r="A243" s="102">
        <f t="shared" si="4"/>
        <v>242</v>
      </c>
      <c r="B243" s="468">
        <f>YEAR(Table6[[#This Row],[Date]])+IF(MONTH(Table6[[#This Row],[Date]])&gt;=4,1,0)</f>
        <v>2026</v>
      </c>
      <c r="C243" s="102">
        <f>YEAR(Table6[[#This Row],[Date]])</f>
        <v>2025</v>
      </c>
      <c r="D243" s="102" t="s">
        <v>1992</v>
      </c>
      <c r="E243" s="469">
        <f>Table6[[#This Row],[Date]]-DAY(Table6[[#This Row],[Date]])+1</f>
        <v>45748</v>
      </c>
      <c r="F243" s="470">
        <v>45762</v>
      </c>
      <c r="G243" s="35" t="s">
        <v>89</v>
      </c>
      <c r="H243" s="35" t="str">
        <f>IFERROR(_xlfn.XLOOKUP(Table6[[#This Row],[Affected WTG]],'Basic Data'!$A:$A,'Basic Data'!$B:$B),"")</f>
        <v>TQGXIIPL</v>
      </c>
      <c r="I243" s="35" t="str">
        <f>IFERROR(_xlfn.XLOOKUP(Table6[[#This Row],[Affected WTG]],'Basic Data'!$A:$A,'Basic Data'!$C:$C),"")</f>
        <v>GEDA</v>
      </c>
      <c r="J243" s="471">
        <f>IFERROR(_xlfn.XLOOKUP(Table6[[#This Row],[Affected WTG]],'Basic Data'!$A:$A,'Basic Data'!$E:$E),"")</f>
        <v>3.846153846153845E-2</v>
      </c>
      <c r="K243" s="102">
        <v>665</v>
      </c>
      <c r="L243" s="35" t="str">
        <f>IFERROR(_xlfn.XLOOKUP(Table6[[#This Row],[Error Code]],'Basic Data'!$AA:$AA,'Basic Data'!$AB:$AB),"Incorrect Error Code")</f>
        <v>Pitch error</v>
      </c>
      <c r="M243" s="35" t="s">
        <v>291</v>
      </c>
      <c r="N243" s="475"/>
      <c r="O243" s="476">
        <v>0.62986111111111109</v>
      </c>
      <c r="P243" s="476">
        <v>0.62986111111111109</v>
      </c>
      <c r="Q243" s="477">
        <v>0.63402777777777775</v>
      </c>
      <c r="R243" s="472">
        <f>IF(Table6[[#This Row],[Work Start TimeStamp]]="","",(Table6[[#This Row],[Work Start TimeStamp]]-Table6[[#This Row],[Fault Start TimeStamp]])*24)</f>
        <v>0</v>
      </c>
      <c r="S243" s="472">
        <f>(Table6[[#This Row],[Fault Clearance time]]-Table6[[#This Row],[Work Start TimeStamp]])*24</f>
        <v>9.9999999999999645E-2</v>
      </c>
      <c r="T243" s="472">
        <f>(Table6[[#This Row],[Fault Clearance time]]-Table6[[#This Row],[Fault Start TimeStamp]])*24</f>
        <v>9.9999999999999645E-2</v>
      </c>
      <c r="U243" s="35" t="s">
        <v>349</v>
      </c>
      <c r="V243" s="102" t="s">
        <v>293</v>
      </c>
      <c r="W243" s="478">
        <f>IFERROR(Table6[[#This Row],[Breakdown Time]]*Table6[[#This Row],[Plant Equivalent Weightage]],"")</f>
        <v>3.8461538461538312E-3</v>
      </c>
      <c r="X243" s="473" t="s">
        <v>294</v>
      </c>
      <c r="Y243" s="474" t="s">
        <v>325</v>
      </c>
      <c r="Z243" s="102">
        <v>46010</v>
      </c>
      <c r="AA243" s="468">
        <f>(Table6[[#This Row],[Paired WTG Generation for loss calculation]]/24)*Table6[[#This Row],[Breakdown Time]]</f>
        <v>191.70833333333263</v>
      </c>
      <c r="AB243" s="102"/>
      <c r="AC243" s="35"/>
      <c r="AD243" s="35"/>
    </row>
    <row r="244" spans="1:30">
      <c r="A244" s="102">
        <f t="shared" si="4"/>
        <v>243</v>
      </c>
      <c r="B244" s="468">
        <f>YEAR(Table6[[#This Row],[Date]])+IF(MONTH(Table6[[#This Row],[Date]])&gt;=4,1,0)</f>
        <v>2026</v>
      </c>
      <c r="C244" s="102">
        <f>YEAR(Table6[[#This Row],[Date]])</f>
        <v>2025</v>
      </c>
      <c r="D244" s="102" t="s">
        <v>1992</v>
      </c>
      <c r="E244" s="469">
        <f>Table6[[#This Row],[Date]]-DAY(Table6[[#This Row],[Date]])+1</f>
        <v>45748</v>
      </c>
      <c r="F244" s="470">
        <v>45762</v>
      </c>
      <c r="G244" s="35" t="s">
        <v>90</v>
      </c>
      <c r="H244" s="35" t="str">
        <f>IFERROR(_xlfn.XLOOKUP(Table6[[#This Row],[Affected WTG]],'Basic Data'!$A:$A,'Basic Data'!$B:$B),"")</f>
        <v>TQGXIIPL</v>
      </c>
      <c r="I244" s="35" t="str">
        <f>IFERROR(_xlfn.XLOOKUP(Table6[[#This Row],[Affected WTG]],'Basic Data'!$A:$A,'Basic Data'!$C:$C),"")</f>
        <v>GEDA</v>
      </c>
      <c r="J244" s="471">
        <f>IFERROR(_xlfn.XLOOKUP(Table6[[#This Row],[Affected WTG]],'Basic Data'!$A:$A,'Basic Data'!$E:$E),"")</f>
        <v>3.846153846153845E-2</v>
      </c>
      <c r="K244" s="102">
        <v>3211</v>
      </c>
      <c r="L244" s="35" t="str">
        <f>IFERROR(_xlfn.XLOOKUP(Table6[[#This Row],[Error Code]],'Basic Data'!$AA:$AA,'Basic Data'!$AB:$AB),"Incorrect Error Code")</f>
        <v>Conv. load shedding (CAN)</v>
      </c>
      <c r="M244" s="35" t="s">
        <v>291</v>
      </c>
      <c r="N244" s="475"/>
      <c r="O244" s="476">
        <v>0.18333333333333332</v>
      </c>
      <c r="P244" s="476">
        <v>0.18333333333333332</v>
      </c>
      <c r="Q244" s="477">
        <v>0.19513888888888889</v>
      </c>
      <c r="R244" s="472">
        <f>IF(Table6[[#This Row],[Work Start TimeStamp]]="","",(Table6[[#This Row],[Work Start TimeStamp]]-Table6[[#This Row],[Fault Start TimeStamp]])*24)</f>
        <v>0</v>
      </c>
      <c r="S244" s="472">
        <f>(Table6[[#This Row],[Fault Clearance time]]-Table6[[#This Row],[Work Start TimeStamp]])*24</f>
        <v>0.28333333333333366</v>
      </c>
      <c r="T244" s="472">
        <f>(Table6[[#This Row],[Fault Clearance time]]-Table6[[#This Row],[Fault Start TimeStamp]])*24</f>
        <v>0.28333333333333366</v>
      </c>
      <c r="U244" s="35" t="s">
        <v>349</v>
      </c>
      <c r="V244" s="102" t="s">
        <v>293</v>
      </c>
      <c r="W244" s="478">
        <f>IFERROR(Table6[[#This Row],[Breakdown Time]]*Table6[[#This Row],[Plant Equivalent Weightage]],"")</f>
        <v>1.0897435897435907E-2</v>
      </c>
      <c r="X244" s="473" t="s">
        <v>294</v>
      </c>
      <c r="Y244" s="474" t="s">
        <v>339</v>
      </c>
      <c r="Z244" s="102">
        <v>50084</v>
      </c>
      <c r="AA244" s="468">
        <f>(Table6[[#This Row],[Paired WTG Generation for loss calculation]]/24)*Table6[[#This Row],[Breakdown Time]]</f>
        <v>591.26944444444518</v>
      </c>
      <c r="AB244" s="102"/>
      <c r="AC244" s="35"/>
      <c r="AD244" s="35"/>
    </row>
    <row r="245" spans="1:30">
      <c r="A245" s="102">
        <f t="shared" si="4"/>
        <v>244</v>
      </c>
      <c r="B245" s="468">
        <f>YEAR(Table6[[#This Row],[Date]])+IF(MONTH(Table6[[#This Row],[Date]])&gt;=4,1,0)</f>
        <v>2026</v>
      </c>
      <c r="C245" s="102">
        <f>YEAR(Table6[[#This Row],[Date]])</f>
        <v>2025</v>
      </c>
      <c r="D245" s="102" t="s">
        <v>1992</v>
      </c>
      <c r="E245" s="469">
        <f>Table6[[#This Row],[Date]]-DAY(Table6[[#This Row],[Date]])+1</f>
        <v>45748</v>
      </c>
      <c r="F245" s="470">
        <v>45762</v>
      </c>
      <c r="G245" s="35" t="s">
        <v>90</v>
      </c>
      <c r="H245" s="35" t="str">
        <f>IFERROR(_xlfn.XLOOKUP(Table6[[#This Row],[Affected WTG]],'Basic Data'!$A:$A,'Basic Data'!$B:$B),"")</f>
        <v>TQGXIIPL</v>
      </c>
      <c r="I245" s="35" t="str">
        <f>IFERROR(_xlfn.XLOOKUP(Table6[[#This Row],[Affected WTG]],'Basic Data'!$A:$A,'Basic Data'!$C:$C),"")</f>
        <v>GEDA</v>
      </c>
      <c r="J245" s="471">
        <f>IFERROR(_xlfn.XLOOKUP(Table6[[#This Row],[Affected WTG]],'Basic Data'!$A:$A,'Basic Data'!$E:$E),"")</f>
        <v>3.846153846153845E-2</v>
      </c>
      <c r="K245" s="102">
        <v>55</v>
      </c>
      <c r="L245" s="35" t="str">
        <f>IFERROR(_xlfn.XLOOKUP(Table6[[#This Row],[Error Code]],'Basic Data'!$AA:$AA,'Basic Data'!$AB:$AB),"Incorrect Error Code")</f>
        <v>WTG shut down</v>
      </c>
      <c r="M245" s="35" t="s">
        <v>295</v>
      </c>
      <c r="N245" s="475"/>
      <c r="O245" s="476">
        <v>0.35555555555555557</v>
      </c>
      <c r="P245" s="476">
        <v>0.37222222222222223</v>
      </c>
      <c r="Q245" s="477">
        <v>1</v>
      </c>
      <c r="R245" s="472">
        <f>IF(Table6[[#This Row],[Work Start TimeStamp]]="","",(Table6[[#This Row],[Work Start TimeStamp]]-Table6[[#This Row],[Fault Start TimeStamp]])*24)</f>
        <v>0.39999999999999991</v>
      </c>
      <c r="S245" s="472">
        <f>(Table6[[#This Row],[Fault Clearance time]]-Table6[[#This Row],[Work Start TimeStamp]])*24</f>
        <v>15.066666666666666</v>
      </c>
      <c r="T245" s="472">
        <f>(Table6[[#This Row],[Fault Clearance time]]-Table6[[#This Row],[Fault Start TimeStamp]])*24</f>
        <v>15.466666666666665</v>
      </c>
      <c r="U245" s="35" t="s">
        <v>401</v>
      </c>
      <c r="V245" s="102" t="s">
        <v>335</v>
      </c>
      <c r="W245" s="478">
        <f>IFERROR(Table6[[#This Row],[Breakdown Time]]*Table6[[#This Row],[Plant Equivalent Weightage]],"")</f>
        <v>0.59487179487179465</v>
      </c>
      <c r="X245" s="473" t="s">
        <v>290</v>
      </c>
      <c r="Y245" s="474" t="s">
        <v>339</v>
      </c>
      <c r="Z245" s="102">
        <v>50084</v>
      </c>
      <c r="AA245" s="468">
        <f>(Table6[[#This Row],[Paired WTG Generation for loss calculation]]/24)*Table6[[#This Row],[Breakdown Time]]</f>
        <v>32276.355555555554</v>
      </c>
      <c r="AB245" s="102"/>
      <c r="AC245" s="35"/>
      <c r="AD245" s="35"/>
    </row>
    <row r="246" spans="1:30">
      <c r="A246" s="102">
        <f t="shared" si="4"/>
        <v>245</v>
      </c>
      <c r="B246" s="468">
        <f>YEAR(Table6[[#This Row],[Date]])+IF(MONTH(Table6[[#This Row],[Date]])&gt;=4,1,0)</f>
        <v>2026</v>
      </c>
      <c r="C246" s="102">
        <f>YEAR(Table6[[#This Row],[Date]])</f>
        <v>2025</v>
      </c>
      <c r="D246" s="102" t="s">
        <v>1992</v>
      </c>
      <c r="E246" s="469">
        <f>Table6[[#This Row],[Date]]-DAY(Table6[[#This Row],[Date]])+1</f>
        <v>45748</v>
      </c>
      <c r="F246" s="470">
        <v>45762</v>
      </c>
      <c r="G246" s="35" t="s">
        <v>92</v>
      </c>
      <c r="H246" s="35" t="str">
        <f>IFERROR(_xlfn.XLOOKUP(Table6[[#This Row],[Affected WTG]],'Basic Data'!$A:$A,'Basic Data'!$B:$B),"")</f>
        <v>TQGXIIPL</v>
      </c>
      <c r="I246" s="35" t="str">
        <f>IFERROR(_xlfn.XLOOKUP(Table6[[#This Row],[Affected WTG]],'Basic Data'!$A:$A,'Basic Data'!$C:$C),"")</f>
        <v>GEDA</v>
      </c>
      <c r="J246" s="471">
        <f>IFERROR(_xlfn.XLOOKUP(Table6[[#This Row],[Affected WTG]],'Basic Data'!$A:$A,'Basic Data'!$E:$E),"")</f>
        <v>3.846153846153845E-2</v>
      </c>
      <c r="K246" s="102">
        <v>1700</v>
      </c>
      <c r="L246" s="35" t="str">
        <f>IFERROR(_xlfn.XLOOKUP(Table6[[#This Row],[Error Code]],'Basic Data'!$AA:$AA,'Basic Data'!$AB:$AB),"Incorrect Error Code")</f>
        <v>High temp. gear bearing 1</v>
      </c>
      <c r="M246" s="35" t="s">
        <v>291</v>
      </c>
      <c r="N246" s="475"/>
      <c r="O246" s="476">
        <v>0.79861111111111116</v>
      </c>
      <c r="P246" s="476">
        <v>0.79861111111111116</v>
      </c>
      <c r="Q246" s="477">
        <v>0.80763888888888891</v>
      </c>
      <c r="R246" s="472">
        <f>IF(Table6[[#This Row],[Work Start TimeStamp]]="","",(Table6[[#This Row],[Work Start TimeStamp]]-Table6[[#This Row],[Fault Start TimeStamp]])*24)</f>
        <v>0</v>
      </c>
      <c r="S246" s="472">
        <f>(Table6[[#This Row],[Fault Clearance time]]-Table6[[#This Row],[Work Start TimeStamp]])*24</f>
        <v>0.2166666666666659</v>
      </c>
      <c r="T246" s="472">
        <f>(Table6[[#This Row],[Fault Clearance time]]-Table6[[#This Row],[Fault Start TimeStamp]])*24</f>
        <v>0.2166666666666659</v>
      </c>
      <c r="U246" s="35" t="s">
        <v>349</v>
      </c>
      <c r="V246" s="102" t="s">
        <v>293</v>
      </c>
      <c r="W246" s="478">
        <f>IFERROR(Table6[[#This Row],[Breakdown Time]]*Table6[[#This Row],[Plant Equivalent Weightage]],"")</f>
        <v>8.333333333333302E-3</v>
      </c>
      <c r="X246" s="473" t="s">
        <v>294</v>
      </c>
      <c r="Y246" s="474" t="s">
        <v>310</v>
      </c>
      <c r="Z246" s="102">
        <v>44148</v>
      </c>
      <c r="AA246" s="468">
        <f>(Table6[[#This Row],[Paired WTG Generation for loss calculation]]/24)*Table6[[#This Row],[Breakdown Time]]</f>
        <v>398.55833333333192</v>
      </c>
      <c r="AB246" s="102"/>
      <c r="AC246" s="35"/>
      <c r="AD246" s="35"/>
    </row>
    <row r="247" spans="1:30">
      <c r="A247" s="102">
        <f t="shared" si="4"/>
        <v>246</v>
      </c>
      <c r="B247" s="468">
        <f>YEAR(Table6[[#This Row],[Date]])+IF(MONTH(Table6[[#This Row],[Date]])&gt;=4,1,0)</f>
        <v>2026</v>
      </c>
      <c r="C247" s="102">
        <f>YEAR(Table6[[#This Row],[Date]])</f>
        <v>2025</v>
      </c>
      <c r="D247" s="102" t="s">
        <v>1992</v>
      </c>
      <c r="E247" s="469">
        <f>Table6[[#This Row],[Date]]-DAY(Table6[[#This Row],[Date]])+1</f>
        <v>45748</v>
      </c>
      <c r="F247" s="470">
        <v>45762</v>
      </c>
      <c r="G247" s="35" t="s">
        <v>97</v>
      </c>
      <c r="H247" s="35" t="str">
        <f>IFERROR(_xlfn.XLOOKUP(Table6[[#This Row],[Affected WTG]],'Basic Data'!$A:$A,'Basic Data'!$B:$B),"")</f>
        <v>TQGXIIPL</v>
      </c>
      <c r="I247" s="35" t="str">
        <f>IFERROR(_xlfn.XLOOKUP(Table6[[#This Row],[Affected WTG]],'Basic Data'!$A:$A,'Basic Data'!$C:$C),"")</f>
        <v>GEDA</v>
      </c>
      <c r="J247" s="471">
        <f>IFERROR(_xlfn.XLOOKUP(Table6[[#This Row],[Affected WTG]],'Basic Data'!$A:$A,'Basic Data'!$E:$E),"")</f>
        <v>3.846153846153845E-2</v>
      </c>
      <c r="K247" s="102">
        <v>58</v>
      </c>
      <c r="L247" s="35" t="str">
        <f>IFERROR(_xlfn.XLOOKUP(Table6[[#This Row],[Error Code]],'Basic Data'!$AA:$AA,'Basic Data'!$AB:$AB),"Incorrect Error Code")</f>
        <v>Wind dir.dev. level 2</v>
      </c>
      <c r="M247" s="35" t="s">
        <v>291</v>
      </c>
      <c r="N247" s="475"/>
      <c r="O247" s="476">
        <v>0.62361111111111112</v>
      </c>
      <c r="P247" s="476">
        <v>0.62361111111111112</v>
      </c>
      <c r="Q247" s="477">
        <v>0.62569444444444444</v>
      </c>
      <c r="R247" s="472">
        <f>IF(Table6[[#This Row],[Work Start TimeStamp]]="","",(Table6[[#This Row],[Work Start TimeStamp]]-Table6[[#This Row],[Fault Start TimeStamp]])*24)</f>
        <v>0</v>
      </c>
      <c r="S247" s="472">
        <f>(Table6[[#This Row],[Fault Clearance time]]-Table6[[#This Row],[Work Start TimeStamp]])*24</f>
        <v>4.9999999999999822E-2</v>
      </c>
      <c r="T247" s="472">
        <f>(Table6[[#This Row],[Fault Clearance time]]-Table6[[#This Row],[Fault Start TimeStamp]])*24</f>
        <v>4.9999999999999822E-2</v>
      </c>
      <c r="U247" s="35" t="s">
        <v>336</v>
      </c>
      <c r="V247" s="102" t="s">
        <v>293</v>
      </c>
      <c r="W247" s="478">
        <f>IFERROR(Table6[[#This Row],[Breakdown Time]]*Table6[[#This Row],[Plant Equivalent Weightage]],"")</f>
        <v>1.9230769230769156E-3</v>
      </c>
      <c r="X247" s="473" t="s">
        <v>294</v>
      </c>
      <c r="Y247" s="474" t="s">
        <v>320</v>
      </c>
      <c r="Z247" s="102">
        <v>47068</v>
      </c>
      <c r="AA247" s="468">
        <f>(Table6[[#This Row],[Paired WTG Generation for loss calculation]]/24)*Table6[[#This Row],[Breakdown Time]]</f>
        <v>98.058333333332982</v>
      </c>
      <c r="AB247" s="102"/>
      <c r="AC247" s="35"/>
      <c r="AD247" s="35"/>
    </row>
    <row r="248" spans="1:30">
      <c r="A248" s="102">
        <f t="shared" si="4"/>
        <v>247</v>
      </c>
      <c r="B248" s="468">
        <f>YEAR(Table6[[#This Row],[Date]])+IF(MONTH(Table6[[#This Row],[Date]])&gt;=4,1,0)</f>
        <v>2026</v>
      </c>
      <c r="C248" s="102">
        <f>YEAR(Table6[[#This Row],[Date]])</f>
        <v>2025</v>
      </c>
      <c r="D248" s="102" t="s">
        <v>1992</v>
      </c>
      <c r="E248" s="469">
        <f>Table6[[#This Row],[Date]]-DAY(Table6[[#This Row],[Date]])+1</f>
        <v>45748</v>
      </c>
      <c r="F248" s="470">
        <v>45762</v>
      </c>
      <c r="G248" s="35" t="s">
        <v>97</v>
      </c>
      <c r="H248" s="35" t="str">
        <f>IFERROR(_xlfn.XLOOKUP(Table6[[#This Row],[Affected WTG]],'Basic Data'!$A:$A,'Basic Data'!$B:$B),"")</f>
        <v>TQGXIIPL</v>
      </c>
      <c r="I248" s="35" t="str">
        <f>IFERROR(_xlfn.XLOOKUP(Table6[[#This Row],[Affected WTG]],'Basic Data'!$A:$A,'Basic Data'!$C:$C),"")</f>
        <v>GEDA</v>
      </c>
      <c r="J248" s="471">
        <f>IFERROR(_xlfn.XLOOKUP(Table6[[#This Row],[Affected WTG]],'Basic Data'!$A:$A,'Basic Data'!$E:$E),"")</f>
        <v>3.846153846153845E-2</v>
      </c>
      <c r="K248" s="102">
        <v>55</v>
      </c>
      <c r="L248" s="35" t="str">
        <f>IFERROR(_xlfn.XLOOKUP(Table6[[#This Row],[Error Code]],'Basic Data'!$AA:$AA,'Basic Data'!$AB:$AB),"Incorrect Error Code")</f>
        <v>WTG shut down</v>
      </c>
      <c r="M248" s="35" t="s">
        <v>291</v>
      </c>
      <c r="N248" s="475"/>
      <c r="O248" s="476">
        <v>0.98888888888888893</v>
      </c>
      <c r="P248" s="476">
        <v>0.98888888888888893</v>
      </c>
      <c r="Q248" s="477">
        <v>1</v>
      </c>
      <c r="R248" s="472">
        <f>IF(Table6[[#This Row],[Work Start TimeStamp]]="","",(Table6[[#This Row],[Work Start TimeStamp]]-Table6[[#This Row],[Fault Start TimeStamp]])*24)</f>
        <v>0</v>
      </c>
      <c r="S248" s="472">
        <f>(Table6[[#This Row],[Fault Clearance time]]-Table6[[#This Row],[Work Start TimeStamp]])*24</f>
        <v>0.26666666666666572</v>
      </c>
      <c r="T248" s="472">
        <f>(Table6[[#This Row],[Fault Clearance time]]-Table6[[#This Row],[Fault Start TimeStamp]])*24</f>
        <v>0.26666666666666572</v>
      </c>
      <c r="U248" s="35" t="s">
        <v>402</v>
      </c>
      <c r="V248" s="102" t="s">
        <v>335</v>
      </c>
      <c r="W248" s="478">
        <f>IFERROR(Table6[[#This Row],[Breakdown Time]]*Table6[[#This Row],[Plant Equivalent Weightage]],"")</f>
        <v>1.0256410256410217E-2</v>
      </c>
      <c r="X248" s="473" t="s">
        <v>290</v>
      </c>
      <c r="Y248" s="474" t="s">
        <v>320</v>
      </c>
      <c r="Z248" s="102">
        <v>47068</v>
      </c>
      <c r="AA248" s="468">
        <f>(Table6[[#This Row],[Paired WTG Generation for loss calculation]]/24)*Table6[[#This Row],[Breakdown Time]]</f>
        <v>522.97777777777594</v>
      </c>
      <c r="AB248" s="102"/>
      <c r="AC248" s="35"/>
      <c r="AD248" s="35"/>
    </row>
    <row r="249" spans="1:30">
      <c r="A249" s="102">
        <f t="shared" si="4"/>
        <v>248</v>
      </c>
      <c r="B249" s="468">
        <f>YEAR(Table6[[#This Row],[Date]])+IF(MONTH(Table6[[#This Row],[Date]])&gt;=4,1,0)</f>
        <v>2026</v>
      </c>
      <c r="C249" s="102">
        <f>YEAR(Table6[[#This Row],[Date]])</f>
        <v>2025</v>
      </c>
      <c r="D249" s="102" t="s">
        <v>1992</v>
      </c>
      <c r="E249" s="469">
        <f>Table6[[#This Row],[Date]]-DAY(Table6[[#This Row],[Date]])+1</f>
        <v>45748</v>
      </c>
      <c r="F249" s="470">
        <v>45762</v>
      </c>
      <c r="G249" s="35" t="s">
        <v>98</v>
      </c>
      <c r="H249" s="35" t="str">
        <f>IFERROR(_xlfn.XLOOKUP(Table6[[#This Row],[Affected WTG]],'Basic Data'!$A:$A,'Basic Data'!$B:$B),"")</f>
        <v>TQGXIIPL</v>
      </c>
      <c r="I249" s="35" t="str">
        <f>IFERROR(_xlfn.XLOOKUP(Table6[[#This Row],[Affected WTG]],'Basic Data'!$A:$A,'Basic Data'!$C:$C),"")</f>
        <v>GEDA</v>
      </c>
      <c r="J249" s="471">
        <f>IFERROR(_xlfn.XLOOKUP(Table6[[#This Row],[Affected WTG]],'Basic Data'!$A:$A,'Basic Data'!$E:$E),"")</f>
        <v>3.846153846153845E-2</v>
      </c>
      <c r="K249" s="102">
        <v>6012</v>
      </c>
      <c r="L249" s="35" t="str">
        <f>IFERROR(_xlfn.XLOOKUP(Table6[[#This Row],[Error Code]],'Basic Data'!$AA:$AA,'Basic Data'!$AB:$AB),"Incorrect Error Code")</f>
        <v>Overload yaw motors group 2</v>
      </c>
      <c r="M249" s="35" t="s">
        <v>291</v>
      </c>
      <c r="N249" s="475"/>
      <c r="O249" s="476">
        <v>0.59652777777777777</v>
      </c>
      <c r="P249" s="476">
        <v>0.63541666666666663</v>
      </c>
      <c r="Q249" s="477">
        <v>0.73958333333333337</v>
      </c>
      <c r="R249" s="472">
        <f>IF(Table6[[#This Row],[Work Start TimeStamp]]="","",(Table6[[#This Row],[Work Start TimeStamp]]-Table6[[#This Row],[Fault Start TimeStamp]])*24)</f>
        <v>0.93333333333333268</v>
      </c>
      <c r="S249" s="472">
        <f>(Table6[[#This Row],[Fault Clearance time]]-Table6[[#This Row],[Work Start TimeStamp]])*24</f>
        <v>2.5000000000000018</v>
      </c>
      <c r="T249" s="472">
        <f>(Table6[[#This Row],[Fault Clearance time]]-Table6[[#This Row],[Fault Start TimeStamp]])*24</f>
        <v>3.4333333333333345</v>
      </c>
      <c r="U249" s="35" t="s">
        <v>403</v>
      </c>
      <c r="V249" s="102" t="s">
        <v>293</v>
      </c>
      <c r="W249" s="478">
        <f>IFERROR(Table6[[#This Row],[Breakdown Time]]*Table6[[#This Row],[Plant Equivalent Weightage]],"")</f>
        <v>0.13205128205128205</v>
      </c>
      <c r="X249" s="473" t="s">
        <v>294</v>
      </c>
      <c r="Y249" s="474" t="s">
        <v>315</v>
      </c>
      <c r="Z249" s="102">
        <v>46514</v>
      </c>
      <c r="AA249" s="468">
        <f>(Table6[[#This Row],[Paired WTG Generation for loss calculation]]/24)*Table6[[#This Row],[Breakdown Time]]</f>
        <v>6654.0861111111126</v>
      </c>
      <c r="AB249" s="102"/>
      <c r="AC249" s="35"/>
      <c r="AD249" s="35"/>
    </row>
    <row r="250" spans="1:30">
      <c r="A250" s="102">
        <f t="shared" si="4"/>
        <v>249</v>
      </c>
      <c r="B250" s="468">
        <f>YEAR(Table6[[#This Row],[Date]])+IF(MONTH(Table6[[#This Row],[Date]])&gt;=4,1,0)</f>
        <v>2026</v>
      </c>
      <c r="C250" s="102">
        <f>YEAR(Table6[[#This Row],[Date]])</f>
        <v>2025</v>
      </c>
      <c r="D250" s="102" t="s">
        <v>1992</v>
      </c>
      <c r="E250" s="469">
        <f>Table6[[#This Row],[Date]]-DAY(Table6[[#This Row],[Date]])+1</f>
        <v>45748</v>
      </c>
      <c r="F250" s="470">
        <v>45763</v>
      </c>
      <c r="G250" s="35" t="s">
        <v>78</v>
      </c>
      <c r="H250" s="35" t="str">
        <f>IFERROR(_xlfn.XLOOKUP(Table6[[#This Row],[Affected WTG]],'Basic Data'!$A:$A,'Basic Data'!$B:$B),"")</f>
        <v>TQGXIIPL</v>
      </c>
      <c r="I250" s="35" t="str">
        <f>IFERROR(_xlfn.XLOOKUP(Table6[[#This Row],[Affected WTG]],'Basic Data'!$A:$A,'Basic Data'!$C:$C),"")</f>
        <v>GEDA</v>
      </c>
      <c r="J250" s="471">
        <f>IFERROR(_xlfn.XLOOKUP(Table6[[#This Row],[Affected WTG]],'Basic Data'!$A:$A,'Basic Data'!$E:$E),"")</f>
        <v>3.846153846153845E-2</v>
      </c>
      <c r="K250" s="102">
        <v>55</v>
      </c>
      <c r="L250" s="35" t="str">
        <f>IFERROR(_xlfn.XLOOKUP(Table6[[#This Row],[Error Code]],'Basic Data'!$AA:$AA,'Basic Data'!$AB:$AB),"Incorrect Error Code")</f>
        <v>WTG shut down</v>
      </c>
      <c r="M250" s="35" t="s">
        <v>330</v>
      </c>
      <c r="N250" s="475"/>
      <c r="O250" s="476">
        <v>0.78125</v>
      </c>
      <c r="P250" s="476">
        <v>0.78125</v>
      </c>
      <c r="Q250" s="477">
        <v>0.81180555555555556</v>
      </c>
      <c r="R250" s="472">
        <f>IF(Table6[[#This Row],[Work Start TimeStamp]]="","",(Table6[[#This Row],[Work Start TimeStamp]]-Table6[[#This Row],[Fault Start TimeStamp]])*24)</f>
        <v>0</v>
      </c>
      <c r="S250" s="472">
        <f>(Table6[[#This Row],[Fault Clearance time]]-Table6[[#This Row],[Work Start TimeStamp]])*24</f>
        <v>0.73333333333333339</v>
      </c>
      <c r="T250" s="472">
        <f>(Table6[[#This Row],[Fault Clearance time]]-Table6[[#This Row],[Fault Start TimeStamp]])*24</f>
        <v>0.73333333333333339</v>
      </c>
      <c r="U250" s="35" t="s">
        <v>337</v>
      </c>
      <c r="V250" s="102" t="s">
        <v>293</v>
      </c>
      <c r="W250" s="478">
        <f>IFERROR(Table6[[#This Row],[Breakdown Time]]*Table6[[#This Row],[Plant Equivalent Weightage]],"")</f>
        <v>2.8205128205128199E-2</v>
      </c>
      <c r="X250" s="473" t="s">
        <v>290</v>
      </c>
      <c r="Y250" s="474" t="s">
        <v>333</v>
      </c>
      <c r="Z250" s="102">
        <v>43551</v>
      </c>
      <c r="AA250" s="468">
        <f>(Table6[[#This Row],[Paired WTG Generation for loss calculation]]/24)*Table6[[#This Row],[Breakdown Time]]</f>
        <v>1330.7250000000001</v>
      </c>
      <c r="AB250" s="102"/>
      <c r="AC250" s="35"/>
      <c r="AD250" s="35"/>
    </row>
    <row r="251" spans="1:30">
      <c r="A251" s="102">
        <f t="shared" si="4"/>
        <v>250</v>
      </c>
      <c r="B251" s="468">
        <f>YEAR(Table6[[#This Row],[Date]])+IF(MONTH(Table6[[#This Row],[Date]])&gt;=4,1,0)</f>
        <v>2026</v>
      </c>
      <c r="C251" s="102">
        <f>YEAR(Table6[[#This Row],[Date]])</f>
        <v>2025</v>
      </c>
      <c r="D251" s="102" t="s">
        <v>1992</v>
      </c>
      <c r="E251" s="469">
        <f>Table6[[#This Row],[Date]]-DAY(Table6[[#This Row],[Date]])+1</f>
        <v>45748</v>
      </c>
      <c r="F251" s="470">
        <v>45763</v>
      </c>
      <c r="G251" s="35" t="s">
        <v>78</v>
      </c>
      <c r="H251" s="35" t="str">
        <f>IFERROR(_xlfn.XLOOKUP(Table6[[#This Row],[Affected WTG]],'Basic Data'!$A:$A,'Basic Data'!$B:$B),"")</f>
        <v>TQGXIIPL</v>
      </c>
      <c r="I251" s="35" t="str">
        <f>IFERROR(_xlfn.XLOOKUP(Table6[[#This Row],[Affected WTG]],'Basic Data'!$A:$A,'Basic Data'!$C:$C),"")</f>
        <v>GEDA</v>
      </c>
      <c r="J251" s="471">
        <f>IFERROR(_xlfn.XLOOKUP(Table6[[#This Row],[Affected WTG]],'Basic Data'!$A:$A,'Basic Data'!$E:$E),"")</f>
        <v>3.846153846153845E-2</v>
      </c>
      <c r="K251" s="102">
        <v>3211</v>
      </c>
      <c r="L251" s="35" t="str">
        <f>IFERROR(_xlfn.XLOOKUP(Table6[[#This Row],[Error Code]],'Basic Data'!$AA:$AA,'Basic Data'!$AB:$AB),"Incorrect Error Code")</f>
        <v>Conv. load shedding (CAN)</v>
      </c>
      <c r="M251" s="35" t="s">
        <v>291</v>
      </c>
      <c r="N251" s="475"/>
      <c r="O251" s="476">
        <v>0.8569444444444444</v>
      </c>
      <c r="P251" s="476">
        <v>0.8569444444444444</v>
      </c>
      <c r="Q251" s="477">
        <v>0.86527777777777781</v>
      </c>
      <c r="R251" s="472">
        <f>IF(Table6[[#This Row],[Work Start TimeStamp]]="","",(Table6[[#This Row],[Work Start TimeStamp]]-Table6[[#This Row],[Fault Start TimeStamp]])*24)</f>
        <v>0</v>
      </c>
      <c r="S251" s="472">
        <f>(Table6[[#This Row],[Fault Clearance time]]-Table6[[#This Row],[Work Start TimeStamp]])*24</f>
        <v>0.20000000000000195</v>
      </c>
      <c r="T251" s="472">
        <f>(Table6[[#This Row],[Fault Clearance time]]-Table6[[#This Row],[Fault Start TimeStamp]])*24</f>
        <v>0.20000000000000195</v>
      </c>
      <c r="U251" s="35" t="s">
        <v>349</v>
      </c>
      <c r="V251" s="102" t="s">
        <v>293</v>
      </c>
      <c r="W251" s="478">
        <f>IFERROR(Table6[[#This Row],[Breakdown Time]]*Table6[[#This Row],[Plant Equivalent Weightage]],"")</f>
        <v>7.6923076923077647E-3</v>
      </c>
      <c r="X251" s="473" t="s">
        <v>294</v>
      </c>
      <c r="Y251" s="474" t="s">
        <v>333</v>
      </c>
      <c r="Z251" s="102">
        <v>43551</v>
      </c>
      <c r="AA251" s="468">
        <f>(Table6[[#This Row],[Paired WTG Generation for loss calculation]]/24)*Table6[[#This Row],[Breakdown Time]]</f>
        <v>362.92500000000354</v>
      </c>
      <c r="AB251" s="102"/>
      <c r="AC251" s="35"/>
      <c r="AD251" s="35"/>
    </row>
    <row r="252" spans="1:30">
      <c r="A252" s="102">
        <f t="shared" si="4"/>
        <v>251</v>
      </c>
      <c r="B252" s="468">
        <f>YEAR(Table6[[#This Row],[Date]])+IF(MONTH(Table6[[#This Row],[Date]])&gt;=4,1,0)</f>
        <v>2026</v>
      </c>
      <c r="C252" s="102">
        <f>YEAR(Table6[[#This Row],[Date]])</f>
        <v>2025</v>
      </c>
      <c r="D252" s="102" t="s">
        <v>1992</v>
      </c>
      <c r="E252" s="469">
        <f>Table6[[#This Row],[Date]]-DAY(Table6[[#This Row],[Date]])+1</f>
        <v>45748</v>
      </c>
      <c r="F252" s="470">
        <v>45763</v>
      </c>
      <c r="G252" s="35" t="s">
        <v>78</v>
      </c>
      <c r="H252" s="35" t="str">
        <f>IFERROR(_xlfn.XLOOKUP(Table6[[#This Row],[Affected WTG]],'Basic Data'!$A:$A,'Basic Data'!$B:$B),"")</f>
        <v>TQGXIIPL</v>
      </c>
      <c r="I252" s="35" t="str">
        <f>IFERROR(_xlfn.XLOOKUP(Table6[[#This Row],[Affected WTG]],'Basic Data'!$A:$A,'Basic Data'!$C:$C),"")</f>
        <v>GEDA</v>
      </c>
      <c r="J252" s="471">
        <f>IFERROR(_xlfn.XLOOKUP(Table6[[#This Row],[Affected WTG]],'Basic Data'!$A:$A,'Basic Data'!$E:$E),"")</f>
        <v>3.846153846153845E-2</v>
      </c>
      <c r="K252" s="102">
        <v>3211</v>
      </c>
      <c r="L252" s="35" t="str">
        <f>IFERROR(_xlfn.XLOOKUP(Table6[[#This Row],[Error Code]],'Basic Data'!$AA:$AA,'Basic Data'!$AB:$AB),"Incorrect Error Code")</f>
        <v>Conv. load shedding (CAN)</v>
      </c>
      <c r="M252" s="35" t="s">
        <v>291</v>
      </c>
      <c r="N252" s="475"/>
      <c r="O252" s="476">
        <v>0.9868055555555556</v>
      </c>
      <c r="P252" s="476">
        <v>0.9868055555555556</v>
      </c>
      <c r="Q252" s="477">
        <v>0.99236111111111114</v>
      </c>
      <c r="R252" s="472">
        <f>IF(Table6[[#This Row],[Work Start TimeStamp]]="","",(Table6[[#This Row],[Work Start TimeStamp]]-Table6[[#This Row],[Fault Start TimeStamp]])*24)</f>
        <v>0</v>
      </c>
      <c r="S252" s="472">
        <f>(Table6[[#This Row],[Fault Clearance time]]-Table6[[#This Row],[Work Start TimeStamp]])*24</f>
        <v>0.13333333333333286</v>
      </c>
      <c r="T252" s="472">
        <f>(Table6[[#This Row],[Fault Clearance time]]-Table6[[#This Row],[Fault Start TimeStamp]])*24</f>
        <v>0.13333333333333286</v>
      </c>
      <c r="U252" s="35" t="s">
        <v>349</v>
      </c>
      <c r="V252" s="102" t="s">
        <v>293</v>
      </c>
      <c r="W252" s="478">
        <f>IFERROR(Table6[[#This Row],[Breakdown Time]]*Table6[[#This Row],[Plant Equivalent Weightage]],"")</f>
        <v>5.1282051282051083E-3</v>
      </c>
      <c r="X252" s="473" t="s">
        <v>294</v>
      </c>
      <c r="Y252" s="474" t="s">
        <v>333</v>
      </c>
      <c r="Z252" s="102">
        <v>43551</v>
      </c>
      <c r="AA252" s="468">
        <f>(Table6[[#This Row],[Paired WTG Generation for loss calculation]]/24)*Table6[[#This Row],[Breakdown Time]]</f>
        <v>241.94999999999914</v>
      </c>
      <c r="AB252" s="102"/>
      <c r="AC252" s="35"/>
      <c r="AD252" s="35"/>
    </row>
    <row r="253" spans="1:30">
      <c r="A253" s="102">
        <f t="shared" si="4"/>
        <v>252</v>
      </c>
      <c r="B253" s="468">
        <f>YEAR(Table6[[#This Row],[Date]])+IF(MONTH(Table6[[#This Row],[Date]])&gt;=4,1,0)</f>
        <v>2026</v>
      </c>
      <c r="C253" s="102">
        <f>YEAR(Table6[[#This Row],[Date]])</f>
        <v>2025</v>
      </c>
      <c r="D253" s="102" t="s">
        <v>1992</v>
      </c>
      <c r="E253" s="469">
        <f>Table6[[#This Row],[Date]]-DAY(Table6[[#This Row],[Date]])+1</f>
        <v>45748</v>
      </c>
      <c r="F253" s="470">
        <v>45763</v>
      </c>
      <c r="G253" s="35" t="s">
        <v>79</v>
      </c>
      <c r="H253" s="35" t="str">
        <f>IFERROR(_xlfn.XLOOKUP(Table6[[#This Row],[Affected WTG]],'Basic Data'!$A:$A,'Basic Data'!$B:$B),"")</f>
        <v>TQGXIIPL</v>
      </c>
      <c r="I253" s="35" t="str">
        <f>IFERROR(_xlfn.XLOOKUP(Table6[[#This Row],[Affected WTG]],'Basic Data'!$A:$A,'Basic Data'!$C:$C),"")</f>
        <v>GEDA</v>
      </c>
      <c r="J253" s="471">
        <f>IFERROR(_xlfn.XLOOKUP(Table6[[#This Row],[Affected WTG]],'Basic Data'!$A:$A,'Basic Data'!$E:$E),"")</f>
        <v>3.846153846153845E-2</v>
      </c>
      <c r="K253" s="102">
        <v>1700</v>
      </c>
      <c r="L253" s="35" t="str">
        <f>IFERROR(_xlfn.XLOOKUP(Table6[[#This Row],[Error Code]],'Basic Data'!$AA:$AA,'Basic Data'!$AB:$AB),"Incorrect Error Code")</f>
        <v>High temp. gear bearing 1</v>
      </c>
      <c r="M253" s="35" t="s">
        <v>292</v>
      </c>
      <c r="N253" s="475"/>
      <c r="O253" s="476">
        <v>0.75694444444444442</v>
      </c>
      <c r="P253" s="476">
        <v>0.75694444444444442</v>
      </c>
      <c r="Q253" s="477">
        <v>0.75972222222222219</v>
      </c>
      <c r="R253" s="472">
        <f>IF(Table6[[#This Row],[Work Start TimeStamp]]="","",(Table6[[#This Row],[Work Start TimeStamp]]-Table6[[#This Row],[Fault Start TimeStamp]])*24)</f>
        <v>0</v>
      </c>
      <c r="S253" s="472">
        <f>(Table6[[#This Row],[Fault Clearance time]]-Table6[[#This Row],[Work Start TimeStamp]])*24</f>
        <v>6.666666666666643E-2</v>
      </c>
      <c r="T253" s="472">
        <f>(Table6[[#This Row],[Fault Clearance time]]-Table6[[#This Row],[Fault Start TimeStamp]])*24</f>
        <v>6.666666666666643E-2</v>
      </c>
      <c r="U253" s="35" t="s">
        <v>336</v>
      </c>
      <c r="V253" s="102" t="s">
        <v>293</v>
      </c>
      <c r="W253" s="478">
        <f>IFERROR(Table6[[#This Row],[Breakdown Time]]*Table6[[#This Row],[Plant Equivalent Weightage]],"")</f>
        <v>2.5641025641025541E-3</v>
      </c>
      <c r="X253" s="473" t="s">
        <v>294</v>
      </c>
      <c r="Y253" s="474" t="s">
        <v>325</v>
      </c>
      <c r="Z253" s="102">
        <v>41205</v>
      </c>
      <c r="AA253" s="468">
        <f>(Table6[[#This Row],[Paired WTG Generation for loss calculation]]/24)*Table6[[#This Row],[Breakdown Time]]</f>
        <v>114.45833333333293</v>
      </c>
      <c r="AB253" s="102"/>
      <c r="AC253" s="35"/>
      <c r="AD253" s="35"/>
    </row>
    <row r="254" spans="1:30">
      <c r="A254" s="102">
        <f t="shared" si="4"/>
        <v>253</v>
      </c>
      <c r="B254" s="468">
        <f>YEAR(Table6[[#This Row],[Date]])+IF(MONTH(Table6[[#This Row],[Date]])&gt;=4,1,0)</f>
        <v>2026</v>
      </c>
      <c r="C254" s="102">
        <f>YEAR(Table6[[#This Row],[Date]])</f>
        <v>2025</v>
      </c>
      <c r="D254" s="102" t="s">
        <v>1992</v>
      </c>
      <c r="E254" s="469">
        <f>Table6[[#This Row],[Date]]-DAY(Table6[[#This Row],[Date]])+1</f>
        <v>45748</v>
      </c>
      <c r="F254" s="470">
        <v>45763</v>
      </c>
      <c r="G254" s="35" t="s">
        <v>81</v>
      </c>
      <c r="H254" s="35" t="str">
        <f>IFERROR(_xlfn.XLOOKUP(Table6[[#This Row],[Affected WTG]],'Basic Data'!$A:$A,'Basic Data'!$B:$B),"")</f>
        <v>TQGXIIPL</v>
      </c>
      <c r="I254" s="35" t="str">
        <f>IFERROR(_xlfn.XLOOKUP(Table6[[#This Row],[Affected WTG]],'Basic Data'!$A:$A,'Basic Data'!$C:$C),"")</f>
        <v>GEDA</v>
      </c>
      <c r="J254" s="471">
        <f>IFERROR(_xlfn.XLOOKUP(Table6[[#This Row],[Affected WTG]],'Basic Data'!$A:$A,'Basic Data'!$E:$E),"")</f>
        <v>3.846153846153845E-2</v>
      </c>
      <c r="K254" s="102">
        <v>55</v>
      </c>
      <c r="L254" s="35" t="str">
        <f>IFERROR(_xlfn.XLOOKUP(Table6[[#This Row],[Error Code]],'Basic Data'!$AA:$AA,'Basic Data'!$AB:$AB),"Incorrect Error Code")</f>
        <v>WTG shut down</v>
      </c>
      <c r="M254" s="35" t="s">
        <v>291</v>
      </c>
      <c r="N254" s="475"/>
      <c r="O254" s="476">
        <v>0.47986111111111113</v>
      </c>
      <c r="P254" s="476">
        <v>0.47986111111111113</v>
      </c>
      <c r="Q254" s="477">
        <v>0.67500000000000004</v>
      </c>
      <c r="R254" s="472">
        <f>IF(Table6[[#This Row],[Work Start TimeStamp]]="","",(Table6[[#This Row],[Work Start TimeStamp]]-Table6[[#This Row],[Fault Start TimeStamp]])*24)</f>
        <v>0</v>
      </c>
      <c r="S254" s="472">
        <f>(Table6[[#This Row],[Fault Clearance time]]-Table6[[#This Row],[Work Start TimeStamp]])*24</f>
        <v>4.6833333333333336</v>
      </c>
      <c r="T254" s="472">
        <f>(Table6[[#This Row],[Fault Clearance time]]-Table6[[#This Row],[Fault Start TimeStamp]])*24</f>
        <v>4.6833333333333336</v>
      </c>
      <c r="U254" s="35" t="s">
        <v>404</v>
      </c>
      <c r="V254" s="102" t="s">
        <v>293</v>
      </c>
      <c r="W254" s="478">
        <f>IFERROR(Table6[[#This Row],[Breakdown Time]]*Table6[[#This Row],[Plant Equivalent Weightage]],"")</f>
        <v>0.18012820512820507</v>
      </c>
      <c r="X254" s="473" t="s">
        <v>290</v>
      </c>
      <c r="Y254" s="474" t="s">
        <v>321</v>
      </c>
      <c r="Z254" s="102">
        <v>37850</v>
      </c>
      <c r="AA254" s="468">
        <f>(Table6[[#This Row],[Paired WTG Generation for loss calculation]]/24)*Table6[[#This Row],[Breakdown Time]]</f>
        <v>7386.0069444444443</v>
      </c>
      <c r="AB254" s="102"/>
      <c r="AC254" s="35"/>
      <c r="AD254" s="35"/>
    </row>
    <row r="255" spans="1:30">
      <c r="A255" s="102">
        <f t="shared" si="4"/>
        <v>254</v>
      </c>
      <c r="B255" s="468">
        <f>YEAR(Table6[[#This Row],[Date]])+IF(MONTH(Table6[[#This Row],[Date]])&gt;=4,1,0)</f>
        <v>2026</v>
      </c>
      <c r="C255" s="102">
        <f>YEAR(Table6[[#This Row],[Date]])</f>
        <v>2025</v>
      </c>
      <c r="D255" s="102" t="s">
        <v>1992</v>
      </c>
      <c r="E255" s="469">
        <f>Table6[[#This Row],[Date]]-DAY(Table6[[#This Row],[Date]])+1</f>
        <v>45748</v>
      </c>
      <c r="F255" s="470">
        <v>45763</v>
      </c>
      <c r="G255" s="35" t="s">
        <v>81</v>
      </c>
      <c r="H255" s="35" t="str">
        <f>IFERROR(_xlfn.XLOOKUP(Table6[[#This Row],[Affected WTG]],'Basic Data'!$A:$A,'Basic Data'!$B:$B),"")</f>
        <v>TQGXIIPL</v>
      </c>
      <c r="I255" s="35" t="str">
        <f>IFERROR(_xlfn.XLOOKUP(Table6[[#This Row],[Affected WTG]],'Basic Data'!$A:$A,'Basic Data'!$C:$C),"")</f>
        <v>GEDA</v>
      </c>
      <c r="J255" s="471">
        <f>IFERROR(_xlfn.XLOOKUP(Table6[[#This Row],[Affected WTG]],'Basic Data'!$A:$A,'Basic Data'!$E:$E),"")</f>
        <v>3.846153846153845E-2</v>
      </c>
      <c r="K255" s="102">
        <v>55</v>
      </c>
      <c r="L255" s="35" t="str">
        <f>IFERROR(_xlfn.XLOOKUP(Table6[[#This Row],[Error Code]],'Basic Data'!$AA:$AA,'Basic Data'!$AB:$AB),"Incorrect Error Code")</f>
        <v>WTG shut down</v>
      </c>
      <c r="M255" s="35" t="s">
        <v>291</v>
      </c>
      <c r="N255" s="475"/>
      <c r="O255" s="476">
        <v>0.7055555555555556</v>
      </c>
      <c r="P255" s="476">
        <v>0.7055555555555556</v>
      </c>
      <c r="Q255" s="477">
        <v>0.75208333333333333</v>
      </c>
      <c r="R255" s="472">
        <f>IF(Table6[[#This Row],[Work Start TimeStamp]]="","",(Table6[[#This Row],[Work Start TimeStamp]]-Table6[[#This Row],[Fault Start TimeStamp]])*24)</f>
        <v>0</v>
      </c>
      <c r="S255" s="472">
        <f>(Table6[[#This Row],[Fault Clearance time]]-Table6[[#This Row],[Work Start TimeStamp]])*24</f>
        <v>1.1166666666666654</v>
      </c>
      <c r="T255" s="472">
        <f>(Table6[[#This Row],[Fault Clearance time]]-Table6[[#This Row],[Fault Start TimeStamp]])*24</f>
        <v>1.1166666666666654</v>
      </c>
      <c r="U255" s="35" t="s">
        <v>405</v>
      </c>
      <c r="V255" s="102" t="s">
        <v>293</v>
      </c>
      <c r="W255" s="478">
        <f>IFERROR(Table6[[#This Row],[Breakdown Time]]*Table6[[#This Row],[Plant Equivalent Weightage]],"")</f>
        <v>4.2948717948717886E-2</v>
      </c>
      <c r="X255" s="473" t="s">
        <v>290</v>
      </c>
      <c r="Y255" s="474" t="s">
        <v>321</v>
      </c>
      <c r="Z255" s="102">
        <v>37850</v>
      </c>
      <c r="AA255" s="468">
        <f>(Table6[[#This Row],[Paired WTG Generation for loss calculation]]/24)*Table6[[#This Row],[Breakdown Time]]</f>
        <v>1761.0763888888866</v>
      </c>
      <c r="AB255" s="102"/>
      <c r="AC255" s="35"/>
      <c r="AD255" s="35"/>
    </row>
    <row r="256" spans="1:30">
      <c r="A256" s="102">
        <f t="shared" si="4"/>
        <v>255</v>
      </c>
      <c r="B256" s="468">
        <f>YEAR(Table6[[#This Row],[Date]])+IF(MONTH(Table6[[#This Row],[Date]])&gt;=4,1,0)</f>
        <v>2026</v>
      </c>
      <c r="C256" s="102">
        <f>YEAR(Table6[[#This Row],[Date]])</f>
        <v>2025</v>
      </c>
      <c r="D256" s="102" t="s">
        <v>1992</v>
      </c>
      <c r="E256" s="469">
        <f>Table6[[#This Row],[Date]]-DAY(Table6[[#This Row],[Date]])+1</f>
        <v>45748</v>
      </c>
      <c r="F256" s="470">
        <v>45763</v>
      </c>
      <c r="G256" s="35" t="s">
        <v>85</v>
      </c>
      <c r="H256" s="35" t="str">
        <f>IFERROR(_xlfn.XLOOKUP(Table6[[#This Row],[Affected WTG]],'Basic Data'!$A:$A,'Basic Data'!$B:$B),"")</f>
        <v>TQGXIIPL</v>
      </c>
      <c r="I256" s="35" t="str">
        <f>IFERROR(_xlfn.XLOOKUP(Table6[[#This Row],[Affected WTG]],'Basic Data'!$A:$A,'Basic Data'!$C:$C),"")</f>
        <v>GEDA</v>
      </c>
      <c r="J256" s="471">
        <f>IFERROR(_xlfn.XLOOKUP(Table6[[#This Row],[Affected WTG]],'Basic Data'!$A:$A,'Basic Data'!$E:$E),"")</f>
        <v>3.846153846153845E-2</v>
      </c>
      <c r="K256" s="102">
        <v>1700</v>
      </c>
      <c r="L256" s="35" t="str">
        <f>IFERROR(_xlfn.XLOOKUP(Table6[[#This Row],[Error Code]],'Basic Data'!$AA:$AA,'Basic Data'!$AB:$AB),"Incorrect Error Code")</f>
        <v>High temp. gear bearing 1</v>
      </c>
      <c r="M256" s="35" t="s">
        <v>292</v>
      </c>
      <c r="N256" s="475"/>
      <c r="O256" s="476">
        <v>0.79652777777777772</v>
      </c>
      <c r="P256" s="476">
        <v>0.79652777777777772</v>
      </c>
      <c r="Q256" s="477">
        <v>0.8041666666666667</v>
      </c>
      <c r="R256" s="472">
        <f>IF(Table6[[#This Row],[Work Start TimeStamp]]="","",(Table6[[#This Row],[Work Start TimeStamp]]-Table6[[#This Row],[Fault Start TimeStamp]])*24)</f>
        <v>0</v>
      </c>
      <c r="S256" s="472">
        <f>(Table6[[#This Row],[Fault Clearance time]]-Table6[[#This Row],[Work Start TimeStamp]])*24</f>
        <v>0.18333333333333535</v>
      </c>
      <c r="T256" s="472">
        <f>(Table6[[#This Row],[Fault Clearance time]]-Table6[[#This Row],[Fault Start TimeStamp]])*24</f>
        <v>0.18333333333333535</v>
      </c>
      <c r="U256" s="35" t="s">
        <v>336</v>
      </c>
      <c r="V256" s="102" t="s">
        <v>293</v>
      </c>
      <c r="W256" s="478">
        <f>IFERROR(Table6[[#This Row],[Breakdown Time]]*Table6[[#This Row],[Plant Equivalent Weightage]],"")</f>
        <v>7.0512820512821268E-3</v>
      </c>
      <c r="X256" s="473" t="s">
        <v>294</v>
      </c>
      <c r="Y256" s="474" t="s">
        <v>322</v>
      </c>
      <c r="Z256" s="102">
        <v>30710</v>
      </c>
      <c r="AA256" s="468">
        <f>(Table6[[#This Row],[Paired WTG Generation for loss calculation]]/24)*Table6[[#This Row],[Breakdown Time]]</f>
        <v>234.59027777778033</v>
      </c>
      <c r="AB256" s="102"/>
      <c r="AC256" s="35"/>
      <c r="AD256" s="35"/>
    </row>
    <row r="257" spans="1:30">
      <c r="A257" s="102">
        <f t="shared" si="4"/>
        <v>256</v>
      </c>
      <c r="B257" s="468">
        <f>YEAR(Table6[[#This Row],[Date]])+IF(MONTH(Table6[[#This Row],[Date]])&gt;=4,1,0)</f>
        <v>2026</v>
      </c>
      <c r="C257" s="102">
        <f>YEAR(Table6[[#This Row],[Date]])</f>
        <v>2025</v>
      </c>
      <c r="D257" s="102" t="s">
        <v>1992</v>
      </c>
      <c r="E257" s="469">
        <f>Table6[[#This Row],[Date]]-DAY(Table6[[#This Row],[Date]])+1</f>
        <v>45748</v>
      </c>
      <c r="F257" s="470">
        <v>45763</v>
      </c>
      <c r="G257" s="35" t="s">
        <v>86</v>
      </c>
      <c r="H257" s="35" t="str">
        <f>IFERROR(_xlfn.XLOOKUP(Table6[[#This Row],[Affected WTG]],'Basic Data'!$A:$A,'Basic Data'!$B:$B),"")</f>
        <v>TQGXIIPL</v>
      </c>
      <c r="I257" s="35" t="str">
        <f>IFERROR(_xlfn.XLOOKUP(Table6[[#This Row],[Affected WTG]],'Basic Data'!$A:$A,'Basic Data'!$C:$C),"")</f>
        <v>GEDA</v>
      </c>
      <c r="J257" s="471">
        <f>IFERROR(_xlfn.XLOOKUP(Table6[[#This Row],[Affected WTG]],'Basic Data'!$A:$A,'Basic Data'!$E:$E),"")</f>
        <v>3.846153846153845E-2</v>
      </c>
      <c r="K257" s="102">
        <v>55</v>
      </c>
      <c r="L257" s="35" t="str">
        <f>IFERROR(_xlfn.XLOOKUP(Table6[[#This Row],[Error Code]],'Basic Data'!$AA:$AA,'Basic Data'!$AB:$AB),"Incorrect Error Code")</f>
        <v>WTG shut down</v>
      </c>
      <c r="M257" s="35" t="s">
        <v>291</v>
      </c>
      <c r="N257" s="475"/>
      <c r="O257" s="476">
        <v>0.66041666666666665</v>
      </c>
      <c r="P257" s="476">
        <v>0.66041666666666665</v>
      </c>
      <c r="Q257" s="477">
        <v>0.70277777777777772</v>
      </c>
      <c r="R257" s="472">
        <f>IF(Table6[[#This Row],[Work Start TimeStamp]]="","",(Table6[[#This Row],[Work Start TimeStamp]]-Table6[[#This Row],[Fault Start TimeStamp]])*24)</f>
        <v>0</v>
      </c>
      <c r="S257" s="472">
        <f>(Table6[[#This Row],[Fault Clearance time]]-Table6[[#This Row],[Work Start TimeStamp]])*24</f>
        <v>1.0166666666666657</v>
      </c>
      <c r="T257" s="472">
        <f>(Table6[[#This Row],[Fault Clearance time]]-Table6[[#This Row],[Fault Start TimeStamp]])*24</f>
        <v>1.0166666666666657</v>
      </c>
      <c r="U257" s="35" t="s">
        <v>406</v>
      </c>
      <c r="V257" s="102" t="s">
        <v>293</v>
      </c>
      <c r="W257" s="478">
        <f>IFERROR(Table6[[#This Row],[Breakdown Time]]*Table6[[#This Row],[Plant Equivalent Weightage]],"")</f>
        <v>3.9102564102564054E-2</v>
      </c>
      <c r="X257" s="473" t="s">
        <v>290</v>
      </c>
      <c r="Y257" s="474" t="s">
        <v>313</v>
      </c>
      <c r="Z257" s="102">
        <v>37090</v>
      </c>
      <c r="AA257" s="468">
        <f>(Table6[[#This Row],[Paired WTG Generation for loss calculation]]/24)*Table6[[#This Row],[Breakdown Time]]</f>
        <v>1571.1736111111097</v>
      </c>
      <c r="AB257" s="102"/>
      <c r="AC257" s="35"/>
      <c r="AD257" s="35"/>
    </row>
    <row r="258" spans="1:30">
      <c r="A258" s="102">
        <f t="shared" si="4"/>
        <v>257</v>
      </c>
      <c r="B258" s="468">
        <f>YEAR(Table6[[#This Row],[Date]])+IF(MONTH(Table6[[#This Row],[Date]])&gt;=4,1,0)</f>
        <v>2026</v>
      </c>
      <c r="C258" s="102">
        <f>YEAR(Table6[[#This Row],[Date]])</f>
        <v>2025</v>
      </c>
      <c r="D258" s="102" t="s">
        <v>1992</v>
      </c>
      <c r="E258" s="469">
        <f>Table6[[#This Row],[Date]]-DAY(Table6[[#This Row],[Date]])+1</f>
        <v>45748</v>
      </c>
      <c r="F258" s="470">
        <v>45763</v>
      </c>
      <c r="G258" s="35" t="s">
        <v>87</v>
      </c>
      <c r="H258" s="35" t="str">
        <f>IFERROR(_xlfn.XLOOKUP(Table6[[#This Row],[Affected WTG]],'Basic Data'!$A:$A,'Basic Data'!$B:$B),"")</f>
        <v>TQGXIIPL</v>
      </c>
      <c r="I258" s="35" t="str">
        <f>IFERROR(_xlfn.XLOOKUP(Table6[[#This Row],[Affected WTG]],'Basic Data'!$A:$A,'Basic Data'!$C:$C),"")</f>
        <v>GEDA</v>
      </c>
      <c r="J258" s="471">
        <f>IFERROR(_xlfn.XLOOKUP(Table6[[#This Row],[Affected WTG]],'Basic Data'!$A:$A,'Basic Data'!$E:$E),"")</f>
        <v>3.846153846153845E-2</v>
      </c>
      <c r="K258" s="102">
        <v>55</v>
      </c>
      <c r="L258" s="35" t="str">
        <f>IFERROR(_xlfn.XLOOKUP(Table6[[#This Row],[Error Code]],'Basic Data'!$AA:$AA,'Basic Data'!$AB:$AB),"Incorrect Error Code")</f>
        <v>WTG shut down</v>
      </c>
      <c r="M258" s="35" t="s">
        <v>291</v>
      </c>
      <c r="N258" s="475"/>
      <c r="O258" s="476">
        <v>0.73958333333333337</v>
      </c>
      <c r="P258" s="476">
        <v>0.73958333333333337</v>
      </c>
      <c r="Q258" s="477">
        <v>0.76597222222222228</v>
      </c>
      <c r="R258" s="472">
        <f>IF(Table6[[#This Row],[Work Start TimeStamp]]="","",(Table6[[#This Row],[Work Start TimeStamp]]-Table6[[#This Row],[Fault Start TimeStamp]])*24)</f>
        <v>0</v>
      </c>
      <c r="S258" s="472">
        <f>(Table6[[#This Row],[Fault Clearance time]]-Table6[[#This Row],[Work Start TimeStamp]])*24</f>
        <v>0.63333333333333375</v>
      </c>
      <c r="T258" s="472">
        <f>(Table6[[#This Row],[Fault Clearance time]]-Table6[[#This Row],[Fault Start TimeStamp]])*24</f>
        <v>0.63333333333333375</v>
      </c>
      <c r="U258" s="35" t="s">
        <v>406</v>
      </c>
      <c r="V258" s="102" t="s">
        <v>293</v>
      </c>
      <c r="W258" s="478">
        <f>IFERROR(Table6[[#This Row],[Breakdown Time]]*Table6[[#This Row],[Plant Equivalent Weightage]],"")</f>
        <v>2.4358974358974366E-2</v>
      </c>
      <c r="X258" s="473" t="s">
        <v>290</v>
      </c>
      <c r="Y258" s="474" t="s">
        <v>327</v>
      </c>
      <c r="Z258" s="102">
        <v>34156</v>
      </c>
      <c r="AA258" s="468">
        <f>(Table6[[#This Row],[Paired WTG Generation for loss calculation]]/24)*Table6[[#This Row],[Breakdown Time]]</f>
        <v>901.33888888888953</v>
      </c>
      <c r="AB258" s="102"/>
      <c r="AC258" s="35"/>
      <c r="AD258" s="35"/>
    </row>
    <row r="259" spans="1:30">
      <c r="A259" s="102">
        <f t="shared" si="4"/>
        <v>258</v>
      </c>
      <c r="B259" s="468">
        <f>YEAR(Table6[[#This Row],[Date]])+IF(MONTH(Table6[[#This Row],[Date]])&gt;=4,1,0)</f>
        <v>2026</v>
      </c>
      <c r="C259" s="102">
        <f>YEAR(Table6[[#This Row],[Date]])</f>
        <v>2025</v>
      </c>
      <c r="D259" s="102" t="s">
        <v>1992</v>
      </c>
      <c r="E259" s="469">
        <f>Table6[[#This Row],[Date]]-DAY(Table6[[#This Row],[Date]])+1</f>
        <v>45748</v>
      </c>
      <c r="F259" s="470">
        <v>45763</v>
      </c>
      <c r="G259" s="35" t="s">
        <v>87</v>
      </c>
      <c r="H259" s="35" t="str">
        <f>IFERROR(_xlfn.XLOOKUP(Table6[[#This Row],[Affected WTG]],'Basic Data'!$A:$A,'Basic Data'!$B:$B),"")</f>
        <v>TQGXIIPL</v>
      </c>
      <c r="I259" s="35" t="str">
        <f>IFERROR(_xlfn.XLOOKUP(Table6[[#This Row],[Affected WTG]],'Basic Data'!$A:$A,'Basic Data'!$C:$C),"")</f>
        <v>GEDA</v>
      </c>
      <c r="J259" s="471">
        <f>IFERROR(_xlfn.XLOOKUP(Table6[[#This Row],[Affected WTG]],'Basic Data'!$A:$A,'Basic Data'!$E:$E),"")</f>
        <v>3.846153846153845E-2</v>
      </c>
      <c r="K259" s="102">
        <v>55</v>
      </c>
      <c r="L259" s="35" t="str">
        <f>IFERROR(_xlfn.XLOOKUP(Table6[[#This Row],[Error Code]],'Basic Data'!$AA:$AA,'Basic Data'!$AB:$AB),"Incorrect Error Code")</f>
        <v>WTG shut down</v>
      </c>
      <c r="M259" s="35" t="s">
        <v>330</v>
      </c>
      <c r="N259" s="475"/>
      <c r="O259" s="476">
        <v>0.76597222222222228</v>
      </c>
      <c r="P259" s="476">
        <v>0.76597222222222228</v>
      </c>
      <c r="Q259" s="477">
        <v>0.79791666666666672</v>
      </c>
      <c r="R259" s="472">
        <f>IF(Table6[[#This Row],[Work Start TimeStamp]]="","",(Table6[[#This Row],[Work Start TimeStamp]]-Table6[[#This Row],[Fault Start TimeStamp]])*24)</f>
        <v>0</v>
      </c>
      <c r="S259" s="472">
        <f>(Table6[[#This Row],[Fault Clearance time]]-Table6[[#This Row],[Work Start TimeStamp]])*24</f>
        <v>0.76666666666666661</v>
      </c>
      <c r="T259" s="472">
        <f>(Table6[[#This Row],[Fault Clearance time]]-Table6[[#This Row],[Fault Start TimeStamp]])*24</f>
        <v>0.76666666666666661</v>
      </c>
      <c r="U259" s="35" t="s">
        <v>337</v>
      </c>
      <c r="V259" s="102" t="s">
        <v>293</v>
      </c>
      <c r="W259" s="478">
        <f>IFERROR(Table6[[#This Row],[Breakdown Time]]*Table6[[#This Row],[Plant Equivalent Weightage]],"")</f>
        <v>2.9487179487179476E-2</v>
      </c>
      <c r="X259" s="473" t="s">
        <v>290</v>
      </c>
      <c r="Y259" s="474" t="s">
        <v>327</v>
      </c>
      <c r="Z259" s="102">
        <v>34156</v>
      </c>
      <c r="AA259" s="468">
        <f>(Table6[[#This Row],[Paired WTG Generation for loss calculation]]/24)*Table6[[#This Row],[Breakdown Time]]</f>
        <v>1091.0944444444444</v>
      </c>
      <c r="AB259" s="102"/>
      <c r="AC259" s="35"/>
      <c r="AD259" s="35"/>
    </row>
    <row r="260" spans="1:30">
      <c r="A260" s="102">
        <f t="shared" si="4"/>
        <v>259</v>
      </c>
      <c r="B260" s="468">
        <f>YEAR(Table6[[#This Row],[Date]])+IF(MONTH(Table6[[#This Row],[Date]])&gt;=4,1,0)</f>
        <v>2026</v>
      </c>
      <c r="C260" s="102">
        <f>YEAR(Table6[[#This Row],[Date]])</f>
        <v>2025</v>
      </c>
      <c r="D260" s="102" t="s">
        <v>1992</v>
      </c>
      <c r="E260" s="469">
        <f>Table6[[#This Row],[Date]]-DAY(Table6[[#This Row],[Date]])+1</f>
        <v>45748</v>
      </c>
      <c r="F260" s="470">
        <v>45763</v>
      </c>
      <c r="G260" s="35" t="s">
        <v>90</v>
      </c>
      <c r="H260" s="35" t="str">
        <f>IFERROR(_xlfn.XLOOKUP(Table6[[#This Row],[Affected WTG]],'Basic Data'!$A:$A,'Basic Data'!$B:$B),"")</f>
        <v>TQGXIIPL</v>
      </c>
      <c r="I260" s="35" t="str">
        <f>IFERROR(_xlfn.XLOOKUP(Table6[[#This Row],[Affected WTG]],'Basic Data'!$A:$A,'Basic Data'!$C:$C),"")</f>
        <v>GEDA</v>
      </c>
      <c r="J260" s="471">
        <f>IFERROR(_xlfn.XLOOKUP(Table6[[#This Row],[Affected WTG]],'Basic Data'!$A:$A,'Basic Data'!$E:$E),"")</f>
        <v>3.846153846153845E-2</v>
      </c>
      <c r="K260" s="102">
        <v>55</v>
      </c>
      <c r="L260" s="35" t="str">
        <f>IFERROR(_xlfn.XLOOKUP(Table6[[#This Row],[Error Code]],'Basic Data'!$AA:$AA,'Basic Data'!$AB:$AB),"Incorrect Error Code")</f>
        <v>WTG shut down</v>
      </c>
      <c r="M260" s="35" t="s">
        <v>295</v>
      </c>
      <c r="N260" s="475"/>
      <c r="O260" s="476">
        <v>0</v>
      </c>
      <c r="P260" s="476">
        <v>0</v>
      </c>
      <c r="Q260" s="477">
        <v>0.90277777777777779</v>
      </c>
      <c r="R260" s="472">
        <f>IF(Table6[[#This Row],[Work Start TimeStamp]]="","",(Table6[[#This Row],[Work Start TimeStamp]]-Table6[[#This Row],[Fault Start TimeStamp]])*24)</f>
        <v>0</v>
      </c>
      <c r="S260" s="472">
        <f>(Table6[[#This Row],[Fault Clearance time]]-Table6[[#This Row],[Work Start TimeStamp]])*24</f>
        <v>21.666666666666668</v>
      </c>
      <c r="T260" s="472">
        <f>(Table6[[#This Row],[Fault Clearance time]]-Table6[[#This Row],[Fault Start TimeStamp]])*24</f>
        <v>21.666666666666668</v>
      </c>
      <c r="U260" s="35" t="s">
        <v>407</v>
      </c>
      <c r="V260" s="102" t="s">
        <v>293</v>
      </c>
      <c r="W260" s="478">
        <f>IFERROR(Table6[[#This Row],[Breakdown Time]]*Table6[[#This Row],[Plant Equivalent Weightage]],"")</f>
        <v>0.83333333333333315</v>
      </c>
      <c r="X260" s="473" t="s">
        <v>290</v>
      </c>
      <c r="Y260" s="474" t="s">
        <v>339</v>
      </c>
      <c r="Z260" s="102">
        <v>46060</v>
      </c>
      <c r="AA260" s="468">
        <f>(Table6[[#This Row],[Paired WTG Generation for loss calculation]]/24)*Table6[[#This Row],[Breakdown Time]]</f>
        <v>41581.944444444445</v>
      </c>
      <c r="AB260" s="102"/>
      <c r="AC260" s="35"/>
      <c r="AD260" s="35"/>
    </row>
    <row r="261" spans="1:30">
      <c r="A261" s="102">
        <f t="shared" si="4"/>
        <v>260</v>
      </c>
      <c r="B261" s="468">
        <f>YEAR(Table6[[#This Row],[Date]])+IF(MONTH(Table6[[#This Row],[Date]])&gt;=4,1,0)</f>
        <v>2026</v>
      </c>
      <c r="C261" s="102">
        <f>YEAR(Table6[[#This Row],[Date]])</f>
        <v>2025</v>
      </c>
      <c r="D261" s="102" t="s">
        <v>1992</v>
      </c>
      <c r="E261" s="469">
        <f>Table6[[#This Row],[Date]]-DAY(Table6[[#This Row],[Date]])+1</f>
        <v>45748</v>
      </c>
      <c r="F261" s="470">
        <v>45763</v>
      </c>
      <c r="G261" s="35" t="s">
        <v>91</v>
      </c>
      <c r="H261" s="35" t="str">
        <f>IFERROR(_xlfn.XLOOKUP(Table6[[#This Row],[Affected WTG]],'Basic Data'!$A:$A,'Basic Data'!$B:$B),"")</f>
        <v>TQGXIIPL</v>
      </c>
      <c r="I261" s="35" t="str">
        <f>IFERROR(_xlfn.XLOOKUP(Table6[[#This Row],[Affected WTG]],'Basic Data'!$A:$A,'Basic Data'!$C:$C),"")</f>
        <v>GEDA</v>
      </c>
      <c r="J261" s="471">
        <f>IFERROR(_xlfn.XLOOKUP(Table6[[#This Row],[Affected WTG]],'Basic Data'!$A:$A,'Basic Data'!$E:$E),"")</f>
        <v>3.846153846153845E-2</v>
      </c>
      <c r="K261" s="102">
        <v>55</v>
      </c>
      <c r="L261" s="35" t="str">
        <f>IFERROR(_xlfn.XLOOKUP(Table6[[#This Row],[Error Code]],'Basic Data'!$AA:$AA,'Basic Data'!$AB:$AB),"Incorrect Error Code")</f>
        <v>WTG shut down</v>
      </c>
      <c r="M261" s="35" t="s">
        <v>291</v>
      </c>
      <c r="N261" s="475"/>
      <c r="O261" s="476">
        <v>0.47499999999999998</v>
      </c>
      <c r="P261" s="476">
        <v>0.47499999999999998</v>
      </c>
      <c r="Q261" s="477">
        <v>0.72222222222222221</v>
      </c>
      <c r="R261" s="472">
        <f>IF(Table6[[#This Row],[Work Start TimeStamp]]="","",(Table6[[#This Row],[Work Start TimeStamp]]-Table6[[#This Row],[Fault Start TimeStamp]])*24)</f>
        <v>0</v>
      </c>
      <c r="S261" s="472">
        <f>(Table6[[#This Row],[Fault Clearance time]]-Table6[[#This Row],[Work Start TimeStamp]])*24</f>
        <v>5.9333333333333336</v>
      </c>
      <c r="T261" s="472">
        <f>(Table6[[#This Row],[Fault Clearance time]]-Table6[[#This Row],[Fault Start TimeStamp]])*24</f>
        <v>5.9333333333333336</v>
      </c>
      <c r="U261" s="35" t="s">
        <v>408</v>
      </c>
      <c r="V261" s="102" t="s">
        <v>293</v>
      </c>
      <c r="W261" s="478">
        <f>IFERROR(Table6[[#This Row],[Breakdown Time]]*Table6[[#This Row],[Plant Equivalent Weightage]],"")</f>
        <v>0.22820512820512814</v>
      </c>
      <c r="X261" s="473" t="s">
        <v>290</v>
      </c>
      <c r="Y261" s="474" t="s">
        <v>319</v>
      </c>
      <c r="Z261" s="102">
        <v>41952</v>
      </c>
      <c r="AA261" s="468">
        <f>(Table6[[#This Row],[Paired WTG Generation for loss calculation]]/24)*Table6[[#This Row],[Breakdown Time]]</f>
        <v>10371.466666666667</v>
      </c>
      <c r="AB261" s="102"/>
      <c r="AC261" s="35"/>
      <c r="AD261" s="35"/>
    </row>
    <row r="262" spans="1:30">
      <c r="A262" s="102">
        <f t="shared" si="4"/>
        <v>261</v>
      </c>
      <c r="B262" s="468">
        <f>YEAR(Table6[[#This Row],[Date]])+IF(MONTH(Table6[[#This Row],[Date]])&gt;=4,1,0)</f>
        <v>2026</v>
      </c>
      <c r="C262" s="102">
        <f>YEAR(Table6[[#This Row],[Date]])</f>
        <v>2025</v>
      </c>
      <c r="D262" s="102" t="s">
        <v>1992</v>
      </c>
      <c r="E262" s="469">
        <f>Table6[[#This Row],[Date]]-DAY(Table6[[#This Row],[Date]])+1</f>
        <v>45748</v>
      </c>
      <c r="F262" s="470">
        <v>45763</v>
      </c>
      <c r="G262" s="35" t="s">
        <v>97</v>
      </c>
      <c r="H262" s="35" t="str">
        <f>IFERROR(_xlfn.XLOOKUP(Table6[[#This Row],[Affected WTG]],'Basic Data'!$A:$A,'Basic Data'!$B:$B),"")</f>
        <v>TQGXIIPL</v>
      </c>
      <c r="I262" s="35" t="str">
        <f>IFERROR(_xlfn.XLOOKUP(Table6[[#This Row],[Affected WTG]],'Basic Data'!$A:$A,'Basic Data'!$C:$C),"")</f>
        <v>GEDA</v>
      </c>
      <c r="J262" s="471">
        <f>IFERROR(_xlfn.XLOOKUP(Table6[[#This Row],[Affected WTG]],'Basic Data'!$A:$A,'Basic Data'!$E:$E),"")</f>
        <v>3.846153846153845E-2</v>
      </c>
      <c r="K262" s="102">
        <v>55</v>
      </c>
      <c r="L262" s="35" t="str">
        <f>IFERROR(_xlfn.XLOOKUP(Table6[[#This Row],[Error Code]],'Basic Data'!$AA:$AA,'Basic Data'!$AB:$AB),"Incorrect Error Code")</f>
        <v>WTG shut down</v>
      </c>
      <c r="M262" s="35" t="s">
        <v>291</v>
      </c>
      <c r="N262" s="475"/>
      <c r="O262" s="476">
        <v>0</v>
      </c>
      <c r="P262" s="476">
        <v>0</v>
      </c>
      <c r="Q262" s="477">
        <v>4.3055555555555555E-2</v>
      </c>
      <c r="R262" s="472">
        <f>IF(Table6[[#This Row],[Work Start TimeStamp]]="","",(Table6[[#This Row],[Work Start TimeStamp]]-Table6[[#This Row],[Fault Start TimeStamp]])*24)</f>
        <v>0</v>
      </c>
      <c r="S262" s="472">
        <f>(Table6[[#This Row],[Fault Clearance time]]-Table6[[#This Row],[Work Start TimeStamp]])*24</f>
        <v>1.0333333333333332</v>
      </c>
      <c r="T262" s="472">
        <f>(Table6[[#This Row],[Fault Clearance time]]-Table6[[#This Row],[Fault Start TimeStamp]])*24</f>
        <v>1.0333333333333332</v>
      </c>
      <c r="U262" s="35" t="s">
        <v>409</v>
      </c>
      <c r="V262" s="102" t="s">
        <v>293</v>
      </c>
      <c r="W262" s="478">
        <f>IFERROR(Table6[[#This Row],[Breakdown Time]]*Table6[[#This Row],[Plant Equivalent Weightage]],"")</f>
        <v>3.9743589743589727E-2</v>
      </c>
      <c r="X262" s="473" t="s">
        <v>290</v>
      </c>
      <c r="Y262" s="474" t="s">
        <v>320</v>
      </c>
      <c r="Z262" s="102">
        <v>39760</v>
      </c>
      <c r="AA262" s="468">
        <f>(Table6[[#This Row],[Paired WTG Generation for loss calculation]]/24)*Table6[[#This Row],[Breakdown Time]]</f>
        <v>1711.8888888888887</v>
      </c>
      <c r="AB262" s="102"/>
      <c r="AC262" s="35"/>
      <c r="AD262" s="35"/>
    </row>
    <row r="263" spans="1:30">
      <c r="A263" s="102">
        <f t="shared" si="4"/>
        <v>262</v>
      </c>
      <c r="B263" s="468">
        <f>YEAR(Table6[[#This Row],[Date]])+IF(MONTH(Table6[[#This Row],[Date]])&gt;=4,1,0)</f>
        <v>2026</v>
      </c>
      <c r="C263" s="102">
        <f>YEAR(Table6[[#This Row],[Date]])</f>
        <v>2025</v>
      </c>
      <c r="D263" s="102" t="s">
        <v>1992</v>
      </c>
      <c r="E263" s="469">
        <f>Table6[[#This Row],[Date]]-DAY(Table6[[#This Row],[Date]])+1</f>
        <v>45748</v>
      </c>
      <c r="F263" s="470">
        <v>45763</v>
      </c>
      <c r="G263" s="35" t="s">
        <v>98</v>
      </c>
      <c r="H263" s="35" t="str">
        <f>IFERROR(_xlfn.XLOOKUP(Table6[[#This Row],[Affected WTG]],'Basic Data'!$A:$A,'Basic Data'!$B:$B),"")</f>
        <v>TQGXIIPL</v>
      </c>
      <c r="I263" s="35" t="str">
        <f>IFERROR(_xlfn.XLOOKUP(Table6[[#This Row],[Affected WTG]],'Basic Data'!$A:$A,'Basic Data'!$C:$C),"")</f>
        <v>GEDA</v>
      </c>
      <c r="J263" s="471">
        <f>IFERROR(_xlfn.XLOOKUP(Table6[[#This Row],[Affected WTG]],'Basic Data'!$A:$A,'Basic Data'!$E:$E),"")</f>
        <v>3.846153846153845E-2</v>
      </c>
      <c r="K263" s="102">
        <v>1700</v>
      </c>
      <c r="L263" s="35" t="str">
        <f>IFERROR(_xlfn.XLOOKUP(Table6[[#This Row],[Error Code]],'Basic Data'!$AA:$AA,'Basic Data'!$AB:$AB),"Incorrect Error Code")</f>
        <v>High temp. gear bearing 1</v>
      </c>
      <c r="M263" s="35" t="s">
        <v>291</v>
      </c>
      <c r="N263" s="475"/>
      <c r="O263" s="476">
        <v>0.79374999999999996</v>
      </c>
      <c r="P263" s="476">
        <v>0.79374999999999996</v>
      </c>
      <c r="Q263" s="477">
        <v>0.80555555555555558</v>
      </c>
      <c r="R263" s="472">
        <f>IF(Table6[[#This Row],[Work Start TimeStamp]]="","",(Table6[[#This Row],[Work Start TimeStamp]]-Table6[[#This Row],[Fault Start TimeStamp]])*24)</f>
        <v>0</v>
      </c>
      <c r="S263" s="472">
        <f>(Table6[[#This Row],[Fault Clearance time]]-Table6[[#This Row],[Work Start TimeStamp]])*24</f>
        <v>0.28333333333333499</v>
      </c>
      <c r="T263" s="472">
        <f>(Table6[[#This Row],[Fault Clearance time]]-Table6[[#This Row],[Fault Start TimeStamp]])*24</f>
        <v>0.28333333333333499</v>
      </c>
      <c r="U263" s="35" t="s">
        <v>349</v>
      </c>
      <c r="V263" s="102" t="s">
        <v>293</v>
      </c>
      <c r="W263" s="478">
        <f>IFERROR(Table6[[#This Row],[Breakdown Time]]*Table6[[#This Row],[Plant Equivalent Weightage]],"")</f>
        <v>1.0897435897435958E-2</v>
      </c>
      <c r="X263" s="473" t="s">
        <v>294</v>
      </c>
      <c r="Y263" s="474" t="s">
        <v>315</v>
      </c>
      <c r="Z263" s="102">
        <v>39687</v>
      </c>
      <c r="AA263" s="468">
        <f>(Table6[[#This Row],[Paired WTG Generation for loss calculation]]/24)*Table6[[#This Row],[Breakdown Time]]</f>
        <v>468.52708333333607</v>
      </c>
      <c r="AB263" s="102"/>
      <c r="AC263" s="35"/>
      <c r="AD263" s="35"/>
    </row>
    <row r="264" spans="1:30">
      <c r="A264" s="102">
        <f t="shared" si="4"/>
        <v>263</v>
      </c>
      <c r="B264" s="468">
        <f>YEAR(Table6[[#This Row],[Date]])+IF(MONTH(Table6[[#This Row],[Date]])&gt;=4,1,0)</f>
        <v>2026</v>
      </c>
      <c r="C264" s="102">
        <f>YEAR(Table6[[#This Row],[Date]])</f>
        <v>2025</v>
      </c>
      <c r="D264" s="102" t="s">
        <v>1992</v>
      </c>
      <c r="E264" s="469">
        <f>Table6[[#This Row],[Date]]-DAY(Table6[[#This Row],[Date]])+1</f>
        <v>45748</v>
      </c>
      <c r="F264" s="470">
        <v>45763</v>
      </c>
      <c r="G264" s="35" t="s">
        <v>98</v>
      </c>
      <c r="H264" s="35" t="str">
        <f>IFERROR(_xlfn.XLOOKUP(Table6[[#This Row],[Affected WTG]],'Basic Data'!$A:$A,'Basic Data'!$B:$B),"")</f>
        <v>TQGXIIPL</v>
      </c>
      <c r="I264" s="35" t="str">
        <f>IFERROR(_xlfn.XLOOKUP(Table6[[#This Row],[Affected WTG]],'Basic Data'!$A:$A,'Basic Data'!$C:$C),"")</f>
        <v>GEDA</v>
      </c>
      <c r="J264" s="471">
        <f>IFERROR(_xlfn.XLOOKUP(Table6[[#This Row],[Affected WTG]],'Basic Data'!$A:$A,'Basic Data'!$E:$E),"")</f>
        <v>3.846153846153845E-2</v>
      </c>
      <c r="K264" s="102">
        <v>3110</v>
      </c>
      <c r="L264" s="35" t="str">
        <f>IFERROR(_xlfn.XLOOKUP(Table6[[#This Row],[Error Code]],'Basic Data'!$AA:$AA,'Basic Data'!$AB:$AB),"Incorrect Error Code")</f>
        <v>Frequency converter error</v>
      </c>
      <c r="M264" s="35" t="s">
        <v>291</v>
      </c>
      <c r="N264" s="475"/>
      <c r="O264" s="476">
        <v>0.82638888888888884</v>
      </c>
      <c r="P264" s="476">
        <v>0.82638888888888884</v>
      </c>
      <c r="Q264" s="477">
        <v>0.83819444444444446</v>
      </c>
      <c r="R264" s="472">
        <f>IF(Table6[[#This Row],[Work Start TimeStamp]]="","",(Table6[[#This Row],[Work Start TimeStamp]]-Table6[[#This Row],[Fault Start TimeStamp]])*24)</f>
        <v>0</v>
      </c>
      <c r="S264" s="472">
        <f>(Table6[[#This Row],[Fault Clearance time]]-Table6[[#This Row],[Work Start TimeStamp]])*24</f>
        <v>0.28333333333333499</v>
      </c>
      <c r="T264" s="472">
        <f>(Table6[[#This Row],[Fault Clearance time]]-Table6[[#This Row],[Fault Start TimeStamp]])*24</f>
        <v>0.28333333333333499</v>
      </c>
      <c r="U264" s="35" t="s">
        <v>349</v>
      </c>
      <c r="V264" s="102" t="s">
        <v>293</v>
      </c>
      <c r="W264" s="478">
        <f>IFERROR(Table6[[#This Row],[Breakdown Time]]*Table6[[#This Row],[Plant Equivalent Weightage]],"")</f>
        <v>1.0897435897435958E-2</v>
      </c>
      <c r="X264" s="473" t="s">
        <v>294</v>
      </c>
      <c r="Y264" s="474" t="s">
        <v>315</v>
      </c>
      <c r="Z264" s="102">
        <v>39687</v>
      </c>
      <c r="AA264" s="468">
        <f>(Table6[[#This Row],[Paired WTG Generation for loss calculation]]/24)*Table6[[#This Row],[Breakdown Time]]</f>
        <v>468.52708333333607</v>
      </c>
      <c r="AB264" s="102"/>
      <c r="AC264" s="35"/>
      <c r="AD264" s="35"/>
    </row>
    <row r="265" spans="1:30">
      <c r="A265" s="102">
        <f t="shared" si="4"/>
        <v>264</v>
      </c>
      <c r="B265" s="468">
        <f>YEAR(Table6[[#This Row],[Date]])+IF(MONTH(Table6[[#This Row],[Date]])&gt;=4,1,0)</f>
        <v>2026</v>
      </c>
      <c r="C265" s="102">
        <f>YEAR(Table6[[#This Row],[Date]])</f>
        <v>2025</v>
      </c>
      <c r="D265" s="102" t="s">
        <v>1992</v>
      </c>
      <c r="E265" s="469">
        <f>Table6[[#This Row],[Date]]-DAY(Table6[[#This Row],[Date]])+1</f>
        <v>45748</v>
      </c>
      <c r="F265" s="470">
        <v>45763</v>
      </c>
      <c r="G265" s="35" t="s">
        <v>98</v>
      </c>
      <c r="H265" s="35" t="str">
        <f>IFERROR(_xlfn.XLOOKUP(Table6[[#This Row],[Affected WTG]],'Basic Data'!$A:$A,'Basic Data'!$B:$B),"")</f>
        <v>TQGXIIPL</v>
      </c>
      <c r="I265" s="35" t="str">
        <f>IFERROR(_xlfn.XLOOKUP(Table6[[#This Row],[Affected WTG]],'Basic Data'!$A:$A,'Basic Data'!$C:$C),"")</f>
        <v>GEDA</v>
      </c>
      <c r="J265" s="471">
        <f>IFERROR(_xlfn.XLOOKUP(Table6[[#This Row],[Affected WTG]],'Basic Data'!$A:$A,'Basic Data'!$E:$E),"")</f>
        <v>3.846153846153845E-2</v>
      </c>
      <c r="K265" s="102">
        <v>3110</v>
      </c>
      <c r="L265" s="35" t="str">
        <f>IFERROR(_xlfn.XLOOKUP(Table6[[#This Row],[Error Code]],'Basic Data'!$AA:$AA,'Basic Data'!$AB:$AB),"Incorrect Error Code")</f>
        <v>Frequency converter error</v>
      </c>
      <c r="M265" s="35" t="s">
        <v>291</v>
      </c>
      <c r="N265" s="475"/>
      <c r="O265" s="476">
        <v>0.87152777777777779</v>
      </c>
      <c r="P265" s="476">
        <v>0.87152777777777779</v>
      </c>
      <c r="Q265" s="477">
        <v>0.87986111111111109</v>
      </c>
      <c r="R265" s="472">
        <f>IF(Table6[[#This Row],[Work Start TimeStamp]]="","",(Table6[[#This Row],[Work Start TimeStamp]]-Table6[[#This Row],[Fault Start TimeStamp]])*24)</f>
        <v>0</v>
      </c>
      <c r="S265" s="472">
        <f>(Table6[[#This Row],[Fault Clearance time]]-Table6[[#This Row],[Work Start TimeStamp]])*24</f>
        <v>0.19999999999999929</v>
      </c>
      <c r="T265" s="472">
        <f>(Table6[[#This Row],[Fault Clearance time]]-Table6[[#This Row],[Fault Start TimeStamp]])*24</f>
        <v>0.19999999999999929</v>
      </c>
      <c r="U265" s="35" t="s">
        <v>349</v>
      </c>
      <c r="V265" s="102" t="s">
        <v>293</v>
      </c>
      <c r="W265" s="478">
        <f>IFERROR(Table6[[#This Row],[Breakdown Time]]*Table6[[#This Row],[Plant Equivalent Weightage]],"")</f>
        <v>7.6923076923076624E-3</v>
      </c>
      <c r="X265" s="473" t="s">
        <v>294</v>
      </c>
      <c r="Y265" s="474" t="s">
        <v>315</v>
      </c>
      <c r="Z265" s="102">
        <v>39687</v>
      </c>
      <c r="AA265" s="468">
        <f>(Table6[[#This Row],[Paired WTG Generation for loss calculation]]/24)*Table6[[#This Row],[Breakdown Time]]</f>
        <v>330.72499999999883</v>
      </c>
      <c r="AB265" s="102"/>
      <c r="AC265" s="35"/>
      <c r="AD265" s="35"/>
    </row>
    <row r="266" spans="1:30">
      <c r="A266" s="102">
        <f t="shared" si="4"/>
        <v>265</v>
      </c>
      <c r="B266" s="468">
        <f>YEAR(Table6[[#This Row],[Date]])+IF(MONTH(Table6[[#This Row],[Date]])&gt;=4,1,0)</f>
        <v>2026</v>
      </c>
      <c r="C266" s="102">
        <f>YEAR(Table6[[#This Row],[Date]])</f>
        <v>2025</v>
      </c>
      <c r="D266" s="102" t="s">
        <v>1992</v>
      </c>
      <c r="E266" s="469">
        <f>Table6[[#This Row],[Date]]-DAY(Table6[[#This Row],[Date]])+1</f>
        <v>45748</v>
      </c>
      <c r="F266" s="470">
        <v>45763</v>
      </c>
      <c r="G266" s="35" t="s">
        <v>98</v>
      </c>
      <c r="H266" s="35" t="str">
        <f>IFERROR(_xlfn.XLOOKUP(Table6[[#This Row],[Affected WTG]],'Basic Data'!$A:$A,'Basic Data'!$B:$B),"")</f>
        <v>TQGXIIPL</v>
      </c>
      <c r="I266" s="35" t="str">
        <f>IFERROR(_xlfn.XLOOKUP(Table6[[#This Row],[Affected WTG]],'Basic Data'!$A:$A,'Basic Data'!$C:$C),"")</f>
        <v>GEDA</v>
      </c>
      <c r="J266" s="471">
        <f>IFERROR(_xlfn.XLOOKUP(Table6[[#This Row],[Affected WTG]],'Basic Data'!$A:$A,'Basic Data'!$E:$E),"")</f>
        <v>3.846153846153845E-2</v>
      </c>
      <c r="K266" s="102">
        <v>55</v>
      </c>
      <c r="L266" s="35" t="str">
        <f>IFERROR(_xlfn.XLOOKUP(Table6[[#This Row],[Error Code]],'Basic Data'!$AA:$AA,'Basic Data'!$AB:$AB),"Incorrect Error Code")</f>
        <v>WTG shut down</v>
      </c>
      <c r="M266" s="35" t="s">
        <v>330</v>
      </c>
      <c r="N266" s="475"/>
      <c r="O266" s="476">
        <v>0.88611111111111107</v>
      </c>
      <c r="P266" s="476">
        <v>0.88611111111111107</v>
      </c>
      <c r="Q266" s="477">
        <v>0.96805555555555556</v>
      </c>
      <c r="R266" s="472">
        <f>IF(Table6[[#This Row],[Work Start TimeStamp]]="","",(Table6[[#This Row],[Work Start TimeStamp]]-Table6[[#This Row],[Fault Start TimeStamp]])*24)</f>
        <v>0</v>
      </c>
      <c r="S266" s="472">
        <f>(Table6[[#This Row],[Fault Clearance time]]-Table6[[#This Row],[Work Start TimeStamp]])*24</f>
        <v>1.9666666666666677</v>
      </c>
      <c r="T266" s="472">
        <f>(Table6[[#This Row],[Fault Clearance time]]-Table6[[#This Row],[Fault Start TimeStamp]])*24</f>
        <v>1.9666666666666677</v>
      </c>
      <c r="U266" s="35" t="s">
        <v>337</v>
      </c>
      <c r="V266" s="102" t="s">
        <v>293</v>
      </c>
      <c r="W266" s="478">
        <f>IFERROR(Table6[[#This Row],[Breakdown Time]]*Table6[[#This Row],[Plant Equivalent Weightage]],"")</f>
        <v>7.564102564102565E-2</v>
      </c>
      <c r="X266" s="473" t="s">
        <v>290</v>
      </c>
      <c r="Y266" s="474" t="s">
        <v>315</v>
      </c>
      <c r="Z266" s="102">
        <v>39687</v>
      </c>
      <c r="AA266" s="468">
        <f>(Table6[[#This Row],[Paired WTG Generation for loss calculation]]/24)*Table6[[#This Row],[Breakdown Time]]</f>
        <v>3252.1291666666684</v>
      </c>
      <c r="AB266" s="102"/>
      <c r="AC266" s="35"/>
      <c r="AD266" s="35"/>
    </row>
    <row r="267" spans="1:30">
      <c r="A267" s="102">
        <f t="shared" si="4"/>
        <v>266</v>
      </c>
      <c r="B267" s="468">
        <f>YEAR(Table6[[#This Row],[Date]])+IF(MONTH(Table6[[#This Row],[Date]])&gt;=4,1,0)</f>
        <v>2026</v>
      </c>
      <c r="C267" s="102">
        <f>YEAR(Table6[[#This Row],[Date]])</f>
        <v>2025</v>
      </c>
      <c r="D267" s="102" t="s">
        <v>1992</v>
      </c>
      <c r="E267" s="469">
        <f>Table6[[#This Row],[Date]]-DAY(Table6[[#This Row],[Date]])+1</f>
        <v>45748</v>
      </c>
      <c r="F267" s="470">
        <v>45764</v>
      </c>
      <c r="G267" s="35" t="s">
        <v>74</v>
      </c>
      <c r="H267" s="35" t="str">
        <f>IFERROR(_xlfn.XLOOKUP(Table6[[#This Row],[Affected WTG]],'Basic Data'!$A:$A,'Basic Data'!$B:$B),"")</f>
        <v>TQGXIIPL</v>
      </c>
      <c r="I267" s="35" t="str">
        <f>IFERROR(_xlfn.XLOOKUP(Table6[[#This Row],[Affected WTG]],'Basic Data'!$A:$A,'Basic Data'!$C:$C),"")</f>
        <v>GEDA</v>
      </c>
      <c r="J267" s="471">
        <f>IFERROR(_xlfn.XLOOKUP(Table6[[#This Row],[Affected WTG]],'Basic Data'!$A:$A,'Basic Data'!$E:$E),"")</f>
        <v>3.846153846153845E-2</v>
      </c>
      <c r="K267" s="102">
        <v>55</v>
      </c>
      <c r="L267" s="35" t="str">
        <f>IFERROR(_xlfn.XLOOKUP(Table6[[#This Row],[Error Code]],'Basic Data'!$AA:$AA,'Basic Data'!$AB:$AB),"Incorrect Error Code")</f>
        <v>WTG shut down</v>
      </c>
      <c r="M267" s="35" t="s">
        <v>291</v>
      </c>
      <c r="N267" s="475"/>
      <c r="O267" s="476">
        <v>0.61805555555555558</v>
      </c>
      <c r="P267" s="476">
        <v>0.61805555555555558</v>
      </c>
      <c r="Q267" s="477">
        <v>0.62430555555555556</v>
      </c>
      <c r="R267" s="472">
        <f>IF(Table6[[#This Row],[Work Start TimeStamp]]="","",(Table6[[#This Row],[Work Start TimeStamp]]-Table6[[#This Row],[Fault Start TimeStamp]])*24)</f>
        <v>0</v>
      </c>
      <c r="S267" s="472">
        <f>(Table6[[#This Row],[Fault Clearance time]]-Table6[[#This Row],[Work Start TimeStamp]])*24</f>
        <v>0.14999999999999947</v>
      </c>
      <c r="T267" s="472">
        <f>(Table6[[#This Row],[Fault Clearance time]]-Table6[[#This Row],[Fault Start TimeStamp]])*24</f>
        <v>0.14999999999999947</v>
      </c>
      <c r="U267" s="35" t="s">
        <v>389</v>
      </c>
      <c r="V267" s="102" t="s">
        <v>293</v>
      </c>
      <c r="W267" s="478">
        <f>IFERROR(Table6[[#This Row],[Breakdown Time]]*Table6[[#This Row],[Plant Equivalent Weightage]],"")</f>
        <v>5.769230769230747E-3</v>
      </c>
      <c r="X267" s="473" t="s">
        <v>290</v>
      </c>
      <c r="Y267" s="474" t="s">
        <v>321</v>
      </c>
      <c r="Z267" s="102">
        <v>36110</v>
      </c>
      <c r="AA267" s="468">
        <f>(Table6[[#This Row],[Paired WTG Generation for loss calculation]]/24)*Table6[[#This Row],[Breakdown Time]]</f>
        <v>225.68749999999918</v>
      </c>
      <c r="AB267" s="102"/>
      <c r="AC267" s="35"/>
      <c r="AD267" s="35"/>
    </row>
    <row r="268" spans="1:30">
      <c r="A268" s="102">
        <f t="shared" si="4"/>
        <v>267</v>
      </c>
      <c r="B268" s="468">
        <f>YEAR(Table6[[#This Row],[Date]])+IF(MONTH(Table6[[#This Row],[Date]])&gt;=4,1,0)</f>
        <v>2026</v>
      </c>
      <c r="C268" s="102">
        <f>YEAR(Table6[[#This Row],[Date]])</f>
        <v>2025</v>
      </c>
      <c r="D268" s="102" t="s">
        <v>1992</v>
      </c>
      <c r="E268" s="469">
        <f>Table6[[#This Row],[Date]]-DAY(Table6[[#This Row],[Date]])+1</f>
        <v>45748</v>
      </c>
      <c r="F268" s="470">
        <v>45764</v>
      </c>
      <c r="G268" s="35" t="s">
        <v>75</v>
      </c>
      <c r="H268" s="35" t="str">
        <f>IFERROR(_xlfn.XLOOKUP(Table6[[#This Row],[Affected WTG]],'Basic Data'!$A:$A,'Basic Data'!$B:$B),"")</f>
        <v>TQGXIIPL</v>
      </c>
      <c r="I268" s="35" t="str">
        <f>IFERROR(_xlfn.XLOOKUP(Table6[[#This Row],[Affected WTG]],'Basic Data'!$A:$A,'Basic Data'!$C:$C),"")</f>
        <v>GEDA</v>
      </c>
      <c r="J268" s="471">
        <f>IFERROR(_xlfn.XLOOKUP(Table6[[#This Row],[Affected WTG]],'Basic Data'!$A:$A,'Basic Data'!$E:$E),"")</f>
        <v>3.846153846153845E-2</v>
      </c>
      <c r="K268" s="102">
        <v>1070</v>
      </c>
      <c r="L268" s="35" t="str">
        <f>IFERROR(_xlfn.XLOOKUP(Table6[[#This Row],[Error Code]],'Basic Data'!$AA:$AA,'Basic Data'!$AB:$AB),"Incorrect Error Code")</f>
        <v>Drive train monitor level 2</v>
      </c>
      <c r="M268" s="35" t="s">
        <v>291</v>
      </c>
      <c r="N268" s="475"/>
      <c r="O268" s="476">
        <v>0.19027777777777777</v>
      </c>
      <c r="P268" s="476">
        <v>0.19027777777777777</v>
      </c>
      <c r="Q268" s="477">
        <v>0.19166666666666668</v>
      </c>
      <c r="R268" s="472">
        <f>IF(Table6[[#This Row],[Work Start TimeStamp]]="","",(Table6[[#This Row],[Work Start TimeStamp]]-Table6[[#This Row],[Fault Start TimeStamp]])*24)</f>
        <v>0</v>
      </c>
      <c r="S268" s="472">
        <f>(Table6[[#This Row],[Fault Clearance time]]-Table6[[#This Row],[Work Start TimeStamp]])*24</f>
        <v>3.3333333333333881E-2</v>
      </c>
      <c r="T268" s="472">
        <f>(Table6[[#This Row],[Fault Clearance time]]-Table6[[#This Row],[Fault Start TimeStamp]])*24</f>
        <v>3.3333333333333881E-2</v>
      </c>
      <c r="U268" s="35" t="s">
        <v>349</v>
      </c>
      <c r="V268" s="102" t="s">
        <v>293</v>
      </c>
      <c r="W268" s="478">
        <f>IFERROR(Table6[[#This Row],[Breakdown Time]]*Table6[[#This Row],[Plant Equivalent Weightage]],"")</f>
        <v>1.2820512820513027E-3</v>
      </c>
      <c r="X268" s="473" t="s">
        <v>294</v>
      </c>
      <c r="Y268" s="474" t="s">
        <v>318</v>
      </c>
      <c r="Z268" s="102">
        <v>38564</v>
      </c>
      <c r="AA268" s="468">
        <f>(Table6[[#This Row],[Paired WTG Generation for loss calculation]]/24)*Table6[[#This Row],[Breakdown Time]]</f>
        <v>53.561111111111991</v>
      </c>
      <c r="AB268" s="102"/>
      <c r="AC268" s="35"/>
      <c r="AD268" s="35"/>
    </row>
    <row r="269" spans="1:30">
      <c r="A269" s="102">
        <f t="shared" si="4"/>
        <v>268</v>
      </c>
      <c r="B269" s="468">
        <f>YEAR(Table6[[#This Row],[Date]])+IF(MONTH(Table6[[#This Row],[Date]])&gt;=4,1,0)</f>
        <v>2026</v>
      </c>
      <c r="C269" s="102">
        <f>YEAR(Table6[[#This Row],[Date]])</f>
        <v>2025</v>
      </c>
      <c r="D269" s="102" t="s">
        <v>1992</v>
      </c>
      <c r="E269" s="469">
        <f>Table6[[#This Row],[Date]]-DAY(Table6[[#This Row],[Date]])+1</f>
        <v>45748</v>
      </c>
      <c r="F269" s="470">
        <v>45764</v>
      </c>
      <c r="G269" s="35" t="s">
        <v>75</v>
      </c>
      <c r="H269" s="35" t="str">
        <f>IFERROR(_xlfn.XLOOKUP(Table6[[#This Row],[Affected WTG]],'Basic Data'!$A:$A,'Basic Data'!$B:$B),"")</f>
        <v>TQGXIIPL</v>
      </c>
      <c r="I269" s="35" t="str">
        <f>IFERROR(_xlfn.XLOOKUP(Table6[[#This Row],[Affected WTG]],'Basic Data'!$A:$A,'Basic Data'!$C:$C),"")</f>
        <v>GEDA</v>
      </c>
      <c r="J269" s="471">
        <f>IFERROR(_xlfn.XLOOKUP(Table6[[#This Row],[Affected WTG]],'Basic Data'!$A:$A,'Basic Data'!$E:$E),"")</f>
        <v>3.846153846153845E-2</v>
      </c>
      <c r="K269" s="102">
        <v>55</v>
      </c>
      <c r="L269" s="35" t="str">
        <f>IFERROR(_xlfn.XLOOKUP(Table6[[#This Row],[Error Code]],'Basic Data'!$AA:$AA,'Basic Data'!$AB:$AB),"Incorrect Error Code")</f>
        <v>WTG shut down</v>
      </c>
      <c r="M269" s="35" t="s">
        <v>304</v>
      </c>
      <c r="N269" s="475"/>
      <c r="O269" s="476">
        <v>0.28749999999999998</v>
      </c>
      <c r="P269" s="476">
        <v>0.2902777777777778</v>
      </c>
      <c r="Q269" s="477">
        <v>0.57916666666666672</v>
      </c>
      <c r="R269" s="472">
        <f>IF(Table6[[#This Row],[Work Start TimeStamp]]="","",(Table6[[#This Row],[Work Start TimeStamp]]-Table6[[#This Row],[Fault Start TimeStamp]])*24)</f>
        <v>6.6666666666667762E-2</v>
      </c>
      <c r="S269" s="472">
        <f>(Table6[[#This Row],[Fault Clearance time]]-Table6[[#This Row],[Work Start TimeStamp]])*24</f>
        <v>6.9333333333333336</v>
      </c>
      <c r="T269" s="472">
        <f>(Table6[[#This Row],[Fault Clearance time]]-Table6[[#This Row],[Fault Start TimeStamp]])*24</f>
        <v>7.0000000000000018</v>
      </c>
      <c r="U269" s="35" t="s">
        <v>351</v>
      </c>
      <c r="V269" s="102" t="s">
        <v>293</v>
      </c>
      <c r="W269" s="478">
        <f>IFERROR(Table6[[#This Row],[Breakdown Time]]*Table6[[#This Row],[Plant Equivalent Weightage]],"")</f>
        <v>0.26923076923076922</v>
      </c>
      <c r="X269" s="473" t="s">
        <v>305</v>
      </c>
      <c r="Y269" s="474" t="s">
        <v>318</v>
      </c>
      <c r="Z269" s="102">
        <v>38564</v>
      </c>
      <c r="AA269" s="468">
        <f>(Table6[[#This Row],[Paired WTG Generation for loss calculation]]/24)*Table6[[#This Row],[Breakdown Time]]</f>
        <v>11247.833333333336</v>
      </c>
      <c r="AB269" s="102"/>
      <c r="AC269" s="35"/>
      <c r="AD269" s="35"/>
    </row>
    <row r="270" spans="1:30">
      <c r="A270" s="102">
        <f t="shared" ref="A270:A333" si="5">A269+1</f>
        <v>269</v>
      </c>
      <c r="B270" s="468">
        <f>YEAR(Table6[[#This Row],[Date]])+IF(MONTH(Table6[[#This Row],[Date]])&gt;=4,1,0)</f>
        <v>2026</v>
      </c>
      <c r="C270" s="102">
        <f>YEAR(Table6[[#This Row],[Date]])</f>
        <v>2025</v>
      </c>
      <c r="D270" s="102" t="s">
        <v>1992</v>
      </c>
      <c r="E270" s="469">
        <f>Table6[[#This Row],[Date]]-DAY(Table6[[#This Row],[Date]])+1</f>
        <v>45748</v>
      </c>
      <c r="F270" s="470">
        <v>45764</v>
      </c>
      <c r="G270" s="35" t="s">
        <v>75</v>
      </c>
      <c r="H270" s="35" t="str">
        <f>IFERROR(_xlfn.XLOOKUP(Table6[[#This Row],[Affected WTG]],'Basic Data'!$A:$A,'Basic Data'!$B:$B),"")</f>
        <v>TQGXIIPL</v>
      </c>
      <c r="I270" s="35" t="str">
        <f>IFERROR(_xlfn.XLOOKUP(Table6[[#This Row],[Affected WTG]],'Basic Data'!$A:$A,'Basic Data'!$C:$C),"")</f>
        <v>GEDA</v>
      </c>
      <c r="J270" s="471">
        <f>IFERROR(_xlfn.XLOOKUP(Table6[[#This Row],[Affected WTG]],'Basic Data'!$A:$A,'Basic Data'!$E:$E),"")</f>
        <v>3.846153846153845E-2</v>
      </c>
      <c r="K270" s="102">
        <v>55</v>
      </c>
      <c r="L270" s="35" t="str">
        <f>IFERROR(_xlfn.XLOOKUP(Table6[[#This Row],[Error Code]],'Basic Data'!$AA:$AA,'Basic Data'!$AB:$AB),"Incorrect Error Code")</f>
        <v>WTG shut down</v>
      </c>
      <c r="M270" s="35" t="s">
        <v>291</v>
      </c>
      <c r="N270" s="475"/>
      <c r="O270" s="476">
        <v>0.81597222222222221</v>
      </c>
      <c r="P270" s="476">
        <v>0.81597222222222221</v>
      </c>
      <c r="Q270" s="477">
        <v>0.82222222222222219</v>
      </c>
      <c r="R270" s="472">
        <f>IF(Table6[[#This Row],[Work Start TimeStamp]]="","",(Table6[[#This Row],[Work Start TimeStamp]]-Table6[[#This Row],[Fault Start TimeStamp]])*24)</f>
        <v>0</v>
      </c>
      <c r="S270" s="472">
        <f>(Table6[[#This Row],[Fault Clearance time]]-Table6[[#This Row],[Work Start TimeStamp]])*24</f>
        <v>0.14999999999999947</v>
      </c>
      <c r="T270" s="472">
        <f>(Table6[[#This Row],[Fault Clearance time]]-Table6[[#This Row],[Fault Start TimeStamp]])*24</f>
        <v>0.14999999999999947</v>
      </c>
      <c r="U270" s="35" t="s">
        <v>389</v>
      </c>
      <c r="V270" s="102" t="s">
        <v>293</v>
      </c>
      <c r="W270" s="478">
        <f>IFERROR(Table6[[#This Row],[Breakdown Time]]*Table6[[#This Row],[Plant Equivalent Weightage]],"")</f>
        <v>5.769230769230747E-3</v>
      </c>
      <c r="X270" s="473" t="s">
        <v>290</v>
      </c>
      <c r="Y270" s="474" t="s">
        <v>318</v>
      </c>
      <c r="Z270" s="102">
        <v>38564</v>
      </c>
      <c r="AA270" s="468">
        <f>(Table6[[#This Row],[Paired WTG Generation for loss calculation]]/24)*Table6[[#This Row],[Breakdown Time]]</f>
        <v>241.02499999999912</v>
      </c>
      <c r="AB270" s="102"/>
      <c r="AC270" s="35"/>
      <c r="AD270" s="35"/>
    </row>
    <row r="271" spans="1:30">
      <c r="A271" s="102">
        <f t="shared" si="5"/>
        <v>270</v>
      </c>
      <c r="B271" s="468">
        <f>YEAR(Table6[[#This Row],[Date]])+IF(MONTH(Table6[[#This Row],[Date]])&gt;=4,1,0)</f>
        <v>2026</v>
      </c>
      <c r="C271" s="102">
        <f>YEAR(Table6[[#This Row],[Date]])</f>
        <v>2025</v>
      </c>
      <c r="D271" s="102" t="s">
        <v>1992</v>
      </c>
      <c r="E271" s="469">
        <f>Table6[[#This Row],[Date]]-DAY(Table6[[#This Row],[Date]])+1</f>
        <v>45748</v>
      </c>
      <c r="F271" s="470">
        <v>45764</v>
      </c>
      <c r="G271" s="35" t="s">
        <v>77</v>
      </c>
      <c r="H271" s="35" t="str">
        <f>IFERROR(_xlfn.XLOOKUP(Table6[[#This Row],[Affected WTG]],'Basic Data'!$A:$A,'Basic Data'!$B:$B),"")</f>
        <v>TQGXIIPL</v>
      </c>
      <c r="I271" s="35" t="str">
        <f>IFERROR(_xlfn.XLOOKUP(Table6[[#This Row],[Affected WTG]],'Basic Data'!$A:$A,'Basic Data'!$C:$C),"")</f>
        <v>GEDA</v>
      </c>
      <c r="J271" s="471">
        <f>IFERROR(_xlfn.XLOOKUP(Table6[[#This Row],[Affected WTG]],'Basic Data'!$A:$A,'Basic Data'!$E:$E),"")</f>
        <v>3.846153846153845E-2</v>
      </c>
      <c r="K271" s="102">
        <v>55</v>
      </c>
      <c r="L271" s="35" t="str">
        <f>IFERROR(_xlfn.XLOOKUP(Table6[[#This Row],[Error Code]],'Basic Data'!$AA:$AA,'Basic Data'!$AB:$AB),"Incorrect Error Code")</f>
        <v>WTG shut down</v>
      </c>
      <c r="M271" s="35" t="s">
        <v>291</v>
      </c>
      <c r="N271" s="475"/>
      <c r="O271" s="476">
        <v>0.77847222222222223</v>
      </c>
      <c r="P271" s="476">
        <v>0.77847222222222223</v>
      </c>
      <c r="Q271" s="477">
        <v>0.78680555555555554</v>
      </c>
      <c r="R271" s="472">
        <f>IF(Table6[[#This Row],[Work Start TimeStamp]]="","",(Table6[[#This Row],[Work Start TimeStamp]]-Table6[[#This Row],[Fault Start TimeStamp]])*24)</f>
        <v>0</v>
      </c>
      <c r="S271" s="472">
        <f>(Table6[[#This Row],[Fault Clearance time]]-Table6[[#This Row],[Work Start TimeStamp]])*24</f>
        <v>0.19999999999999929</v>
      </c>
      <c r="T271" s="472">
        <f>(Table6[[#This Row],[Fault Clearance time]]-Table6[[#This Row],[Fault Start TimeStamp]])*24</f>
        <v>0.19999999999999929</v>
      </c>
      <c r="U271" s="35" t="s">
        <v>389</v>
      </c>
      <c r="V271" s="102" t="s">
        <v>293</v>
      </c>
      <c r="W271" s="478">
        <f>IFERROR(Table6[[#This Row],[Breakdown Time]]*Table6[[#This Row],[Plant Equivalent Weightage]],"")</f>
        <v>7.6923076923076624E-3</v>
      </c>
      <c r="X271" s="473" t="s">
        <v>290</v>
      </c>
      <c r="Y271" s="474" t="s">
        <v>310</v>
      </c>
      <c r="Z271" s="102">
        <v>36587</v>
      </c>
      <c r="AA271" s="468">
        <f>(Table6[[#This Row],[Paired WTG Generation for loss calculation]]/24)*Table6[[#This Row],[Breakdown Time]]</f>
        <v>304.89166666666557</v>
      </c>
      <c r="AB271" s="102"/>
      <c r="AC271" s="35"/>
      <c r="AD271" s="35"/>
    </row>
    <row r="272" spans="1:30">
      <c r="A272" s="102">
        <f t="shared" si="5"/>
        <v>271</v>
      </c>
      <c r="B272" s="468">
        <f>YEAR(Table6[[#This Row],[Date]])+IF(MONTH(Table6[[#This Row],[Date]])&gt;=4,1,0)</f>
        <v>2026</v>
      </c>
      <c r="C272" s="102">
        <f>YEAR(Table6[[#This Row],[Date]])</f>
        <v>2025</v>
      </c>
      <c r="D272" s="102" t="s">
        <v>1992</v>
      </c>
      <c r="E272" s="469">
        <f>Table6[[#This Row],[Date]]-DAY(Table6[[#This Row],[Date]])+1</f>
        <v>45748</v>
      </c>
      <c r="F272" s="470">
        <v>45764</v>
      </c>
      <c r="G272" s="35" t="s">
        <v>78</v>
      </c>
      <c r="H272" s="35" t="str">
        <f>IFERROR(_xlfn.XLOOKUP(Table6[[#This Row],[Affected WTG]],'Basic Data'!$A:$A,'Basic Data'!$B:$B),"")</f>
        <v>TQGXIIPL</v>
      </c>
      <c r="I272" s="35" t="str">
        <f>IFERROR(_xlfn.XLOOKUP(Table6[[#This Row],[Affected WTG]],'Basic Data'!$A:$A,'Basic Data'!$C:$C),"")</f>
        <v>GEDA</v>
      </c>
      <c r="J272" s="471">
        <f>IFERROR(_xlfn.XLOOKUP(Table6[[#This Row],[Affected WTG]],'Basic Data'!$A:$A,'Basic Data'!$E:$E),"")</f>
        <v>3.846153846153845E-2</v>
      </c>
      <c r="K272" s="102">
        <v>3110</v>
      </c>
      <c r="L272" s="35" t="str">
        <f>IFERROR(_xlfn.XLOOKUP(Table6[[#This Row],[Error Code]],'Basic Data'!$AA:$AA,'Basic Data'!$AB:$AB),"Incorrect Error Code")</f>
        <v>Frequency converter error</v>
      </c>
      <c r="M272" s="35" t="s">
        <v>291</v>
      </c>
      <c r="N272" s="475"/>
      <c r="O272" s="476">
        <v>0.15138888888888888</v>
      </c>
      <c r="P272" s="476">
        <v>0.15138888888888888</v>
      </c>
      <c r="Q272" s="477">
        <v>0.15833333333333333</v>
      </c>
      <c r="R272" s="472">
        <f>IF(Table6[[#This Row],[Work Start TimeStamp]]="","",(Table6[[#This Row],[Work Start TimeStamp]]-Table6[[#This Row],[Fault Start TimeStamp]])*24)</f>
        <v>0</v>
      </c>
      <c r="S272" s="472">
        <f>(Table6[[#This Row],[Fault Clearance time]]-Table6[[#This Row],[Work Start TimeStamp]])*24</f>
        <v>0.16666666666666674</v>
      </c>
      <c r="T272" s="472">
        <f>(Table6[[#This Row],[Fault Clearance time]]-Table6[[#This Row],[Fault Start TimeStamp]])*24</f>
        <v>0.16666666666666674</v>
      </c>
      <c r="U272" s="35" t="s">
        <v>349</v>
      </c>
      <c r="V272" s="102" t="s">
        <v>293</v>
      </c>
      <c r="W272" s="478">
        <f>IFERROR(Table6[[#This Row],[Breakdown Time]]*Table6[[#This Row],[Plant Equivalent Weightage]],"")</f>
        <v>6.4102564102564109E-3</v>
      </c>
      <c r="X272" s="473" t="s">
        <v>294</v>
      </c>
      <c r="Y272" s="474" t="s">
        <v>333</v>
      </c>
      <c r="Z272" s="102">
        <v>37275</v>
      </c>
      <c r="AA272" s="468">
        <f>(Table6[[#This Row],[Paired WTG Generation for loss calculation]]/24)*Table6[[#This Row],[Breakdown Time]]</f>
        <v>258.8541666666668</v>
      </c>
      <c r="AB272" s="102"/>
      <c r="AC272" s="35"/>
      <c r="AD272" s="35"/>
    </row>
    <row r="273" spans="1:30">
      <c r="A273" s="102">
        <f t="shared" si="5"/>
        <v>272</v>
      </c>
      <c r="B273" s="468">
        <f>YEAR(Table6[[#This Row],[Date]])+IF(MONTH(Table6[[#This Row],[Date]])&gt;=4,1,0)</f>
        <v>2026</v>
      </c>
      <c r="C273" s="102">
        <f>YEAR(Table6[[#This Row],[Date]])</f>
        <v>2025</v>
      </c>
      <c r="D273" s="102" t="s">
        <v>1992</v>
      </c>
      <c r="E273" s="469">
        <f>Table6[[#This Row],[Date]]-DAY(Table6[[#This Row],[Date]])+1</f>
        <v>45748</v>
      </c>
      <c r="F273" s="470">
        <v>45764</v>
      </c>
      <c r="G273" s="35" t="s">
        <v>78</v>
      </c>
      <c r="H273" s="35" t="str">
        <f>IFERROR(_xlfn.XLOOKUP(Table6[[#This Row],[Affected WTG]],'Basic Data'!$A:$A,'Basic Data'!$B:$B),"")</f>
        <v>TQGXIIPL</v>
      </c>
      <c r="I273" s="35" t="str">
        <f>IFERROR(_xlfn.XLOOKUP(Table6[[#This Row],[Affected WTG]],'Basic Data'!$A:$A,'Basic Data'!$C:$C),"")</f>
        <v>GEDA</v>
      </c>
      <c r="J273" s="471">
        <f>IFERROR(_xlfn.XLOOKUP(Table6[[#This Row],[Affected WTG]],'Basic Data'!$A:$A,'Basic Data'!$E:$E),"")</f>
        <v>3.846153846153845E-2</v>
      </c>
      <c r="K273" s="102">
        <v>3110</v>
      </c>
      <c r="L273" s="35" t="str">
        <f>IFERROR(_xlfn.XLOOKUP(Table6[[#This Row],[Error Code]],'Basic Data'!$AA:$AA,'Basic Data'!$AB:$AB),"Incorrect Error Code")</f>
        <v>Frequency converter error</v>
      </c>
      <c r="M273" s="35" t="s">
        <v>291</v>
      </c>
      <c r="N273" s="475"/>
      <c r="O273" s="476">
        <v>0.18333333333333332</v>
      </c>
      <c r="P273" s="476">
        <v>0.18333333333333332</v>
      </c>
      <c r="Q273" s="477">
        <v>0.19652777777777777</v>
      </c>
      <c r="R273" s="472">
        <f>IF(Table6[[#This Row],[Work Start TimeStamp]]="","",(Table6[[#This Row],[Work Start TimeStamp]]-Table6[[#This Row],[Fault Start TimeStamp]])*24)</f>
        <v>0</v>
      </c>
      <c r="S273" s="472">
        <f>(Table6[[#This Row],[Fault Clearance time]]-Table6[[#This Row],[Work Start TimeStamp]])*24</f>
        <v>0.31666666666666687</v>
      </c>
      <c r="T273" s="472">
        <f>(Table6[[#This Row],[Fault Clearance time]]-Table6[[#This Row],[Fault Start TimeStamp]])*24</f>
        <v>0.31666666666666687</v>
      </c>
      <c r="U273" s="35" t="s">
        <v>349</v>
      </c>
      <c r="V273" s="102" t="s">
        <v>293</v>
      </c>
      <c r="W273" s="478">
        <f>IFERROR(Table6[[#This Row],[Breakdown Time]]*Table6[[#This Row],[Plant Equivalent Weightage]],"")</f>
        <v>1.2179487179487183E-2</v>
      </c>
      <c r="X273" s="473" t="s">
        <v>294</v>
      </c>
      <c r="Y273" s="474" t="s">
        <v>333</v>
      </c>
      <c r="Z273" s="102">
        <v>37275</v>
      </c>
      <c r="AA273" s="468">
        <f>(Table6[[#This Row],[Paired WTG Generation for loss calculation]]/24)*Table6[[#This Row],[Breakdown Time]]</f>
        <v>491.82291666666697</v>
      </c>
      <c r="AB273" s="102"/>
      <c r="AC273" s="35"/>
      <c r="AD273" s="35"/>
    </row>
    <row r="274" spans="1:30">
      <c r="A274" s="102">
        <f t="shared" si="5"/>
        <v>273</v>
      </c>
      <c r="B274" s="468">
        <f>YEAR(Table6[[#This Row],[Date]])+IF(MONTH(Table6[[#This Row],[Date]])&gt;=4,1,0)</f>
        <v>2026</v>
      </c>
      <c r="C274" s="102">
        <f>YEAR(Table6[[#This Row],[Date]])</f>
        <v>2025</v>
      </c>
      <c r="D274" s="102" t="s">
        <v>1992</v>
      </c>
      <c r="E274" s="469">
        <f>Table6[[#This Row],[Date]]-DAY(Table6[[#This Row],[Date]])+1</f>
        <v>45748</v>
      </c>
      <c r="F274" s="470">
        <v>45764</v>
      </c>
      <c r="G274" s="35" t="s">
        <v>78</v>
      </c>
      <c r="H274" s="35" t="str">
        <f>IFERROR(_xlfn.XLOOKUP(Table6[[#This Row],[Affected WTG]],'Basic Data'!$A:$A,'Basic Data'!$B:$B),"")</f>
        <v>TQGXIIPL</v>
      </c>
      <c r="I274" s="35" t="str">
        <f>IFERROR(_xlfn.XLOOKUP(Table6[[#This Row],[Affected WTG]],'Basic Data'!$A:$A,'Basic Data'!$C:$C),"")</f>
        <v>GEDA</v>
      </c>
      <c r="J274" s="471">
        <f>IFERROR(_xlfn.XLOOKUP(Table6[[#This Row],[Affected WTG]],'Basic Data'!$A:$A,'Basic Data'!$E:$E),"")</f>
        <v>3.846153846153845E-2</v>
      </c>
      <c r="K274" s="102">
        <v>3110</v>
      </c>
      <c r="L274" s="35" t="str">
        <f>IFERROR(_xlfn.XLOOKUP(Table6[[#This Row],[Error Code]],'Basic Data'!$AA:$AA,'Basic Data'!$AB:$AB),"Incorrect Error Code")</f>
        <v>Frequency converter error</v>
      </c>
      <c r="M274" s="35" t="s">
        <v>291</v>
      </c>
      <c r="N274" s="475"/>
      <c r="O274" s="476">
        <v>0.46041666666666664</v>
      </c>
      <c r="P274" s="476">
        <v>0.46041666666666664</v>
      </c>
      <c r="Q274" s="477">
        <v>0.50972222222222219</v>
      </c>
      <c r="R274" s="472">
        <f>IF(Table6[[#This Row],[Work Start TimeStamp]]="","",(Table6[[#This Row],[Work Start TimeStamp]]-Table6[[#This Row],[Fault Start TimeStamp]])*24)</f>
        <v>0</v>
      </c>
      <c r="S274" s="472">
        <f>(Table6[[#This Row],[Fault Clearance time]]-Table6[[#This Row],[Work Start TimeStamp]])*24</f>
        <v>1.1833333333333331</v>
      </c>
      <c r="T274" s="472">
        <f>(Table6[[#This Row],[Fault Clearance time]]-Table6[[#This Row],[Fault Start TimeStamp]])*24</f>
        <v>1.1833333333333331</v>
      </c>
      <c r="U274" s="35" t="s">
        <v>410</v>
      </c>
      <c r="V274" s="102" t="s">
        <v>293</v>
      </c>
      <c r="W274" s="478">
        <f>IFERROR(Table6[[#This Row],[Breakdown Time]]*Table6[[#This Row],[Plant Equivalent Weightage]],"")</f>
        <v>4.551282051282049E-2</v>
      </c>
      <c r="X274" s="473" t="s">
        <v>294</v>
      </c>
      <c r="Y274" s="474" t="s">
        <v>333</v>
      </c>
      <c r="Z274" s="102">
        <v>37275</v>
      </c>
      <c r="AA274" s="468">
        <f>(Table6[[#This Row],[Paired WTG Generation for loss calculation]]/24)*Table6[[#This Row],[Breakdown Time]]</f>
        <v>1837.864583333333</v>
      </c>
      <c r="AB274" s="102"/>
      <c r="AC274" s="35"/>
      <c r="AD274" s="35"/>
    </row>
    <row r="275" spans="1:30">
      <c r="A275" s="102">
        <f t="shared" si="5"/>
        <v>274</v>
      </c>
      <c r="B275" s="468">
        <f>YEAR(Table6[[#This Row],[Date]])+IF(MONTH(Table6[[#This Row],[Date]])&gt;=4,1,0)</f>
        <v>2026</v>
      </c>
      <c r="C275" s="102">
        <f>YEAR(Table6[[#This Row],[Date]])</f>
        <v>2025</v>
      </c>
      <c r="D275" s="102" t="s">
        <v>1992</v>
      </c>
      <c r="E275" s="469">
        <f>Table6[[#This Row],[Date]]-DAY(Table6[[#This Row],[Date]])+1</f>
        <v>45748</v>
      </c>
      <c r="F275" s="470">
        <v>45764</v>
      </c>
      <c r="G275" s="35" t="s">
        <v>80</v>
      </c>
      <c r="H275" s="35" t="str">
        <f>IFERROR(_xlfn.XLOOKUP(Table6[[#This Row],[Affected WTG]],'Basic Data'!$A:$A,'Basic Data'!$B:$B),"")</f>
        <v>TQGXIIPL</v>
      </c>
      <c r="I275" s="35" t="str">
        <f>IFERROR(_xlfn.XLOOKUP(Table6[[#This Row],[Affected WTG]],'Basic Data'!$A:$A,'Basic Data'!$C:$C),"")</f>
        <v>GEDA</v>
      </c>
      <c r="J275" s="471">
        <f>IFERROR(_xlfn.XLOOKUP(Table6[[#This Row],[Affected WTG]],'Basic Data'!$A:$A,'Basic Data'!$E:$E),"")</f>
        <v>3.846153846153845E-2</v>
      </c>
      <c r="K275" s="102">
        <v>55</v>
      </c>
      <c r="L275" s="35" t="str">
        <f>IFERROR(_xlfn.XLOOKUP(Table6[[#This Row],[Error Code]],'Basic Data'!$AA:$AA,'Basic Data'!$AB:$AB),"Incorrect Error Code")</f>
        <v>WTG shut down</v>
      </c>
      <c r="M275" s="35" t="s">
        <v>291</v>
      </c>
      <c r="N275" s="475"/>
      <c r="O275" s="476">
        <v>0.78541666666666665</v>
      </c>
      <c r="P275" s="476">
        <v>0.78541666666666665</v>
      </c>
      <c r="Q275" s="477">
        <v>0.79305555555555551</v>
      </c>
      <c r="R275" s="472">
        <f>IF(Table6[[#This Row],[Work Start TimeStamp]]="","",(Table6[[#This Row],[Work Start TimeStamp]]-Table6[[#This Row],[Fault Start TimeStamp]])*24)</f>
        <v>0</v>
      </c>
      <c r="S275" s="472">
        <f>(Table6[[#This Row],[Fault Clearance time]]-Table6[[#This Row],[Work Start TimeStamp]])*24</f>
        <v>0.18333333333333268</v>
      </c>
      <c r="T275" s="472">
        <f>(Table6[[#This Row],[Fault Clearance time]]-Table6[[#This Row],[Fault Start TimeStamp]])*24</f>
        <v>0.18333333333333268</v>
      </c>
      <c r="U275" s="35" t="s">
        <v>389</v>
      </c>
      <c r="V275" s="102" t="s">
        <v>293</v>
      </c>
      <c r="W275" s="478">
        <f>IFERROR(Table6[[#This Row],[Breakdown Time]]*Table6[[#This Row],[Plant Equivalent Weightage]],"")</f>
        <v>7.0512820512820245E-3</v>
      </c>
      <c r="X275" s="473" t="s">
        <v>290</v>
      </c>
      <c r="Y275" s="474" t="s">
        <v>317</v>
      </c>
      <c r="Z275" s="102">
        <v>40506</v>
      </c>
      <c r="AA275" s="468">
        <f>(Table6[[#This Row],[Paired WTG Generation for loss calculation]]/24)*Table6[[#This Row],[Breakdown Time]]</f>
        <v>309.42083333333221</v>
      </c>
      <c r="AB275" s="102"/>
      <c r="AC275" s="35"/>
      <c r="AD275" s="35"/>
    </row>
    <row r="276" spans="1:30">
      <c r="A276" s="102">
        <f t="shared" si="5"/>
        <v>275</v>
      </c>
      <c r="B276" s="468">
        <f>YEAR(Table6[[#This Row],[Date]])+IF(MONTH(Table6[[#This Row],[Date]])&gt;=4,1,0)</f>
        <v>2026</v>
      </c>
      <c r="C276" s="102">
        <f>YEAR(Table6[[#This Row],[Date]])</f>
        <v>2025</v>
      </c>
      <c r="D276" s="102" t="s">
        <v>1992</v>
      </c>
      <c r="E276" s="469">
        <f>Table6[[#This Row],[Date]]-DAY(Table6[[#This Row],[Date]])+1</f>
        <v>45748</v>
      </c>
      <c r="F276" s="470">
        <v>45764</v>
      </c>
      <c r="G276" s="35" t="s">
        <v>81</v>
      </c>
      <c r="H276" s="35" t="str">
        <f>IFERROR(_xlfn.XLOOKUP(Table6[[#This Row],[Affected WTG]],'Basic Data'!$A:$A,'Basic Data'!$B:$B),"")</f>
        <v>TQGXIIPL</v>
      </c>
      <c r="I276" s="35" t="str">
        <f>IFERROR(_xlfn.XLOOKUP(Table6[[#This Row],[Affected WTG]],'Basic Data'!$A:$A,'Basic Data'!$C:$C),"")</f>
        <v>GEDA</v>
      </c>
      <c r="J276" s="471">
        <f>IFERROR(_xlfn.XLOOKUP(Table6[[#This Row],[Affected WTG]],'Basic Data'!$A:$A,'Basic Data'!$E:$E),"")</f>
        <v>3.846153846153845E-2</v>
      </c>
      <c r="K276" s="102">
        <v>6056</v>
      </c>
      <c r="L276" s="35" t="str">
        <f>IFERROR(_xlfn.XLOOKUP(Table6[[#This Row],[Error Code]],'Basic Data'!$AA:$AA,'Basic Data'!$AB:$AB),"Incorrect Error Code")</f>
        <v>High yaw load</v>
      </c>
      <c r="M276" s="35" t="s">
        <v>292</v>
      </c>
      <c r="N276" s="475"/>
      <c r="O276" s="476">
        <v>0.62708333333333333</v>
      </c>
      <c r="P276" s="476">
        <v>0.62708333333333333</v>
      </c>
      <c r="Q276" s="477">
        <v>0.62916666666666665</v>
      </c>
      <c r="R276" s="472">
        <f>IF(Table6[[#This Row],[Work Start TimeStamp]]="","",(Table6[[#This Row],[Work Start TimeStamp]]-Table6[[#This Row],[Fault Start TimeStamp]])*24)</f>
        <v>0</v>
      </c>
      <c r="S276" s="472">
        <f>(Table6[[#This Row],[Fault Clearance time]]-Table6[[#This Row],[Work Start TimeStamp]])*24</f>
        <v>4.9999999999999822E-2</v>
      </c>
      <c r="T276" s="472">
        <f>(Table6[[#This Row],[Fault Clearance time]]-Table6[[#This Row],[Fault Start TimeStamp]])*24</f>
        <v>4.9999999999999822E-2</v>
      </c>
      <c r="U276" s="35" t="s">
        <v>336</v>
      </c>
      <c r="V276" s="102" t="s">
        <v>293</v>
      </c>
      <c r="W276" s="478">
        <f>IFERROR(Table6[[#This Row],[Breakdown Time]]*Table6[[#This Row],[Plant Equivalent Weightage]],"")</f>
        <v>1.9230769230769156E-3</v>
      </c>
      <c r="X276" s="473" t="s">
        <v>294</v>
      </c>
      <c r="Y276" s="474" t="s">
        <v>321</v>
      </c>
      <c r="Z276" s="102">
        <v>36110</v>
      </c>
      <c r="AA276" s="468">
        <f>(Table6[[#This Row],[Paired WTG Generation for loss calculation]]/24)*Table6[[#This Row],[Breakdown Time]]</f>
        <v>75.229166666666401</v>
      </c>
      <c r="AB276" s="102"/>
      <c r="AC276" s="35"/>
      <c r="AD276" s="35"/>
    </row>
    <row r="277" spans="1:30">
      <c r="A277" s="102">
        <f t="shared" si="5"/>
        <v>276</v>
      </c>
      <c r="B277" s="468">
        <f>YEAR(Table6[[#This Row],[Date]])+IF(MONTH(Table6[[#This Row],[Date]])&gt;=4,1,0)</f>
        <v>2026</v>
      </c>
      <c r="C277" s="102">
        <f>YEAR(Table6[[#This Row],[Date]])</f>
        <v>2025</v>
      </c>
      <c r="D277" s="102" t="s">
        <v>1992</v>
      </c>
      <c r="E277" s="469">
        <f>Table6[[#This Row],[Date]]-DAY(Table6[[#This Row],[Date]])+1</f>
        <v>45748</v>
      </c>
      <c r="F277" s="470">
        <v>45764</v>
      </c>
      <c r="G277" s="35" t="s">
        <v>81</v>
      </c>
      <c r="H277" s="35" t="str">
        <f>IFERROR(_xlfn.XLOOKUP(Table6[[#This Row],[Affected WTG]],'Basic Data'!$A:$A,'Basic Data'!$B:$B),"")</f>
        <v>TQGXIIPL</v>
      </c>
      <c r="I277" s="35" t="str">
        <f>IFERROR(_xlfn.XLOOKUP(Table6[[#This Row],[Affected WTG]],'Basic Data'!$A:$A,'Basic Data'!$C:$C),"")</f>
        <v>GEDA</v>
      </c>
      <c r="J277" s="471">
        <f>IFERROR(_xlfn.XLOOKUP(Table6[[#This Row],[Affected WTG]],'Basic Data'!$A:$A,'Basic Data'!$E:$E),"")</f>
        <v>3.846153846153845E-2</v>
      </c>
      <c r="K277" s="102">
        <v>55</v>
      </c>
      <c r="L277" s="35" t="str">
        <f>IFERROR(_xlfn.XLOOKUP(Table6[[#This Row],[Error Code]],'Basic Data'!$AA:$AA,'Basic Data'!$AB:$AB),"Incorrect Error Code")</f>
        <v>WTG shut down</v>
      </c>
      <c r="M277" s="35" t="s">
        <v>291</v>
      </c>
      <c r="N277" s="475"/>
      <c r="O277" s="476">
        <v>0.75</v>
      </c>
      <c r="P277" s="476">
        <v>0.75</v>
      </c>
      <c r="Q277" s="477">
        <v>0.75694444444444442</v>
      </c>
      <c r="R277" s="472">
        <f>IF(Table6[[#This Row],[Work Start TimeStamp]]="","",(Table6[[#This Row],[Work Start TimeStamp]]-Table6[[#This Row],[Fault Start TimeStamp]])*24)</f>
        <v>0</v>
      </c>
      <c r="S277" s="472">
        <f>(Table6[[#This Row],[Fault Clearance time]]-Table6[[#This Row],[Work Start TimeStamp]])*24</f>
        <v>0.16666666666666607</v>
      </c>
      <c r="T277" s="472">
        <f>(Table6[[#This Row],[Fault Clearance time]]-Table6[[#This Row],[Fault Start TimeStamp]])*24</f>
        <v>0.16666666666666607</v>
      </c>
      <c r="U277" s="35" t="s">
        <v>389</v>
      </c>
      <c r="V277" s="102" t="s">
        <v>293</v>
      </c>
      <c r="W277" s="478">
        <f>IFERROR(Table6[[#This Row],[Breakdown Time]]*Table6[[#This Row],[Plant Equivalent Weightage]],"")</f>
        <v>6.4102564102563857E-3</v>
      </c>
      <c r="X277" s="473" t="s">
        <v>290</v>
      </c>
      <c r="Y277" s="474" t="s">
        <v>321</v>
      </c>
      <c r="Z277" s="102">
        <v>36110</v>
      </c>
      <c r="AA277" s="468">
        <f>(Table6[[#This Row],[Paired WTG Generation for loss calculation]]/24)*Table6[[#This Row],[Breakdown Time]]</f>
        <v>250.76388888888798</v>
      </c>
      <c r="AB277" s="102"/>
      <c r="AC277" s="35"/>
      <c r="AD277" s="35"/>
    </row>
    <row r="278" spans="1:30">
      <c r="A278" s="102">
        <f t="shared" si="5"/>
        <v>277</v>
      </c>
      <c r="B278" s="468">
        <f>YEAR(Table6[[#This Row],[Date]])+IF(MONTH(Table6[[#This Row],[Date]])&gt;=4,1,0)</f>
        <v>2026</v>
      </c>
      <c r="C278" s="102">
        <f>YEAR(Table6[[#This Row],[Date]])</f>
        <v>2025</v>
      </c>
      <c r="D278" s="102" t="s">
        <v>1992</v>
      </c>
      <c r="E278" s="469">
        <f>Table6[[#This Row],[Date]]-DAY(Table6[[#This Row],[Date]])+1</f>
        <v>45748</v>
      </c>
      <c r="F278" s="470">
        <v>45764</v>
      </c>
      <c r="G278" s="35" t="s">
        <v>83</v>
      </c>
      <c r="H278" s="35" t="str">
        <f>IFERROR(_xlfn.XLOOKUP(Table6[[#This Row],[Affected WTG]],'Basic Data'!$A:$A,'Basic Data'!$B:$B),"")</f>
        <v>TQGXIIPL</v>
      </c>
      <c r="I278" s="35" t="str">
        <f>IFERROR(_xlfn.XLOOKUP(Table6[[#This Row],[Affected WTG]],'Basic Data'!$A:$A,'Basic Data'!$C:$C),"")</f>
        <v>GEDA</v>
      </c>
      <c r="J278" s="471">
        <f>IFERROR(_xlfn.XLOOKUP(Table6[[#This Row],[Affected WTG]],'Basic Data'!$A:$A,'Basic Data'!$E:$E),"")</f>
        <v>3.846153846153845E-2</v>
      </c>
      <c r="K278" s="102">
        <v>6056</v>
      </c>
      <c r="L278" s="35" t="str">
        <f>IFERROR(_xlfn.XLOOKUP(Table6[[#This Row],[Error Code]],'Basic Data'!$AA:$AA,'Basic Data'!$AB:$AB),"Incorrect Error Code")</f>
        <v>High yaw load</v>
      </c>
      <c r="M278" s="35" t="s">
        <v>292</v>
      </c>
      <c r="N278" s="475"/>
      <c r="O278" s="476">
        <v>0.57708333333333328</v>
      </c>
      <c r="P278" s="476">
        <v>0.57708333333333328</v>
      </c>
      <c r="Q278" s="477">
        <v>0.57847222222222228</v>
      </c>
      <c r="R278" s="472">
        <f>IF(Table6[[#This Row],[Work Start TimeStamp]]="","",(Table6[[#This Row],[Work Start TimeStamp]]-Table6[[#This Row],[Fault Start TimeStamp]])*24)</f>
        <v>0</v>
      </c>
      <c r="S278" s="472">
        <f>(Table6[[#This Row],[Fault Clearance time]]-Table6[[#This Row],[Work Start TimeStamp]])*24</f>
        <v>3.3333333333335879E-2</v>
      </c>
      <c r="T278" s="472">
        <f>(Table6[[#This Row],[Fault Clearance time]]-Table6[[#This Row],[Fault Start TimeStamp]])*24</f>
        <v>3.3333333333335879E-2</v>
      </c>
      <c r="U278" s="35" t="s">
        <v>336</v>
      </c>
      <c r="V278" s="102" t="s">
        <v>293</v>
      </c>
      <c r="W278" s="478">
        <f>IFERROR(Table6[[#This Row],[Breakdown Time]]*Table6[[#This Row],[Plant Equivalent Weightage]],"")</f>
        <v>1.2820512820513796E-3</v>
      </c>
      <c r="X278" s="473" t="s">
        <v>294</v>
      </c>
      <c r="Y278" s="474" t="s">
        <v>312</v>
      </c>
      <c r="Z278" s="102">
        <v>32423</v>
      </c>
      <c r="AA278" s="468">
        <f>(Table6[[#This Row],[Paired WTG Generation for loss calculation]]/24)*Table6[[#This Row],[Breakdown Time]]</f>
        <v>45.03194444444788</v>
      </c>
      <c r="AB278" s="102"/>
      <c r="AC278" s="35"/>
      <c r="AD278" s="35"/>
    </row>
    <row r="279" spans="1:30">
      <c r="A279" s="102">
        <f t="shared" si="5"/>
        <v>278</v>
      </c>
      <c r="B279" s="468">
        <f>YEAR(Table6[[#This Row],[Date]])+IF(MONTH(Table6[[#This Row],[Date]])&gt;=4,1,0)</f>
        <v>2026</v>
      </c>
      <c r="C279" s="102">
        <f>YEAR(Table6[[#This Row],[Date]])</f>
        <v>2025</v>
      </c>
      <c r="D279" s="102" t="s">
        <v>1992</v>
      </c>
      <c r="E279" s="469">
        <f>Table6[[#This Row],[Date]]-DAY(Table6[[#This Row],[Date]])+1</f>
        <v>45748</v>
      </c>
      <c r="F279" s="470">
        <v>45764</v>
      </c>
      <c r="G279" s="35" t="s">
        <v>83</v>
      </c>
      <c r="H279" s="35" t="str">
        <f>IFERROR(_xlfn.XLOOKUP(Table6[[#This Row],[Affected WTG]],'Basic Data'!$A:$A,'Basic Data'!$B:$B),"")</f>
        <v>TQGXIIPL</v>
      </c>
      <c r="I279" s="35" t="str">
        <f>IFERROR(_xlfn.XLOOKUP(Table6[[#This Row],[Affected WTG]],'Basic Data'!$A:$A,'Basic Data'!$C:$C),"")</f>
        <v>GEDA</v>
      </c>
      <c r="J279" s="471">
        <f>IFERROR(_xlfn.XLOOKUP(Table6[[#This Row],[Affected WTG]],'Basic Data'!$A:$A,'Basic Data'!$E:$E),"")</f>
        <v>3.846153846153845E-2</v>
      </c>
      <c r="K279" s="102">
        <v>55</v>
      </c>
      <c r="L279" s="35" t="str">
        <f>IFERROR(_xlfn.XLOOKUP(Table6[[#This Row],[Error Code]],'Basic Data'!$AA:$AA,'Basic Data'!$AB:$AB),"Incorrect Error Code")</f>
        <v>WTG shut down</v>
      </c>
      <c r="M279" s="35" t="s">
        <v>291</v>
      </c>
      <c r="N279" s="475"/>
      <c r="O279" s="476">
        <v>0.72361111111111109</v>
      </c>
      <c r="P279" s="476">
        <v>0.72361111111111109</v>
      </c>
      <c r="Q279" s="477">
        <v>0.72916666666666663</v>
      </c>
      <c r="R279" s="472">
        <f>IF(Table6[[#This Row],[Work Start TimeStamp]]="","",(Table6[[#This Row],[Work Start TimeStamp]]-Table6[[#This Row],[Fault Start TimeStamp]])*24)</f>
        <v>0</v>
      </c>
      <c r="S279" s="472">
        <f>(Table6[[#This Row],[Fault Clearance time]]-Table6[[#This Row],[Work Start TimeStamp]])*24</f>
        <v>0.13333333333333286</v>
      </c>
      <c r="T279" s="472">
        <f>(Table6[[#This Row],[Fault Clearance time]]-Table6[[#This Row],[Fault Start TimeStamp]])*24</f>
        <v>0.13333333333333286</v>
      </c>
      <c r="U279" s="35" t="s">
        <v>389</v>
      </c>
      <c r="V279" s="102" t="s">
        <v>293</v>
      </c>
      <c r="W279" s="478">
        <f>IFERROR(Table6[[#This Row],[Breakdown Time]]*Table6[[#This Row],[Plant Equivalent Weightage]],"")</f>
        <v>5.1282051282051083E-3</v>
      </c>
      <c r="X279" s="473" t="s">
        <v>290</v>
      </c>
      <c r="Y279" s="474" t="s">
        <v>312</v>
      </c>
      <c r="Z279" s="102">
        <v>32423</v>
      </c>
      <c r="AA279" s="468">
        <f>(Table6[[#This Row],[Paired WTG Generation for loss calculation]]/24)*Table6[[#This Row],[Breakdown Time]]</f>
        <v>180.12777777777714</v>
      </c>
      <c r="AB279" s="102"/>
      <c r="AC279" s="35"/>
      <c r="AD279" s="35"/>
    </row>
    <row r="280" spans="1:30">
      <c r="A280" s="102">
        <f t="shared" si="5"/>
        <v>279</v>
      </c>
      <c r="B280" s="468">
        <f>YEAR(Table6[[#This Row],[Date]])+IF(MONTH(Table6[[#This Row],[Date]])&gt;=4,1,0)</f>
        <v>2026</v>
      </c>
      <c r="C280" s="102">
        <f>YEAR(Table6[[#This Row],[Date]])</f>
        <v>2025</v>
      </c>
      <c r="D280" s="102" t="s">
        <v>1992</v>
      </c>
      <c r="E280" s="469">
        <f>Table6[[#This Row],[Date]]-DAY(Table6[[#This Row],[Date]])+1</f>
        <v>45748</v>
      </c>
      <c r="F280" s="470">
        <v>45764</v>
      </c>
      <c r="G280" s="35" t="s">
        <v>84</v>
      </c>
      <c r="H280" s="35" t="str">
        <f>IFERROR(_xlfn.XLOOKUP(Table6[[#This Row],[Affected WTG]],'Basic Data'!$A:$A,'Basic Data'!$B:$B),"")</f>
        <v>TQGXIIPL</v>
      </c>
      <c r="I280" s="35" t="str">
        <f>IFERROR(_xlfn.XLOOKUP(Table6[[#This Row],[Affected WTG]],'Basic Data'!$A:$A,'Basic Data'!$C:$C),"")</f>
        <v>GEDA</v>
      </c>
      <c r="J280" s="471">
        <f>IFERROR(_xlfn.XLOOKUP(Table6[[#This Row],[Affected WTG]],'Basic Data'!$A:$A,'Basic Data'!$E:$E),"")</f>
        <v>3.846153846153845E-2</v>
      </c>
      <c r="K280" s="102">
        <v>175</v>
      </c>
      <c r="L280" s="35" t="str">
        <f>IFERROR(_xlfn.XLOOKUP(Table6[[#This Row],[Error Code]],'Basic Data'!$AA:$AA,'Basic Data'!$AB:$AB),"Incorrect Error Code")</f>
        <v>SLC error</v>
      </c>
      <c r="M280" s="35" t="s">
        <v>291</v>
      </c>
      <c r="N280" s="475"/>
      <c r="O280" s="476">
        <v>0.30694444444444446</v>
      </c>
      <c r="P280" s="476">
        <v>0.30694444444444446</v>
      </c>
      <c r="Q280" s="477">
        <v>0.31527777777777777</v>
      </c>
      <c r="R280" s="472">
        <f>IF(Table6[[#This Row],[Work Start TimeStamp]]="","",(Table6[[#This Row],[Work Start TimeStamp]]-Table6[[#This Row],[Fault Start TimeStamp]])*24)</f>
        <v>0</v>
      </c>
      <c r="S280" s="472">
        <f>(Table6[[#This Row],[Fault Clearance time]]-Table6[[#This Row],[Work Start TimeStamp]])*24</f>
        <v>0.19999999999999929</v>
      </c>
      <c r="T280" s="472">
        <f>(Table6[[#This Row],[Fault Clearance time]]-Table6[[#This Row],[Fault Start TimeStamp]])*24</f>
        <v>0.19999999999999929</v>
      </c>
      <c r="U280" s="35" t="s">
        <v>349</v>
      </c>
      <c r="V280" s="102" t="s">
        <v>293</v>
      </c>
      <c r="W280" s="478">
        <f>IFERROR(Table6[[#This Row],[Breakdown Time]]*Table6[[#This Row],[Plant Equivalent Weightage]],"")</f>
        <v>7.6923076923076624E-3</v>
      </c>
      <c r="X280" s="473" t="s">
        <v>294</v>
      </c>
      <c r="Y280" s="474" t="s">
        <v>327</v>
      </c>
      <c r="Z280" s="102">
        <v>27764</v>
      </c>
      <c r="AA280" s="468">
        <f>(Table6[[#This Row],[Paired WTG Generation for loss calculation]]/24)*Table6[[#This Row],[Breakdown Time]]</f>
        <v>231.36666666666582</v>
      </c>
      <c r="AB280" s="102"/>
      <c r="AC280" s="35"/>
      <c r="AD280" s="35"/>
    </row>
    <row r="281" spans="1:30">
      <c r="A281" s="102">
        <f t="shared" si="5"/>
        <v>280</v>
      </c>
      <c r="B281" s="468">
        <f>YEAR(Table6[[#This Row],[Date]])+IF(MONTH(Table6[[#This Row],[Date]])&gt;=4,1,0)</f>
        <v>2026</v>
      </c>
      <c r="C281" s="102">
        <f>YEAR(Table6[[#This Row],[Date]])</f>
        <v>2025</v>
      </c>
      <c r="D281" s="102" t="s">
        <v>1992</v>
      </c>
      <c r="E281" s="469">
        <f>Table6[[#This Row],[Date]]-DAY(Table6[[#This Row],[Date]])+1</f>
        <v>45748</v>
      </c>
      <c r="F281" s="470">
        <v>45764</v>
      </c>
      <c r="G281" s="35" t="s">
        <v>84</v>
      </c>
      <c r="H281" s="35" t="str">
        <f>IFERROR(_xlfn.XLOOKUP(Table6[[#This Row],[Affected WTG]],'Basic Data'!$A:$A,'Basic Data'!$B:$B),"")</f>
        <v>TQGXIIPL</v>
      </c>
      <c r="I281" s="35" t="str">
        <f>IFERROR(_xlfn.XLOOKUP(Table6[[#This Row],[Affected WTG]],'Basic Data'!$A:$A,'Basic Data'!$C:$C),"")</f>
        <v>GEDA</v>
      </c>
      <c r="J281" s="471">
        <f>IFERROR(_xlfn.XLOOKUP(Table6[[#This Row],[Affected WTG]],'Basic Data'!$A:$A,'Basic Data'!$E:$E),"")</f>
        <v>3.846153846153845E-2</v>
      </c>
      <c r="K281" s="102">
        <v>175</v>
      </c>
      <c r="L281" s="35" t="str">
        <f>IFERROR(_xlfn.XLOOKUP(Table6[[#This Row],[Error Code]],'Basic Data'!$AA:$AA,'Basic Data'!$AB:$AB),"Incorrect Error Code")</f>
        <v>SLC error</v>
      </c>
      <c r="M281" s="35" t="s">
        <v>291</v>
      </c>
      <c r="N281" s="475"/>
      <c r="O281" s="476">
        <v>0.59861111111111109</v>
      </c>
      <c r="P281" s="476">
        <v>0.59861111111111109</v>
      </c>
      <c r="Q281" s="477">
        <v>0.61111111111111116</v>
      </c>
      <c r="R281" s="472">
        <f>IF(Table6[[#This Row],[Work Start TimeStamp]]="","",(Table6[[#This Row],[Work Start TimeStamp]]-Table6[[#This Row],[Fault Start TimeStamp]])*24)</f>
        <v>0</v>
      </c>
      <c r="S281" s="472">
        <f>(Table6[[#This Row],[Fault Clearance time]]-Table6[[#This Row],[Work Start TimeStamp]])*24</f>
        <v>0.3000000000000016</v>
      </c>
      <c r="T281" s="472">
        <f>(Table6[[#This Row],[Fault Clearance time]]-Table6[[#This Row],[Fault Start TimeStamp]])*24</f>
        <v>0.3000000000000016</v>
      </c>
      <c r="U281" s="35" t="s">
        <v>349</v>
      </c>
      <c r="V281" s="102" t="s">
        <v>293</v>
      </c>
      <c r="W281" s="478">
        <f>IFERROR(Table6[[#This Row],[Breakdown Time]]*Table6[[#This Row],[Plant Equivalent Weightage]],"")</f>
        <v>1.1538461538461596E-2</v>
      </c>
      <c r="X281" s="473" t="s">
        <v>294</v>
      </c>
      <c r="Y281" s="474" t="s">
        <v>327</v>
      </c>
      <c r="Z281" s="102">
        <v>27764</v>
      </c>
      <c r="AA281" s="468">
        <f>(Table6[[#This Row],[Paired WTG Generation for loss calculation]]/24)*Table6[[#This Row],[Breakdown Time]]</f>
        <v>347.05000000000183</v>
      </c>
      <c r="AB281" s="102"/>
      <c r="AC281" s="35"/>
      <c r="AD281" s="35"/>
    </row>
    <row r="282" spans="1:30">
      <c r="A282" s="102">
        <f t="shared" si="5"/>
        <v>281</v>
      </c>
      <c r="B282" s="468">
        <f>YEAR(Table6[[#This Row],[Date]])+IF(MONTH(Table6[[#This Row],[Date]])&gt;=4,1,0)</f>
        <v>2026</v>
      </c>
      <c r="C282" s="102">
        <f>YEAR(Table6[[#This Row],[Date]])</f>
        <v>2025</v>
      </c>
      <c r="D282" s="102" t="s">
        <v>1992</v>
      </c>
      <c r="E282" s="469">
        <f>Table6[[#This Row],[Date]]-DAY(Table6[[#This Row],[Date]])+1</f>
        <v>45748</v>
      </c>
      <c r="F282" s="470">
        <v>45764</v>
      </c>
      <c r="G282" s="35" t="s">
        <v>85</v>
      </c>
      <c r="H282" s="35" t="str">
        <f>IFERROR(_xlfn.XLOOKUP(Table6[[#This Row],[Affected WTG]],'Basic Data'!$A:$A,'Basic Data'!$B:$B),"")</f>
        <v>TQGXIIPL</v>
      </c>
      <c r="I282" s="35" t="str">
        <f>IFERROR(_xlfn.XLOOKUP(Table6[[#This Row],[Affected WTG]],'Basic Data'!$A:$A,'Basic Data'!$C:$C),"")</f>
        <v>GEDA</v>
      </c>
      <c r="J282" s="471">
        <f>IFERROR(_xlfn.XLOOKUP(Table6[[#This Row],[Affected WTG]],'Basic Data'!$A:$A,'Basic Data'!$E:$E),"")</f>
        <v>3.846153846153845E-2</v>
      </c>
      <c r="K282" s="102">
        <v>55</v>
      </c>
      <c r="L282" s="35" t="str">
        <f>IFERROR(_xlfn.XLOOKUP(Table6[[#This Row],[Error Code]],'Basic Data'!$AA:$AA,'Basic Data'!$AB:$AB),"Incorrect Error Code")</f>
        <v>WTG shut down</v>
      </c>
      <c r="M282" s="35" t="s">
        <v>330</v>
      </c>
      <c r="N282" s="475"/>
      <c r="O282" s="476">
        <v>0.82430555555555551</v>
      </c>
      <c r="P282" s="476">
        <v>0.82430555555555551</v>
      </c>
      <c r="Q282" s="477">
        <v>0.89097222222222228</v>
      </c>
      <c r="R282" s="472">
        <f>IF(Table6[[#This Row],[Work Start TimeStamp]]="","",(Table6[[#This Row],[Work Start TimeStamp]]-Table6[[#This Row],[Fault Start TimeStamp]])*24)</f>
        <v>0</v>
      </c>
      <c r="S282" s="472">
        <f>(Table6[[#This Row],[Fault Clearance time]]-Table6[[#This Row],[Work Start TimeStamp]])*24</f>
        <v>1.6000000000000023</v>
      </c>
      <c r="T282" s="472">
        <f>(Table6[[#This Row],[Fault Clearance time]]-Table6[[#This Row],[Fault Start TimeStamp]])*24</f>
        <v>1.6000000000000023</v>
      </c>
      <c r="U282" s="35" t="s">
        <v>337</v>
      </c>
      <c r="V282" s="102" t="s">
        <v>293</v>
      </c>
      <c r="W282" s="478">
        <f>IFERROR(Table6[[#This Row],[Breakdown Time]]*Table6[[#This Row],[Plant Equivalent Weightage]],"")</f>
        <v>6.1538461538461611E-2</v>
      </c>
      <c r="X282" s="473" t="s">
        <v>290</v>
      </c>
      <c r="Y282" s="474" t="s">
        <v>322</v>
      </c>
      <c r="Z282" s="102">
        <v>29808</v>
      </c>
      <c r="AA282" s="468">
        <f>(Table6[[#This Row],[Paired WTG Generation for loss calculation]]/24)*Table6[[#This Row],[Breakdown Time]]</f>
        <v>1987.2000000000028</v>
      </c>
      <c r="AB282" s="102"/>
      <c r="AC282" s="35"/>
      <c r="AD282" s="35"/>
    </row>
    <row r="283" spans="1:30">
      <c r="A283" s="102">
        <f t="shared" si="5"/>
        <v>282</v>
      </c>
      <c r="B283" s="468">
        <f>YEAR(Table6[[#This Row],[Date]])+IF(MONTH(Table6[[#This Row],[Date]])&gt;=4,1,0)</f>
        <v>2026</v>
      </c>
      <c r="C283" s="102">
        <f>YEAR(Table6[[#This Row],[Date]])</f>
        <v>2025</v>
      </c>
      <c r="D283" s="102" t="s">
        <v>1992</v>
      </c>
      <c r="E283" s="469">
        <f>Table6[[#This Row],[Date]]-DAY(Table6[[#This Row],[Date]])+1</f>
        <v>45748</v>
      </c>
      <c r="F283" s="470">
        <v>45764</v>
      </c>
      <c r="G283" s="35" t="s">
        <v>86</v>
      </c>
      <c r="H283" s="35" t="str">
        <f>IFERROR(_xlfn.XLOOKUP(Table6[[#This Row],[Affected WTG]],'Basic Data'!$A:$A,'Basic Data'!$B:$B),"")</f>
        <v>TQGXIIPL</v>
      </c>
      <c r="I283" s="35" t="str">
        <f>IFERROR(_xlfn.XLOOKUP(Table6[[#This Row],[Affected WTG]],'Basic Data'!$A:$A,'Basic Data'!$C:$C),"")</f>
        <v>GEDA</v>
      </c>
      <c r="J283" s="471">
        <f>IFERROR(_xlfn.XLOOKUP(Table6[[#This Row],[Affected WTG]],'Basic Data'!$A:$A,'Basic Data'!$E:$E),"")</f>
        <v>3.846153846153845E-2</v>
      </c>
      <c r="K283" s="102">
        <v>6130</v>
      </c>
      <c r="L283" s="35" t="str">
        <f>IFERROR(_xlfn.XLOOKUP(Table6[[#This Row],[Error Code]],'Basic Data'!$AA:$AA,'Basic Data'!$AB:$AB),"Incorrect Error Code")</f>
        <v>Yaw speed high</v>
      </c>
      <c r="M283" s="35" t="s">
        <v>291</v>
      </c>
      <c r="N283" s="475"/>
      <c r="O283" s="476">
        <v>0.58402777777777781</v>
      </c>
      <c r="P283" s="476">
        <v>0.58402777777777781</v>
      </c>
      <c r="Q283" s="477">
        <v>0.58819444444444446</v>
      </c>
      <c r="R283" s="472">
        <f>IF(Table6[[#This Row],[Work Start TimeStamp]]="","",(Table6[[#This Row],[Work Start TimeStamp]]-Table6[[#This Row],[Fault Start TimeStamp]])*24)</f>
        <v>0</v>
      </c>
      <c r="S283" s="472">
        <f>(Table6[[#This Row],[Fault Clearance time]]-Table6[[#This Row],[Work Start TimeStamp]])*24</f>
        <v>9.9999999999999645E-2</v>
      </c>
      <c r="T283" s="472">
        <f>(Table6[[#This Row],[Fault Clearance time]]-Table6[[#This Row],[Fault Start TimeStamp]])*24</f>
        <v>9.9999999999999645E-2</v>
      </c>
      <c r="U283" s="35" t="s">
        <v>349</v>
      </c>
      <c r="V283" s="102" t="s">
        <v>293</v>
      </c>
      <c r="W283" s="478">
        <f>IFERROR(Table6[[#This Row],[Breakdown Time]]*Table6[[#This Row],[Plant Equivalent Weightage]],"")</f>
        <v>3.8461538461538312E-3</v>
      </c>
      <c r="X283" s="473" t="s">
        <v>294</v>
      </c>
      <c r="Y283" s="474" t="s">
        <v>313</v>
      </c>
      <c r="Z283" s="102">
        <v>32786</v>
      </c>
      <c r="AA283" s="468">
        <f>(Table6[[#This Row],[Paired WTG Generation for loss calculation]]/24)*Table6[[#This Row],[Breakdown Time]]</f>
        <v>136.60833333333284</v>
      </c>
      <c r="AB283" s="102"/>
      <c r="AC283" s="35"/>
      <c r="AD283" s="35"/>
    </row>
    <row r="284" spans="1:30">
      <c r="A284" s="102">
        <f t="shared" si="5"/>
        <v>283</v>
      </c>
      <c r="B284" s="468">
        <f>YEAR(Table6[[#This Row],[Date]])+IF(MONTH(Table6[[#This Row],[Date]])&gt;=4,1,0)</f>
        <v>2026</v>
      </c>
      <c r="C284" s="102">
        <f>YEAR(Table6[[#This Row],[Date]])</f>
        <v>2025</v>
      </c>
      <c r="D284" s="102" t="s">
        <v>1992</v>
      </c>
      <c r="E284" s="469">
        <f>Table6[[#This Row],[Date]]-DAY(Table6[[#This Row],[Date]])+1</f>
        <v>45748</v>
      </c>
      <c r="F284" s="470">
        <v>45764</v>
      </c>
      <c r="G284" s="35" t="s">
        <v>86</v>
      </c>
      <c r="H284" s="35" t="str">
        <f>IFERROR(_xlfn.XLOOKUP(Table6[[#This Row],[Affected WTG]],'Basic Data'!$A:$A,'Basic Data'!$B:$B),"")</f>
        <v>TQGXIIPL</v>
      </c>
      <c r="I284" s="35" t="str">
        <f>IFERROR(_xlfn.XLOOKUP(Table6[[#This Row],[Affected WTG]],'Basic Data'!$A:$A,'Basic Data'!$C:$C),"")</f>
        <v>GEDA</v>
      </c>
      <c r="J284" s="471">
        <f>IFERROR(_xlfn.XLOOKUP(Table6[[#This Row],[Affected WTG]],'Basic Data'!$A:$A,'Basic Data'!$E:$E),"")</f>
        <v>3.846153846153845E-2</v>
      </c>
      <c r="K284" s="102">
        <v>55</v>
      </c>
      <c r="L284" s="35" t="str">
        <f>IFERROR(_xlfn.XLOOKUP(Table6[[#This Row],[Error Code]],'Basic Data'!$AA:$AA,'Basic Data'!$AB:$AB),"Incorrect Error Code")</f>
        <v>WTG shut down</v>
      </c>
      <c r="M284" s="35" t="s">
        <v>291</v>
      </c>
      <c r="N284" s="475"/>
      <c r="O284" s="476">
        <v>0.79236111111111107</v>
      </c>
      <c r="P284" s="476">
        <v>0.79236111111111107</v>
      </c>
      <c r="Q284" s="477">
        <v>0.80069444444444449</v>
      </c>
      <c r="R284" s="472">
        <f>IF(Table6[[#This Row],[Work Start TimeStamp]]="","",(Table6[[#This Row],[Work Start TimeStamp]]-Table6[[#This Row],[Fault Start TimeStamp]])*24)</f>
        <v>0</v>
      </c>
      <c r="S284" s="472">
        <f>(Table6[[#This Row],[Fault Clearance time]]-Table6[[#This Row],[Work Start TimeStamp]])*24</f>
        <v>0.20000000000000195</v>
      </c>
      <c r="T284" s="472">
        <f>(Table6[[#This Row],[Fault Clearance time]]-Table6[[#This Row],[Fault Start TimeStamp]])*24</f>
        <v>0.20000000000000195</v>
      </c>
      <c r="U284" s="35" t="s">
        <v>389</v>
      </c>
      <c r="V284" s="102" t="s">
        <v>293</v>
      </c>
      <c r="W284" s="478">
        <f>IFERROR(Table6[[#This Row],[Breakdown Time]]*Table6[[#This Row],[Plant Equivalent Weightage]],"")</f>
        <v>7.6923076923077647E-3</v>
      </c>
      <c r="X284" s="473" t="s">
        <v>290</v>
      </c>
      <c r="Y284" s="474" t="s">
        <v>313</v>
      </c>
      <c r="Z284" s="102">
        <v>32786</v>
      </c>
      <c r="AA284" s="468">
        <f>(Table6[[#This Row],[Paired WTG Generation for loss calculation]]/24)*Table6[[#This Row],[Breakdown Time]]</f>
        <v>273.21666666666931</v>
      </c>
      <c r="AB284" s="102"/>
      <c r="AC284" s="35"/>
      <c r="AD284" s="35"/>
    </row>
    <row r="285" spans="1:30">
      <c r="A285" s="102">
        <f t="shared" si="5"/>
        <v>284</v>
      </c>
      <c r="B285" s="468">
        <f>YEAR(Table6[[#This Row],[Date]])+IF(MONTH(Table6[[#This Row],[Date]])&gt;=4,1,0)</f>
        <v>2026</v>
      </c>
      <c r="C285" s="102">
        <f>YEAR(Table6[[#This Row],[Date]])</f>
        <v>2025</v>
      </c>
      <c r="D285" s="102" t="s">
        <v>1992</v>
      </c>
      <c r="E285" s="469">
        <f>Table6[[#This Row],[Date]]-DAY(Table6[[#This Row],[Date]])+1</f>
        <v>45748</v>
      </c>
      <c r="F285" s="470">
        <v>45764</v>
      </c>
      <c r="G285" s="35" t="s">
        <v>87</v>
      </c>
      <c r="H285" s="35" t="str">
        <f>IFERROR(_xlfn.XLOOKUP(Table6[[#This Row],[Affected WTG]],'Basic Data'!$A:$A,'Basic Data'!$B:$B),"")</f>
        <v>TQGXIIPL</v>
      </c>
      <c r="I285" s="35" t="str">
        <f>IFERROR(_xlfn.XLOOKUP(Table6[[#This Row],[Affected WTG]],'Basic Data'!$A:$A,'Basic Data'!$C:$C),"")</f>
        <v>GEDA</v>
      </c>
      <c r="J285" s="471">
        <f>IFERROR(_xlfn.XLOOKUP(Table6[[#This Row],[Affected WTG]],'Basic Data'!$A:$A,'Basic Data'!$E:$E),"")</f>
        <v>3.846153846153845E-2</v>
      </c>
      <c r="K285" s="102">
        <v>4960</v>
      </c>
      <c r="L285" s="35" t="str">
        <f>IFERROR(_xlfn.XLOOKUP(Table6[[#This Row],[Error Code]],'Basic Data'!$AA:$AA,'Basic Data'!$AB:$AB),"Incorrect Error Code")</f>
        <v>Tower oscillation YF</v>
      </c>
      <c r="M285" s="35" t="s">
        <v>291</v>
      </c>
      <c r="N285" s="475"/>
      <c r="O285" s="476">
        <v>0.6479166666666667</v>
      </c>
      <c r="P285" s="476">
        <v>0.6479166666666667</v>
      </c>
      <c r="Q285" s="477">
        <v>0.66597222222222219</v>
      </c>
      <c r="R285" s="472">
        <f>IF(Table6[[#This Row],[Work Start TimeStamp]]="","",(Table6[[#This Row],[Work Start TimeStamp]]-Table6[[#This Row],[Fault Start TimeStamp]])*24)</f>
        <v>0</v>
      </c>
      <c r="S285" s="472">
        <f>(Table6[[#This Row],[Fault Clearance time]]-Table6[[#This Row],[Work Start TimeStamp]])*24</f>
        <v>0.43333333333333179</v>
      </c>
      <c r="T285" s="472">
        <f>(Table6[[#This Row],[Fault Clearance time]]-Table6[[#This Row],[Fault Start TimeStamp]])*24</f>
        <v>0.43333333333333179</v>
      </c>
      <c r="U285" s="35" t="s">
        <v>349</v>
      </c>
      <c r="V285" s="102" t="s">
        <v>293</v>
      </c>
      <c r="W285" s="478">
        <f>IFERROR(Table6[[#This Row],[Breakdown Time]]*Table6[[#This Row],[Plant Equivalent Weightage]],"")</f>
        <v>1.6666666666666604E-2</v>
      </c>
      <c r="X285" s="473" t="s">
        <v>294</v>
      </c>
      <c r="Y285" s="474" t="s">
        <v>327</v>
      </c>
      <c r="Z285" s="102">
        <v>27764</v>
      </c>
      <c r="AA285" s="468">
        <f>(Table6[[#This Row],[Paired WTG Generation for loss calculation]]/24)*Table6[[#This Row],[Breakdown Time]]</f>
        <v>501.2944444444426</v>
      </c>
      <c r="AB285" s="102"/>
      <c r="AC285" s="35"/>
      <c r="AD285" s="35"/>
    </row>
    <row r="286" spans="1:30">
      <c r="A286" s="102">
        <f t="shared" si="5"/>
        <v>285</v>
      </c>
      <c r="B286" s="468">
        <f>YEAR(Table6[[#This Row],[Date]])+IF(MONTH(Table6[[#This Row],[Date]])&gt;=4,1,0)</f>
        <v>2026</v>
      </c>
      <c r="C286" s="102">
        <f>YEAR(Table6[[#This Row],[Date]])</f>
        <v>2025</v>
      </c>
      <c r="D286" s="102" t="s">
        <v>1992</v>
      </c>
      <c r="E286" s="469">
        <f>Table6[[#This Row],[Date]]-DAY(Table6[[#This Row],[Date]])+1</f>
        <v>45748</v>
      </c>
      <c r="F286" s="470">
        <v>45764</v>
      </c>
      <c r="G286" s="35" t="s">
        <v>88</v>
      </c>
      <c r="H286" s="35" t="str">
        <f>IFERROR(_xlfn.XLOOKUP(Table6[[#This Row],[Affected WTG]],'Basic Data'!$A:$A,'Basic Data'!$B:$B),"")</f>
        <v>TQGXIIPL</v>
      </c>
      <c r="I286" s="35" t="str">
        <f>IFERROR(_xlfn.XLOOKUP(Table6[[#This Row],[Affected WTG]],'Basic Data'!$A:$A,'Basic Data'!$C:$C),"")</f>
        <v>GEDA</v>
      </c>
      <c r="J286" s="471">
        <f>IFERROR(_xlfn.XLOOKUP(Table6[[#This Row],[Affected WTG]],'Basic Data'!$A:$A,'Basic Data'!$E:$E),"")</f>
        <v>3.846153846153845E-2</v>
      </c>
      <c r="K286" s="102">
        <v>55</v>
      </c>
      <c r="L286" s="35" t="str">
        <f>IFERROR(_xlfn.XLOOKUP(Table6[[#This Row],[Error Code]],'Basic Data'!$AA:$AA,'Basic Data'!$AB:$AB),"Incorrect Error Code")</f>
        <v>WTG shut down</v>
      </c>
      <c r="M286" s="35" t="s">
        <v>291</v>
      </c>
      <c r="N286" s="475"/>
      <c r="O286" s="476">
        <v>0.80138888888888893</v>
      </c>
      <c r="P286" s="476">
        <v>0.80138888888888893</v>
      </c>
      <c r="Q286" s="477">
        <v>0.80694444444444446</v>
      </c>
      <c r="R286" s="472">
        <f>IF(Table6[[#This Row],[Work Start TimeStamp]]="","",(Table6[[#This Row],[Work Start TimeStamp]]-Table6[[#This Row],[Fault Start TimeStamp]])*24)</f>
        <v>0</v>
      </c>
      <c r="S286" s="472">
        <f>(Table6[[#This Row],[Fault Clearance time]]-Table6[[#This Row],[Work Start TimeStamp]])*24</f>
        <v>0.13333333333333286</v>
      </c>
      <c r="T286" s="472">
        <f>(Table6[[#This Row],[Fault Clearance time]]-Table6[[#This Row],[Fault Start TimeStamp]])*24</f>
        <v>0.13333333333333286</v>
      </c>
      <c r="U286" s="35" t="s">
        <v>389</v>
      </c>
      <c r="V286" s="102" t="s">
        <v>293</v>
      </c>
      <c r="W286" s="478">
        <f>IFERROR(Table6[[#This Row],[Breakdown Time]]*Table6[[#This Row],[Plant Equivalent Weightage]],"")</f>
        <v>5.1282051282051083E-3</v>
      </c>
      <c r="X286" s="473" t="s">
        <v>290</v>
      </c>
      <c r="Y286" s="474" t="s">
        <v>323</v>
      </c>
      <c r="Z286" s="102">
        <v>25644</v>
      </c>
      <c r="AA286" s="468">
        <f>(Table6[[#This Row],[Paired WTG Generation for loss calculation]]/24)*Table6[[#This Row],[Breakdown Time]]</f>
        <v>142.46666666666616</v>
      </c>
      <c r="AB286" s="102"/>
      <c r="AC286" s="35"/>
      <c r="AD286" s="35"/>
    </row>
    <row r="287" spans="1:30">
      <c r="A287" s="102">
        <f t="shared" si="5"/>
        <v>286</v>
      </c>
      <c r="B287" s="468">
        <f>YEAR(Table6[[#This Row],[Date]])+IF(MONTH(Table6[[#This Row],[Date]])&gt;=4,1,0)</f>
        <v>2026</v>
      </c>
      <c r="C287" s="102">
        <f>YEAR(Table6[[#This Row],[Date]])</f>
        <v>2025</v>
      </c>
      <c r="D287" s="102" t="s">
        <v>1992</v>
      </c>
      <c r="E287" s="469">
        <f>Table6[[#This Row],[Date]]-DAY(Table6[[#This Row],[Date]])+1</f>
        <v>45748</v>
      </c>
      <c r="F287" s="470">
        <v>45764</v>
      </c>
      <c r="G287" s="35" t="s">
        <v>90</v>
      </c>
      <c r="H287" s="35" t="str">
        <f>IFERROR(_xlfn.XLOOKUP(Table6[[#This Row],[Affected WTG]],'Basic Data'!$A:$A,'Basic Data'!$B:$B),"")</f>
        <v>TQGXIIPL</v>
      </c>
      <c r="I287" s="35" t="str">
        <f>IFERROR(_xlfn.XLOOKUP(Table6[[#This Row],[Affected WTG]],'Basic Data'!$A:$A,'Basic Data'!$C:$C),"")</f>
        <v>GEDA</v>
      </c>
      <c r="J287" s="471">
        <f>IFERROR(_xlfn.XLOOKUP(Table6[[#This Row],[Affected WTG]],'Basic Data'!$A:$A,'Basic Data'!$E:$E),"")</f>
        <v>3.846153846153845E-2</v>
      </c>
      <c r="K287" s="102">
        <v>6605</v>
      </c>
      <c r="L287" s="35" t="str">
        <f>IFERROR(_xlfn.XLOOKUP(Table6[[#This Row],[Error Code]],'Basic Data'!$AA:$AA,'Basic Data'!$AB:$AB),"Incorrect Error Code")</f>
        <v>Wind.dir. diff. level 2</v>
      </c>
      <c r="M287" s="35" t="s">
        <v>291</v>
      </c>
      <c r="N287" s="475"/>
      <c r="O287" s="476">
        <v>0.61875000000000002</v>
      </c>
      <c r="P287" s="476">
        <v>0.61875000000000002</v>
      </c>
      <c r="Q287" s="477">
        <v>0.62013888888888891</v>
      </c>
      <c r="R287" s="472">
        <f>IF(Table6[[#This Row],[Work Start TimeStamp]]="","",(Table6[[#This Row],[Work Start TimeStamp]]-Table6[[#This Row],[Fault Start TimeStamp]])*24)</f>
        <v>0</v>
      </c>
      <c r="S287" s="472">
        <f>(Table6[[#This Row],[Fault Clearance time]]-Table6[[#This Row],[Work Start TimeStamp]])*24</f>
        <v>3.3333333333333215E-2</v>
      </c>
      <c r="T287" s="472">
        <f>(Table6[[#This Row],[Fault Clearance time]]-Table6[[#This Row],[Fault Start TimeStamp]])*24</f>
        <v>3.3333333333333215E-2</v>
      </c>
      <c r="U287" s="35" t="s">
        <v>336</v>
      </c>
      <c r="V287" s="102" t="s">
        <v>293</v>
      </c>
      <c r="W287" s="478">
        <f>IFERROR(Table6[[#This Row],[Breakdown Time]]*Table6[[#This Row],[Plant Equivalent Weightage]],"")</f>
        <v>1.2820512820512771E-3</v>
      </c>
      <c r="X287" s="473" t="s">
        <v>294</v>
      </c>
      <c r="Y287" s="474" t="s">
        <v>339</v>
      </c>
      <c r="Z287" s="102">
        <v>37507</v>
      </c>
      <c r="AA287" s="468">
        <f>(Table6[[#This Row],[Paired WTG Generation for loss calculation]]/24)*Table6[[#This Row],[Breakdown Time]]</f>
        <v>52.093055555555374</v>
      </c>
      <c r="AB287" s="102"/>
      <c r="AC287" s="35"/>
      <c r="AD287" s="35"/>
    </row>
    <row r="288" spans="1:30">
      <c r="A288" s="102">
        <f t="shared" si="5"/>
        <v>287</v>
      </c>
      <c r="B288" s="468">
        <f>YEAR(Table6[[#This Row],[Date]])+IF(MONTH(Table6[[#This Row],[Date]])&gt;=4,1,0)</f>
        <v>2026</v>
      </c>
      <c r="C288" s="102">
        <f>YEAR(Table6[[#This Row],[Date]])</f>
        <v>2025</v>
      </c>
      <c r="D288" s="102" t="s">
        <v>1992</v>
      </c>
      <c r="E288" s="469">
        <f>Table6[[#This Row],[Date]]-DAY(Table6[[#This Row],[Date]])+1</f>
        <v>45748</v>
      </c>
      <c r="F288" s="470">
        <v>45764</v>
      </c>
      <c r="G288" s="35" t="s">
        <v>90</v>
      </c>
      <c r="H288" s="35" t="str">
        <f>IFERROR(_xlfn.XLOOKUP(Table6[[#This Row],[Affected WTG]],'Basic Data'!$A:$A,'Basic Data'!$B:$B),"")</f>
        <v>TQGXIIPL</v>
      </c>
      <c r="I288" s="35" t="str">
        <f>IFERROR(_xlfn.XLOOKUP(Table6[[#This Row],[Affected WTG]],'Basic Data'!$A:$A,'Basic Data'!$C:$C),"")</f>
        <v>GEDA</v>
      </c>
      <c r="J288" s="471">
        <f>IFERROR(_xlfn.XLOOKUP(Table6[[#This Row],[Affected WTG]],'Basic Data'!$A:$A,'Basic Data'!$E:$E),"")</f>
        <v>3.846153846153845E-2</v>
      </c>
      <c r="K288" s="102">
        <v>55</v>
      </c>
      <c r="L288" s="35" t="str">
        <f>IFERROR(_xlfn.XLOOKUP(Table6[[#This Row],[Error Code]],'Basic Data'!$AA:$AA,'Basic Data'!$AB:$AB),"Incorrect Error Code")</f>
        <v>WTG shut down</v>
      </c>
      <c r="M288" s="35" t="s">
        <v>291</v>
      </c>
      <c r="N288" s="475"/>
      <c r="O288" s="476">
        <v>0.7993055555555556</v>
      </c>
      <c r="P288" s="476">
        <v>0.7993055555555556</v>
      </c>
      <c r="Q288" s="477">
        <v>0.80625000000000002</v>
      </c>
      <c r="R288" s="472">
        <f>IF(Table6[[#This Row],[Work Start TimeStamp]]="","",(Table6[[#This Row],[Work Start TimeStamp]]-Table6[[#This Row],[Fault Start TimeStamp]])*24)</f>
        <v>0</v>
      </c>
      <c r="S288" s="472">
        <f>(Table6[[#This Row],[Fault Clearance time]]-Table6[[#This Row],[Work Start TimeStamp]])*24</f>
        <v>0.16666666666666607</v>
      </c>
      <c r="T288" s="472">
        <f>(Table6[[#This Row],[Fault Clearance time]]-Table6[[#This Row],[Fault Start TimeStamp]])*24</f>
        <v>0.16666666666666607</v>
      </c>
      <c r="U288" s="35" t="s">
        <v>389</v>
      </c>
      <c r="V288" s="102" t="s">
        <v>293</v>
      </c>
      <c r="W288" s="478">
        <f>IFERROR(Table6[[#This Row],[Breakdown Time]]*Table6[[#This Row],[Plant Equivalent Weightage]],"")</f>
        <v>6.4102564102563857E-3</v>
      </c>
      <c r="X288" s="473" t="s">
        <v>290</v>
      </c>
      <c r="Y288" s="474" t="s">
        <v>339</v>
      </c>
      <c r="Z288" s="102">
        <v>37507</v>
      </c>
      <c r="AA288" s="468">
        <f>(Table6[[#This Row],[Paired WTG Generation for loss calculation]]/24)*Table6[[#This Row],[Breakdown Time]]</f>
        <v>260.46527777777686</v>
      </c>
      <c r="AB288" s="102"/>
      <c r="AC288" s="35"/>
      <c r="AD288" s="35"/>
    </row>
    <row r="289" spans="1:30">
      <c r="A289" s="102">
        <f t="shared" si="5"/>
        <v>288</v>
      </c>
      <c r="B289" s="468">
        <f>YEAR(Table6[[#This Row],[Date]])+IF(MONTH(Table6[[#This Row],[Date]])&gt;=4,1,0)</f>
        <v>2026</v>
      </c>
      <c r="C289" s="102">
        <f>YEAR(Table6[[#This Row],[Date]])</f>
        <v>2025</v>
      </c>
      <c r="D289" s="102" t="s">
        <v>1992</v>
      </c>
      <c r="E289" s="469">
        <f>Table6[[#This Row],[Date]]-DAY(Table6[[#This Row],[Date]])+1</f>
        <v>45748</v>
      </c>
      <c r="F289" s="470">
        <v>45764</v>
      </c>
      <c r="G289" s="35" t="s">
        <v>92</v>
      </c>
      <c r="H289" s="35" t="str">
        <f>IFERROR(_xlfn.XLOOKUP(Table6[[#This Row],[Affected WTG]],'Basic Data'!$A:$A,'Basic Data'!$B:$B),"")</f>
        <v>TQGXIIPL</v>
      </c>
      <c r="I289" s="35" t="str">
        <f>IFERROR(_xlfn.XLOOKUP(Table6[[#This Row],[Affected WTG]],'Basic Data'!$A:$A,'Basic Data'!$C:$C),"")</f>
        <v>GEDA</v>
      </c>
      <c r="J289" s="471">
        <f>IFERROR(_xlfn.XLOOKUP(Table6[[#This Row],[Affected WTG]],'Basic Data'!$A:$A,'Basic Data'!$E:$E),"")</f>
        <v>3.846153846153845E-2</v>
      </c>
      <c r="K289" s="102">
        <v>55</v>
      </c>
      <c r="L289" s="35" t="str">
        <f>IFERROR(_xlfn.XLOOKUP(Table6[[#This Row],[Error Code]],'Basic Data'!$AA:$AA,'Basic Data'!$AB:$AB),"Incorrect Error Code")</f>
        <v>WTG shut down</v>
      </c>
      <c r="M289" s="35" t="s">
        <v>291</v>
      </c>
      <c r="N289" s="475"/>
      <c r="O289" s="476">
        <v>0.6875</v>
      </c>
      <c r="P289" s="476">
        <v>0.6875</v>
      </c>
      <c r="Q289" s="477">
        <v>0.69236111111111109</v>
      </c>
      <c r="R289" s="472">
        <f>IF(Table6[[#This Row],[Work Start TimeStamp]]="","",(Table6[[#This Row],[Work Start TimeStamp]]-Table6[[#This Row],[Fault Start TimeStamp]])*24)</f>
        <v>0</v>
      </c>
      <c r="S289" s="472">
        <f>(Table6[[#This Row],[Fault Clearance time]]-Table6[[#This Row],[Work Start TimeStamp]])*24</f>
        <v>0.11666666666666625</v>
      </c>
      <c r="T289" s="472">
        <f>(Table6[[#This Row],[Fault Clearance time]]-Table6[[#This Row],[Fault Start TimeStamp]])*24</f>
        <v>0.11666666666666625</v>
      </c>
      <c r="U289" s="35" t="s">
        <v>389</v>
      </c>
      <c r="V289" s="102" t="s">
        <v>293</v>
      </c>
      <c r="W289" s="478">
        <f>IFERROR(Table6[[#This Row],[Breakdown Time]]*Table6[[#This Row],[Plant Equivalent Weightage]],"")</f>
        <v>4.4871794871794695E-3</v>
      </c>
      <c r="X289" s="473" t="s">
        <v>290</v>
      </c>
      <c r="Y289" s="474" t="s">
        <v>310</v>
      </c>
      <c r="Z289" s="102">
        <v>36587</v>
      </c>
      <c r="AA289" s="468">
        <f>(Table6[[#This Row],[Paired WTG Generation for loss calculation]]/24)*Table6[[#This Row],[Breakdown Time]]</f>
        <v>177.85347222222157</v>
      </c>
      <c r="AB289" s="102"/>
      <c r="AC289" s="35"/>
      <c r="AD289" s="35"/>
    </row>
    <row r="290" spans="1:30">
      <c r="A290" s="102">
        <f t="shared" si="5"/>
        <v>289</v>
      </c>
      <c r="B290" s="468">
        <f>YEAR(Table6[[#This Row],[Date]])+IF(MONTH(Table6[[#This Row],[Date]])&gt;=4,1,0)</f>
        <v>2026</v>
      </c>
      <c r="C290" s="102">
        <f>YEAR(Table6[[#This Row],[Date]])</f>
        <v>2025</v>
      </c>
      <c r="D290" s="102" t="s">
        <v>1992</v>
      </c>
      <c r="E290" s="469">
        <f>Table6[[#This Row],[Date]]-DAY(Table6[[#This Row],[Date]])+1</f>
        <v>45748</v>
      </c>
      <c r="F290" s="470">
        <v>45764</v>
      </c>
      <c r="G290" s="35" t="s">
        <v>93</v>
      </c>
      <c r="H290" s="35" t="str">
        <f>IFERROR(_xlfn.XLOOKUP(Table6[[#This Row],[Affected WTG]],'Basic Data'!$A:$A,'Basic Data'!$B:$B),"")</f>
        <v>TQGXIIPL</v>
      </c>
      <c r="I290" s="35" t="str">
        <f>IFERROR(_xlfn.XLOOKUP(Table6[[#This Row],[Affected WTG]],'Basic Data'!$A:$A,'Basic Data'!$C:$C),"")</f>
        <v>GEDA</v>
      </c>
      <c r="J290" s="471">
        <f>IFERROR(_xlfn.XLOOKUP(Table6[[#This Row],[Affected WTG]],'Basic Data'!$A:$A,'Basic Data'!$E:$E),"")</f>
        <v>3.846153846153845E-2</v>
      </c>
      <c r="K290" s="102">
        <v>55</v>
      </c>
      <c r="L290" s="35" t="str">
        <f>IFERROR(_xlfn.XLOOKUP(Table6[[#This Row],[Error Code]],'Basic Data'!$AA:$AA,'Basic Data'!$AB:$AB),"Incorrect Error Code")</f>
        <v>WTG shut down</v>
      </c>
      <c r="M290" s="35" t="s">
        <v>291</v>
      </c>
      <c r="N290" s="475"/>
      <c r="O290" s="476">
        <v>0.80555555555555558</v>
      </c>
      <c r="P290" s="476">
        <v>0.80555555555555558</v>
      </c>
      <c r="Q290" s="477">
        <v>0.81180555555555556</v>
      </c>
      <c r="R290" s="472">
        <f>IF(Table6[[#This Row],[Work Start TimeStamp]]="","",(Table6[[#This Row],[Work Start TimeStamp]]-Table6[[#This Row],[Fault Start TimeStamp]])*24)</f>
        <v>0</v>
      </c>
      <c r="S290" s="472">
        <f>(Table6[[#This Row],[Fault Clearance time]]-Table6[[#This Row],[Work Start TimeStamp]])*24</f>
        <v>0.14999999999999947</v>
      </c>
      <c r="T290" s="472">
        <f>(Table6[[#This Row],[Fault Clearance time]]-Table6[[#This Row],[Fault Start TimeStamp]])*24</f>
        <v>0.14999999999999947</v>
      </c>
      <c r="U290" s="35" t="s">
        <v>389</v>
      </c>
      <c r="V290" s="102" t="s">
        <v>293</v>
      </c>
      <c r="W290" s="478">
        <f>IFERROR(Table6[[#This Row],[Breakdown Time]]*Table6[[#This Row],[Plant Equivalent Weightage]],"")</f>
        <v>5.769230769230747E-3</v>
      </c>
      <c r="X290" s="473" t="s">
        <v>290</v>
      </c>
      <c r="Y290" s="474" t="s">
        <v>314</v>
      </c>
      <c r="Z290" s="102">
        <v>32115</v>
      </c>
      <c r="AA290" s="468">
        <f>(Table6[[#This Row],[Paired WTG Generation for loss calculation]]/24)*Table6[[#This Row],[Breakdown Time]]</f>
        <v>200.71874999999929</v>
      </c>
      <c r="AB290" s="102"/>
      <c r="AC290" s="35"/>
      <c r="AD290" s="35"/>
    </row>
    <row r="291" spans="1:30">
      <c r="A291" s="102">
        <f t="shared" si="5"/>
        <v>290</v>
      </c>
      <c r="B291" s="468">
        <f>YEAR(Table6[[#This Row],[Date]])+IF(MONTH(Table6[[#This Row],[Date]])&gt;=4,1,0)</f>
        <v>2026</v>
      </c>
      <c r="C291" s="102">
        <f>YEAR(Table6[[#This Row],[Date]])</f>
        <v>2025</v>
      </c>
      <c r="D291" s="102" t="s">
        <v>1992</v>
      </c>
      <c r="E291" s="469">
        <f>Table6[[#This Row],[Date]]-DAY(Table6[[#This Row],[Date]])+1</f>
        <v>45748</v>
      </c>
      <c r="F291" s="470">
        <v>45764</v>
      </c>
      <c r="G291" s="35" t="s">
        <v>94</v>
      </c>
      <c r="H291" s="35" t="str">
        <f>IFERROR(_xlfn.XLOOKUP(Table6[[#This Row],[Affected WTG]],'Basic Data'!$A:$A,'Basic Data'!$B:$B),"")</f>
        <v>TQGXIIPL</v>
      </c>
      <c r="I291" s="35" t="str">
        <f>IFERROR(_xlfn.XLOOKUP(Table6[[#This Row],[Affected WTG]],'Basic Data'!$A:$A,'Basic Data'!$C:$C),"")</f>
        <v>GEDA</v>
      </c>
      <c r="J291" s="471">
        <f>IFERROR(_xlfn.XLOOKUP(Table6[[#This Row],[Affected WTG]],'Basic Data'!$A:$A,'Basic Data'!$E:$E),"")</f>
        <v>3.846153846153845E-2</v>
      </c>
      <c r="K291" s="102">
        <v>4520</v>
      </c>
      <c r="L291" s="35" t="str">
        <f>IFERROR(_xlfn.XLOOKUP(Table6[[#This Row],[Error Code]],'Basic Data'!$AA:$AA,'Basic Data'!$AB:$AB),"Incorrect Error Code")</f>
        <v>Tower oscillation X level 1</v>
      </c>
      <c r="M291" s="35" t="s">
        <v>291</v>
      </c>
      <c r="N291" s="475"/>
      <c r="O291" s="476">
        <v>0.2</v>
      </c>
      <c r="P291" s="476">
        <v>0.2</v>
      </c>
      <c r="Q291" s="477">
        <v>0.2076388888888889</v>
      </c>
      <c r="R291" s="472">
        <f>IF(Table6[[#This Row],[Work Start TimeStamp]]="","",(Table6[[#This Row],[Work Start TimeStamp]]-Table6[[#This Row],[Fault Start TimeStamp]])*24)</f>
        <v>0</v>
      </c>
      <c r="S291" s="472">
        <f>(Table6[[#This Row],[Fault Clearance time]]-Table6[[#This Row],[Work Start TimeStamp]])*24</f>
        <v>0.18333333333333335</v>
      </c>
      <c r="T291" s="472">
        <f>(Table6[[#This Row],[Fault Clearance time]]-Table6[[#This Row],[Fault Start TimeStamp]])*24</f>
        <v>0.18333333333333335</v>
      </c>
      <c r="U291" s="35" t="s">
        <v>349</v>
      </c>
      <c r="V291" s="102" t="s">
        <v>293</v>
      </c>
      <c r="W291" s="478">
        <f>IFERROR(Table6[[#This Row],[Breakdown Time]]*Table6[[#This Row],[Plant Equivalent Weightage]],"")</f>
        <v>7.0512820512820496E-3</v>
      </c>
      <c r="X291" s="473" t="s">
        <v>294</v>
      </c>
      <c r="Y291" s="474" t="s">
        <v>319</v>
      </c>
      <c r="Z291" s="102">
        <v>34183</v>
      </c>
      <c r="AA291" s="468">
        <f>(Table6[[#This Row],[Paired WTG Generation for loss calculation]]/24)*Table6[[#This Row],[Breakdown Time]]</f>
        <v>261.1201388888889</v>
      </c>
      <c r="AB291" s="102"/>
      <c r="AC291" s="35"/>
      <c r="AD291" s="35"/>
    </row>
    <row r="292" spans="1:30">
      <c r="A292" s="102">
        <f t="shared" si="5"/>
        <v>291</v>
      </c>
      <c r="B292" s="468">
        <f>YEAR(Table6[[#This Row],[Date]])+IF(MONTH(Table6[[#This Row],[Date]])&gt;=4,1,0)</f>
        <v>2026</v>
      </c>
      <c r="C292" s="102">
        <f>YEAR(Table6[[#This Row],[Date]])</f>
        <v>2025</v>
      </c>
      <c r="D292" s="102" t="s">
        <v>1992</v>
      </c>
      <c r="E292" s="469">
        <f>Table6[[#This Row],[Date]]-DAY(Table6[[#This Row],[Date]])+1</f>
        <v>45748</v>
      </c>
      <c r="F292" s="470">
        <v>45764</v>
      </c>
      <c r="G292" s="35" t="s">
        <v>94</v>
      </c>
      <c r="H292" s="35" t="str">
        <f>IFERROR(_xlfn.XLOOKUP(Table6[[#This Row],[Affected WTG]],'Basic Data'!$A:$A,'Basic Data'!$B:$B),"")</f>
        <v>TQGXIIPL</v>
      </c>
      <c r="I292" s="35" t="str">
        <f>IFERROR(_xlfn.XLOOKUP(Table6[[#This Row],[Affected WTG]],'Basic Data'!$A:$A,'Basic Data'!$C:$C),"")</f>
        <v>GEDA</v>
      </c>
      <c r="J292" s="471">
        <f>IFERROR(_xlfn.XLOOKUP(Table6[[#This Row],[Affected WTG]],'Basic Data'!$A:$A,'Basic Data'!$E:$E),"")</f>
        <v>3.846153846153845E-2</v>
      </c>
      <c r="K292" s="102">
        <v>55</v>
      </c>
      <c r="L292" s="35" t="str">
        <f>IFERROR(_xlfn.XLOOKUP(Table6[[#This Row],[Error Code]],'Basic Data'!$AA:$AA,'Basic Data'!$AB:$AB),"Incorrect Error Code")</f>
        <v>WTG shut down</v>
      </c>
      <c r="M292" s="35" t="s">
        <v>291</v>
      </c>
      <c r="N292" s="475"/>
      <c r="O292" s="476">
        <v>0.82361111111111107</v>
      </c>
      <c r="P292" s="476">
        <v>0.82361111111111107</v>
      </c>
      <c r="Q292" s="477">
        <v>0.82986111111111116</v>
      </c>
      <c r="R292" s="472">
        <f>IF(Table6[[#This Row],[Work Start TimeStamp]]="","",(Table6[[#This Row],[Work Start TimeStamp]]-Table6[[#This Row],[Fault Start TimeStamp]])*24)</f>
        <v>0</v>
      </c>
      <c r="S292" s="472">
        <f>(Table6[[#This Row],[Fault Clearance time]]-Table6[[#This Row],[Work Start TimeStamp]])*24</f>
        <v>0.15000000000000213</v>
      </c>
      <c r="T292" s="472">
        <f>(Table6[[#This Row],[Fault Clearance time]]-Table6[[#This Row],[Fault Start TimeStamp]])*24</f>
        <v>0.15000000000000213</v>
      </c>
      <c r="U292" s="35" t="s">
        <v>389</v>
      </c>
      <c r="V292" s="102" t="s">
        <v>293</v>
      </c>
      <c r="W292" s="478">
        <f>IFERROR(Table6[[#This Row],[Breakdown Time]]*Table6[[#This Row],[Plant Equivalent Weightage]],"")</f>
        <v>5.7692307692308493E-3</v>
      </c>
      <c r="X292" s="473" t="s">
        <v>290</v>
      </c>
      <c r="Y292" s="474" t="s">
        <v>319</v>
      </c>
      <c r="Z292" s="102">
        <v>34183</v>
      </c>
      <c r="AA292" s="468">
        <f>(Table6[[#This Row],[Paired WTG Generation for loss calculation]]/24)*Table6[[#This Row],[Breakdown Time]]</f>
        <v>213.64375000000305</v>
      </c>
      <c r="AB292" s="102"/>
      <c r="AC292" s="35"/>
      <c r="AD292" s="35"/>
    </row>
    <row r="293" spans="1:30">
      <c r="A293" s="102">
        <f t="shared" si="5"/>
        <v>292</v>
      </c>
      <c r="B293" s="468">
        <f>YEAR(Table6[[#This Row],[Date]])+IF(MONTH(Table6[[#This Row],[Date]])&gt;=4,1,0)</f>
        <v>2026</v>
      </c>
      <c r="C293" s="102">
        <f>YEAR(Table6[[#This Row],[Date]])</f>
        <v>2025</v>
      </c>
      <c r="D293" s="102" t="s">
        <v>1992</v>
      </c>
      <c r="E293" s="469">
        <f>Table6[[#This Row],[Date]]-DAY(Table6[[#This Row],[Date]])+1</f>
        <v>45748</v>
      </c>
      <c r="F293" s="470">
        <v>45764</v>
      </c>
      <c r="G293" s="35" t="s">
        <v>95</v>
      </c>
      <c r="H293" s="35" t="str">
        <f>IFERROR(_xlfn.XLOOKUP(Table6[[#This Row],[Affected WTG]],'Basic Data'!$A:$A,'Basic Data'!$B:$B),"")</f>
        <v>TQGXIIPL</v>
      </c>
      <c r="I293" s="35" t="str">
        <f>IFERROR(_xlfn.XLOOKUP(Table6[[#This Row],[Affected WTG]],'Basic Data'!$A:$A,'Basic Data'!$C:$C),"")</f>
        <v>GEDA</v>
      </c>
      <c r="J293" s="471">
        <f>IFERROR(_xlfn.XLOOKUP(Table6[[#This Row],[Affected WTG]],'Basic Data'!$A:$A,'Basic Data'!$E:$E),"")</f>
        <v>3.846153846153845E-2</v>
      </c>
      <c r="K293" s="102">
        <v>55</v>
      </c>
      <c r="L293" s="35" t="str">
        <f>IFERROR(_xlfn.XLOOKUP(Table6[[#This Row],[Error Code]],'Basic Data'!$AA:$AA,'Basic Data'!$AB:$AB),"Incorrect Error Code")</f>
        <v>WTG shut down</v>
      </c>
      <c r="M293" s="35" t="s">
        <v>291</v>
      </c>
      <c r="N293" s="475"/>
      <c r="O293" s="476">
        <v>0.78194444444444444</v>
      </c>
      <c r="P293" s="476">
        <v>0.78194444444444444</v>
      </c>
      <c r="Q293" s="477">
        <v>0.78819444444444442</v>
      </c>
      <c r="R293" s="472">
        <f>IF(Table6[[#This Row],[Work Start TimeStamp]]="","",(Table6[[#This Row],[Work Start TimeStamp]]-Table6[[#This Row],[Fault Start TimeStamp]])*24)</f>
        <v>0</v>
      </c>
      <c r="S293" s="472">
        <f>(Table6[[#This Row],[Fault Clearance time]]-Table6[[#This Row],[Work Start TimeStamp]])*24</f>
        <v>0.14999999999999947</v>
      </c>
      <c r="T293" s="472">
        <f>(Table6[[#This Row],[Fault Clearance time]]-Table6[[#This Row],[Fault Start TimeStamp]])*24</f>
        <v>0.14999999999999947</v>
      </c>
      <c r="U293" s="35" t="s">
        <v>389</v>
      </c>
      <c r="V293" s="102" t="s">
        <v>293</v>
      </c>
      <c r="W293" s="478">
        <f>IFERROR(Table6[[#This Row],[Breakdown Time]]*Table6[[#This Row],[Plant Equivalent Weightage]],"")</f>
        <v>5.769230769230747E-3</v>
      </c>
      <c r="X293" s="473" t="s">
        <v>290</v>
      </c>
      <c r="Y293" s="474" t="s">
        <v>319</v>
      </c>
      <c r="Z293" s="102">
        <v>34183</v>
      </c>
      <c r="AA293" s="468">
        <f>(Table6[[#This Row],[Paired WTG Generation for loss calculation]]/24)*Table6[[#This Row],[Breakdown Time]]</f>
        <v>213.64374999999924</v>
      </c>
      <c r="AB293" s="102"/>
      <c r="AC293" s="35"/>
      <c r="AD293" s="35"/>
    </row>
    <row r="294" spans="1:30">
      <c r="A294" s="102">
        <f t="shared" si="5"/>
        <v>293</v>
      </c>
      <c r="B294" s="468">
        <f>YEAR(Table6[[#This Row],[Date]])+IF(MONTH(Table6[[#This Row],[Date]])&gt;=4,1,0)</f>
        <v>2026</v>
      </c>
      <c r="C294" s="102">
        <f>YEAR(Table6[[#This Row],[Date]])</f>
        <v>2025</v>
      </c>
      <c r="D294" s="102" t="s">
        <v>1992</v>
      </c>
      <c r="E294" s="469">
        <f>Table6[[#This Row],[Date]]-DAY(Table6[[#This Row],[Date]])+1</f>
        <v>45748</v>
      </c>
      <c r="F294" s="470">
        <v>45764</v>
      </c>
      <c r="G294" s="35" t="s">
        <v>97</v>
      </c>
      <c r="H294" s="35" t="str">
        <f>IFERROR(_xlfn.XLOOKUP(Table6[[#This Row],[Affected WTG]],'Basic Data'!$A:$A,'Basic Data'!$B:$B),"")</f>
        <v>TQGXIIPL</v>
      </c>
      <c r="I294" s="35" t="str">
        <f>IFERROR(_xlfn.XLOOKUP(Table6[[#This Row],[Affected WTG]],'Basic Data'!$A:$A,'Basic Data'!$C:$C),"")</f>
        <v>GEDA</v>
      </c>
      <c r="J294" s="471">
        <f>IFERROR(_xlfn.XLOOKUP(Table6[[#This Row],[Affected WTG]],'Basic Data'!$A:$A,'Basic Data'!$E:$E),"")</f>
        <v>3.846153846153845E-2</v>
      </c>
      <c r="K294" s="102">
        <v>55</v>
      </c>
      <c r="L294" s="35" t="str">
        <f>IFERROR(_xlfn.XLOOKUP(Table6[[#This Row],[Error Code]],'Basic Data'!$AA:$AA,'Basic Data'!$AB:$AB),"Incorrect Error Code")</f>
        <v>WTG shut down</v>
      </c>
      <c r="M294" s="35" t="s">
        <v>291</v>
      </c>
      <c r="N294" s="475"/>
      <c r="O294" s="476">
        <v>0.76597222222222228</v>
      </c>
      <c r="P294" s="476">
        <v>0.76597222222222228</v>
      </c>
      <c r="Q294" s="477">
        <v>0.78194444444444444</v>
      </c>
      <c r="R294" s="472">
        <f>IF(Table6[[#This Row],[Work Start TimeStamp]]="","",(Table6[[#This Row],[Work Start TimeStamp]]-Table6[[#This Row],[Fault Start TimeStamp]])*24)</f>
        <v>0</v>
      </c>
      <c r="S294" s="472">
        <f>(Table6[[#This Row],[Fault Clearance time]]-Table6[[#This Row],[Work Start TimeStamp]])*24</f>
        <v>0.38333333333333197</v>
      </c>
      <c r="T294" s="472">
        <f>(Table6[[#This Row],[Fault Clearance time]]-Table6[[#This Row],[Fault Start TimeStamp]])*24</f>
        <v>0.38333333333333197</v>
      </c>
      <c r="U294" s="35" t="s">
        <v>389</v>
      </c>
      <c r="V294" s="102" t="s">
        <v>293</v>
      </c>
      <c r="W294" s="478">
        <f>IFERROR(Table6[[#This Row],[Breakdown Time]]*Table6[[#This Row],[Plant Equivalent Weightage]],"")</f>
        <v>1.4743589743589686E-2</v>
      </c>
      <c r="X294" s="473" t="s">
        <v>290</v>
      </c>
      <c r="Y294" s="474" t="s">
        <v>320</v>
      </c>
      <c r="Z294" s="102">
        <v>33211</v>
      </c>
      <c r="AA294" s="468">
        <f>(Table6[[#This Row],[Paired WTG Generation for loss calculation]]/24)*Table6[[#This Row],[Breakdown Time]]</f>
        <v>530.4534722222204</v>
      </c>
      <c r="AB294" s="102"/>
      <c r="AC294" s="35"/>
      <c r="AD294" s="35"/>
    </row>
    <row r="295" spans="1:30">
      <c r="A295" s="102">
        <f t="shared" si="5"/>
        <v>294</v>
      </c>
      <c r="B295" s="468">
        <f>YEAR(Table6[[#This Row],[Date]])+IF(MONTH(Table6[[#This Row],[Date]])&gt;=4,1,0)</f>
        <v>2026</v>
      </c>
      <c r="C295" s="102">
        <f>YEAR(Table6[[#This Row],[Date]])</f>
        <v>2025</v>
      </c>
      <c r="D295" s="102" t="s">
        <v>1992</v>
      </c>
      <c r="E295" s="469">
        <f>Table6[[#This Row],[Date]]-DAY(Table6[[#This Row],[Date]])+1</f>
        <v>45748</v>
      </c>
      <c r="F295" s="470">
        <v>45764</v>
      </c>
      <c r="G295" s="35" t="s">
        <v>97</v>
      </c>
      <c r="H295" s="35" t="str">
        <f>IFERROR(_xlfn.XLOOKUP(Table6[[#This Row],[Affected WTG]],'Basic Data'!$A:$A,'Basic Data'!$B:$B),"")</f>
        <v>TQGXIIPL</v>
      </c>
      <c r="I295" s="35" t="str">
        <f>IFERROR(_xlfn.XLOOKUP(Table6[[#This Row],[Affected WTG]],'Basic Data'!$A:$A,'Basic Data'!$C:$C),"")</f>
        <v>GEDA</v>
      </c>
      <c r="J295" s="471">
        <f>IFERROR(_xlfn.XLOOKUP(Table6[[#This Row],[Affected WTG]],'Basic Data'!$A:$A,'Basic Data'!$E:$E),"")</f>
        <v>3.846153846153845E-2</v>
      </c>
      <c r="K295" s="102">
        <v>55</v>
      </c>
      <c r="L295" s="35" t="str">
        <f>IFERROR(_xlfn.XLOOKUP(Table6[[#This Row],[Error Code]],'Basic Data'!$AA:$AA,'Basic Data'!$AB:$AB),"Incorrect Error Code")</f>
        <v>WTG shut down</v>
      </c>
      <c r="M295" s="35" t="s">
        <v>291</v>
      </c>
      <c r="N295" s="475"/>
      <c r="O295" s="476">
        <v>0.96736111111111112</v>
      </c>
      <c r="P295" s="476">
        <v>0.96736111111111112</v>
      </c>
      <c r="Q295" s="477">
        <v>1</v>
      </c>
      <c r="R295" s="472">
        <f>IF(Table6[[#This Row],[Work Start TimeStamp]]="","",(Table6[[#This Row],[Work Start TimeStamp]]-Table6[[#This Row],[Fault Start TimeStamp]])*24)</f>
        <v>0</v>
      </c>
      <c r="S295" s="472">
        <f>(Table6[[#This Row],[Fault Clearance time]]-Table6[[#This Row],[Work Start TimeStamp]])*24</f>
        <v>0.78333333333333321</v>
      </c>
      <c r="T295" s="472">
        <f>(Table6[[#This Row],[Fault Clearance time]]-Table6[[#This Row],[Fault Start TimeStamp]])*24</f>
        <v>0.78333333333333321</v>
      </c>
      <c r="U295" s="35" t="s">
        <v>402</v>
      </c>
      <c r="V295" s="102" t="s">
        <v>335</v>
      </c>
      <c r="W295" s="478">
        <f>IFERROR(Table6[[#This Row],[Breakdown Time]]*Table6[[#This Row],[Plant Equivalent Weightage]],"")</f>
        <v>3.0128205128205115E-2</v>
      </c>
      <c r="X295" s="473" t="s">
        <v>290</v>
      </c>
      <c r="Y295" s="474" t="s">
        <v>320</v>
      </c>
      <c r="Z295" s="102">
        <v>33211</v>
      </c>
      <c r="AA295" s="468">
        <f>(Table6[[#This Row],[Paired WTG Generation for loss calculation]]/24)*Table6[[#This Row],[Breakdown Time]]</f>
        <v>1083.9701388888889</v>
      </c>
      <c r="AB295" s="102"/>
      <c r="AC295" s="35"/>
      <c r="AD295" s="35"/>
    </row>
    <row r="296" spans="1:30">
      <c r="A296" s="102">
        <f t="shared" si="5"/>
        <v>295</v>
      </c>
      <c r="B296" s="468">
        <f>YEAR(Table6[[#This Row],[Date]])+IF(MONTH(Table6[[#This Row],[Date]])&gt;=4,1,0)</f>
        <v>2026</v>
      </c>
      <c r="C296" s="102">
        <f>YEAR(Table6[[#This Row],[Date]])</f>
        <v>2025</v>
      </c>
      <c r="D296" s="102" t="s">
        <v>1992</v>
      </c>
      <c r="E296" s="469">
        <f>Table6[[#This Row],[Date]]-DAY(Table6[[#This Row],[Date]])+1</f>
        <v>45748</v>
      </c>
      <c r="F296" s="470">
        <v>45764</v>
      </c>
      <c r="G296" s="35" t="s">
        <v>98</v>
      </c>
      <c r="H296" s="35" t="str">
        <f>IFERROR(_xlfn.XLOOKUP(Table6[[#This Row],[Affected WTG]],'Basic Data'!$A:$A,'Basic Data'!$B:$B),"")</f>
        <v>TQGXIIPL</v>
      </c>
      <c r="I296" s="35" t="str">
        <f>IFERROR(_xlfn.XLOOKUP(Table6[[#This Row],[Affected WTG]],'Basic Data'!$A:$A,'Basic Data'!$C:$C),"")</f>
        <v>GEDA</v>
      </c>
      <c r="J296" s="471">
        <f>IFERROR(_xlfn.XLOOKUP(Table6[[#This Row],[Affected WTG]],'Basic Data'!$A:$A,'Basic Data'!$E:$E),"")</f>
        <v>3.846153846153845E-2</v>
      </c>
      <c r="K296" s="102">
        <v>3110</v>
      </c>
      <c r="L296" s="35" t="str">
        <f>IFERROR(_xlfn.XLOOKUP(Table6[[#This Row],[Error Code]],'Basic Data'!$AA:$AA,'Basic Data'!$AB:$AB),"Incorrect Error Code")</f>
        <v>Frequency converter error</v>
      </c>
      <c r="M296" s="35" t="s">
        <v>291</v>
      </c>
      <c r="N296" s="475"/>
      <c r="O296" s="476">
        <v>0.16597222222222222</v>
      </c>
      <c r="P296" s="476">
        <v>0.16597222222222222</v>
      </c>
      <c r="Q296" s="477">
        <v>0.18541666666666667</v>
      </c>
      <c r="R296" s="472">
        <f>IF(Table6[[#This Row],[Work Start TimeStamp]]="","",(Table6[[#This Row],[Work Start TimeStamp]]-Table6[[#This Row],[Fault Start TimeStamp]])*24)</f>
        <v>0</v>
      </c>
      <c r="S296" s="472">
        <f>(Table6[[#This Row],[Fault Clearance time]]-Table6[[#This Row],[Work Start TimeStamp]])*24</f>
        <v>0.46666666666666701</v>
      </c>
      <c r="T296" s="472">
        <f>(Table6[[#This Row],[Fault Clearance time]]-Table6[[#This Row],[Fault Start TimeStamp]])*24</f>
        <v>0.46666666666666701</v>
      </c>
      <c r="U296" s="35" t="s">
        <v>349</v>
      </c>
      <c r="V296" s="102" t="s">
        <v>293</v>
      </c>
      <c r="W296" s="478">
        <f>IFERROR(Table6[[#This Row],[Breakdown Time]]*Table6[[#This Row],[Plant Equivalent Weightage]],"")</f>
        <v>1.7948717948717958E-2</v>
      </c>
      <c r="X296" s="473" t="s">
        <v>294</v>
      </c>
      <c r="Y296" s="474" t="s">
        <v>315</v>
      </c>
      <c r="Z296" s="102">
        <v>36843</v>
      </c>
      <c r="AA296" s="468">
        <f>(Table6[[#This Row],[Paired WTG Generation for loss calculation]]/24)*Table6[[#This Row],[Breakdown Time]]</f>
        <v>716.39166666666722</v>
      </c>
      <c r="AB296" s="102"/>
      <c r="AC296" s="35"/>
      <c r="AD296" s="35"/>
    </row>
    <row r="297" spans="1:30">
      <c r="A297" s="102">
        <f t="shared" si="5"/>
        <v>296</v>
      </c>
      <c r="B297" s="468">
        <f>YEAR(Table6[[#This Row],[Date]])+IF(MONTH(Table6[[#This Row],[Date]])&gt;=4,1,0)</f>
        <v>2026</v>
      </c>
      <c r="C297" s="102">
        <f>YEAR(Table6[[#This Row],[Date]])</f>
        <v>2025</v>
      </c>
      <c r="D297" s="102" t="s">
        <v>1992</v>
      </c>
      <c r="E297" s="469">
        <f>Table6[[#This Row],[Date]]-DAY(Table6[[#This Row],[Date]])+1</f>
        <v>45748</v>
      </c>
      <c r="F297" s="470">
        <v>45764</v>
      </c>
      <c r="G297" s="35" t="s">
        <v>98</v>
      </c>
      <c r="H297" s="35" t="str">
        <f>IFERROR(_xlfn.XLOOKUP(Table6[[#This Row],[Affected WTG]],'Basic Data'!$A:$A,'Basic Data'!$B:$B),"")</f>
        <v>TQGXIIPL</v>
      </c>
      <c r="I297" s="35" t="str">
        <f>IFERROR(_xlfn.XLOOKUP(Table6[[#This Row],[Affected WTG]],'Basic Data'!$A:$A,'Basic Data'!$C:$C),"")</f>
        <v>GEDA</v>
      </c>
      <c r="J297" s="471">
        <f>IFERROR(_xlfn.XLOOKUP(Table6[[#This Row],[Affected WTG]],'Basic Data'!$A:$A,'Basic Data'!$E:$E),"")</f>
        <v>3.846153846153845E-2</v>
      </c>
      <c r="K297" s="102">
        <v>55</v>
      </c>
      <c r="L297" s="35" t="str">
        <f>IFERROR(_xlfn.XLOOKUP(Table6[[#This Row],[Error Code]],'Basic Data'!$AA:$AA,'Basic Data'!$AB:$AB),"Incorrect Error Code")</f>
        <v>WTG shut down</v>
      </c>
      <c r="M297" s="35" t="s">
        <v>291</v>
      </c>
      <c r="N297" s="475"/>
      <c r="O297" s="476">
        <v>0.77013888888888893</v>
      </c>
      <c r="P297" s="476">
        <v>0.77013888888888893</v>
      </c>
      <c r="Q297" s="477">
        <v>0.77500000000000002</v>
      </c>
      <c r="R297" s="472">
        <f>IF(Table6[[#This Row],[Work Start TimeStamp]]="","",(Table6[[#This Row],[Work Start TimeStamp]]-Table6[[#This Row],[Fault Start TimeStamp]])*24)</f>
        <v>0</v>
      </c>
      <c r="S297" s="472">
        <f>(Table6[[#This Row],[Fault Clearance time]]-Table6[[#This Row],[Work Start TimeStamp]])*24</f>
        <v>0.11666666666666625</v>
      </c>
      <c r="T297" s="472">
        <f>(Table6[[#This Row],[Fault Clearance time]]-Table6[[#This Row],[Fault Start TimeStamp]])*24</f>
        <v>0.11666666666666625</v>
      </c>
      <c r="U297" s="35" t="s">
        <v>389</v>
      </c>
      <c r="V297" s="102" t="s">
        <v>293</v>
      </c>
      <c r="W297" s="478">
        <f>IFERROR(Table6[[#This Row],[Breakdown Time]]*Table6[[#This Row],[Plant Equivalent Weightage]],"")</f>
        <v>4.4871794871794695E-3</v>
      </c>
      <c r="X297" s="473" t="s">
        <v>290</v>
      </c>
      <c r="Y297" s="474" t="s">
        <v>315</v>
      </c>
      <c r="Z297" s="102">
        <v>36843</v>
      </c>
      <c r="AA297" s="468">
        <f>(Table6[[#This Row],[Paired WTG Generation for loss calculation]]/24)*Table6[[#This Row],[Breakdown Time]]</f>
        <v>179.09791666666604</v>
      </c>
      <c r="AB297" s="102"/>
      <c r="AC297" s="35"/>
      <c r="AD297" s="35"/>
    </row>
    <row r="298" spans="1:30">
      <c r="A298" s="102">
        <f t="shared" si="5"/>
        <v>297</v>
      </c>
      <c r="B298" s="468">
        <f>YEAR(Table6[[#This Row],[Date]])+IF(MONTH(Table6[[#This Row],[Date]])&gt;=4,1,0)</f>
        <v>2026</v>
      </c>
      <c r="C298" s="102">
        <f>YEAR(Table6[[#This Row],[Date]])</f>
        <v>2025</v>
      </c>
      <c r="D298" s="102" t="s">
        <v>1992</v>
      </c>
      <c r="E298" s="469">
        <f>Table6[[#This Row],[Date]]-DAY(Table6[[#This Row],[Date]])+1</f>
        <v>45748</v>
      </c>
      <c r="F298" s="470">
        <v>45764</v>
      </c>
      <c r="G298" s="35" t="s">
        <v>98</v>
      </c>
      <c r="H298" s="35" t="str">
        <f>IFERROR(_xlfn.XLOOKUP(Table6[[#This Row],[Affected WTG]],'Basic Data'!$A:$A,'Basic Data'!$B:$B),"")</f>
        <v>TQGXIIPL</v>
      </c>
      <c r="I298" s="35" t="str">
        <f>IFERROR(_xlfn.XLOOKUP(Table6[[#This Row],[Affected WTG]],'Basic Data'!$A:$A,'Basic Data'!$C:$C),"")</f>
        <v>GEDA</v>
      </c>
      <c r="J298" s="471">
        <f>IFERROR(_xlfn.XLOOKUP(Table6[[#This Row],[Affected WTG]],'Basic Data'!$A:$A,'Basic Data'!$E:$E),"")</f>
        <v>3.846153846153845E-2</v>
      </c>
      <c r="K298" s="102">
        <v>55</v>
      </c>
      <c r="L298" s="35" t="str">
        <f>IFERROR(_xlfn.XLOOKUP(Table6[[#This Row],[Error Code]],'Basic Data'!$AA:$AA,'Basic Data'!$AB:$AB),"Incorrect Error Code")</f>
        <v>WTG shut down</v>
      </c>
      <c r="M298" s="35" t="s">
        <v>330</v>
      </c>
      <c r="N298" s="475"/>
      <c r="O298" s="476">
        <v>0.86736111111111114</v>
      </c>
      <c r="P298" s="476">
        <v>0.86736111111111114</v>
      </c>
      <c r="Q298" s="477">
        <v>0.90972222222222221</v>
      </c>
      <c r="R298" s="472">
        <f>IF(Table6[[#This Row],[Work Start TimeStamp]]="","",(Table6[[#This Row],[Work Start TimeStamp]]-Table6[[#This Row],[Fault Start TimeStamp]])*24)</f>
        <v>0</v>
      </c>
      <c r="S298" s="472">
        <f>(Table6[[#This Row],[Fault Clearance time]]-Table6[[#This Row],[Work Start TimeStamp]])*24</f>
        <v>1.0166666666666657</v>
      </c>
      <c r="T298" s="472">
        <f>(Table6[[#This Row],[Fault Clearance time]]-Table6[[#This Row],[Fault Start TimeStamp]])*24</f>
        <v>1.0166666666666657</v>
      </c>
      <c r="U298" s="35" t="s">
        <v>337</v>
      </c>
      <c r="V298" s="102" t="s">
        <v>293</v>
      </c>
      <c r="W298" s="478">
        <f>IFERROR(Table6[[#This Row],[Breakdown Time]]*Table6[[#This Row],[Plant Equivalent Weightage]],"")</f>
        <v>3.9102564102564054E-2</v>
      </c>
      <c r="X298" s="473" t="s">
        <v>290</v>
      </c>
      <c r="Y298" s="474" t="s">
        <v>315</v>
      </c>
      <c r="Z298" s="102">
        <v>36843</v>
      </c>
      <c r="AA298" s="468">
        <f>(Table6[[#This Row],[Paired WTG Generation for loss calculation]]/24)*Table6[[#This Row],[Breakdown Time]]</f>
        <v>1560.7104166666652</v>
      </c>
      <c r="AB298" s="102"/>
      <c r="AC298" s="35"/>
      <c r="AD298" s="35"/>
    </row>
    <row r="299" spans="1:30">
      <c r="A299" s="102">
        <f t="shared" si="5"/>
        <v>298</v>
      </c>
      <c r="B299" s="468">
        <f>YEAR(Table6[[#This Row],[Date]])+IF(MONTH(Table6[[#This Row],[Date]])&gt;=4,1,0)</f>
        <v>2026</v>
      </c>
      <c r="C299" s="102">
        <f>YEAR(Table6[[#This Row],[Date]])</f>
        <v>2025</v>
      </c>
      <c r="D299" s="102" t="s">
        <v>1992</v>
      </c>
      <c r="E299" s="469">
        <f>Table6[[#This Row],[Date]]-DAY(Table6[[#This Row],[Date]])+1</f>
        <v>45748</v>
      </c>
      <c r="F299" s="470">
        <v>45765</v>
      </c>
      <c r="G299" s="35" t="s">
        <v>75</v>
      </c>
      <c r="H299" s="35" t="str">
        <f>IFERROR(_xlfn.XLOOKUP(Table6[[#This Row],[Affected WTG]],'Basic Data'!$A:$A,'Basic Data'!$B:$B),"")</f>
        <v>TQGXIIPL</v>
      </c>
      <c r="I299" s="35" t="str">
        <f>IFERROR(_xlfn.XLOOKUP(Table6[[#This Row],[Affected WTG]],'Basic Data'!$A:$A,'Basic Data'!$C:$C),"")</f>
        <v>GEDA</v>
      </c>
      <c r="J299" s="471">
        <f>IFERROR(_xlfn.XLOOKUP(Table6[[#This Row],[Affected WTG]],'Basic Data'!$A:$A,'Basic Data'!$E:$E),"")</f>
        <v>3.846153846153845E-2</v>
      </c>
      <c r="K299" s="102">
        <v>55</v>
      </c>
      <c r="L299" s="35" t="str">
        <f>IFERROR(_xlfn.XLOOKUP(Table6[[#This Row],[Error Code]],'Basic Data'!$AA:$AA,'Basic Data'!$AB:$AB),"Incorrect Error Code")</f>
        <v>WTG shut down</v>
      </c>
      <c r="M299" s="35" t="s">
        <v>304</v>
      </c>
      <c r="N299" s="475"/>
      <c r="O299" s="476">
        <v>0.27152777777777776</v>
      </c>
      <c r="P299" s="476">
        <v>0.27638888888888891</v>
      </c>
      <c r="Q299" s="477">
        <v>0.51458333333333328</v>
      </c>
      <c r="R299" s="472">
        <f>IF(Table6[[#This Row],[Work Start TimeStamp]]="","",(Table6[[#This Row],[Work Start TimeStamp]]-Table6[[#This Row],[Fault Start TimeStamp]])*24)</f>
        <v>0.11666666666666758</v>
      </c>
      <c r="S299" s="472">
        <f>(Table6[[#This Row],[Fault Clearance time]]-Table6[[#This Row],[Work Start TimeStamp]])*24</f>
        <v>5.716666666666665</v>
      </c>
      <c r="T299" s="472">
        <f>(Table6[[#This Row],[Fault Clearance time]]-Table6[[#This Row],[Fault Start TimeStamp]])*24</f>
        <v>5.8333333333333321</v>
      </c>
      <c r="U299" s="35" t="s">
        <v>395</v>
      </c>
      <c r="V299" s="102" t="s">
        <v>293</v>
      </c>
      <c r="W299" s="478">
        <f>IFERROR(Table6[[#This Row],[Breakdown Time]]*Table6[[#This Row],[Plant Equivalent Weightage]],"")</f>
        <v>0.22435897435897426</v>
      </c>
      <c r="X299" s="473" t="s">
        <v>305</v>
      </c>
      <c r="Y299" s="474" t="s">
        <v>318</v>
      </c>
      <c r="Z299" s="102">
        <v>34316</v>
      </c>
      <c r="AA299" s="468">
        <f>(Table6[[#This Row],[Paired WTG Generation for loss calculation]]/24)*Table6[[#This Row],[Breakdown Time]]</f>
        <v>8340.6944444444416</v>
      </c>
      <c r="AB299" s="102"/>
      <c r="AC299" s="35"/>
      <c r="AD299" s="35"/>
    </row>
    <row r="300" spans="1:30">
      <c r="A300" s="102">
        <f t="shared" si="5"/>
        <v>299</v>
      </c>
      <c r="B300" s="468">
        <f>YEAR(Table6[[#This Row],[Date]])+IF(MONTH(Table6[[#This Row],[Date]])&gt;=4,1,0)</f>
        <v>2026</v>
      </c>
      <c r="C300" s="102">
        <f>YEAR(Table6[[#This Row],[Date]])</f>
        <v>2025</v>
      </c>
      <c r="D300" s="102" t="s">
        <v>1992</v>
      </c>
      <c r="E300" s="469">
        <f>Table6[[#This Row],[Date]]-DAY(Table6[[#This Row],[Date]])+1</f>
        <v>45748</v>
      </c>
      <c r="F300" s="470">
        <v>45765</v>
      </c>
      <c r="G300" s="35" t="s">
        <v>76</v>
      </c>
      <c r="H300" s="35" t="str">
        <f>IFERROR(_xlfn.XLOOKUP(Table6[[#This Row],[Affected WTG]],'Basic Data'!$A:$A,'Basic Data'!$B:$B),"")</f>
        <v>TQGXIIPL</v>
      </c>
      <c r="I300" s="35" t="str">
        <f>IFERROR(_xlfn.XLOOKUP(Table6[[#This Row],[Affected WTG]],'Basic Data'!$A:$A,'Basic Data'!$C:$C),"")</f>
        <v>GEDA</v>
      </c>
      <c r="J300" s="471">
        <f>IFERROR(_xlfn.XLOOKUP(Table6[[#This Row],[Affected WTG]],'Basic Data'!$A:$A,'Basic Data'!$E:$E),"")</f>
        <v>3.846153846153845E-2</v>
      </c>
      <c r="K300" s="102">
        <v>4960</v>
      </c>
      <c r="L300" s="35" t="str">
        <f>IFERROR(_xlfn.XLOOKUP(Table6[[#This Row],[Error Code]],'Basic Data'!$AA:$AA,'Basic Data'!$AB:$AB),"Incorrect Error Code")</f>
        <v>Tower oscillation YF</v>
      </c>
      <c r="M300" s="35" t="s">
        <v>291</v>
      </c>
      <c r="N300" s="475"/>
      <c r="O300" s="476">
        <v>0.55208333333333337</v>
      </c>
      <c r="P300" s="476">
        <v>0.55208333333333337</v>
      </c>
      <c r="Q300" s="477">
        <v>0.56319444444444444</v>
      </c>
      <c r="R300" s="472">
        <f>IF(Table6[[#This Row],[Work Start TimeStamp]]="","",(Table6[[#This Row],[Work Start TimeStamp]]-Table6[[#This Row],[Fault Start TimeStamp]])*24)</f>
        <v>0</v>
      </c>
      <c r="S300" s="472">
        <f>(Table6[[#This Row],[Fault Clearance time]]-Table6[[#This Row],[Work Start TimeStamp]])*24</f>
        <v>0.26666666666666572</v>
      </c>
      <c r="T300" s="472">
        <f>(Table6[[#This Row],[Fault Clearance time]]-Table6[[#This Row],[Fault Start TimeStamp]])*24</f>
        <v>0.26666666666666572</v>
      </c>
      <c r="U300" s="35" t="s">
        <v>349</v>
      </c>
      <c r="V300" s="102" t="s">
        <v>293</v>
      </c>
      <c r="W300" s="478">
        <f>IFERROR(Table6[[#This Row],[Breakdown Time]]*Table6[[#This Row],[Plant Equivalent Weightage]],"")</f>
        <v>1.0256410256410217E-2</v>
      </c>
      <c r="X300" s="473" t="s">
        <v>294</v>
      </c>
      <c r="Y300" s="474" t="s">
        <v>309</v>
      </c>
      <c r="Z300" s="102">
        <v>31138</v>
      </c>
      <c r="AA300" s="468">
        <f>(Table6[[#This Row],[Paired WTG Generation for loss calculation]]/24)*Table6[[#This Row],[Breakdown Time]]</f>
        <v>345.97777777777657</v>
      </c>
      <c r="AB300" s="102"/>
      <c r="AC300" s="35"/>
      <c r="AD300" s="35"/>
    </row>
    <row r="301" spans="1:30">
      <c r="A301" s="102">
        <f t="shared" si="5"/>
        <v>300</v>
      </c>
      <c r="B301" s="468">
        <f>YEAR(Table6[[#This Row],[Date]])+IF(MONTH(Table6[[#This Row],[Date]])&gt;=4,1,0)</f>
        <v>2026</v>
      </c>
      <c r="C301" s="102">
        <f>YEAR(Table6[[#This Row],[Date]])</f>
        <v>2025</v>
      </c>
      <c r="D301" s="102" t="s">
        <v>1992</v>
      </c>
      <c r="E301" s="469">
        <f>Table6[[#This Row],[Date]]-DAY(Table6[[#This Row],[Date]])+1</f>
        <v>45748</v>
      </c>
      <c r="F301" s="470">
        <v>45765</v>
      </c>
      <c r="G301" s="35" t="s">
        <v>77</v>
      </c>
      <c r="H301" s="35" t="str">
        <f>IFERROR(_xlfn.XLOOKUP(Table6[[#This Row],[Affected WTG]],'Basic Data'!$A:$A,'Basic Data'!$B:$B),"")</f>
        <v>TQGXIIPL</v>
      </c>
      <c r="I301" s="35" t="str">
        <f>IFERROR(_xlfn.XLOOKUP(Table6[[#This Row],[Affected WTG]],'Basic Data'!$A:$A,'Basic Data'!$C:$C),"")</f>
        <v>GEDA</v>
      </c>
      <c r="J301" s="471">
        <f>IFERROR(_xlfn.XLOOKUP(Table6[[#This Row],[Affected WTG]],'Basic Data'!$A:$A,'Basic Data'!$E:$E),"")</f>
        <v>3.846153846153845E-2</v>
      </c>
      <c r="K301" s="102">
        <v>4960</v>
      </c>
      <c r="L301" s="35" t="str">
        <f>IFERROR(_xlfn.XLOOKUP(Table6[[#This Row],[Error Code]],'Basic Data'!$AA:$AA,'Basic Data'!$AB:$AB),"Incorrect Error Code")</f>
        <v>Tower oscillation YF</v>
      </c>
      <c r="M301" s="35" t="s">
        <v>291</v>
      </c>
      <c r="N301" s="475"/>
      <c r="O301" s="476">
        <v>0.68888888888888888</v>
      </c>
      <c r="P301" s="476">
        <v>0.68888888888888888</v>
      </c>
      <c r="Q301" s="477">
        <v>0.7</v>
      </c>
      <c r="R301" s="472">
        <f>IF(Table6[[#This Row],[Work Start TimeStamp]]="","",(Table6[[#This Row],[Work Start TimeStamp]]-Table6[[#This Row],[Fault Start TimeStamp]])*24)</f>
        <v>0</v>
      </c>
      <c r="S301" s="472">
        <f>(Table6[[#This Row],[Fault Clearance time]]-Table6[[#This Row],[Work Start TimeStamp]])*24</f>
        <v>0.26666666666666572</v>
      </c>
      <c r="T301" s="472">
        <f>(Table6[[#This Row],[Fault Clearance time]]-Table6[[#This Row],[Fault Start TimeStamp]])*24</f>
        <v>0.26666666666666572</v>
      </c>
      <c r="U301" s="35" t="s">
        <v>349</v>
      </c>
      <c r="V301" s="102" t="s">
        <v>293</v>
      </c>
      <c r="W301" s="478">
        <f>IFERROR(Table6[[#This Row],[Breakdown Time]]*Table6[[#This Row],[Plant Equivalent Weightage]],"")</f>
        <v>1.0256410256410217E-2</v>
      </c>
      <c r="X301" s="473" t="s">
        <v>294</v>
      </c>
      <c r="Y301" s="474" t="s">
        <v>310</v>
      </c>
      <c r="Z301" s="102">
        <v>45438</v>
      </c>
      <c r="AA301" s="468">
        <f>(Table6[[#This Row],[Paired WTG Generation for loss calculation]]/24)*Table6[[#This Row],[Breakdown Time]]</f>
        <v>504.86666666666486</v>
      </c>
      <c r="AB301" s="102"/>
      <c r="AC301" s="35"/>
      <c r="AD301" s="35"/>
    </row>
    <row r="302" spans="1:30">
      <c r="A302" s="102">
        <f t="shared" si="5"/>
        <v>301</v>
      </c>
      <c r="B302" s="468">
        <f>YEAR(Table6[[#This Row],[Date]])+IF(MONTH(Table6[[#This Row],[Date]])&gt;=4,1,0)</f>
        <v>2026</v>
      </c>
      <c r="C302" s="102">
        <f>YEAR(Table6[[#This Row],[Date]])</f>
        <v>2025</v>
      </c>
      <c r="D302" s="102" t="s">
        <v>1992</v>
      </c>
      <c r="E302" s="469">
        <f>Table6[[#This Row],[Date]]-DAY(Table6[[#This Row],[Date]])+1</f>
        <v>45748</v>
      </c>
      <c r="F302" s="470">
        <v>45765</v>
      </c>
      <c r="G302" s="35" t="s">
        <v>78</v>
      </c>
      <c r="H302" s="35" t="str">
        <f>IFERROR(_xlfn.XLOOKUP(Table6[[#This Row],[Affected WTG]],'Basic Data'!$A:$A,'Basic Data'!$B:$B),"")</f>
        <v>TQGXIIPL</v>
      </c>
      <c r="I302" s="35" t="str">
        <f>IFERROR(_xlfn.XLOOKUP(Table6[[#This Row],[Affected WTG]],'Basic Data'!$A:$A,'Basic Data'!$C:$C),"")</f>
        <v>GEDA</v>
      </c>
      <c r="J302" s="471">
        <f>IFERROR(_xlfn.XLOOKUP(Table6[[#This Row],[Affected WTG]],'Basic Data'!$A:$A,'Basic Data'!$E:$E),"")</f>
        <v>3.846153846153845E-2</v>
      </c>
      <c r="K302" s="102">
        <v>3211</v>
      </c>
      <c r="L302" s="35" t="str">
        <f>IFERROR(_xlfn.XLOOKUP(Table6[[#This Row],[Error Code]],'Basic Data'!$AA:$AA,'Basic Data'!$AB:$AB),"Incorrect Error Code")</f>
        <v>Conv. load shedding (CAN)</v>
      </c>
      <c r="M302" s="35" t="s">
        <v>291</v>
      </c>
      <c r="N302" s="475"/>
      <c r="O302" s="476">
        <v>0.15347222222222223</v>
      </c>
      <c r="P302" s="476">
        <v>0.15347222222222223</v>
      </c>
      <c r="Q302" s="477">
        <v>0.15763888888888888</v>
      </c>
      <c r="R302" s="472">
        <f>IF(Table6[[#This Row],[Work Start TimeStamp]]="","",(Table6[[#This Row],[Work Start TimeStamp]]-Table6[[#This Row],[Fault Start TimeStamp]])*24)</f>
        <v>0</v>
      </c>
      <c r="S302" s="472">
        <f>(Table6[[#This Row],[Fault Clearance time]]-Table6[[#This Row],[Work Start TimeStamp]])*24</f>
        <v>9.9999999999999645E-2</v>
      </c>
      <c r="T302" s="472">
        <f>(Table6[[#This Row],[Fault Clearance time]]-Table6[[#This Row],[Fault Start TimeStamp]])*24</f>
        <v>9.9999999999999645E-2</v>
      </c>
      <c r="U302" s="35" t="s">
        <v>349</v>
      </c>
      <c r="V302" s="102" t="s">
        <v>293</v>
      </c>
      <c r="W302" s="478">
        <f>IFERROR(Table6[[#This Row],[Breakdown Time]]*Table6[[#This Row],[Plant Equivalent Weightage]],"")</f>
        <v>3.8461538461538312E-3</v>
      </c>
      <c r="X302" s="473" t="s">
        <v>294</v>
      </c>
      <c r="Y302" s="474" t="s">
        <v>333</v>
      </c>
      <c r="Z302" s="102">
        <v>34912</v>
      </c>
      <c r="AA302" s="468">
        <f>(Table6[[#This Row],[Paired WTG Generation for loss calculation]]/24)*Table6[[#This Row],[Breakdown Time]]</f>
        <v>145.46666666666616</v>
      </c>
      <c r="AB302" s="102"/>
      <c r="AC302" s="35"/>
      <c r="AD302" s="35"/>
    </row>
    <row r="303" spans="1:30">
      <c r="A303" s="102">
        <f t="shared" si="5"/>
        <v>302</v>
      </c>
      <c r="B303" s="468">
        <f>YEAR(Table6[[#This Row],[Date]])+IF(MONTH(Table6[[#This Row],[Date]])&gt;=4,1,0)</f>
        <v>2026</v>
      </c>
      <c r="C303" s="102">
        <f>YEAR(Table6[[#This Row],[Date]])</f>
        <v>2025</v>
      </c>
      <c r="D303" s="102" t="s">
        <v>1992</v>
      </c>
      <c r="E303" s="469">
        <f>Table6[[#This Row],[Date]]-DAY(Table6[[#This Row],[Date]])+1</f>
        <v>45748</v>
      </c>
      <c r="F303" s="470">
        <v>45765</v>
      </c>
      <c r="G303" s="35" t="s">
        <v>78</v>
      </c>
      <c r="H303" s="35" t="str">
        <f>IFERROR(_xlfn.XLOOKUP(Table6[[#This Row],[Affected WTG]],'Basic Data'!$A:$A,'Basic Data'!$B:$B),"")</f>
        <v>TQGXIIPL</v>
      </c>
      <c r="I303" s="35" t="str">
        <f>IFERROR(_xlfn.XLOOKUP(Table6[[#This Row],[Affected WTG]],'Basic Data'!$A:$A,'Basic Data'!$C:$C),"")</f>
        <v>GEDA</v>
      </c>
      <c r="J303" s="471">
        <f>IFERROR(_xlfn.XLOOKUP(Table6[[#This Row],[Affected WTG]],'Basic Data'!$A:$A,'Basic Data'!$E:$E),"")</f>
        <v>3.846153846153845E-2</v>
      </c>
      <c r="K303" s="102">
        <v>3211</v>
      </c>
      <c r="L303" s="35" t="str">
        <f>IFERROR(_xlfn.XLOOKUP(Table6[[#This Row],[Error Code]],'Basic Data'!$AA:$AA,'Basic Data'!$AB:$AB),"Incorrect Error Code")</f>
        <v>Conv. load shedding (CAN)</v>
      </c>
      <c r="M303" s="35" t="s">
        <v>291</v>
      </c>
      <c r="N303" s="475"/>
      <c r="O303" s="476">
        <v>0.16666666666666666</v>
      </c>
      <c r="P303" s="476">
        <v>0.16666666666666666</v>
      </c>
      <c r="Q303" s="477">
        <v>0.2</v>
      </c>
      <c r="R303" s="472">
        <f>IF(Table6[[#This Row],[Work Start TimeStamp]]="","",(Table6[[#This Row],[Work Start TimeStamp]]-Table6[[#This Row],[Fault Start TimeStamp]])*24)</f>
        <v>0</v>
      </c>
      <c r="S303" s="472">
        <f>(Table6[[#This Row],[Fault Clearance time]]-Table6[[#This Row],[Work Start TimeStamp]])*24</f>
        <v>0.80000000000000049</v>
      </c>
      <c r="T303" s="472">
        <f>(Table6[[#This Row],[Fault Clearance time]]-Table6[[#This Row],[Fault Start TimeStamp]])*24</f>
        <v>0.80000000000000049</v>
      </c>
      <c r="U303" s="35" t="s">
        <v>411</v>
      </c>
      <c r="V303" s="102" t="s">
        <v>293</v>
      </c>
      <c r="W303" s="478">
        <f>IFERROR(Table6[[#This Row],[Breakdown Time]]*Table6[[#This Row],[Plant Equivalent Weightage]],"")</f>
        <v>3.0769230769230778E-2</v>
      </c>
      <c r="X303" s="473" t="s">
        <v>294</v>
      </c>
      <c r="Y303" s="474" t="s">
        <v>333</v>
      </c>
      <c r="Z303" s="102">
        <v>34912</v>
      </c>
      <c r="AA303" s="468">
        <f>(Table6[[#This Row],[Paired WTG Generation for loss calculation]]/24)*Table6[[#This Row],[Breakdown Time]]</f>
        <v>1163.733333333334</v>
      </c>
      <c r="AB303" s="102"/>
      <c r="AC303" s="35"/>
      <c r="AD303" s="35"/>
    </row>
    <row r="304" spans="1:30">
      <c r="A304" s="102">
        <f t="shared" si="5"/>
        <v>303</v>
      </c>
      <c r="B304" s="468">
        <f>YEAR(Table6[[#This Row],[Date]])+IF(MONTH(Table6[[#This Row],[Date]])&gt;=4,1,0)</f>
        <v>2026</v>
      </c>
      <c r="C304" s="102">
        <f>YEAR(Table6[[#This Row],[Date]])</f>
        <v>2025</v>
      </c>
      <c r="D304" s="102" t="s">
        <v>1992</v>
      </c>
      <c r="E304" s="469">
        <f>Table6[[#This Row],[Date]]-DAY(Table6[[#This Row],[Date]])+1</f>
        <v>45748</v>
      </c>
      <c r="F304" s="470">
        <v>45765</v>
      </c>
      <c r="G304" s="35" t="s">
        <v>78</v>
      </c>
      <c r="H304" s="35" t="str">
        <f>IFERROR(_xlfn.XLOOKUP(Table6[[#This Row],[Affected WTG]],'Basic Data'!$A:$A,'Basic Data'!$B:$B),"")</f>
        <v>TQGXIIPL</v>
      </c>
      <c r="I304" s="35" t="str">
        <f>IFERROR(_xlfn.XLOOKUP(Table6[[#This Row],[Affected WTG]],'Basic Data'!$A:$A,'Basic Data'!$C:$C),"")</f>
        <v>GEDA</v>
      </c>
      <c r="J304" s="471">
        <f>IFERROR(_xlfn.XLOOKUP(Table6[[#This Row],[Affected WTG]],'Basic Data'!$A:$A,'Basic Data'!$E:$E),"")</f>
        <v>3.846153846153845E-2</v>
      </c>
      <c r="K304" s="102">
        <v>3211</v>
      </c>
      <c r="L304" s="35" t="str">
        <f>IFERROR(_xlfn.XLOOKUP(Table6[[#This Row],[Error Code]],'Basic Data'!$AA:$AA,'Basic Data'!$AB:$AB),"Incorrect Error Code")</f>
        <v>Conv. load shedding (CAN)</v>
      </c>
      <c r="M304" s="35" t="s">
        <v>291</v>
      </c>
      <c r="N304" s="475"/>
      <c r="O304" s="476">
        <v>0.41249999999999998</v>
      </c>
      <c r="P304" s="476">
        <v>0.41875000000000001</v>
      </c>
      <c r="Q304" s="477">
        <v>0.46458333333333335</v>
      </c>
      <c r="R304" s="472">
        <f>IF(Table6[[#This Row],[Work Start TimeStamp]]="","",(Table6[[#This Row],[Work Start TimeStamp]]-Table6[[#This Row],[Fault Start TimeStamp]])*24)</f>
        <v>0.1500000000000008</v>
      </c>
      <c r="S304" s="472">
        <f>(Table6[[#This Row],[Fault Clearance time]]-Table6[[#This Row],[Work Start TimeStamp]])*24</f>
        <v>1.1000000000000001</v>
      </c>
      <c r="T304" s="472">
        <f>(Table6[[#This Row],[Fault Clearance time]]-Table6[[#This Row],[Fault Start TimeStamp]])*24</f>
        <v>1.2500000000000009</v>
      </c>
      <c r="U304" s="35" t="s">
        <v>412</v>
      </c>
      <c r="V304" s="102" t="s">
        <v>293</v>
      </c>
      <c r="W304" s="478">
        <f>IFERROR(Table6[[#This Row],[Breakdown Time]]*Table6[[#This Row],[Plant Equivalent Weightage]],"")</f>
        <v>4.8076923076923093E-2</v>
      </c>
      <c r="X304" s="473" t="s">
        <v>294</v>
      </c>
      <c r="Y304" s="474" t="s">
        <v>333</v>
      </c>
      <c r="Z304" s="102">
        <v>34912</v>
      </c>
      <c r="AA304" s="468">
        <f>(Table6[[#This Row],[Paired WTG Generation for loss calculation]]/24)*Table6[[#This Row],[Breakdown Time]]</f>
        <v>1818.3333333333346</v>
      </c>
      <c r="AB304" s="102"/>
      <c r="AC304" s="35"/>
      <c r="AD304" s="35"/>
    </row>
    <row r="305" spans="1:30">
      <c r="A305" s="102">
        <f t="shared" si="5"/>
        <v>304</v>
      </c>
      <c r="B305" s="468">
        <f>YEAR(Table6[[#This Row],[Date]])+IF(MONTH(Table6[[#This Row],[Date]])&gt;=4,1,0)</f>
        <v>2026</v>
      </c>
      <c r="C305" s="102">
        <f>YEAR(Table6[[#This Row],[Date]])</f>
        <v>2025</v>
      </c>
      <c r="D305" s="102" t="s">
        <v>1992</v>
      </c>
      <c r="E305" s="469">
        <f>Table6[[#This Row],[Date]]-DAY(Table6[[#This Row],[Date]])+1</f>
        <v>45748</v>
      </c>
      <c r="F305" s="470">
        <v>45765</v>
      </c>
      <c r="G305" s="35" t="s">
        <v>78</v>
      </c>
      <c r="H305" s="35" t="str">
        <f>IFERROR(_xlfn.XLOOKUP(Table6[[#This Row],[Affected WTG]],'Basic Data'!$A:$A,'Basic Data'!$B:$B),"")</f>
        <v>TQGXIIPL</v>
      </c>
      <c r="I305" s="35" t="str">
        <f>IFERROR(_xlfn.XLOOKUP(Table6[[#This Row],[Affected WTG]],'Basic Data'!$A:$A,'Basic Data'!$C:$C),"")</f>
        <v>GEDA</v>
      </c>
      <c r="J305" s="471">
        <f>IFERROR(_xlfn.XLOOKUP(Table6[[#This Row],[Affected WTG]],'Basic Data'!$A:$A,'Basic Data'!$E:$E),"")</f>
        <v>3.846153846153845E-2</v>
      </c>
      <c r="K305" s="102">
        <v>55</v>
      </c>
      <c r="L305" s="35" t="str">
        <f>IFERROR(_xlfn.XLOOKUP(Table6[[#This Row],[Error Code]],'Basic Data'!$AA:$AA,'Basic Data'!$AB:$AB),"Incorrect Error Code")</f>
        <v>WTG shut down</v>
      </c>
      <c r="M305" s="35" t="s">
        <v>330</v>
      </c>
      <c r="N305" s="475"/>
      <c r="O305" s="476">
        <v>0.7680555555555556</v>
      </c>
      <c r="P305" s="476">
        <v>0.7680555555555556</v>
      </c>
      <c r="Q305" s="477">
        <v>0.83472222222222225</v>
      </c>
      <c r="R305" s="472">
        <f>IF(Table6[[#This Row],[Work Start TimeStamp]]="","",(Table6[[#This Row],[Work Start TimeStamp]]-Table6[[#This Row],[Fault Start TimeStamp]])*24)</f>
        <v>0</v>
      </c>
      <c r="S305" s="472">
        <f>(Table6[[#This Row],[Fault Clearance time]]-Table6[[#This Row],[Work Start TimeStamp]])*24</f>
        <v>1.5999999999999996</v>
      </c>
      <c r="T305" s="472">
        <f>(Table6[[#This Row],[Fault Clearance time]]-Table6[[#This Row],[Fault Start TimeStamp]])*24</f>
        <v>1.5999999999999996</v>
      </c>
      <c r="U305" s="35" t="s">
        <v>337</v>
      </c>
      <c r="V305" s="102" t="s">
        <v>293</v>
      </c>
      <c r="W305" s="478">
        <f>IFERROR(Table6[[#This Row],[Breakdown Time]]*Table6[[#This Row],[Plant Equivalent Weightage]],"")</f>
        <v>6.1538461538461507E-2</v>
      </c>
      <c r="X305" s="473" t="s">
        <v>290</v>
      </c>
      <c r="Y305" s="474" t="s">
        <v>333</v>
      </c>
      <c r="Z305" s="102">
        <v>34912</v>
      </c>
      <c r="AA305" s="468">
        <f>(Table6[[#This Row],[Paired WTG Generation for loss calculation]]/24)*Table6[[#This Row],[Breakdown Time]]</f>
        <v>2327.4666666666662</v>
      </c>
      <c r="AB305" s="102"/>
      <c r="AC305" s="35"/>
      <c r="AD305" s="35"/>
    </row>
    <row r="306" spans="1:30">
      <c r="A306" s="102">
        <f t="shared" si="5"/>
        <v>305</v>
      </c>
      <c r="B306" s="468">
        <f>YEAR(Table6[[#This Row],[Date]])+IF(MONTH(Table6[[#This Row],[Date]])&gt;=4,1,0)</f>
        <v>2026</v>
      </c>
      <c r="C306" s="102">
        <f>YEAR(Table6[[#This Row],[Date]])</f>
        <v>2025</v>
      </c>
      <c r="D306" s="102" t="s">
        <v>1992</v>
      </c>
      <c r="E306" s="469">
        <f>Table6[[#This Row],[Date]]-DAY(Table6[[#This Row],[Date]])+1</f>
        <v>45748</v>
      </c>
      <c r="F306" s="470">
        <v>45765</v>
      </c>
      <c r="G306" s="35" t="s">
        <v>79</v>
      </c>
      <c r="H306" s="35" t="str">
        <f>IFERROR(_xlfn.XLOOKUP(Table6[[#This Row],[Affected WTG]],'Basic Data'!$A:$A,'Basic Data'!$B:$B),"")</f>
        <v>TQGXIIPL</v>
      </c>
      <c r="I306" s="35" t="str">
        <f>IFERROR(_xlfn.XLOOKUP(Table6[[#This Row],[Affected WTG]],'Basic Data'!$A:$A,'Basic Data'!$C:$C),"")</f>
        <v>GEDA</v>
      </c>
      <c r="J306" s="471">
        <f>IFERROR(_xlfn.XLOOKUP(Table6[[#This Row],[Affected WTG]],'Basic Data'!$A:$A,'Basic Data'!$E:$E),"")</f>
        <v>3.846153846153845E-2</v>
      </c>
      <c r="K306" s="102">
        <v>55</v>
      </c>
      <c r="L306" s="35" t="str">
        <f>IFERROR(_xlfn.XLOOKUP(Table6[[#This Row],[Error Code]],'Basic Data'!$AA:$AA,'Basic Data'!$AB:$AB),"Incorrect Error Code")</f>
        <v>WTG shut down</v>
      </c>
      <c r="M306" s="35" t="s">
        <v>291</v>
      </c>
      <c r="N306" s="475"/>
      <c r="O306" s="476">
        <v>0.70694444444444449</v>
      </c>
      <c r="P306" s="476">
        <v>0.70694444444444449</v>
      </c>
      <c r="Q306" s="477">
        <v>0.72777777777777775</v>
      </c>
      <c r="R306" s="472">
        <f>IF(Table6[[#This Row],[Work Start TimeStamp]]="","",(Table6[[#This Row],[Work Start TimeStamp]]-Table6[[#This Row],[Fault Start TimeStamp]])*24)</f>
        <v>0</v>
      </c>
      <c r="S306" s="472">
        <f>(Table6[[#This Row],[Fault Clearance time]]-Table6[[#This Row],[Work Start TimeStamp]])*24</f>
        <v>0.49999999999999822</v>
      </c>
      <c r="T306" s="472">
        <f>(Table6[[#This Row],[Fault Clearance time]]-Table6[[#This Row],[Fault Start TimeStamp]])*24</f>
        <v>0.49999999999999822</v>
      </c>
      <c r="U306" s="35" t="s">
        <v>389</v>
      </c>
      <c r="V306" s="102" t="s">
        <v>293</v>
      </c>
      <c r="W306" s="478">
        <f>IFERROR(Table6[[#This Row],[Breakdown Time]]*Table6[[#This Row],[Plant Equivalent Weightage]],"")</f>
        <v>1.9230769230769156E-2</v>
      </c>
      <c r="X306" s="473" t="s">
        <v>290</v>
      </c>
      <c r="Y306" s="474" t="s">
        <v>325</v>
      </c>
      <c r="Z306" s="102">
        <v>31662</v>
      </c>
      <c r="AA306" s="468">
        <f>(Table6[[#This Row],[Paired WTG Generation for loss calculation]]/24)*Table6[[#This Row],[Breakdown Time]]</f>
        <v>659.62499999999761</v>
      </c>
      <c r="AB306" s="102"/>
      <c r="AC306" s="35"/>
      <c r="AD306" s="35"/>
    </row>
    <row r="307" spans="1:30">
      <c r="A307" s="102">
        <f t="shared" si="5"/>
        <v>306</v>
      </c>
      <c r="B307" s="468">
        <f>YEAR(Table6[[#This Row],[Date]])+IF(MONTH(Table6[[#This Row],[Date]])&gt;=4,1,0)</f>
        <v>2026</v>
      </c>
      <c r="C307" s="102">
        <f>YEAR(Table6[[#This Row],[Date]])</f>
        <v>2025</v>
      </c>
      <c r="D307" s="102" t="s">
        <v>1992</v>
      </c>
      <c r="E307" s="469">
        <f>Table6[[#This Row],[Date]]-DAY(Table6[[#This Row],[Date]])+1</f>
        <v>45748</v>
      </c>
      <c r="F307" s="470">
        <v>45765</v>
      </c>
      <c r="G307" s="35" t="s">
        <v>84</v>
      </c>
      <c r="H307" s="35" t="str">
        <f>IFERROR(_xlfn.XLOOKUP(Table6[[#This Row],[Affected WTG]],'Basic Data'!$A:$A,'Basic Data'!$B:$B),"")</f>
        <v>TQGXIIPL</v>
      </c>
      <c r="I307" s="35" t="str">
        <f>IFERROR(_xlfn.XLOOKUP(Table6[[#This Row],[Affected WTG]],'Basic Data'!$A:$A,'Basic Data'!$C:$C),"")</f>
        <v>GEDA</v>
      </c>
      <c r="J307" s="471">
        <f>IFERROR(_xlfn.XLOOKUP(Table6[[#This Row],[Affected WTG]],'Basic Data'!$A:$A,'Basic Data'!$E:$E),"")</f>
        <v>3.846153846153845E-2</v>
      </c>
      <c r="K307" s="102">
        <v>175</v>
      </c>
      <c r="L307" s="35" t="str">
        <f>IFERROR(_xlfn.XLOOKUP(Table6[[#This Row],[Error Code]],'Basic Data'!$AA:$AA,'Basic Data'!$AB:$AB),"Incorrect Error Code")</f>
        <v>SLC error</v>
      </c>
      <c r="M307" s="35" t="s">
        <v>291</v>
      </c>
      <c r="N307" s="475"/>
      <c r="O307" s="476">
        <v>1.3888888888888889E-3</v>
      </c>
      <c r="P307" s="476">
        <v>1.3888888888888889E-3</v>
      </c>
      <c r="Q307" s="477">
        <v>2.6388888888888889E-2</v>
      </c>
      <c r="R307" s="472">
        <f>IF(Table6[[#This Row],[Work Start TimeStamp]]="","",(Table6[[#This Row],[Work Start TimeStamp]]-Table6[[#This Row],[Fault Start TimeStamp]])*24)</f>
        <v>0</v>
      </c>
      <c r="S307" s="472">
        <f>(Table6[[#This Row],[Fault Clearance time]]-Table6[[#This Row],[Work Start TimeStamp]])*24</f>
        <v>0.60000000000000009</v>
      </c>
      <c r="T307" s="472">
        <f>(Table6[[#This Row],[Fault Clearance time]]-Table6[[#This Row],[Fault Start TimeStamp]])*24</f>
        <v>0.60000000000000009</v>
      </c>
      <c r="U307" s="35" t="s">
        <v>349</v>
      </c>
      <c r="V307" s="102" t="s">
        <v>293</v>
      </c>
      <c r="W307" s="478">
        <f>IFERROR(Table6[[#This Row],[Breakdown Time]]*Table6[[#This Row],[Plant Equivalent Weightage]],"")</f>
        <v>2.3076923076923075E-2</v>
      </c>
      <c r="X307" s="473" t="s">
        <v>294</v>
      </c>
      <c r="Y307" s="474" t="s">
        <v>327</v>
      </c>
      <c r="Z307" s="102">
        <v>30866</v>
      </c>
      <c r="AA307" s="468">
        <f>(Table6[[#This Row],[Paired WTG Generation for loss calculation]]/24)*Table6[[#This Row],[Breakdown Time]]</f>
        <v>771.65000000000009</v>
      </c>
      <c r="AB307" s="102"/>
      <c r="AC307" s="35"/>
      <c r="AD307" s="35"/>
    </row>
    <row r="308" spans="1:30">
      <c r="A308" s="102">
        <f t="shared" si="5"/>
        <v>307</v>
      </c>
      <c r="B308" s="468">
        <f>YEAR(Table6[[#This Row],[Date]])+IF(MONTH(Table6[[#This Row],[Date]])&gt;=4,1,0)</f>
        <v>2026</v>
      </c>
      <c r="C308" s="102">
        <f>YEAR(Table6[[#This Row],[Date]])</f>
        <v>2025</v>
      </c>
      <c r="D308" s="102" t="s">
        <v>1992</v>
      </c>
      <c r="E308" s="469">
        <f>Table6[[#This Row],[Date]]-DAY(Table6[[#This Row],[Date]])+1</f>
        <v>45748</v>
      </c>
      <c r="F308" s="470">
        <v>45765</v>
      </c>
      <c r="G308" s="35" t="s">
        <v>84</v>
      </c>
      <c r="H308" s="35" t="str">
        <f>IFERROR(_xlfn.XLOOKUP(Table6[[#This Row],[Affected WTG]],'Basic Data'!$A:$A,'Basic Data'!$B:$B),"")</f>
        <v>TQGXIIPL</v>
      </c>
      <c r="I308" s="35" t="str">
        <f>IFERROR(_xlfn.XLOOKUP(Table6[[#This Row],[Affected WTG]],'Basic Data'!$A:$A,'Basic Data'!$C:$C),"")</f>
        <v>GEDA</v>
      </c>
      <c r="J308" s="471">
        <f>IFERROR(_xlfn.XLOOKUP(Table6[[#This Row],[Affected WTG]],'Basic Data'!$A:$A,'Basic Data'!$E:$E),"")</f>
        <v>3.846153846153845E-2</v>
      </c>
      <c r="K308" s="102">
        <v>175</v>
      </c>
      <c r="L308" s="35" t="str">
        <f>IFERROR(_xlfn.XLOOKUP(Table6[[#This Row],[Error Code]],'Basic Data'!$AA:$AA,'Basic Data'!$AB:$AB),"Incorrect Error Code")</f>
        <v>SLC error</v>
      </c>
      <c r="M308" s="35" t="s">
        <v>291</v>
      </c>
      <c r="N308" s="475"/>
      <c r="O308" s="476">
        <v>0.5854166666666667</v>
      </c>
      <c r="P308" s="476">
        <v>0.5854166666666667</v>
      </c>
      <c r="Q308" s="477">
        <v>0.62777777777777777</v>
      </c>
      <c r="R308" s="472">
        <f>IF(Table6[[#This Row],[Work Start TimeStamp]]="","",(Table6[[#This Row],[Work Start TimeStamp]]-Table6[[#This Row],[Fault Start TimeStamp]])*24)</f>
        <v>0</v>
      </c>
      <c r="S308" s="472">
        <f>(Table6[[#This Row],[Fault Clearance time]]-Table6[[#This Row],[Work Start TimeStamp]])*24</f>
        <v>1.0166666666666657</v>
      </c>
      <c r="T308" s="472">
        <f>(Table6[[#This Row],[Fault Clearance time]]-Table6[[#This Row],[Fault Start TimeStamp]])*24</f>
        <v>1.0166666666666657</v>
      </c>
      <c r="U308" s="35" t="s">
        <v>413</v>
      </c>
      <c r="V308" s="102" t="s">
        <v>293</v>
      </c>
      <c r="W308" s="478">
        <f>IFERROR(Table6[[#This Row],[Breakdown Time]]*Table6[[#This Row],[Plant Equivalent Weightage]],"")</f>
        <v>3.9102564102564054E-2</v>
      </c>
      <c r="X308" s="473" t="s">
        <v>294</v>
      </c>
      <c r="Y308" s="474" t="s">
        <v>327</v>
      </c>
      <c r="Z308" s="102">
        <v>30866</v>
      </c>
      <c r="AA308" s="468">
        <f>(Table6[[#This Row],[Paired WTG Generation for loss calculation]]/24)*Table6[[#This Row],[Breakdown Time]]</f>
        <v>1307.5180555555542</v>
      </c>
      <c r="AB308" s="102"/>
      <c r="AC308" s="35"/>
      <c r="AD308" s="35"/>
    </row>
    <row r="309" spans="1:30">
      <c r="A309" s="102">
        <f t="shared" si="5"/>
        <v>308</v>
      </c>
      <c r="B309" s="468">
        <f>YEAR(Table6[[#This Row],[Date]])+IF(MONTH(Table6[[#This Row],[Date]])&gt;=4,1,0)</f>
        <v>2026</v>
      </c>
      <c r="C309" s="102">
        <f>YEAR(Table6[[#This Row],[Date]])</f>
        <v>2025</v>
      </c>
      <c r="D309" s="102" t="s">
        <v>1992</v>
      </c>
      <c r="E309" s="469">
        <f>Table6[[#This Row],[Date]]-DAY(Table6[[#This Row],[Date]])+1</f>
        <v>45748</v>
      </c>
      <c r="F309" s="470">
        <v>45765</v>
      </c>
      <c r="G309" s="35" t="s">
        <v>90</v>
      </c>
      <c r="H309" s="35" t="str">
        <f>IFERROR(_xlfn.XLOOKUP(Table6[[#This Row],[Affected WTG]],'Basic Data'!$A:$A,'Basic Data'!$B:$B),"")</f>
        <v>TQGXIIPL</v>
      </c>
      <c r="I309" s="35" t="str">
        <f>IFERROR(_xlfn.XLOOKUP(Table6[[#This Row],[Affected WTG]],'Basic Data'!$A:$A,'Basic Data'!$C:$C),"")</f>
        <v>GEDA</v>
      </c>
      <c r="J309" s="471">
        <f>IFERROR(_xlfn.XLOOKUP(Table6[[#This Row],[Affected WTG]],'Basic Data'!$A:$A,'Basic Data'!$E:$E),"")</f>
        <v>3.846153846153845E-2</v>
      </c>
      <c r="K309" s="102">
        <v>6605</v>
      </c>
      <c r="L309" s="35" t="str">
        <f>IFERROR(_xlfn.XLOOKUP(Table6[[#This Row],[Error Code]],'Basic Data'!$AA:$AA,'Basic Data'!$AB:$AB),"Incorrect Error Code")</f>
        <v>Wind.dir. diff. level 2</v>
      </c>
      <c r="M309" s="35" t="s">
        <v>291</v>
      </c>
      <c r="N309" s="475"/>
      <c r="O309" s="476">
        <v>0.46527777777777779</v>
      </c>
      <c r="P309" s="476">
        <v>0.46527777777777779</v>
      </c>
      <c r="Q309" s="477">
        <v>0.50069444444444444</v>
      </c>
      <c r="R309" s="472">
        <f>IF(Table6[[#This Row],[Work Start TimeStamp]]="","",(Table6[[#This Row],[Work Start TimeStamp]]-Table6[[#This Row],[Fault Start TimeStamp]])*24)</f>
        <v>0</v>
      </c>
      <c r="S309" s="472">
        <f>(Table6[[#This Row],[Fault Clearance time]]-Table6[[#This Row],[Work Start TimeStamp]])*24</f>
        <v>0.84999999999999964</v>
      </c>
      <c r="T309" s="472">
        <f>(Table6[[#This Row],[Fault Clearance time]]-Table6[[#This Row],[Fault Start TimeStamp]])*24</f>
        <v>0.84999999999999964</v>
      </c>
      <c r="U309" s="35" t="s">
        <v>349</v>
      </c>
      <c r="V309" s="102" t="s">
        <v>293</v>
      </c>
      <c r="W309" s="478">
        <f>IFERROR(Table6[[#This Row],[Breakdown Time]]*Table6[[#This Row],[Plant Equivalent Weightage]],"")</f>
        <v>3.2692307692307666E-2</v>
      </c>
      <c r="X309" s="473" t="s">
        <v>294</v>
      </c>
      <c r="Y309" s="474" t="s">
        <v>339</v>
      </c>
      <c r="Z309" s="102">
        <v>36369</v>
      </c>
      <c r="AA309" s="468">
        <f>(Table6[[#This Row],[Paired WTG Generation for loss calculation]]/24)*Table6[[#This Row],[Breakdown Time]]</f>
        <v>1288.0687499999995</v>
      </c>
      <c r="AB309" s="102"/>
      <c r="AC309" s="35"/>
      <c r="AD309" s="35"/>
    </row>
    <row r="310" spans="1:30">
      <c r="A310" s="102">
        <f t="shared" si="5"/>
        <v>309</v>
      </c>
      <c r="B310" s="468">
        <f>YEAR(Table6[[#This Row],[Date]])+IF(MONTH(Table6[[#This Row],[Date]])&gt;=4,1,0)</f>
        <v>2026</v>
      </c>
      <c r="C310" s="102">
        <f>YEAR(Table6[[#This Row],[Date]])</f>
        <v>2025</v>
      </c>
      <c r="D310" s="102" t="s">
        <v>1992</v>
      </c>
      <c r="E310" s="469">
        <f>Table6[[#This Row],[Date]]-DAY(Table6[[#This Row],[Date]])+1</f>
        <v>45748</v>
      </c>
      <c r="F310" s="470">
        <v>45765</v>
      </c>
      <c r="G310" s="35" t="s">
        <v>91</v>
      </c>
      <c r="H310" s="35" t="str">
        <f>IFERROR(_xlfn.XLOOKUP(Table6[[#This Row],[Affected WTG]],'Basic Data'!$A:$A,'Basic Data'!$B:$B),"")</f>
        <v>TQGXIIPL</v>
      </c>
      <c r="I310" s="35" t="str">
        <f>IFERROR(_xlfn.XLOOKUP(Table6[[#This Row],[Affected WTG]],'Basic Data'!$A:$A,'Basic Data'!$C:$C),"")</f>
        <v>GEDA</v>
      </c>
      <c r="J310" s="471">
        <f>IFERROR(_xlfn.XLOOKUP(Table6[[#This Row],[Affected WTG]],'Basic Data'!$A:$A,'Basic Data'!$E:$E),"")</f>
        <v>3.846153846153845E-2</v>
      </c>
      <c r="K310" s="102">
        <v>6130</v>
      </c>
      <c r="L310" s="35" t="str">
        <f>IFERROR(_xlfn.XLOOKUP(Table6[[#This Row],[Error Code]],'Basic Data'!$AA:$AA,'Basic Data'!$AB:$AB),"Incorrect Error Code")</f>
        <v>Yaw speed high</v>
      </c>
      <c r="M310" s="35" t="s">
        <v>291</v>
      </c>
      <c r="N310" s="475"/>
      <c r="O310" s="476">
        <v>0.60833333333333328</v>
      </c>
      <c r="P310" s="476">
        <v>0.60833333333333328</v>
      </c>
      <c r="Q310" s="477">
        <v>0.61250000000000004</v>
      </c>
      <c r="R310" s="472">
        <f>IF(Table6[[#This Row],[Work Start TimeStamp]]="","",(Table6[[#This Row],[Work Start TimeStamp]]-Table6[[#This Row],[Fault Start TimeStamp]])*24)</f>
        <v>0</v>
      </c>
      <c r="S310" s="472">
        <f>(Table6[[#This Row],[Fault Clearance time]]-Table6[[#This Row],[Work Start TimeStamp]])*24</f>
        <v>0.10000000000000231</v>
      </c>
      <c r="T310" s="472">
        <f>(Table6[[#This Row],[Fault Clearance time]]-Table6[[#This Row],[Fault Start TimeStamp]])*24</f>
        <v>0.10000000000000231</v>
      </c>
      <c r="U310" s="35" t="s">
        <v>349</v>
      </c>
      <c r="V310" s="102" t="s">
        <v>293</v>
      </c>
      <c r="W310" s="478">
        <f>IFERROR(Table6[[#This Row],[Breakdown Time]]*Table6[[#This Row],[Plant Equivalent Weightage]],"")</f>
        <v>3.846153846153934E-3</v>
      </c>
      <c r="X310" s="473" t="s">
        <v>294</v>
      </c>
      <c r="Y310" s="474" t="s">
        <v>319</v>
      </c>
      <c r="Z310" s="102">
        <v>28245</v>
      </c>
      <c r="AA310" s="468">
        <f>(Table6[[#This Row],[Paired WTG Generation for loss calculation]]/24)*Table6[[#This Row],[Breakdown Time]]</f>
        <v>117.68750000000271</v>
      </c>
      <c r="AB310" s="102"/>
      <c r="AC310" s="35"/>
      <c r="AD310" s="35"/>
    </row>
    <row r="311" spans="1:30">
      <c r="A311" s="102">
        <f t="shared" si="5"/>
        <v>310</v>
      </c>
      <c r="B311" s="468">
        <f>YEAR(Table6[[#This Row],[Date]])+IF(MONTH(Table6[[#This Row],[Date]])&gt;=4,1,0)</f>
        <v>2026</v>
      </c>
      <c r="C311" s="102">
        <f>YEAR(Table6[[#This Row],[Date]])</f>
        <v>2025</v>
      </c>
      <c r="D311" s="102" t="s">
        <v>1992</v>
      </c>
      <c r="E311" s="469">
        <f>Table6[[#This Row],[Date]]-DAY(Table6[[#This Row],[Date]])+1</f>
        <v>45748</v>
      </c>
      <c r="F311" s="470">
        <v>45765</v>
      </c>
      <c r="G311" s="35" t="s">
        <v>92</v>
      </c>
      <c r="H311" s="35" t="str">
        <f>IFERROR(_xlfn.XLOOKUP(Table6[[#This Row],[Affected WTG]],'Basic Data'!$A:$A,'Basic Data'!$B:$B),"")</f>
        <v>TQGXIIPL</v>
      </c>
      <c r="I311" s="35" t="str">
        <f>IFERROR(_xlfn.XLOOKUP(Table6[[#This Row],[Affected WTG]],'Basic Data'!$A:$A,'Basic Data'!$C:$C),"")</f>
        <v>GEDA</v>
      </c>
      <c r="J311" s="471">
        <f>IFERROR(_xlfn.XLOOKUP(Table6[[#This Row],[Affected WTG]],'Basic Data'!$A:$A,'Basic Data'!$E:$E),"")</f>
        <v>3.846153846153845E-2</v>
      </c>
      <c r="K311" s="102">
        <v>4960</v>
      </c>
      <c r="L311" s="35" t="str">
        <f>IFERROR(_xlfn.XLOOKUP(Table6[[#This Row],[Error Code]],'Basic Data'!$AA:$AA,'Basic Data'!$AB:$AB),"Incorrect Error Code")</f>
        <v>Tower oscillation YF</v>
      </c>
      <c r="M311" s="35" t="s">
        <v>291</v>
      </c>
      <c r="N311" s="475"/>
      <c r="O311" s="476">
        <v>0.33194444444444443</v>
      </c>
      <c r="P311" s="476">
        <v>0.33194444444444443</v>
      </c>
      <c r="Q311" s="477">
        <v>0.34305555555555556</v>
      </c>
      <c r="R311" s="472">
        <f>IF(Table6[[#This Row],[Work Start TimeStamp]]="","",(Table6[[#This Row],[Work Start TimeStamp]]-Table6[[#This Row],[Fault Start TimeStamp]])*24)</f>
        <v>0</v>
      </c>
      <c r="S311" s="472">
        <f>(Table6[[#This Row],[Fault Clearance time]]-Table6[[#This Row],[Work Start TimeStamp]])*24</f>
        <v>0.26666666666666705</v>
      </c>
      <c r="T311" s="472">
        <f>(Table6[[#This Row],[Fault Clearance time]]-Table6[[#This Row],[Fault Start TimeStamp]])*24</f>
        <v>0.26666666666666705</v>
      </c>
      <c r="U311" s="35" t="s">
        <v>349</v>
      </c>
      <c r="V311" s="102" t="s">
        <v>293</v>
      </c>
      <c r="W311" s="478">
        <f>IFERROR(Table6[[#This Row],[Breakdown Time]]*Table6[[#This Row],[Plant Equivalent Weightage]],"")</f>
        <v>1.0256410256410269E-2</v>
      </c>
      <c r="X311" s="473" t="s">
        <v>294</v>
      </c>
      <c r="Y311" s="474" t="s">
        <v>310</v>
      </c>
      <c r="Z311" s="102">
        <v>45438</v>
      </c>
      <c r="AA311" s="468">
        <f>(Table6[[#This Row],[Paired WTG Generation for loss calculation]]/24)*Table6[[#This Row],[Breakdown Time]]</f>
        <v>504.86666666666741</v>
      </c>
      <c r="AB311" s="102"/>
      <c r="AC311" s="35"/>
      <c r="AD311" s="35"/>
    </row>
    <row r="312" spans="1:30">
      <c r="A312" s="102">
        <f t="shared" si="5"/>
        <v>311</v>
      </c>
      <c r="B312" s="468">
        <f>YEAR(Table6[[#This Row],[Date]])+IF(MONTH(Table6[[#This Row],[Date]])&gt;=4,1,0)</f>
        <v>2026</v>
      </c>
      <c r="C312" s="102">
        <f>YEAR(Table6[[#This Row],[Date]])</f>
        <v>2025</v>
      </c>
      <c r="D312" s="102" t="s">
        <v>1992</v>
      </c>
      <c r="E312" s="469">
        <f>Table6[[#This Row],[Date]]-DAY(Table6[[#This Row],[Date]])+1</f>
        <v>45748</v>
      </c>
      <c r="F312" s="470">
        <v>45765</v>
      </c>
      <c r="G312" s="35" t="s">
        <v>92</v>
      </c>
      <c r="H312" s="35" t="str">
        <f>IFERROR(_xlfn.XLOOKUP(Table6[[#This Row],[Affected WTG]],'Basic Data'!$A:$A,'Basic Data'!$B:$B),"")</f>
        <v>TQGXIIPL</v>
      </c>
      <c r="I312" s="35" t="str">
        <f>IFERROR(_xlfn.XLOOKUP(Table6[[#This Row],[Affected WTG]],'Basic Data'!$A:$A,'Basic Data'!$C:$C),"")</f>
        <v>GEDA</v>
      </c>
      <c r="J312" s="471">
        <f>IFERROR(_xlfn.XLOOKUP(Table6[[#This Row],[Affected WTG]],'Basic Data'!$A:$A,'Basic Data'!$E:$E),"")</f>
        <v>3.846153846153845E-2</v>
      </c>
      <c r="K312" s="102">
        <v>4960</v>
      </c>
      <c r="L312" s="35" t="str">
        <f>IFERROR(_xlfn.XLOOKUP(Table6[[#This Row],[Error Code]],'Basic Data'!$AA:$AA,'Basic Data'!$AB:$AB),"Incorrect Error Code")</f>
        <v>Tower oscillation YF</v>
      </c>
      <c r="M312" s="35" t="s">
        <v>291</v>
      </c>
      <c r="N312" s="475"/>
      <c r="O312" s="476">
        <v>0.36319444444444443</v>
      </c>
      <c r="P312" s="476">
        <v>0.36319444444444443</v>
      </c>
      <c r="Q312" s="477">
        <v>0.36736111111111114</v>
      </c>
      <c r="R312" s="472">
        <f>IF(Table6[[#This Row],[Work Start TimeStamp]]="","",(Table6[[#This Row],[Work Start TimeStamp]]-Table6[[#This Row],[Fault Start TimeStamp]])*24)</f>
        <v>0</v>
      </c>
      <c r="S312" s="472">
        <f>(Table6[[#This Row],[Fault Clearance time]]-Table6[[#This Row],[Work Start TimeStamp]])*24</f>
        <v>0.10000000000000098</v>
      </c>
      <c r="T312" s="472">
        <f>(Table6[[#This Row],[Fault Clearance time]]-Table6[[#This Row],[Fault Start TimeStamp]])*24</f>
        <v>0.10000000000000098</v>
      </c>
      <c r="U312" s="35" t="s">
        <v>349</v>
      </c>
      <c r="V312" s="102" t="s">
        <v>293</v>
      </c>
      <c r="W312" s="478">
        <f>IFERROR(Table6[[#This Row],[Breakdown Time]]*Table6[[#This Row],[Plant Equivalent Weightage]],"")</f>
        <v>3.8461538461538824E-3</v>
      </c>
      <c r="X312" s="473" t="s">
        <v>294</v>
      </c>
      <c r="Y312" s="474" t="s">
        <v>310</v>
      </c>
      <c r="Z312" s="102">
        <v>45438</v>
      </c>
      <c r="AA312" s="468">
        <f>(Table6[[#This Row],[Paired WTG Generation for loss calculation]]/24)*Table6[[#This Row],[Breakdown Time]]</f>
        <v>189.32500000000184</v>
      </c>
      <c r="AB312" s="102"/>
      <c r="AC312" s="35"/>
      <c r="AD312" s="35"/>
    </row>
    <row r="313" spans="1:30">
      <c r="A313" s="102">
        <f t="shared" si="5"/>
        <v>312</v>
      </c>
      <c r="B313" s="468">
        <f>YEAR(Table6[[#This Row],[Date]])+IF(MONTH(Table6[[#This Row],[Date]])&gt;=4,1,0)</f>
        <v>2026</v>
      </c>
      <c r="C313" s="102">
        <f>YEAR(Table6[[#This Row],[Date]])</f>
        <v>2025</v>
      </c>
      <c r="D313" s="102" t="s">
        <v>1992</v>
      </c>
      <c r="E313" s="469">
        <f>Table6[[#This Row],[Date]]-DAY(Table6[[#This Row],[Date]])+1</f>
        <v>45748</v>
      </c>
      <c r="F313" s="470">
        <v>45765</v>
      </c>
      <c r="G313" s="35" t="s">
        <v>95</v>
      </c>
      <c r="H313" s="35" t="str">
        <f>IFERROR(_xlfn.XLOOKUP(Table6[[#This Row],[Affected WTG]],'Basic Data'!$A:$A,'Basic Data'!$B:$B),"")</f>
        <v>TQGXIIPL</v>
      </c>
      <c r="I313" s="35" t="str">
        <f>IFERROR(_xlfn.XLOOKUP(Table6[[#This Row],[Affected WTG]],'Basic Data'!$A:$A,'Basic Data'!$C:$C),"")</f>
        <v>GEDA</v>
      </c>
      <c r="J313" s="471">
        <f>IFERROR(_xlfn.XLOOKUP(Table6[[#This Row],[Affected WTG]],'Basic Data'!$A:$A,'Basic Data'!$E:$E),"")</f>
        <v>3.846153846153845E-2</v>
      </c>
      <c r="K313" s="102">
        <v>6130</v>
      </c>
      <c r="L313" s="35" t="str">
        <f>IFERROR(_xlfn.XLOOKUP(Table6[[#This Row],[Error Code]],'Basic Data'!$AA:$AA,'Basic Data'!$AB:$AB),"Incorrect Error Code")</f>
        <v>Yaw speed high</v>
      </c>
      <c r="M313" s="35" t="s">
        <v>291</v>
      </c>
      <c r="N313" s="475"/>
      <c r="O313" s="476">
        <v>0.60763888888888884</v>
      </c>
      <c r="P313" s="476">
        <v>0.60763888888888884</v>
      </c>
      <c r="Q313" s="477">
        <v>0.6118055555555556</v>
      </c>
      <c r="R313" s="472">
        <f>IF(Table6[[#This Row],[Work Start TimeStamp]]="","",(Table6[[#This Row],[Work Start TimeStamp]]-Table6[[#This Row],[Fault Start TimeStamp]])*24)</f>
        <v>0</v>
      </c>
      <c r="S313" s="472">
        <f>(Table6[[#This Row],[Fault Clearance time]]-Table6[[#This Row],[Work Start TimeStamp]])*24</f>
        <v>0.10000000000000231</v>
      </c>
      <c r="T313" s="472">
        <f>(Table6[[#This Row],[Fault Clearance time]]-Table6[[#This Row],[Fault Start TimeStamp]])*24</f>
        <v>0.10000000000000231</v>
      </c>
      <c r="U313" s="35" t="s">
        <v>349</v>
      </c>
      <c r="V313" s="102" t="s">
        <v>293</v>
      </c>
      <c r="W313" s="478">
        <f>IFERROR(Table6[[#This Row],[Breakdown Time]]*Table6[[#This Row],[Plant Equivalent Weightage]],"")</f>
        <v>3.846153846153934E-3</v>
      </c>
      <c r="X313" s="473" t="s">
        <v>294</v>
      </c>
      <c r="Y313" s="474" t="s">
        <v>319</v>
      </c>
      <c r="Z313" s="102">
        <v>28245</v>
      </c>
      <c r="AA313" s="468">
        <f>(Table6[[#This Row],[Paired WTG Generation for loss calculation]]/24)*Table6[[#This Row],[Breakdown Time]]</f>
        <v>117.68750000000271</v>
      </c>
      <c r="AB313" s="102"/>
      <c r="AC313" s="35"/>
      <c r="AD313" s="35"/>
    </row>
    <row r="314" spans="1:30">
      <c r="A314" s="102">
        <f t="shared" si="5"/>
        <v>313</v>
      </c>
      <c r="B314" s="468">
        <f>YEAR(Table6[[#This Row],[Date]])+IF(MONTH(Table6[[#This Row],[Date]])&gt;=4,1,0)</f>
        <v>2026</v>
      </c>
      <c r="C314" s="102">
        <f>YEAR(Table6[[#This Row],[Date]])</f>
        <v>2025</v>
      </c>
      <c r="D314" s="102" t="s">
        <v>1992</v>
      </c>
      <c r="E314" s="469">
        <f>Table6[[#This Row],[Date]]-DAY(Table6[[#This Row],[Date]])+1</f>
        <v>45748</v>
      </c>
      <c r="F314" s="470">
        <v>45765</v>
      </c>
      <c r="G314" s="35" t="s">
        <v>95</v>
      </c>
      <c r="H314" s="35" t="str">
        <f>IFERROR(_xlfn.XLOOKUP(Table6[[#This Row],[Affected WTG]],'Basic Data'!$A:$A,'Basic Data'!$B:$B),"")</f>
        <v>TQGXIIPL</v>
      </c>
      <c r="I314" s="35" t="str">
        <f>IFERROR(_xlfn.XLOOKUP(Table6[[#This Row],[Affected WTG]],'Basic Data'!$A:$A,'Basic Data'!$C:$C),"")</f>
        <v>GEDA</v>
      </c>
      <c r="J314" s="471">
        <f>IFERROR(_xlfn.XLOOKUP(Table6[[#This Row],[Affected WTG]],'Basic Data'!$A:$A,'Basic Data'!$E:$E),"")</f>
        <v>3.846153846153845E-2</v>
      </c>
      <c r="K314" s="102">
        <v>6130</v>
      </c>
      <c r="L314" s="35" t="str">
        <f>IFERROR(_xlfn.XLOOKUP(Table6[[#This Row],[Error Code]],'Basic Data'!$AA:$AA,'Basic Data'!$AB:$AB),"Incorrect Error Code")</f>
        <v>Yaw speed high</v>
      </c>
      <c r="M314" s="35" t="s">
        <v>291</v>
      </c>
      <c r="N314" s="475"/>
      <c r="O314" s="476">
        <v>0.63680555555555551</v>
      </c>
      <c r="P314" s="476">
        <v>0.63680555555555551</v>
      </c>
      <c r="Q314" s="477">
        <v>0.64930555555555558</v>
      </c>
      <c r="R314" s="472">
        <f>IF(Table6[[#This Row],[Work Start TimeStamp]]="","",(Table6[[#This Row],[Work Start TimeStamp]]-Table6[[#This Row],[Fault Start TimeStamp]])*24)</f>
        <v>0</v>
      </c>
      <c r="S314" s="472">
        <f>(Table6[[#This Row],[Fault Clearance time]]-Table6[[#This Row],[Work Start TimeStamp]])*24</f>
        <v>0.3000000000000016</v>
      </c>
      <c r="T314" s="472">
        <f>(Table6[[#This Row],[Fault Clearance time]]-Table6[[#This Row],[Fault Start TimeStamp]])*24</f>
        <v>0.3000000000000016</v>
      </c>
      <c r="U314" s="35" t="s">
        <v>349</v>
      </c>
      <c r="V314" s="102" t="s">
        <v>293</v>
      </c>
      <c r="W314" s="478">
        <f>IFERROR(Table6[[#This Row],[Breakdown Time]]*Table6[[#This Row],[Plant Equivalent Weightage]],"")</f>
        <v>1.1538461538461596E-2</v>
      </c>
      <c r="X314" s="473" t="s">
        <v>294</v>
      </c>
      <c r="Y314" s="474" t="s">
        <v>319</v>
      </c>
      <c r="Z314" s="102">
        <v>28245</v>
      </c>
      <c r="AA314" s="468">
        <f>(Table6[[#This Row],[Paired WTG Generation for loss calculation]]/24)*Table6[[#This Row],[Breakdown Time]]</f>
        <v>353.06250000000188</v>
      </c>
      <c r="AB314" s="102"/>
      <c r="AC314" s="35"/>
      <c r="AD314" s="35"/>
    </row>
    <row r="315" spans="1:30">
      <c r="A315" s="102">
        <f t="shared" si="5"/>
        <v>314</v>
      </c>
      <c r="B315" s="468">
        <f>YEAR(Table6[[#This Row],[Date]])+IF(MONTH(Table6[[#This Row],[Date]])&gt;=4,1,0)</f>
        <v>2026</v>
      </c>
      <c r="C315" s="102">
        <f>YEAR(Table6[[#This Row],[Date]])</f>
        <v>2025</v>
      </c>
      <c r="D315" s="102" t="s">
        <v>1992</v>
      </c>
      <c r="E315" s="469">
        <f>Table6[[#This Row],[Date]]-DAY(Table6[[#This Row],[Date]])+1</f>
        <v>45748</v>
      </c>
      <c r="F315" s="470">
        <v>45765</v>
      </c>
      <c r="G315" s="35" t="s">
        <v>97</v>
      </c>
      <c r="H315" s="35" t="str">
        <f>IFERROR(_xlfn.XLOOKUP(Table6[[#This Row],[Affected WTG]],'Basic Data'!$A:$A,'Basic Data'!$B:$B),"")</f>
        <v>TQGXIIPL</v>
      </c>
      <c r="I315" s="35" t="str">
        <f>IFERROR(_xlfn.XLOOKUP(Table6[[#This Row],[Affected WTG]],'Basic Data'!$A:$A,'Basic Data'!$C:$C),"")</f>
        <v>GEDA</v>
      </c>
      <c r="J315" s="471">
        <f>IFERROR(_xlfn.XLOOKUP(Table6[[#This Row],[Affected WTG]],'Basic Data'!$A:$A,'Basic Data'!$E:$E),"")</f>
        <v>3.846153846153845E-2</v>
      </c>
      <c r="K315" s="102">
        <v>55</v>
      </c>
      <c r="L315" s="35" t="str">
        <f>IFERROR(_xlfn.XLOOKUP(Table6[[#This Row],[Error Code]],'Basic Data'!$AA:$AA,'Basic Data'!$AB:$AB),"Incorrect Error Code")</f>
        <v>WTG shut down</v>
      </c>
      <c r="M315" s="35" t="s">
        <v>291</v>
      </c>
      <c r="N315" s="475"/>
      <c r="O315" s="476">
        <v>0</v>
      </c>
      <c r="P315" s="476">
        <v>0</v>
      </c>
      <c r="Q315" s="477">
        <v>0.15625</v>
      </c>
      <c r="R315" s="472">
        <f>IF(Table6[[#This Row],[Work Start TimeStamp]]="","",(Table6[[#This Row],[Work Start TimeStamp]]-Table6[[#This Row],[Fault Start TimeStamp]])*24)</f>
        <v>0</v>
      </c>
      <c r="S315" s="472">
        <f>(Table6[[#This Row],[Fault Clearance time]]-Table6[[#This Row],[Work Start TimeStamp]])*24</f>
        <v>3.75</v>
      </c>
      <c r="T315" s="472">
        <f>(Table6[[#This Row],[Fault Clearance time]]-Table6[[#This Row],[Fault Start TimeStamp]])*24</f>
        <v>3.75</v>
      </c>
      <c r="U315" s="35" t="s">
        <v>414</v>
      </c>
      <c r="V315" s="102" t="s">
        <v>293</v>
      </c>
      <c r="W315" s="478">
        <f>IFERROR(Table6[[#This Row],[Breakdown Time]]*Table6[[#This Row],[Plant Equivalent Weightage]],"")</f>
        <v>0.14423076923076919</v>
      </c>
      <c r="X315" s="473" t="s">
        <v>294</v>
      </c>
      <c r="Y315" s="474" t="s">
        <v>320</v>
      </c>
      <c r="Z315" s="102">
        <v>34801</v>
      </c>
      <c r="AA315" s="468">
        <f>(Table6[[#This Row],[Paired WTG Generation for loss calculation]]/24)*Table6[[#This Row],[Breakdown Time]]</f>
        <v>5437.65625</v>
      </c>
      <c r="AB315" s="102"/>
      <c r="AC315" s="35"/>
      <c r="AD315" s="35"/>
    </row>
    <row r="316" spans="1:30">
      <c r="A316" s="102">
        <f t="shared" si="5"/>
        <v>315</v>
      </c>
      <c r="B316" s="468">
        <f>YEAR(Table6[[#This Row],[Date]])+IF(MONTH(Table6[[#This Row],[Date]])&gt;=4,1,0)</f>
        <v>2026</v>
      </c>
      <c r="C316" s="102">
        <f>YEAR(Table6[[#This Row],[Date]])</f>
        <v>2025</v>
      </c>
      <c r="D316" s="102" t="s">
        <v>1992</v>
      </c>
      <c r="E316" s="469">
        <f>Table6[[#This Row],[Date]]-DAY(Table6[[#This Row],[Date]])+1</f>
        <v>45748</v>
      </c>
      <c r="F316" s="470">
        <v>45765</v>
      </c>
      <c r="G316" s="35" t="s">
        <v>98</v>
      </c>
      <c r="H316" s="35" t="str">
        <f>IFERROR(_xlfn.XLOOKUP(Table6[[#This Row],[Affected WTG]],'Basic Data'!$A:$A,'Basic Data'!$B:$B),"")</f>
        <v>TQGXIIPL</v>
      </c>
      <c r="I316" s="35" t="str">
        <f>IFERROR(_xlfn.XLOOKUP(Table6[[#This Row],[Affected WTG]],'Basic Data'!$A:$A,'Basic Data'!$C:$C),"")</f>
        <v>GEDA</v>
      </c>
      <c r="J316" s="471">
        <f>IFERROR(_xlfn.XLOOKUP(Table6[[#This Row],[Affected WTG]],'Basic Data'!$A:$A,'Basic Data'!$E:$E),"")</f>
        <v>3.846153846153845E-2</v>
      </c>
      <c r="K316" s="102">
        <v>3211</v>
      </c>
      <c r="L316" s="35" t="str">
        <f>IFERROR(_xlfn.XLOOKUP(Table6[[#This Row],[Error Code]],'Basic Data'!$AA:$AA,'Basic Data'!$AB:$AB),"Incorrect Error Code")</f>
        <v>Conv. load shedding (CAN)</v>
      </c>
      <c r="M316" s="35" t="s">
        <v>291</v>
      </c>
      <c r="N316" s="475"/>
      <c r="O316" s="476">
        <v>0.73472222222222228</v>
      </c>
      <c r="P316" s="476">
        <v>0.73472222222222228</v>
      </c>
      <c r="Q316" s="477">
        <v>0.74722222222222223</v>
      </c>
      <c r="R316" s="472">
        <f>IF(Table6[[#This Row],[Work Start TimeStamp]]="","",(Table6[[#This Row],[Work Start TimeStamp]]-Table6[[#This Row],[Fault Start TimeStamp]])*24)</f>
        <v>0</v>
      </c>
      <c r="S316" s="472">
        <f>(Table6[[#This Row],[Fault Clearance time]]-Table6[[#This Row],[Work Start TimeStamp]])*24</f>
        <v>0.29999999999999893</v>
      </c>
      <c r="T316" s="472">
        <f>(Table6[[#This Row],[Fault Clearance time]]-Table6[[#This Row],[Fault Start TimeStamp]])*24</f>
        <v>0.29999999999999893</v>
      </c>
      <c r="U316" s="35" t="s">
        <v>349</v>
      </c>
      <c r="V316" s="102" t="s">
        <v>293</v>
      </c>
      <c r="W316" s="478">
        <f>IFERROR(Table6[[#This Row],[Breakdown Time]]*Table6[[#This Row],[Plant Equivalent Weightage]],"")</f>
        <v>1.1538461538461494E-2</v>
      </c>
      <c r="X316" s="473" t="s">
        <v>294</v>
      </c>
      <c r="Y316" s="474" t="s">
        <v>315</v>
      </c>
      <c r="Z316" s="102">
        <v>34294</v>
      </c>
      <c r="AA316" s="468">
        <f>(Table6[[#This Row],[Paired WTG Generation for loss calculation]]/24)*Table6[[#This Row],[Breakdown Time]]</f>
        <v>428.67499999999848</v>
      </c>
      <c r="AB316" s="102"/>
      <c r="AC316" s="35"/>
      <c r="AD316" s="35"/>
    </row>
    <row r="317" spans="1:30">
      <c r="A317" s="102">
        <f t="shared" si="5"/>
        <v>316</v>
      </c>
      <c r="B317" s="468">
        <f>YEAR(Table6[[#This Row],[Date]])+IF(MONTH(Table6[[#This Row],[Date]])&gt;=4,1,0)</f>
        <v>2026</v>
      </c>
      <c r="C317" s="102">
        <f>YEAR(Table6[[#This Row],[Date]])</f>
        <v>2025</v>
      </c>
      <c r="D317" s="102" t="s">
        <v>1992</v>
      </c>
      <c r="E317" s="469">
        <f>Table6[[#This Row],[Date]]-DAY(Table6[[#This Row],[Date]])+1</f>
        <v>45748</v>
      </c>
      <c r="F317" s="470">
        <v>45765</v>
      </c>
      <c r="G317" s="35" t="s">
        <v>98</v>
      </c>
      <c r="H317" s="35" t="str">
        <f>IFERROR(_xlfn.XLOOKUP(Table6[[#This Row],[Affected WTG]],'Basic Data'!$A:$A,'Basic Data'!$B:$B),"")</f>
        <v>TQGXIIPL</v>
      </c>
      <c r="I317" s="35" t="str">
        <f>IFERROR(_xlfn.XLOOKUP(Table6[[#This Row],[Affected WTG]],'Basic Data'!$A:$A,'Basic Data'!$C:$C),"")</f>
        <v>GEDA</v>
      </c>
      <c r="J317" s="471">
        <f>IFERROR(_xlfn.XLOOKUP(Table6[[#This Row],[Affected WTG]],'Basic Data'!$A:$A,'Basic Data'!$E:$E),"")</f>
        <v>3.846153846153845E-2</v>
      </c>
      <c r="K317" s="102">
        <v>55</v>
      </c>
      <c r="L317" s="35" t="str">
        <f>IFERROR(_xlfn.XLOOKUP(Table6[[#This Row],[Error Code]],'Basic Data'!$AA:$AA,'Basic Data'!$AB:$AB),"Incorrect Error Code")</f>
        <v>WTG shut down</v>
      </c>
      <c r="M317" s="35" t="s">
        <v>330</v>
      </c>
      <c r="N317" s="475"/>
      <c r="O317" s="476">
        <v>0.7583333333333333</v>
      </c>
      <c r="P317" s="476">
        <v>0.7583333333333333</v>
      </c>
      <c r="Q317" s="477">
        <v>0.86527777777777781</v>
      </c>
      <c r="R317" s="472">
        <f>IF(Table6[[#This Row],[Work Start TimeStamp]]="","",(Table6[[#This Row],[Work Start TimeStamp]]-Table6[[#This Row],[Fault Start TimeStamp]])*24)</f>
        <v>0</v>
      </c>
      <c r="S317" s="472">
        <f>(Table6[[#This Row],[Fault Clearance time]]-Table6[[#This Row],[Work Start TimeStamp]])*24</f>
        <v>2.5666666666666682</v>
      </c>
      <c r="T317" s="472">
        <f>(Table6[[#This Row],[Fault Clearance time]]-Table6[[#This Row],[Fault Start TimeStamp]])*24</f>
        <v>2.5666666666666682</v>
      </c>
      <c r="U317" s="35" t="s">
        <v>337</v>
      </c>
      <c r="V317" s="102" t="s">
        <v>293</v>
      </c>
      <c r="W317" s="478">
        <f>IFERROR(Table6[[#This Row],[Breakdown Time]]*Table6[[#This Row],[Plant Equivalent Weightage]],"")</f>
        <v>9.8717948717948742E-2</v>
      </c>
      <c r="X317" s="473" t="s">
        <v>290</v>
      </c>
      <c r="Y317" s="474" t="s">
        <v>315</v>
      </c>
      <c r="Z317" s="102">
        <v>34294</v>
      </c>
      <c r="AA317" s="468">
        <f>(Table6[[#This Row],[Paired WTG Generation for loss calculation]]/24)*Table6[[#This Row],[Breakdown Time]]</f>
        <v>3667.5527777777802</v>
      </c>
      <c r="AB317" s="102"/>
      <c r="AC317" s="35"/>
      <c r="AD317" s="35"/>
    </row>
    <row r="318" spans="1:30">
      <c r="A318" s="102">
        <f t="shared" si="5"/>
        <v>317</v>
      </c>
      <c r="B318" s="468">
        <f>YEAR(Table6[[#This Row],[Date]])+IF(MONTH(Table6[[#This Row],[Date]])&gt;=4,1,0)</f>
        <v>2026</v>
      </c>
      <c r="C318" s="102">
        <f>YEAR(Table6[[#This Row],[Date]])</f>
        <v>2025</v>
      </c>
      <c r="D318" s="102" t="s">
        <v>1992</v>
      </c>
      <c r="E318" s="469">
        <f>Table6[[#This Row],[Date]]-DAY(Table6[[#This Row],[Date]])+1</f>
        <v>45748</v>
      </c>
      <c r="F318" s="470">
        <v>45765</v>
      </c>
      <c r="G318" s="35" t="s">
        <v>98</v>
      </c>
      <c r="H318" s="35" t="str">
        <f>IFERROR(_xlfn.XLOOKUP(Table6[[#This Row],[Affected WTG]],'Basic Data'!$A:$A,'Basic Data'!$B:$B),"")</f>
        <v>TQGXIIPL</v>
      </c>
      <c r="I318" s="35" t="str">
        <f>IFERROR(_xlfn.XLOOKUP(Table6[[#This Row],[Affected WTG]],'Basic Data'!$A:$A,'Basic Data'!$C:$C),"")</f>
        <v>GEDA</v>
      </c>
      <c r="J318" s="471">
        <f>IFERROR(_xlfn.XLOOKUP(Table6[[#This Row],[Affected WTG]],'Basic Data'!$A:$A,'Basic Data'!$E:$E),"")</f>
        <v>3.846153846153845E-2</v>
      </c>
      <c r="K318" s="102">
        <v>55</v>
      </c>
      <c r="L318" s="35" t="str">
        <f>IFERROR(_xlfn.XLOOKUP(Table6[[#This Row],[Error Code]],'Basic Data'!$AA:$AA,'Basic Data'!$AB:$AB),"Incorrect Error Code")</f>
        <v>WTG shut down</v>
      </c>
      <c r="M318" s="35" t="s">
        <v>330</v>
      </c>
      <c r="N318" s="475"/>
      <c r="O318" s="476">
        <v>0.90208333333333335</v>
      </c>
      <c r="P318" s="476">
        <v>0.90208333333333335</v>
      </c>
      <c r="Q318" s="477">
        <v>0.9375</v>
      </c>
      <c r="R318" s="472">
        <f>IF(Table6[[#This Row],[Work Start TimeStamp]]="","",(Table6[[#This Row],[Work Start TimeStamp]]-Table6[[#This Row],[Fault Start TimeStamp]])*24)</f>
        <v>0</v>
      </c>
      <c r="S318" s="472">
        <f>(Table6[[#This Row],[Fault Clearance time]]-Table6[[#This Row],[Work Start TimeStamp]])*24</f>
        <v>0.84999999999999964</v>
      </c>
      <c r="T318" s="472">
        <f>(Table6[[#This Row],[Fault Clearance time]]-Table6[[#This Row],[Fault Start TimeStamp]])*24</f>
        <v>0.84999999999999964</v>
      </c>
      <c r="U318" s="35" t="s">
        <v>337</v>
      </c>
      <c r="V318" s="102" t="s">
        <v>293</v>
      </c>
      <c r="W318" s="478">
        <f>IFERROR(Table6[[#This Row],[Breakdown Time]]*Table6[[#This Row],[Plant Equivalent Weightage]],"")</f>
        <v>3.2692307692307666E-2</v>
      </c>
      <c r="X318" s="473" t="s">
        <v>290</v>
      </c>
      <c r="Y318" s="474" t="s">
        <v>315</v>
      </c>
      <c r="Z318" s="102">
        <v>34294</v>
      </c>
      <c r="AA318" s="468">
        <f>(Table6[[#This Row],[Paired WTG Generation for loss calculation]]/24)*Table6[[#This Row],[Breakdown Time]]</f>
        <v>1214.5791666666662</v>
      </c>
      <c r="AB318" s="102"/>
      <c r="AC318" s="35"/>
      <c r="AD318" s="35"/>
    </row>
    <row r="319" spans="1:30">
      <c r="A319" s="102">
        <f t="shared" si="5"/>
        <v>318</v>
      </c>
      <c r="B319" s="468">
        <f>YEAR(Table6[[#This Row],[Date]])+IF(MONTH(Table6[[#This Row],[Date]])&gt;=4,1,0)</f>
        <v>2026</v>
      </c>
      <c r="C319" s="102">
        <f>YEAR(Table6[[#This Row],[Date]])</f>
        <v>2025</v>
      </c>
      <c r="D319" s="102" t="s">
        <v>1992</v>
      </c>
      <c r="E319" s="469">
        <f>Table6[[#This Row],[Date]]-DAY(Table6[[#This Row],[Date]])+1</f>
        <v>45748</v>
      </c>
      <c r="F319" s="470">
        <v>45766</v>
      </c>
      <c r="G319" s="35" t="s">
        <v>74</v>
      </c>
      <c r="H319" s="35" t="str">
        <f>IFERROR(_xlfn.XLOOKUP(Table6[[#This Row],[Affected WTG]],'Basic Data'!$A:$A,'Basic Data'!$B:$B),"")</f>
        <v>TQGXIIPL</v>
      </c>
      <c r="I319" s="35" t="str">
        <f>IFERROR(_xlfn.XLOOKUP(Table6[[#This Row],[Affected WTG]],'Basic Data'!$A:$A,'Basic Data'!$C:$C),"")</f>
        <v>GEDA</v>
      </c>
      <c r="J319" s="471">
        <f>IFERROR(_xlfn.XLOOKUP(Table6[[#This Row],[Affected WTG]],'Basic Data'!$A:$A,'Basic Data'!$E:$E),"")</f>
        <v>3.846153846153845E-2</v>
      </c>
      <c r="K319" s="102">
        <v>3110</v>
      </c>
      <c r="L319" s="35" t="str">
        <f>IFERROR(_xlfn.XLOOKUP(Table6[[#This Row],[Error Code]],'Basic Data'!$AA:$AA,'Basic Data'!$AB:$AB),"Incorrect Error Code")</f>
        <v>Frequency converter error</v>
      </c>
      <c r="M319" s="35" t="s">
        <v>291</v>
      </c>
      <c r="N319" s="475"/>
      <c r="O319" s="476">
        <v>0.71666666666666667</v>
      </c>
      <c r="P319" s="476">
        <v>0.71666666666666667</v>
      </c>
      <c r="Q319" s="477">
        <v>0.73124999999999996</v>
      </c>
      <c r="R319" s="472">
        <f>IF(Table6[[#This Row],[Work Start TimeStamp]]="","",(Table6[[#This Row],[Work Start TimeStamp]]-Table6[[#This Row],[Fault Start TimeStamp]])*24)</f>
        <v>0</v>
      </c>
      <c r="S319" s="472">
        <f>(Table6[[#This Row],[Fault Clearance time]]-Table6[[#This Row],[Work Start TimeStamp]])*24</f>
        <v>0.34999999999999876</v>
      </c>
      <c r="T319" s="472">
        <f>(Table6[[#This Row],[Fault Clearance time]]-Table6[[#This Row],[Fault Start TimeStamp]])*24</f>
        <v>0.34999999999999876</v>
      </c>
      <c r="U319" s="35" t="s">
        <v>349</v>
      </c>
      <c r="V319" s="102" t="s">
        <v>293</v>
      </c>
      <c r="W319" s="478">
        <f>IFERROR(Table6[[#This Row],[Breakdown Time]]*Table6[[#This Row],[Plant Equivalent Weightage]],"")</f>
        <v>1.346153846153841E-2</v>
      </c>
      <c r="X319" s="473" t="s">
        <v>294</v>
      </c>
      <c r="Y319" s="474" t="s">
        <v>321</v>
      </c>
      <c r="Z319" s="102">
        <v>45701</v>
      </c>
      <c r="AA319" s="468">
        <f>(Table6[[#This Row],[Paired WTG Generation for loss calculation]]/24)*Table6[[#This Row],[Breakdown Time]]</f>
        <v>666.47291666666422</v>
      </c>
      <c r="AB319" s="102"/>
      <c r="AC319" s="35"/>
      <c r="AD319" s="35"/>
    </row>
    <row r="320" spans="1:30">
      <c r="A320" s="102">
        <f t="shared" si="5"/>
        <v>319</v>
      </c>
      <c r="B320" s="468">
        <f>YEAR(Table6[[#This Row],[Date]])+IF(MONTH(Table6[[#This Row],[Date]])&gt;=4,1,0)</f>
        <v>2026</v>
      </c>
      <c r="C320" s="102">
        <f>YEAR(Table6[[#This Row],[Date]])</f>
        <v>2025</v>
      </c>
      <c r="D320" s="102" t="s">
        <v>1992</v>
      </c>
      <c r="E320" s="469">
        <f>Table6[[#This Row],[Date]]-DAY(Table6[[#This Row],[Date]])+1</f>
        <v>45748</v>
      </c>
      <c r="F320" s="470">
        <v>45766</v>
      </c>
      <c r="G320" s="35" t="s">
        <v>74</v>
      </c>
      <c r="H320" s="35" t="str">
        <f>IFERROR(_xlfn.XLOOKUP(Table6[[#This Row],[Affected WTG]],'Basic Data'!$A:$A,'Basic Data'!$B:$B),"")</f>
        <v>TQGXIIPL</v>
      </c>
      <c r="I320" s="35" t="str">
        <f>IFERROR(_xlfn.XLOOKUP(Table6[[#This Row],[Affected WTG]],'Basic Data'!$A:$A,'Basic Data'!$C:$C),"")</f>
        <v>GEDA</v>
      </c>
      <c r="J320" s="471">
        <f>IFERROR(_xlfn.XLOOKUP(Table6[[#This Row],[Affected WTG]],'Basic Data'!$A:$A,'Basic Data'!$E:$E),"")</f>
        <v>3.846153846153845E-2</v>
      </c>
      <c r="K320" s="102">
        <v>55</v>
      </c>
      <c r="L320" s="35" t="str">
        <f>IFERROR(_xlfn.XLOOKUP(Table6[[#This Row],[Error Code]],'Basic Data'!$AA:$AA,'Basic Data'!$AB:$AB),"Incorrect Error Code")</f>
        <v>WTG shut down</v>
      </c>
      <c r="M320" s="35" t="s">
        <v>330</v>
      </c>
      <c r="N320" s="475"/>
      <c r="O320" s="476">
        <v>0.75763888888888886</v>
      </c>
      <c r="P320" s="476">
        <v>0.75763888888888886</v>
      </c>
      <c r="Q320" s="477">
        <v>0.86041666666666672</v>
      </c>
      <c r="R320" s="472">
        <f>IF(Table6[[#This Row],[Work Start TimeStamp]]="","",(Table6[[#This Row],[Work Start TimeStamp]]-Table6[[#This Row],[Fault Start TimeStamp]])*24)</f>
        <v>0</v>
      </c>
      <c r="S320" s="472">
        <f>(Table6[[#This Row],[Fault Clearance time]]-Table6[[#This Row],[Work Start TimeStamp]])*24</f>
        <v>2.4666666666666686</v>
      </c>
      <c r="T320" s="472">
        <f>(Table6[[#This Row],[Fault Clearance time]]-Table6[[#This Row],[Fault Start TimeStamp]])*24</f>
        <v>2.4666666666666686</v>
      </c>
      <c r="U320" s="35" t="s">
        <v>337</v>
      </c>
      <c r="V320" s="102" t="s">
        <v>293</v>
      </c>
      <c r="W320" s="478">
        <f>IFERROR(Table6[[#This Row],[Breakdown Time]]*Table6[[#This Row],[Plant Equivalent Weightage]],"")</f>
        <v>9.4871794871794909E-2</v>
      </c>
      <c r="X320" s="473" t="s">
        <v>290</v>
      </c>
      <c r="Y320" s="474" t="s">
        <v>321</v>
      </c>
      <c r="Z320" s="102">
        <v>45701</v>
      </c>
      <c r="AA320" s="468">
        <f>(Table6[[#This Row],[Paired WTG Generation for loss calculation]]/24)*Table6[[#This Row],[Breakdown Time]]</f>
        <v>4697.0472222222261</v>
      </c>
      <c r="AB320" s="102"/>
      <c r="AC320" s="35"/>
      <c r="AD320" s="35"/>
    </row>
    <row r="321" spans="1:30">
      <c r="A321" s="102">
        <f t="shared" si="5"/>
        <v>320</v>
      </c>
      <c r="B321" s="468">
        <f>YEAR(Table6[[#This Row],[Date]])+IF(MONTH(Table6[[#This Row],[Date]])&gt;=4,1,0)</f>
        <v>2026</v>
      </c>
      <c r="C321" s="102">
        <f>YEAR(Table6[[#This Row],[Date]])</f>
        <v>2025</v>
      </c>
      <c r="D321" s="102" t="s">
        <v>1992</v>
      </c>
      <c r="E321" s="469">
        <f>Table6[[#This Row],[Date]]-DAY(Table6[[#This Row],[Date]])+1</f>
        <v>45748</v>
      </c>
      <c r="F321" s="470">
        <v>45766</v>
      </c>
      <c r="G321" s="35" t="s">
        <v>78</v>
      </c>
      <c r="H321" s="35" t="str">
        <f>IFERROR(_xlfn.XLOOKUP(Table6[[#This Row],[Affected WTG]],'Basic Data'!$A:$A,'Basic Data'!$B:$B),"")</f>
        <v>TQGXIIPL</v>
      </c>
      <c r="I321" s="35" t="str">
        <f>IFERROR(_xlfn.XLOOKUP(Table6[[#This Row],[Affected WTG]],'Basic Data'!$A:$A,'Basic Data'!$C:$C),"")</f>
        <v>GEDA</v>
      </c>
      <c r="J321" s="471">
        <f>IFERROR(_xlfn.XLOOKUP(Table6[[#This Row],[Affected WTG]],'Basic Data'!$A:$A,'Basic Data'!$E:$E),"")</f>
        <v>3.846153846153845E-2</v>
      </c>
      <c r="K321" s="102">
        <v>3110</v>
      </c>
      <c r="L321" s="35" t="str">
        <f>IFERROR(_xlfn.XLOOKUP(Table6[[#This Row],[Error Code]],'Basic Data'!$AA:$AA,'Basic Data'!$AB:$AB),"Incorrect Error Code")</f>
        <v>Frequency converter error</v>
      </c>
      <c r="M321" s="35" t="s">
        <v>291</v>
      </c>
      <c r="N321" s="475"/>
      <c r="O321" s="476">
        <v>0.72569444444444442</v>
      </c>
      <c r="P321" s="476">
        <v>0.72569444444444442</v>
      </c>
      <c r="Q321" s="477">
        <v>0.73541666666666672</v>
      </c>
      <c r="R321" s="472">
        <f>IF(Table6[[#This Row],[Work Start TimeStamp]]="","",(Table6[[#This Row],[Work Start TimeStamp]]-Table6[[#This Row],[Fault Start TimeStamp]])*24)</f>
        <v>0</v>
      </c>
      <c r="S321" s="472">
        <f>(Table6[[#This Row],[Fault Clearance time]]-Table6[[#This Row],[Work Start TimeStamp]])*24</f>
        <v>0.23333333333333517</v>
      </c>
      <c r="T321" s="472">
        <f>(Table6[[#This Row],[Fault Clearance time]]-Table6[[#This Row],[Fault Start TimeStamp]])*24</f>
        <v>0.23333333333333517</v>
      </c>
      <c r="U321" s="35" t="s">
        <v>349</v>
      </c>
      <c r="V321" s="102" t="s">
        <v>293</v>
      </c>
      <c r="W321" s="478">
        <f>IFERROR(Table6[[#This Row],[Breakdown Time]]*Table6[[#This Row],[Plant Equivalent Weightage]],"")</f>
        <v>8.9743589743590414E-3</v>
      </c>
      <c r="X321" s="473" t="s">
        <v>294</v>
      </c>
      <c r="Y321" s="474" t="s">
        <v>333</v>
      </c>
      <c r="Z321" s="102">
        <v>53626</v>
      </c>
      <c r="AA321" s="468">
        <f>(Table6[[#This Row],[Paired WTG Generation for loss calculation]]/24)*Table6[[#This Row],[Breakdown Time]]</f>
        <v>521.36388888889292</v>
      </c>
      <c r="AB321" s="102"/>
      <c r="AC321" s="35"/>
      <c r="AD321" s="35"/>
    </row>
    <row r="322" spans="1:30">
      <c r="A322" s="102">
        <f t="shared" si="5"/>
        <v>321</v>
      </c>
      <c r="B322" s="468">
        <f>YEAR(Table6[[#This Row],[Date]])+IF(MONTH(Table6[[#This Row],[Date]])&gt;=4,1,0)</f>
        <v>2026</v>
      </c>
      <c r="C322" s="102">
        <f>YEAR(Table6[[#This Row],[Date]])</f>
        <v>2025</v>
      </c>
      <c r="D322" s="102" t="s">
        <v>1992</v>
      </c>
      <c r="E322" s="469">
        <f>Table6[[#This Row],[Date]]-DAY(Table6[[#This Row],[Date]])+1</f>
        <v>45748</v>
      </c>
      <c r="F322" s="470">
        <v>45766</v>
      </c>
      <c r="G322" s="35" t="s">
        <v>78</v>
      </c>
      <c r="H322" s="35" t="str">
        <f>IFERROR(_xlfn.XLOOKUP(Table6[[#This Row],[Affected WTG]],'Basic Data'!$A:$A,'Basic Data'!$B:$B),"")</f>
        <v>TQGXIIPL</v>
      </c>
      <c r="I322" s="35" t="str">
        <f>IFERROR(_xlfn.XLOOKUP(Table6[[#This Row],[Affected WTG]],'Basic Data'!$A:$A,'Basic Data'!$C:$C),"")</f>
        <v>GEDA</v>
      </c>
      <c r="J322" s="471">
        <f>IFERROR(_xlfn.XLOOKUP(Table6[[#This Row],[Affected WTG]],'Basic Data'!$A:$A,'Basic Data'!$E:$E),"")</f>
        <v>3.846153846153845E-2</v>
      </c>
      <c r="K322" s="102">
        <v>55</v>
      </c>
      <c r="L322" s="35" t="str">
        <f>IFERROR(_xlfn.XLOOKUP(Table6[[#This Row],[Error Code]],'Basic Data'!$AA:$AA,'Basic Data'!$AB:$AB),"Incorrect Error Code")</f>
        <v>WTG shut down</v>
      </c>
      <c r="M322" s="35" t="s">
        <v>330</v>
      </c>
      <c r="N322" s="475"/>
      <c r="O322" s="476">
        <v>0.75</v>
      </c>
      <c r="P322" s="476">
        <v>0.75</v>
      </c>
      <c r="Q322" s="477">
        <v>0.77916666666666667</v>
      </c>
      <c r="R322" s="472">
        <f>IF(Table6[[#This Row],[Work Start TimeStamp]]="","",(Table6[[#This Row],[Work Start TimeStamp]]-Table6[[#This Row],[Fault Start TimeStamp]])*24)</f>
        <v>0</v>
      </c>
      <c r="S322" s="472">
        <f>(Table6[[#This Row],[Fault Clearance time]]-Table6[[#This Row],[Work Start TimeStamp]])*24</f>
        <v>0.70000000000000018</v>
      </c>
      <c r="T322" s="472">
        <f>(Table6[[#This Row],[Fault Clearance time]]-Table6[[#This Row],[Fault Start TimeStamp]])*24</f>
        <v>0.70000000000000018</v>
      </c>
      <c r="U322" s="35" t="s">
        <v>337</v>
      </c>
      <c r="V322" s="102" t="s">
        <v>293</v>
      </c>
      <c r="W322" s="478">
        <f>IFERROR(Table6[[#This Row],[Breakdown Time]]*Table6[[#This Row],[Plant Equivalent Weightage]],"")</f>
        <v>2.6923076923076921E-2</v>
      </c>
      <c r="X322" s="473" t="s">
        <v>290</v>
      </c>
      <c r="Y322" s="474" t="s">
        <v>333</v>
      </c>
      <c r="Z322" s="102">
        <v>53626</v>
      </c>
      <c r="AA322" s="468">
        <f>(Table6[[#This Row],[Paired WTG Generation for loss calculation]]/24)*Table6[[#This Row],[Breakdown Time]]</f>
        <v>1564.0916666666669</v>
      </c>
      <c r="AB322" s="102"/>
      <c r="AC322" s="35"/>
      <c r="AD322" s="35"/>
    </row>
    <row r="323" spans="1:30">
      <c r="A323" s="102">
        <f t="shared" si="5"/>
        <v>322</v>
      </c>
      <c r="B323" s="468">
        <f>YEAR(Table6[[#This Row],[Date]])+IF(MONTH(Table6[[#This Row],[Date]])&gt;=4,1,0)</f>
        <v>2026</v>
      </c>
      <c r="C323" s="102">
        <f>YEAR(Table6[[#This Row],[Date]])</f>
        <v>2025</v>
      </c>
      <c r="D323" s="102" t="s">
        <v>1992</v>
      </c>
      <c r="E323" s="469">
        <f>Table6[[#This Row],[Date]]-DAY(Table6[[#This Row],[Date]])+1</f>
        <v>45748</v>
      </c>
      <c r="F323" s="470">
        <v>45766</v>
      </c>
      <c r="G323" s="35" t="s">
        <v>79</v>
      </c>
      <c r="H323" s="35" t="str">
        <f>IFERROR(_xlfn.XLOOKUP(Table6[[#This Row],[Affected WTG]],'Basic Data'!$A:$A,'Basic Data'!$B:$B),"")</f>
        <v>TQGXIIPL</v>
      </c>
      <c r="I323" s="35" t="str">
        <f>IFERROR(_xlfn.XLOOKUP(Table6[[#This Row],[Affected WTG]],'Basic Data'!$A:$A,'Basic Data'!$C:$C),"")</f>
        <v>GEDA</v>
      </c>
      <c r="J323" s="471">
        <f>IFERROR(_xlfn.XLOOKUP(Table6[[#This Row],[Affected WTG]],'Basic Data'!$A:$A,'Basic Data'!$E:$E),"")</f>
        <v>3.846153846153845E-2</v>
      </c>
      <c r="K323" s="102">
        <v>1700</v>
      </c>
      <c r="L323" s="35" t="str">
        <f>IFERROR(_xlfn.XLOOKUP(Table6[[#This Row],[Error Code]],'Basic Data'!$AA:$AA,'Basic Data'!$AB:$AB),"Incorrect Error Code")</f>
        <v>High temp. gear bearing 1</v>
      </c>
      <c r="M323" s="35" t="s">
        <v>291</v>
      </c>
      <c r="N323" s="475"/>
      <c r="O323" s="476">
        <v>0.71388888888888891</v>
      </c>
      <c r="P323" s="476">
        <v>0.71388888888888891</v>
      </c>
      <c r="Q323" s="477">
        <v>0.71597222222222223</v>
      </c>
      <c r="R323" s="472">
        <f>IF(Table6[[#This Row],[Work Start TimeStamp]]="","",(Table6[[#This Row],[Work Start TimeStamp]]-Table6[[#This Row],[Fault Start TimeStamp]])*24)</f>
        <v>0</v>
      </c>
      <c r="S323" s="472">
        <f>(Table6[[#This Row],[Fault Clearance time]]-Table6[[#This Row],[Work Start TimeStamp]])*24</f>
        <v>4.9999999999999822E-2</v>
      </c>
      <c r="T323" s="472">
        <f>(Table6[[#This Row],[Fault Clearance time]]-Table6[[#This Row],[Fault Start TimeStamp]])*24</f>
        <v>4.9999999999999822E-2</v>
      </c>
      <c r="U323" s="35" t="s">
        <v>349</v>
      </c>
      <c r="V323" s="102" t="s">
        <v>293</v>
      </c>
      <c r="W323" s="478">
        <f>IFERROR(Table6[[#This Row],[Breakdown Time]]*Table6[[#This Row],[Plant Equivalent Weightage]],"")</f>
        <v>1.9230769230769156E-3</v>
      </c>
      <c r="X323" s="473" t="s">
        <v>294</v>
      </c>
      <c r="Y323" s="474" t="s">
        <v>325</v>
      </c>
      <c r="Z323" s="102">
        <v>45633</v>
      </c>
      <c r="AA323" s="468">
        <f>(Table6[[#This Row],[Paired WTG Generation for loss calculation]]/24)*Table6[[#This Row],[Breakdown Time]]</f>
        <v>95.068749999999667</v>
      </c>
      <c r="AB323" s="102"/>
      <c r="AC323" s="35"/>
      <c r="AD323" s="35"/>
    </row>
    <row r="324" spans="1:30">
      <c r="A324" s="102">
        <f t="shared" si="5"/>
        <v>323</v>
      </c>
      <c r="B324" s="468">
        <f>YEAR(Table6[[#This Row],[Date]])+IF(MONTH(Table6[[#This Row],[Date]])&gt;=4,1,0)</f>
        <v>2026</v>
      </c>
      <c r="C324" s="102">
        <f>YEAR(Table6[[#This Row],[Date]])</f>
        <v>2025</v>
      </c>
      <c r="D324" s="102" t="s">
        <v>1992</v>
      </c>
      <c r="E324" s="469">
        <f>Table6[[#This Row],[Date]]-DAY(Table6[[#This Row],[Date]])+1</f>
        <v>45748</v>
      </c>
      <c r="F324" s="470">
        <v>45766</v>
      </c>
      <c r="G324" s="35" t="s">
        <v>80</v>
      </c>
      <c r="H324" s="35" t="str">
        <f>IFERROR(_xlfn.XLOOKUP(Table6[[#This Row],[Affected WTG]],'Basic Data'!$A:$A,'Basic Data'!$B:$B),"")</f>
        <v>TQGXIIPL</v>
      </c>
      <c r="I324" s="35" t="str">
        <f>IFERROR(_xlfn.XLOOKUP(Table6[[#This Row],[Affected WTG]],'Basic Data'!$A:$A,'Basic Data'!$C:$C),"")</f>
        <v>GEDA</v>
      </c>
      <c r="J324" s="471">
        <f>IFERROR(_xlfn.XLOOKUP(Table6[[#This Row],[Affected WTG]],'Basic Data'!$A:$A,'Basic Data'!$E:$E),"")</f>
        <v>3.846153846153845E-2</v>
      </c>
      <c r="K324" s="102">
        <v>4960</v>
      </c>
      <c r="L324" s="35" t="str">
        <f>IFERROR(_xlfn.XLOOKUP(Table6[[#This Row],[Error Code]],'Basic Data'!$AA:$AA,'Basic Data'!$AB:$AB),"Incorrect Error Code")</f>
        <v>Tower oscillation YF</v>
      </c>
      <c r="M324" s="35" t="s">
        <v>291</v>
      </c>
      <c r="N324" s="475"/>
      <c r="O324" s="476">
        <v>0.51666666666666672</v>
      </c>
      <c r="P324" s="476">
        <v>0.51666666666666672</v>
      </c>
      <c r="Q324" s="477">
        <v>0.52777777777777779</v>
      </c>
      <c r="R324" s="472">
        <f>IF(Table6[[#This Row],[Work Start TimeStamp]]="","",(Table6[[#This Row],[Work Start TimeStamp]]-Table6[[#This Row],[Fault Start TimeStamp]])*24)</f>
        <v>0</v>
      </c>
      <c r="S324" s="472">
        <f>(Table6[[#This Row],[Fault Clearance time]]-Table6[[#This Row],[Work Start TimeStamp]])*24</f>
        <v>0.26666666666666572</v>
      </c>
      <c r="T324" s="472">
        <f>(Table6[[#This Row],[Fault Clearance time]]-Table6[[#This Row],[Fault Start TimeStamp]])*24</f>
        <v>0.26666666666666572</v>
      </c>
      <c r="U324" s="35" t="s">
        <v>349</v>
      </c>
      <c r="V324" s="102" t="s">
        <v>293</v>
      </c>
      <c r="W324" s="478">
        <f>IFERROR(Table6[[#This Row],[Breakdown Time]]*Table6[[#This Row],[Plant Equivalent Weightage]],"")</f>
        <v>1.0256410256410217E-2</v>
      </c>
      <c r="X324" s="473" t="s">
        <v>294</v>
      </c>
      <c r="Y324" s="474" t="s">
        <v>317</v>
      </c>
      <c r="Z324" s="102">
        <v>51178</v>
      </c>
      <c r="AA324" s="468">
        <f>(Table6[[#This Row],[Paired WTG Generation for loss calculation]]/24)*Table6[[#This Row],[Breakdown Time]]</f>
        <v>568.64444444444234</v>
      </c>
      <c r="AB324" s="102"/>
      <c r="AC324" s="35"/>
      <c r="AD324" s="35"/>
    </row>
    <row r="325" spans="1:30">
      <c r="A325" s="102">
        <f t="shared" si="5"/>
        <v>324</v>
      </c>
      <c r="B325" s="468">
        <f>YEAR(Table6[[#This Row],[Date]])+IF(MONTH(Table6[[#This Row],[Date]])&gt;=4,1,0)</f>
        <v>2026</v>
      </c>
      <c r="C325" s="102">
        <f>YEAR(Table6[[#This Row],[Date]])</f>
        <v>2025</v>
      </c>
      <c r="D325" s="102" t="s">
        <v>1992</v>
      </c>
      <c r="E325" s="469">
        <f>Table6[[#This Row],[Date]]-DAY(Table6[[#This Row],[Date]])+1</f>
        <v>45748</v>
      </c>
      <c r="F325" s="470">
        <v>45766</v>
      </c>
      <c r="G325" s="35" t="s">
        <v>81</v>
      </c>
      <c r="H325" s="35" t="str">
        <f>IFERROR(_xlfn.XLOOKUP(Table6[[#This Row],[Affected WTG]],'Basic Data'!$A:$A,'Basic Data'!$B:$B),"")</f>
        <v>TQGXIIPL</v>
      </c>
      <c r="I325" s="35" t="str">
        <f>IFERROR(_xlfn.XLOOKUP(Table6[[#This Row],[Affected WTG]],'Basic Data'!$A:$A,'Basic Data'!$C:$C),"")</f>
        <v>GEDA</v>
      </c>
      <c r="J325" s="471">
        <f>IFERROR(_xlfn.XLOOKUP(Table6[[#This Row],[Affected WTG]],'Basic Data'!$A:$A,'Basic Data'!$E:$E),"")</f>
        <v>3.846153846153845E-2</v>
      </c>
      <c r="K325" s="102">
        <v>6605</v>
      </c>
      <c r="L325" s="35" t="str">
        <f>IFERROR(_xlfn.XLOOKUP(Table6[[#This Row],[Error Code]],'Basic Data'!$AA:$AA,'Basic Data'!$AB:$AB),"Incorrect Error Code")</f>
        <v>Wind.dir. diff. level 2</v>
      </c>
      <c r="M325" s="35" t="s">
        <v>291</v>
      </c>
      <c r="N325" s="475"/>
      <c r="O325" s="476">
        <v>0.68263888888888891</v>
      </c>
      <c r="P325" s="476">
        <v>0.68263888888888891</v>
      </c>
      <c r="Q325" s="477">
        <v>0.69374999999999998</v>
      </c>
      <c r="R325" s="472">
        <f>IF(Table6[[#This Row],[Work Start TimeStamp]]="","",(Table6[[#This Row],[Work Start TimeStamp]]-Table6[[#This Row],[Fault Start TimeStamp]])*24)</f>
        <v>0</v>
      </c>
      <c r="S325" s="472">
        <f>(Table6[[#This Row],[Fault Clearance time]]-Table6[[#This Row],[Work Start TimeStamp]])*24</f>
        <v>0.26666666666666572</v>
      </c>
      <c r="T325" s="472">
        <f>(Table6[[#This Row],[Fault Clearance time]]-Table6[[#This Row],[Fault Start TimeStamp]])*24</f>
        <v>0.26666666666666572</v>
      </c>
      <c r="U325" s="35" t="s">
        <v>349</v>
      </c>
      <c r="V325" s="102" t="s">
        <v>293</v>
      </c>
      <c r="W325" s="478">
        <f>IFERROR(Table6[[#This Row],[Breakdown Time]]*Table6[[#This Row],[Plant Equivalent Weightage]],"")</f>
        <v>1.0256410256410217E-2</v>
      </c>
      <c r="X325" s="473" t="s">
        <v>294</v>
      </c>
      <c r="Y325" s="474" t="s">
        <v>321</v>
      </c>
      <c r="Z325" s="102">
        <v>45701</v>
      </c>
      <c r="AA325" s="468">
        <f>(Table6[[#This Row],[Paired WTG Generation for loss calculation]]/24)*Table6[[#This Row],[Breakdown Time]]</f>
        <v>507.78888888888707</v>
      </c>
      <c r="AB325" s="102"/>
      <c r="AC325" s="35"/>
      <c r="AD325" s="35"/>
    </row>
    <row r="326" spans="1:30">
      <c r="A326" s="102">
        <f t="shared" si="5"/>
        <v>325</v>
      </c>
      <c r="B326" s="468">
        <f>YEAR(Table6[[#This Row],[Date]])+IF(MONTH(Table6[[#This Row],[Date]])&gt;=4,1,0)</f>
        <v>2026</v>
      </c>
      <c r="C326" s="102">
        <f>YEAR(Table6[[#This Row],[Date]])</f>
        <v>2025</v>
      </c>
      <c r="D326" s="102" t="s">
        <v>1992</v>
      </c>
      <c r="E326" s="469">
        <f>Table6[[#This Row],[Date]]-DAY(Table6[[#This Row],[Date]])+1</f>
        <v>45748</v>
      </c>
      <c r="F326" s="470">
        <v>45766</v>
      </c>
      <c r="G326" s="35" t="s">
        <v>84</v>
      </c>
      <c r="H326" s="35" t="str">
        <f>IFERROR(_xlfn.XLOOKUP(Table6[[#This Row],[Affected WTG]],'Basic Data'!$A:$A,'Basic Data'!$B:$B),"")</f>
        <v>TQGXIIPL</v>
      </c>
      <c r="I326" s="35" t="str">
        <f>IFERROR(_xlfn.XLOOKUP(Table6[[#This Row],[Affected WTG]],'Basic Data'!$A:$A,'Basic Data'!$C:$C),"")</f>
        <v>GEDA</v>
      </c>
      <c r="J326" s="471">
        <f>IFERROR(_xlfn.XLOOKUP(Table6[[#This Row],[Affected WTG]],'Basic Data'!$A:$A,'Basic Data'!$E:$E),"")</f>
        <v>3.846153846153845E-2</v>
      </c>
      <c r="K326" s="102">
        <v>6130</v>
      </c>
      <c r="L326" s="35" t="str">
        <f>IFERROR(_xlfn.XLOOKUP(Table6[[#This Row],[Error Code]],'Basic Data'!$AA:$AA,'Basic Data'!$AB:$AB),"Incorrect Error Code")</f>
        <v>Yaw speed high</v>
      </c>
      <c r="M326" s="35" t="s">
        <v>291</v>
      </c>
      <c r="N326" s="475"/>
      <c r="O326" s="476">
        <v>0.60347222222222219</v>
      </c>
      <c r="P326" s="476">
        <v>0.60347222222222219</v>
      </c>
      <c r="Q326" s="477">
        <v>0.60763888888888884</v>
      </c>
      <c r="R326" s="472">
        <f>IF(Table6[[#This Row],[Work Start TimeStamp]]="","",(Table6[[#This Row],[Work Start TimeStamp]]-Table6[[#This Row],[Fault Start TimeStamp]])*24)</f>
        <v>0</v>
      </c>
      <c r="S326" s="472">
        <f>(Table6[[#This Row],[Fault Clearance time]]-Table6[[#This Row],[Work Start TimeStamp]])*24</f>
        <v>9.9999999999999645E-2</v>
      </c>
      <c r="T326" s="472">
        <f>(Table6[[#This Row],[Fault Clearance time]]-Table6[[#This Row],[Fault Start TimeStamp]])*24</f>
        <v>9.9999999999999645E-2</v>
      </c>
      <c r="U326" s="35" t="s">
        <v>349</v>
      </c>
      <c r="V326" s="102" t="s">
        <v>293</v>
      </c>
      <c r="W326" s="478">
        <f>IFERROR(Table6[[#This Row],[Breakdown Time]]*Table6[[#This Row],[Plant Equivalent Weightage]],"")</f>
        <v>3.8461538461538312E-3</v>
      </c>
      <c r="X326" s="473" t="s">
        <v>294</v>
      </c>
      <c r="Y326" s="474" t="s">
        <v>327</v>
      </c>
      <c r="Z326" s="102">
        <v>44692</v>
      </c>
      <c r="AA326" s="468">
        <f>(Table6[[#This Row],[Paired WTG Generation for loss calculation]]/24)*Table6[[#This Row],[Breakdown Time]]</f>
        <v>186.21666666666601</v>
      </c>
      <c r="AB326" s="102"/>
      <c r="AC326" s="35"/>
      <c r="AD326" s="35"/>
    </row>
    <row r="327" spans="1:30">
      <c r="A327" s="102">
        <f t="shared" si="5"/>
        <v>326</v>
      </c>
      <c r="B327" s="468">
        <f>YEAR(Table6[[#This Row],[Date]])+IF(MONTH(Table6[[#This Row],[Date]])&gt;=4,1,0)</f>
        <v>2026</v>
      </c>
      <c r="C327" s="102">
        <f>YEAR(Table6[[#This Row],[Date]])</f>
        <v>2025</v>
      </c>
      <c r="D327" s="102" t="s">
        <v>1992</v>
      </c>
      <c r="E327" s="469">
        <f>Table6[[#This Row],[Date]]-DAY(Table6[[#This Row],[Date]])+1</f>
        <v>45748</v>
      </c>
      <c r="F327" s="470">
        <v>45766</v>
      </c>
      <c r="G327" s="35" t="s">
        <v>85</v>
      </c>
      <c r="H327" s="35" t="str">
        <f>IFERROR(_xlfn.XLOOKUP(Table6[[#This Row],[Affected WTG]],'Basic Data'!$A:$A,'Basic Data'!$B:$B),"")</f>
        <v>TQGXIIPL</v>
      </c>
      <c r="I327" s="35" t="str">
        <f>IFERROR(_xlfn.XLOOKUP(Table6[[#This Row],[Affected WTG]],'Basic Data'!$A:$A,'Basic Data'!$C:$C),"")</f>
        <v>GEDA</v>
      </c>
      <c r="J327" s="471">
        <f>IFERROR(_xlfn.XLOOKUP(Table6[[#This Row],[Affected WTG]],'Basic Data'!$A:$A,'Basic Data'!$E:$E),"")</f>
        <v>3.846153846153845E-2</v>
      </c>
      <c r="K327" s="102">
        <v>1700</v>
      </c>
      <c r="L327" s="35" t="str">
        <f>IFERROR(_xlfn.XLOOKUP(Table6[[#This Row],[Error Code]],'Basic Data'!$AA:$AA,'Basic Data'!$AB:$AB),"Incorrect Error Code")</f>
        <v>High temp. gear bearing 1</v>
      </c>
      <c r="M327" s="35" t="s">
        <v>291</v>
      </c>
      <c r="N327" s="475"/>
      <c r="O327" s="476">
        <v>0.70208333333333328</v>
      </c>
      <c r="P327" s="476">
        <v>0.70208333333333328</v>
      </c>
      <c r="Q327" s="477">
        <v>0.70416666666666672</v>
      </c>
      <c r="R327" s="472">
        <f>IF(Table6[[#This Row],[Work Start TimeStamp]]="","",(Table6[[#This Row],[Work Start TimeStamp]]-Table6[[#This Row],[Fault Start TimeStamp]])*24)</f>
        <v>0</v>
      </c>
      <c r="S327" s="472">
        <f>(Table6[[#This Row],[Fault Clearance time]]-Table6[[#This Row],[Work Start TimeStamp]])*24</f>
        <v>5.0000000000002487E-2</v>
      </c>
      <c r="T327" s="472">
        <f>(Table6[[#This Row],[Fault Clearance time]]-Table6[[#This Row],[Fault Start TimeStamp]])*24</f>
        <v>5.0000000000002487E-2</v>
      </c>
      <c r="U327" s="35" t="s">
        <v>349</v>
      </c>
      <c r="V327" s="102" t="s">
        <v>293</v>
      </c>
      <c r="W327" s="478">
        <f>IFERROR(Table6[[#This Row],[Breakdown Time]]*Table6[[#This Row],[Plant Equivalent Weightage]],"")</f>
        <v>1.9230769230770182E-3</v>
      </c>
      <c r="X327" s="473" t="s">
        <v>294</v>
      </c>
      <c r="Y327" s="474" t="s">
        <v>322</v>
      </c>
      <c r="Z327" s="102">
        <v>42355</v>
      </c>
      <c r="AA327" s="468">
        <f>(Table6[[#This Row],[Paired WTG Generation for loss calculation]]/24)*Table6[[#This Row],[Breakdown Time]]</f>
        <v>88.23958333333772</v>
      </c>
      <c r="AB327" s="102"/>
      <c r="AC327" s="35"/>
      <c r="AD327" s="35"/>
    </row>
    <row r="328" spans="1:30">
      <c r="A328" s="102">
        <f t="shared" si="5"/>
        <v>327</v>
      </c>
      <c r="B328" s="468">
        <f>YEAR(Table6[[#This Row],[Date]])+IF(MONTH(Table6[[#This Row],[Date]])&gt;=4,1,0)</f>
        <v>2026</v>
      </c>
      <c r="C328" s="102">
        <f>YEAR(Table6[[#This Row],[Date]])</f>
        <v>2025</v>
      </c>
      <c r="D328" s="102" t="s">
        <v>1992</v>
      </c>
      <c r="E328" s="469">
        <f>Table6[[#This Row],[Date]]-DAY(Table6[[#This Row],[Date]])+1</f>
        <v>45748</v>
      </c>
      <c r="F328" s="470">
        <v>45766</v>
      </c>
      <c r="G328" s="35" t="s">
        <v>87</v>
      </c>
      <c r="H328" s="35" t="str">
        <f>IFERROR(_xlfn.XLOOKUP(Table6[[#This Row],[Affected WTG]],'Basic Data'!$A:$A,'Basic Data'!$B:$B),"")</f>
        <v>TQGXIIPL</v>
      </c>
      <c r="I328" s="35" t="str">
        <f>IFERROR(_xlfn.XLOOKUP(Table6[[#This Row],[Affected WTG]],'Basic Data'!$A:$A,'Basic Data'!$C:$C),"")</f>
        <v>GEDA</v>
      </c>
      <c r="J328" s="471">
        <f>IFERROR(_xlfn.XLOOKUP(Table6[[#This Row],[Affected WTG]],'Basic Data'!$A:$A,'Basic Data'!$E:$E),"")</f>
        <v>3.846153846153845E-2</v>
      </c>
      <c r="K328" s="102">
        <v>4960</v>
      </c>
      <c r="L328" s="35" t="str">
        <f>IFERROR(_xlfn.XLOOKUP(Table6[[#This Row],[Error Code]],'Basic Data'!$AA:$AA,'Basic Data'!$AB:$AB),"Incorrect Error Code")</f>
        <v>Tower oscillation YF</v>
      </c>
      <c r="M328" s="35" t="s">
        <v>291</v>
      </c>
      <c r="N328" s="475"/>
      <c r="O328" s="476">
        <v>0.52500000000000002</v>
      </c>
      <c r="P328" s="476">
        <v>0.52500000000000002</v>
      </c>
      <c r="Q328" s="477">
        <v>0.53263888888888888</v>
      </c>
      <c r="R328" s="472">
        <f>IF(Table6[[#This Row],[Work Start TimeStamp]]="","",(Table6[[#This Row],[Work Start TimeStamp]]-Table6[[#This Row],[Fault Start TimeStamp]])*24)</f>
        <v>0</v>
      </c>
      <c r="S328" s="472">
        <f>(Table6[[#This Row],[Fault Clearance time]]-Table6[[#This Row],[Work Start TimeStamp]])*24</f>
        <v>0.18333333333333268</v>
      </c>
      <c r="T328" s="472">
        <f>(Table6[[#This Row],[Fault Clearance time]]-Table6[[#This Row],[Fault Start TimeStamp]])*24</f>
        <v>0.18333333333333268</v>
      </c>
      <c r="U328" s="35" t="s">
        <v>349</v>
      </c>
      <c r="V328" s="102" t="s">
        <v>293</v>
      </c>
      <c r="W328" s="478">
        <f>IFERROR(Table6[[#This Row],[Breakdown Time]]*Table6[[#This Row],[Plant Equivalent Weightage]],"")</f>
        <v>7.0512820512820245E-3</v>
      </c>
      <c r="X328" s="473" t="s">
        <v>294</v>
      </c>
      <c r="Y328" s="474" t="s">
        <v>327</v>
      </c>
      <c r="Z328" s="102">
        <v>44692</v>
      </c>
      <c r="AA328" s="468">
        <f>(Table6[[#This Row],[Paired WTG Generation for loss calculation]]/24)*Table6[[#This Row],[Breakdown Time]]</f>
        <v>341.39722222222105</v>
      </c>
      <c r="AB328" s="102"/>
      <c r="AC328" s="35"/>
      <c r="AD328" s="35"/>
    </row>
    <row r="329" spans="1:30">
      <c r="A329" s="102">
        <f t="shared" si="5"/>
        <v>328</v>
      </c>
      <c r="B329" s="468">
        <f>YEAR(Table6[[#This Row],[Date]])+IF(MONTH(Table6[[#This Row],[Date]])&gt;=4,1,0)</f>
        <v>2026</v>
      </c>
      <c r="C329" s="102">
        <f>YEAR(Table6[[#This Row],[Date]])</f>
        <v>2025</v>
      </c>
      <c r="D329" s="102" t="s">
        <v>1992</v>
      </c>
      <c r="E329" s="469">
        <f>Table6[[#This Row],[Date]]-DAY(Table6[[#This Row],[Date]])+1</f>
        <v>45748</v>
      </c>
      <c r="F329" s="470">
        <v>45766</v>
      </c>
      <c r="G329" s="35" t="s">
        <v>91</v>
      </c>
      <c r="H329" s="35" t="str">
        <f>IFERROR(_xlfn.XLOOKUP(Table6[[#This Row],[Affected WTG]],'Basic Data'!$A:$A,'Basic Data'!$B:$B),"")</f>
        <v>TQGXIIPL</v>
      </c>
      <c r="I329" s="35" t="str">
        <f>IFERROR(_xlfn.XLOOKUP(Table6[[#This Row],[Affected WTG]],'Basic Data'!$A:$A,'Basic Data'!$C:$C),"")</f>
        <v>GEDA</v>
      </c>
      <c r="J329" s="471">
        <f>IFERROR(_xlfn.XLOOKUP(Table6[[#This Row],[Affected WTG]],'Basic Data'!$A:$A,'Basic Data'!$E:$E),"")</f>
        <v>3.846153846153845E-2</v>
      </c>
      <c r="K329" s="102">
        <v>55</v>
      </c>
      <c r="L329" s="35" t="str">
        <f>IFERROR(_xlfn.XLOOKUP(Table6[[#This Row],[Error Code]],'Basic Data'!$AA:$AA,'Basic Data'!$AB:$AB),"Incorrect Error Code")</f>
        <v>WTG shut down</v>
      </c>
      <c r="M329" s="35" t="s">
        <v>304</v>
      </c>
      <c r="N329" s="475"/>
      <c r="O329" s="476">
        <v>0.28749999999999998</v>
      </c>
      <c r="P329" s="476">
        <v>0.28749999999999998</v>
      </c>
      <c r="Q329" s="477">
        <v>0.65069444444444446</v>
      </c>
      <c r="R329" s="472">
        <f>IF(Table6[[#This Row],[Work Start TimeStamp]]="","",(Table6[[#This Row],[Work Start TimeStamp]]-Table6[[#This Row],[Fault Start TimeStamp]])*24)</f>
        <v>0</v>
      </c>
      <c r="S329" s="472">
        <f>(Table6[[#This Row],[Fault Clearance time]]-Table6[[#This Row],[Work Start TimeStamp]])*24</f>
        <v>8.7166666666666686</v>
      </c>
      <c r="T329" s="472">
        <f>(Table6[[#This Row],[Fault Clearance time]]-Table6[[#This Row],[Fault Start TimeStamp]])*24</f>
        <v>8.7166666666666686</v>
      </c>
      <c r="U329" s="35" t="s">
        <v>351</v>
      </c>
      <c r="V329" s="102" t="s">
        <v>293</v>
      </c>
      <c r="W329" s="478">
        <f>IFERROR(Table6[[#This Row],[Breakdown Time]]*Table6[[#This Row],[Plant Equivalent Weightage]],"")</f>
        <v>0.33525641025641023</v>
      </c>
      <c r="X329" s="473" t="s">
        <v>305</v>
      </c>
      <c r="Y329" s="474" t="s">
        <v>319</v>
      </c>
      <c r="Z329" s="102">
        <v>46454</v>
      </c>
      <c r="AA329" s="468">
        <f>(Table6[[#This Row],[Paired WTG Generation for loss calculation]]/24)*Table6[[#This Row],[Breakdown Time]]</f>
        <v>16871.834722222226</v>
      </c>
      <c r="AB329" s="102"/>
      <c r="AC329" s="35"/>
      <c r="AD329" s="35"/>
    </row>
    <row r="330" spans="1:30">
      <c r="A330" s="102">
        <f t="shared" si="5"/>
        <v>329</v>
      </c>
      <c r="B330" s="468">
        <f>YEAR(Table6[[#This Row],[Date]])+IF(MONTH(Table6[[#This Row],[Date]])&gt;=4,1,0)</f>
        <v>2026</v>
      </c>
      <c r="C330" s="102">
        <f>YEAR(Table6[[#This Row],[Date]])</f>
        <v>2025</v>
      </c>
      <c r="D330" s="102" t="s">
        <v>1992</v>
      </c>
      <c r="E330" s="469">
        <f>Table6[[#This Row],[Date]]-DAY(Table6[[#This Row],[Date]])+1</f>
        <v>45748</v>
      </c>
      <c r="F330" s="470">
        <v>45766</v>
      </c>
      <c r="G330" s="35" t="s">
        <v>93</v>
      </c>
      <c r="H330" s="35" t="str">
        <f>IFERROR(_xlfn.XLOOKUP(Table6[[#This Row],[Affected WTG]],'Basic Data'!$A:$A,'Basic Data'!$B:$B),"")</f>
        <v>TQGXIIPL</v>
      </c>
      <c r="I330" s="35" t="str">
        <f>IFERROR(_xlfn.XLOOKUP(Table6[[#This Row],[Affected WTG]],'Basic Data'!$A:$A,'Basic Data'!$C:$C),"")</f>
        <v>GEDA</v>
      </c>
      <c r="J330" s="471">
        <f>IFERROR(_xlfn.XLOOKUP(Table6[[#This Row],[Affected WTG]],'Basic Data'!$A:$A,'Basic Data'!$E:$E),"")</f>
        <v>3.846153846153845E-2</v>
      </c>
      <c r="K330" s="102">
        <v>4960</v>
      </c>
      <c r="L330" s="35" t="str">
        <f>IFERROR(_xlfn.XLOOKUP(Table6[[#This Row],[Error Code]],'Basic Data'!$AA:$AA,'Basic Data'!$AB:$AB),"Incorrect Error Code")</f>
        <v>Tower oscillation YF</v>
      </c>
      <c r="M330" s="35" t="s">
        <v>291</v>
      </c>
      <c r="N330" s="475"/>
      <c r="O330" s="476">
        <v>0.54097222222222219</v>
      </c>
      <c r="P330" s="476">
        <v>0.54097222222222219</v>
      </c>
      <c r="Q330" s="477">
        <v>0.55208333333333337</v>
      </c>
      <c r="R330" s="472">
        <f>IF(Table6[[#This Row],[Work Start TimeStamp]]="","",(Table6[[#This Row],[Work Start TimeStamp]]-Table6[[#This Row],[Fault Start TimeStamp]])*24)</f>
        <v>0</v>
      </c>
      <c r="S330" s="472">
        <f>(Table6[[#This Row],[Fault Clearance time]]-Table6[[#This Row],[Work Start TimeStamp]])*24</f>
        <v>0.26666666666666838</v>
      </c>
      <c r="T330" s="472">
        <f>(Table6[[#This Row],[Fault Clearance time]]-Table6[[#This Row],[Fault Start TimeStamp]])*24</f>
        <v>0.26666666666666838</v>
      </c>
      <c r="U330" s="35" t="s">
        <v>349</v>
      </c>
      <c r="V330" s="102" t="s">
        <v>293</v>
      </c>
      <c r="W330" s="478">
        <f>IFERROR(Table6[[#This Row],[Breakdown Time]]*Table6[[#This Row],[Plant Equivalent Weightage]],"")</f>
        <v>1.0256410256410319E-2</v>
      </c>
      <c r="X330" s="473" t="s">
        <v>294</v>
      </c>
      <c r="Y330" s="474" t="s">
        <v>314</v>
      </c>
      <c r="Z330" s="102">
        <v>45796</v>
      </c>
      <c r="AA330" s="468">
        <f>(Table6[[#This Row],[Paired WTG Generation for loss calculation]]/24)*Table6[[#This Row],[Breakdown Time]]</f>
        <v>508.84444444444773</v>
      </c>
      <c r="AB330" s="102"/>
      <c r="AC330" s="35"/>
      <c r="AD330" s="35"/>
    </row>
    <row r="331" spans="1:30">
      <c r="A331" s="102">
        <f t="shared" si="5"/>
        <v>330</v>
      </c>
      <c r="B331" s="468">
        <f>YEAR(Table6[[#This Row],[Date]])+IF(MONTH(Table6[[#This Row],[Date]])&gt;=4,1,0)</f>
        <v>2026</v>
      </c>
      <c r="C331" s="102">
        <f>YEAR(Table6[[#This Row],[Date]])</f>
        <v>2025</v>
      </c>
      <c r="D331" s="102" t="s">
        <v>1992</v>
      </c>
      <c r="E331" s="469">
        <f>Table6[[#This Row],[Date]]-DAY(Table6[[#This Row],[Date]])+1</f>
        <v>45748</v>
      </c>
      <c r="F331" s="470">
        <v>45766</v>
      </c>
      <c r="G331" s="35" t="s">
        <v>94</v>
      </c>
      <c r="H331" s="35" t="str">
        <f>IFERROR(_xlfn.XLOOKUP(Table6[[#This Row],[Affected WTG]],'Basic Data'!$A:$A,'Basic Data'!$B:$B),"")</f>
        <v>TQGXIIPL</v>
      </c>
      <c r="I331" s="35" t="str">
        <f>IFERROR(_xlfn.XLOOKUP(Table6[[#This Row],[Affected WTG]],'Basic Data'!$A:$A,'Basic Data'!$C:$C),"")</f>
        <v>GEDA</v>
      </c>
      <c r="J331" s="471">
        <f>IFERROR(_xlfn.XLOOKUP(Table6[[#This Row],[Affected WTG]],'Basic Data'!$A:$A,'Basic Data'!$E:$E),"")</f>
        <v>3.846153846153845E-2</v>
      </c>
      <c r="K331" s="102">
        <v>6130</v>
      </c>
      <c r="L331" s="35" t="str">
        <f>IFERROR(_xlfn.XLOOKUP(Table6[[#This Row],[Error Code]],'Basic Data'!$AA:$AA,'Basic Data'!$AB:$AB),"Incorrect Error Code")</f>
        <v>Yaw speed high</v>
      </c>
      <c r="M331" s="35" t="s">
        <v>291</v>
      </c>
      <c r="N331" s="475"/>
      <c r="O331" s="476">
        <v>0.44166666666666665</v>
      </c>
      <c r="P331" s="476">
        <v>0.44166666666666665</v>
      </c>
      <c r="Q331" s="477">
        <v>0.44583333333333336</v>
      </c>
      <c r="R331" s="472">
        <f>IF(Table6[[#This Row],[Work Start TimeStamp]]="","",(Table6[[#This Row],[Work Start TimeStamp]]-Table6[[#This Row],[Fault Start TimeStamp]])*24)</f>
        <v>0</v>
      </c>
      <c r="S331" s="472">
        <f>(Table6[[#This Row],[Fault Clearance time]]-Table6[[#This Row],[Work Start TimeStamp]])*24</f>
        <v>0.10000000000000098</v>
      </c>
      <c r="T331" s="472">
        <f>(Table6[[#This Row],[Fault Clearance time]]-Table6[[#This Row],[Fault Start TimeStamp]])*24</f>
        <v>0.10000000000000098</v>
      </c>
      <c r="U331" s="35" t="s">
        <v>349</v>
      </c>
      <c r="V331" s="102" t="s">
        <v>293</v>
      </c>
      <c r="W331" s="478">
        <f>IFERROR(Table6[[#This Row],[Breakdown Time]]*Table6[[#This Row],[Plant Equivalent Weightage]],"")</f>
        <v>3.8461538461538824E-3</v>
      </c>
      <c r="X331" s="473" t="s">
        <v>294</v>
      </c>
      <c r="Y331" s="474" t="s">
        <v>319</v>
      </c>
      <c r="Z331" s="102">
        <v>46454</v>
      </c>
      <c r="AA331" s="468">
        <f>(Table6[[#This Row],[Paired WTG Generation for loss calculation]]/24)*Table6[[#This Row],[Breakdown Time]]</f>
        <v>193.55833333333521</v>
      </c>
      <c r="AB331" s="102"/>
      <c r="AC331" s="35"/>
      <c r="AD331" s="35"/>
    </row>
    <row r="332" spans="1:30">
      <c r="A332" s="102">
        <f t="shared" si="5"/>
        <v>331</v>
      </c>
      <c r="B332" s="468">
        <f>YEAR(Table6[[#This Row],[Date]])+IF(MONTH(Table6[[#This Row],[Date]])&gt;=4,1,0)</f>
        <v>2026</v>
      </c>
      <c r="C332" s="102">
        <f>YEAR(Table6[[#This Row],[Date]])</f>
        <v>2025</v>
      </c>
      <c r="D332" s="102" t="s">
        <v>1992</v>
      </c>
      <c r="E332" s="469">
        <f>Table6[[#This Row],[Date]]-DAY(Table6[[#This Row],[Date]])+1</f>
        <v>45748</v>
      </c>
      <c r="F332" s="470">
        <v>45766</v>
      </c>
      <c r="G332" s="35" t="s">
        <v>96</v>
      </c>
      <c r="H332" s="35" t="str">
        <f>IFERROR(_xlfn.XLOOKUP(Table6[[#This Row],[Affected WTG]],'Basic Data'!$A:$A,'Basic Data'!$B:$B),"")</f>
        <v>TQGXIIPL</v>
      </c>
      <c r="I332" s="35" t="str">
        <f>IFERROR(_xlfn.XLOOKUP(Table6[[#This Row],[Affected WTG]],'Basic Data'!$A:$A,'Basic Data'!$C:$C),"")</f>
        <v>GEDA</v>
      </c>
      <c r="J332" s="471">
        <f>IFERROR(_xlfn.XLOOKUP(Table6[[#This Row],[Affected WTG]],'Basic Data'!$A:$A,'Basic Data'!$E:$E),"")</f>
        <v>3.846153846153845E-2</v>
      </c>
      <c r="K332" s="102">
        <v>4960</v>
      </c>
      <c r="L332" s="35" t="str">
        <f>IFERROR(_xlfn.XLOOKUP(Table6[[#This Row],[Error Code]],'Basic Data'!$AA:$AA,'Basic Data'!$AB:$AB),"Incorrect Error Code")</f>
        <v>Tower oscillation YF</v>
      </c>
      <c r="M332" s="35" t="s">
        <v>291</v>
      </c>
      <c r="N332" s="475"/>
      <c r="O332" s="476">
        <v>0.61736111111111114</v>
      </c>
      <c r="P332" s="476">
        <v>0.61736111111111114</v>
      </c>
      <c r="Q332" s="477">
        <v>0.62847222222222221</v>
      </c>
      <c r="R332" s="472">
        <f>IF(Table6[[#This Row],[Work Start TimeStamp]]="","",(Table6[[#This Row],[Work Start TimeStamp]]-Table6[[#This Row],[Fault Start TimeStamp]])*24)</f>
        <v>0</v>
      </c>
      <c r="S332" s="472">
        <f>(Table6[[#This Row],[Fault Clearance time]]-Table6[[#This Row],[Work Start TimeStamp]])*24</f>
        <v>0.26666666666666572</v>
      </c>
      <c r="T332" s="472">
        <f>(Table6[[#This Row],[Fault Clearance time]]-Table6[[#This Row],[Fault Start TimeStamp]])*24</f>
        <v>0.26666666666666572</v>
      </c>
      <c r="U332" s="35" t="s">
        <v>349</v>
      </c>
      <c r="V332" s="102" t="s">
        <v>293</v>
      </c>
      <c r="W332" s="478">
        <f>IFERROR(Table6[[#This Row],[Breakdown Time]]*Table6[[#This Row],[Plant Equivalent Weightage]],"")</f>
        <v>1.0256410256410217E-2</v>
      </c>
      <c r="X332" s="473" t="s">
        <v>294</v>
      </c>
      <c r="Y332" s="474" t="s">
        <v>313</v>
      </c>
      <c r="Z332" s="102">
        <v>45528</v>
      </c>
      <c r="AA332" s="468">
        <f>(Table6[[#This Row],[Paired WTG Generation for loss calculation]]/24)*Table6[[#This Row],[Breakdown Time]]</f>
        <v>505.86666666666486</v>
      </c>
      <c r="AB332" s="102"/>
      <c r="AC332" s="35"/>
      <c r="AD332" s="35"/>
    </row>
    <row r="333" spans="1:30">
      <c r="A333" s="102">
        <f t="shared" si="5"/>
        <v>332</v>
      </c>
      <c r="B333" s="468">
        <f>YEAR(Table6[[#This Row],[Date]])+IF(MONTH(Table6[[#This Row],[Date]])&gt;=4,1,0)</f>
        <v>2026</v>
      </c>
      <c r="C333" s="102">
        <f>YEAR(Table6[[#This Row],[Date]])</f>
        <v>2025</v>
      </c>
      <c r="D333" s="102" t="s">
        <v>1992</v>
      </c>
      <c r="E333" s="469">
        <f>Table6[[#This Row],[Date]]-DAY(Table6[[#This Row],[Date]])+1</f>
        <v>45748</v>
      </c>
      <c r="F333" s="470">
        <v>45766</v>
      </c>
      <c r="G333" s="35" t="s">
        <v>98</v>
      </c>
      <c r="H333" s="35" t="str">
        <f>IFERROR(_xlfn.XLOOKUP(Table6[[#This Row],[Affected WTG]],'Basic Data'!$A:$A,'Basic Data'!$B:$B),"")</f>
        <v>TQGXIIPL</v>
      </c>
      <c r="I333" s="35" t="str">
        <f>IFERROR(_xlfn.XLOOKUP(Table6[[#This Row],[Affected WTG]],'Basic Data'!$A:$A,'Basic Data'!$C:$C),"")</f>
        <v>GEDA</v>
      </c>
      <c r="J333" s="471">
        <f>IFERROR(_xlfn.XLOOKUP(Table6[[#This Row],[Affected WTG]],'Basic Data'!$A:$A,'Basic Data'!$E:$E),"")</f>
        <v>3.846153846153845E-2</v>
      </c>
      <c r="K333" s="102">
        <v>55</v>
      </c>
      <c r="L333" s="35" t="str">
        <f>IFERROR(_xlfn.XLOOKUP(Table6[[#This Row],[Error Code]],'Basic Data'!$AA:$AA,'Basic Data'!$AB:$AB),"Incorrect Error Code")</f>
        <v>WTG shut down</v>
      </c>
      <c r="M333" s="35" t="s">
        <v>330</v>
      </c>
      <c r="N333" s="475"/>
      <c r="O333" s="476">
        <v>0.4375</v>
      </c>
      <c r="P333" s="476">
        <v>0.4375</v>
      </c>
      <c r="Q333" s="477">
        <v>0.46458333333333335</v>
      </c>
      <c r="R333" s="472">
        <f>IF(Table6[[#This Row],[Work Start TimeStamp]]="","",(Table6[[#This Row],[Work Start TimeStamp]]-Table6[[#This Row],[Fault Start TimeStamp]])*24)</f>
        <v>0</v>
      </c>
      <c r="S333" s="472">
        <f>(Table6[[#This Row],[Fault Clearance time]]-Table6[[#This Row],[Work Start TimeStamp]])*24</f>
        <v>0.65000000000000036</v>
      </c>
      <c r="T333" s="472">
        <f>(Table6[[#This Row],[Fault Clearance time]]-Table6[[#This Row],[Fault Start TimeStamp]])*24</f>
        <v>0.65000000000000036</v>
      </c>
      <c r="U333" s="35" t="s">
        <v>337</v>
      </c>
      <c r="V333" s="102" t="s">
        <v>293</v>
      </c>
      <c r="W333" s="478">
        <f>IFERROR(Table6[[#This Row],[Breakdown Time]]*Table6[[#This Row],[Plant Equivalent Weightage]],"")</f>
        <v>2.5000000000000005E-2</v>
      </c>
      <c r="X333" s="473" t="s">
        <v>290</v>
      </c>
      <c r="Y333" s="474" t="s">
        <v>315</v>
      </c>
      <c r="Z333" s="102">
        <v>39027</v>
      </c>
      <c r="AA333" s="468">
        <f>(Table6[[#This Row],[Paired WTG Generation for loss calculation]]/24)*Table6[[#This Row],[Breakdown Time]]</f>
        <v>1056.9812500000005</v>
      </c>
      <c r="AB333" s="102"/>
      <c r="AC333" s="35"/>
      <c r="AD333" s="35"/>
    </row>
    <row r="334" spans="1:30">
      <c r="A334" s="102">
        <f t="shared" ref="A334:A397" si="6">A333+1</f>
        <v>333</v>
      </c>
      <c r="B334" s="468">
        <f>YEAR(Table6[[#This Row],[Date]])+IF(MONTH(Table6[[#This Row],[Date]])&gt;=4,1,0)</f>
        <v>2026</v>
      </c>
      <c r="C334" s="102">
        <f>YEAR(Table6[[#This Row],[Date]])</f>
        <v>2025</v>
      </c>
      <c r="D334" s="102" t="s">
        <v>1992</v>
      </c>
      <c r="E334" s="469">
        <f>Table6[[#This Row],[Date]]-DAY(Table6[[#This Row],[Date]])+1</f>
        <v>45748</v>
      </c>
      <c r="F334" s="470">
        <v>45766</v>
      </c>
      <c r="G334" s="35" t="s">
        <v>98</v>
      </c>
      <c r="H334" s="35" t="str">
        <f>IFERROR(_xlfn.XLOOKUP(Table6[[#This Row],[Affected WTG]],'Basic Data'!$A:$A,'Basic Data'!$B:$B),"")</f>
        <v>TQGXIIPL</v>
      </c>
      <c r="I334" s="35" t="str">
        <f>IFERROR(_xlfn.XLOOKUP(Table6[[#This Row],[Affected WTG]],'Basic Data'!$A:$A,'Basic Data'!$C:$C),"")</f>
        <v>GEDA</v>
      </c>
      <c r="J334" s="471">
        <f>IFERROR(_xlfn.XLOOKUP(Table6[[#This Row],[Affected WTG]],'Basic Data'!$A:$A,'Basic Data'!$E:$E),"")</f>
        <v>3.846153846153845E-2</v>
      </c>
      <c r="K334" s="102">
        <v>55</v>
      </c>
      <c r="L334" s="35" t="str">
        <f>IFERROR(_xlfn.XLOOKUP(Table6[[#This Row],[Error Code]],'Basic Data'!$AA:$AA,'Basic Data'!$AB:$AB),"Incorrect Error Code")</f>
        <v>WTG shut down</v>
      </c>
      <c r="M334" s="35" t="s">
        <v>330</v>
      </c>
      <c r="N334" s="475"/>
      <c r="O334" s="476">
        <v>0.70486111111111116</v>
      </c>
      <c r="P334" s="476">
        <v>0.70486111111111116</v>
      </c>
      <c r="Q334" s="477">
        <v>0.88194444444444442</v>
      </c>
      <c r="R334" s="472">
        <f>IF(Table6[[#This Row],[Work Start TimeStamp]]="","",(Table6[[#This Row],[Work Start TimeStamp]]-Table6[[#This Row],[Fault Start TimeStamp]])*24)</f>
        <v>0</v>
      </c>
      <c r="S334" s="472">
        <f>(Table6[[#This Row],[Fault Clearance time]]-Table6[[#This Row],[Work Start TimeStamp]])*24</f>
        <v>4.2499999999999982</v>
      </c>
      <c r="T334" s="472">
        <f>(Table6[[#This Row],[Fault Clearance time]]-Table6[[#This Row],[Fault Start TimeStamp]])*24</f>
        <v>4.2499999999999982</v>
      </c>
      <c r="U334" s="35" t="s">
        <v>337</v>
      </c>
      <c r="V334" s="102" t="s">
        <v>293</v>
      </c>
      <c r="W334" s="478">
        <f>IFERROR(Table6[[#This Row],[Breakdown Time]]*Table6[[#This Row],[Plant Equivalent Weightage]],"")</f>
        <v>0.16346153846153835</v>
      </c>
      <c r="X334" s="473" t="s">
        <v>290</v>
      </c>
      <c r="Y334" s="474" t="s">
        <v>315</v>
      </c>
      <c r="Z334" s="102">
        <v>39027</v>
      </c>
      <c r="AA334" s="468">
        <f>(Table6[[#This Row],[Paired WTG Generation for loss calculation]]/24)*Table6[[#This Row],[Breakdown Time]]</f>
        <v>6911.0312499999973</v>
      </c>
      <c r="AB334" s="102"/>
      <c r="AC334" s="35"/>
      <c r="AD334" s="35"/>
    </row>
    <row r="335" spans="1:30">
      <c r="A335" s="102">
        <f t="shared" si="6"/>
        <v>334</v>
      </c>
      <c r="B335" s="468">
        <f>YEAR(Table6[[#This Row],[Date]])+IF(MONTH(Table6[[#This Row],[Date]])&gt;=4,1,0)</f>
        <v>2026</v>
      </c>
      <c r="C335" s="102">
        <f>YEAR(Table6[[#This Row],[Date]])</f>
        <v>2025</v>
      </c>
      <c r="D335" s="102" t="s">
        <v>1992</v>
      </c>
      <c r="E335" s="469">
        <f>Table6[[#This Row],[Date]]-DAY(Table6[[#This Row],[Date]])+1</f>
        <v>45748</v>
      </c>
      <c r="F335" s="470">
        <v>45767</v>
      </c>
      <c r="G335" s="35" t="s">
        <v>74</v>
      </c>
      <c r="H335" s="35" t="str">
        <f>IFERROR(_xlfn.XLOOKUP(Table6[[#This Row],[Affected WTG]],'Basic Data'!$A:$A,'Basic Data'!$B:$B),"")</f>
        <v>TQGXIIPL</v>
      </c>
      <c r="I335" s="35" t="str">
        <f>IFERROR(_xlfn.XLOOKUP(Table6[[#This Row],[Affected WTG]],'Basic Data'!$A:$A,'Basic Data'!$C:$C),"")</f>
        <v>GEDA</v>
      </c>
      <c r="J335" s="471">
        <f>IFERROR(_xlfn.XLOOKUP(Table6[[#This Row],[Affected WTG]],'Basic Data'!$A:$A,'Basic Data'!$E:$E),"")</f>
        <v>3.846153846153845E-2</v>
      </c>
      <c r="K335" s="102">
        <v>3110</v>
      </c>
      <c r="L335" s="35" t="str">
        <f>IFERROR(_xlfn.XLOOKUP(Table6[[#This Row],[Error Code]],'Basic Data'!$AA:$AA,'Basic Data'!$AB:$AB),"Incorrect Error Code")</f>
        <v>Frequency converter error</v>
      </c>
      <c r="M335" s="35" t="s">
        <v>291</v>
      </c>
      <c r="N335" s="475"/>
      <c r="O335" s="476">
        <v>0.93263888888888891</v>
      </c>
      <c r="P335" s="476">
        <v>0.97777777777777775</v>
      </c>
      <c r="Q335" s="477">
        <v>0.99998842592592596</v>
      </c>
      <c r="R335" s="472">
        <f>IF(Table6[[#This Row],[Work Start TimeStamp]]="","",(Table6[[#This Row],[Work Start TimeStamp]]-Table6[[#This Row],[Fault Start TimeStamp]])*24)</f>
        <v>1.0833333333333321</v>
      </c>
      <c r="S335" s="472">
        <f>(Table6[[#This Row],[Fault Clearance time]]-Table6[[#This Row],[Work Start TimeStamp]])*24</f>
        <v>0.53305555555555717</v>
      </c>
      <c r="T335" s="472">
        <f>(Table6[[#This Row],[Fault Clearance time]]-Table6[[#This Row],[Fault Start TimeStamp]])*24</f>
        <v>1.6163888888888893</v>
      </c>
      <c r="U335" s="35" t="s">
        <v>415</v>
      </c>
      <c r="V335" s="102" t="s">
        <v>335</v>
      </c>
      <c r="W335" s="478">
        <f>IFERROR(Table6[[#This Row],[Breakdown Time]]*Table6[[#This Row],[Plant Equivalent Weightage]],"")</f>
        <v>6.2168803418803417E-2</v>
      </c>
      <c r="X335" s="473" t="s">
        <v>294</v>
      </c>
      <c r="Y335" s="474" t="s">
        <v>321</v>
      </c>
      <c r="Z335" s="102">
        <v>22337</v>
      </c>
      <c r="AA335" s="468">
        <f>(Table6[[#This Row],[Paired WTG Generation for loss calculation]]/24)*Table6[[#This Row],[Breakdown Time]]</f>
        <v>1504.3866087962967</v>
      </c>
      <c r="AB335" s="102"/>
      <c r="AC335" s="35"/>
      <c r="AD335" s="35"/>
    </row>
    <row r="336" spans="1:30">
      <c r="A336" s="102">
        <f t="shared" si="6"/>
        <v>335</v>
      </c>
      <c r="B336" s="468">
        <f>YEAR(Table6[[#This Row],[Date]])+IF(MONTH(Table6[[#This Row],[Date]])&gt;=4,1,0)</f>
        <v>2026</v>
      </c>
      <c r="C336" s="102">
        <f>YEAR(Table6[[#This Row],[Date]])</f>
        <v>2025</v>
      </c>
      <c r="D336" s="102" t="s">
        <v>1992</v>
      </c>
      <c r="E336" s="469">
        <f>Table6[[#This Row],[Date]]-DAY(Table6[[#This Row],[Date]])+1</f>
        <v>45748</v>
      </c>
      <c r="F336" s="470">
        <v>45767</v>
      </c>
      <c r="G336" s="35" t="s">
        <v>77</v>
      </c>
      <c r="H336" s="35" t="str">
        <f>IFERROR(_xlfn.XLOOKUP(Table6[[#This Row],[Affected WTG]],'Basic Data'!$A:$A,'Basic Data'!$B:$B),"")</f>
        <v>TQGXIIPL</v>
      </c>
      <c r="I336" s="35" t="str">
        <f>IFERROR(_xlfn.XLOOKUP(Table6[[#This Row],[Affected WTG]],'Basic Data'!$A:$A,'Basic Data'!$C:$C),"")</f>
        <v>GEDA</v>
      </c>
      <c r="J336" s="471">
        <f>IFERROR(_xlfn.XLOOKUP(Table6[[#This Row],[Affected WTG]],'Basic Data'!$A:$A,'Basic Data'!$E:$E),"")</f>
        <v>3.846153846153845E-2</v>
      </c>
      <c r="K336" s="102">
        <v>6130</v>
      </c>
      <c r="L336" s="35" t="str">
        <f>IFERROR(_xlfn.XLOOKUP(Table6[[#This Row],[Error Code]],'Basic Data'!$AA:$AA,'Basic Data'!$AB:$AB),"Incorrect Error Code")</f>
        <v>Yaw speed high</v>
      </c>
      <c r="M336" s="35" t="s">
        <v>292</v>
      </c>
      <c r="N336" s="475"/>
      <c r="O336" s="476">
        <v>0.64236111111111116</v>
      </c>
      <c r="P336" s="476">
        <v>0.64236111111111116</v>
      </c>
      <c r="Q336" s="477">
        <v>0.64652777777777781</v>
      </c>
      <c r="R336" s="472">
        <f>IF(Table6[[#This Row],[Work Start TimeStamp]]="","",(Table6[[#This Row],[Work Start TimeStamp]]-Table6[[#This Row],[Fault Start TimeStamp]])*24)</f>
        <v>0</v>
      </c>
      <c r="S336" s="472">
        <f>(Table6[[#This Row],[Fault Clearance time]]-Table6[[#This Row],[Work Start TimeStamp]])*24</f>
        <v>9.9999999999999645E-2</v>
      </c>
      <c r="T336" s="472">
        <f>(Table6[[#This Row],[Fault Clearance time]]-Table6[[#This Row],[Fault Start TimeStamp]])*24</f>
        <v>9.9999999999999645E-2</v>
      </c>
      <c r="U336" s="35" t="s">
        <v>336</v>
      </c>
      <c r="V336" s="102" t="s">
        <v>293</v>
      </c>
      <c r="W336" s="478">
        <f>IFERROR(Table6[[#This Row],[Breakdown Time]]*Table6[[#This Row],[Plant Equivalent Weightage]],"")</f>
        <v>3.8461538461538312E-3</v>
      </c>
      <c r="X336" s="473" t="s">
        <v>294</v>
      </c>
      <c r="Y336" s="474" t="s">
        <v>310</v>
      </c>
      <c r="Z336" s="102">
        <v>26515</v>
      </c>
      <c r="AA336" s="468">
        <f>(Table6[[#This Row],[Paired WTG Generation for loss calculation]]/24)*Table6[[#This Row],[Breakdown Time]]</f>
        <v>110.47916666666629</v>
      </c>
      <c r="AB336" s="102"/>
      <c r="AC336" s="35"/>
      <c r="AD336" s="35"/>
    </row>
    <row r="337" spans="1:30">
      <c r="A337" s="102">
        <f t="shared" si="6"/>
        <v>336</v>
      </c>
      <c r="B337" s="468">
        <f>YEAR(Table6[[#This Row],[Date]])+IF(MONTH(Table6[[#This Row],[Date]])&gt;=4,1,0)</f>
        <v>2026</v>
      </c>
      <c r="C337" s="102">
        <f>YEAR(Table6[[#This Row],[Date]])</f>
        <v>2025</v>
      </c>
      <c r="D337" s="102" t="s">
        <v>1992</v>
      </c>
      <c r="E337" s="469">
        <f>Table6[[#This Row],[Date]]-DAY(Table6[[#This Row],[Date]])+1</f>
        <v>45748</v>
      </c>
      <c r="F337" s="470">
        <v>45767</v>
      </c>
      <c r="G337" s="35" t="s">
        <v>80</v>
      </c>
      <c r="H337" s="35" t="str">
        <f>IFERROR(_xlfn.XLOOKUP(Table6[[#This Row],[Affected WTG]],'Basic Data'!$A:$A,'Basic Data'!$B:$B),"")</f>
        <v>TQGXIIPL</v>
      </c>
      <c r="I337" s="35" t="str">
        <f>IFERROR(_xlfn.XLOOKUP(Table6[[#This Row],[Affected WTG]],'Basic Data'!$A:$A,'Basic Data'!$C:$C),"")</f>
        <v>GEDA</v>
      </c>
      <c r="J337" s="471">
        <f>IFERROR(_xlfn.XLOOKUP(Table6[[#This Row],[Affected WTG]],'Basic Data'!$A:$A,'Basic Data'!$E:$E),"")</f>
        <v>3.846153846153845E-2</v>
      </c>
      <c r="K337" s="102">
        <v>6130</v>
      </c>
      <c r="L337" s="35" t="str">
        <f>IFERROR(_xlfn.XLOOKUP(Table6[[#This Row],[Error Code]],'Basic Data'!$AA:$AA,'Basic Data'!$AB:$AB),"Incorrect Error Code")</f>
        <v>Yaw speed high</v>
      </c>
      <c r="M337" s="35" t="s">
        <v>292</v>
      </c>
      <c r="N337" s="475"/>
      <c r="O337" s="476">
        <v>0.6020833333333333</v>
      </c>
      <c r="P337" s="476">
        <v>0.6020833333333333</v>
      </c>
      <c r="Q337" s="477">
        <v>0.6069444444444444</v>
      </c>
      <c r="R337" s="472">
        <f>IF(Table6[[#This Row],[Work Start TimeStamp]]="","",(Table6[[#This Row],[Work Start TimeStamp]]-Table6[[#This Row],[Fault Start TimeStamp]])*24)</f>
        <v>0</v>
      </c>
      <c r="S337" s="472">
        <f>(Table6[[#This Row],[Fault Clearance time]]-Table6[[#This Row],[Work Start TimeStamp]])*24</f>
        <v>0.11666666666666625</v>
      </c>
      <c r="T337" s="472">
        <f>(Table6[[#This Row],[Fault Clearance time]]-Table6[[#This Row],[Fault Start TimeStamp]])*24</f>
        <v>0.11666666666666625</v>
      </c>
      <c r="U337" s="35" t="s">
        <v>336</v>
      </c>
      <c r="V337" s="102" t="s">
        <v>293</v>
      </c>
      <c r="W337" s="478">
        <f>IFERROR(Table6[[#This Row],[Breakdown Time]]*Table6[[#This Row],[Plant Equivalent Weightage]],"")</f>
        <v>4.4871794871794695E-3</v>
      </c>
      <c r="X337" s="473" t="s">
        <v>294</v>
      </c>
      <c r="Y337" s="474" t="s">
        <v>317</v>
      </c>
      <c r="Z337" s="102">
        <v>30756</v>
      </c>
      <c r="AA337" s="468">
        <f>(Table6[[#This Row],[Paired WTG Generation for loss calculation]]/24)*Table6[[#This Row],[Breakdown Time]]</f>
        <v>149.50833333333281</v>
      </c>
      <c r="AB337" s="102"/>
      <c r="AC337" s="35"/>
      <c r="AD337" s="35"/>
    </row>
    <row r="338" spans="1:30">
      <c r="A338" s="102">
        <f t="shared" si="6"/>
        <v>337</v>
      </c>
      <c r="B338" s="468">
        <f>YEAR(Table6[[#This Row],[Date]])+IF(MONTH(Table6[[#This Row],[Date]])&gt;=4,1,0)</f>
        <v>2026</v>
      </c>
      <c r="C338" s="102">
        <f>YEAR(Table6[[#This Row],[Date]])</f>
        <v>2025</v>
      </c>
      <c r="D338" s="102" t="s">
        <v>1992</v>
      </c>
      <c r="E338" s="469">
        <f>Table6[[#This Row],[Date]]-DAY(Table6[[#This Row],[Date]])+1</f>
        <v>45748</v>
      </c>
      <c r="F338" s="470">
        <v>45767</v>
      </c>
      <c r="G338" s="35" t="s">
        <v>81</v>
      </c>
      <c r="H338" s="35" t="str">
        <f>IFERROR(_xlfn.XLOOKUP(Table6[[#This Row],[Affected WTG]],'Basic Data'!$A:$A,'Basic Data'!$B:$B),"")</f>
        <v>TQGXIIPL</v>
      </c>
      <c r="I338" s="35" t="str">
        <f>IFERROR(_xlfn.XLOOKUP(Table6[[#This Row],[Affected WTG]],'Basic Data'!$A:$A,'Basic Data'!$C:$C),"")</f>
        <v>GEDA</v>
      </c>
      <c r="J338" s="471">
        <f>IFERROR(_xlfn.XLOOKUP(Table6[[#This Row],[Affected WTG]],'Basic Data'!$A:$A,'Basic Data'!$E:$E),"")</f>
        <v>3.846153846153845E-2</v>
      </c>
      <c r="K338" s="102">
        <v>55</v>
      </c>
      <c r="L338" s="35" t="str">
        <f>IFERROR(_xlfn.XLOOKUP(Table6[[#This Row],[Error Code]],'Basic Data'!$AA:$AA,'Basic Data'!$AB:$AB),"Incorrect Error Code")</f>
        <v>WTG shut down</v>
      </c>
      <c r="M338" s="35" t="s">
        <v>291</v>
      </c>
      <c r="N338" s="475"/>
      <c r="O338" s="476">
        <v>0.66874999999999996</v>
      </c>
      <c r="P338" s="476">
        <v>0.66874999999999996</v>
      </c>
      <c r="Q338" s="477">
        <v>0.67361111111111116</v>
      </c>
      <c r="R338" s="472">
        <f>IF(Table6[[#This Row],[Work Start TimeStamp]]="","",(Table6[[#This Row],[Work Start TimeStamp]]-Table6[[#This Row],[Fault Start TimeStamp]])*24)</f>
        <v>0</v>
      </c>
      <c r="S338" s="472">
        <f>(Table6[[#This Row],[Fault Clearance time]]-Table6[[#This Row],[Work Start TimeStamp]])*24</f>
        <v>0.11666666666666892</v>
      </c>
      <c r="T338" s="472">
        <f>(Table6[[#This Row],[Fault Clearance time]]-Table6[[#This Row],[Fault Start TimeStamp]])*24</f>
        <v>0.11666666666666892</v>
      </c>
      <c r="U338" s="35" t="s">
        <v>389</v>
      </c>
      <c r="V338" s="102" t="s">
        <v>293</v>
      </c>
      <c r="W338" s="478">
        <f>IFERROR(Table6[[#This Row],[Breakdown Time]]*Table6[[#This Row],[Plant Equivalent Weightage]],"")</f>
        <v>4.4871794871795727E-3</v>
      </c>
      <c r="X338" s="473" t="s">
        <v>290</v>
      </c>
      <c r="Y338" s="474" t="s">
        <v>321</v>
      </c>
      <c r="Z338" s="102">
        <v>22337</v>
      </c>
      <c r="AA338" s="468">
        <f>(Table6[[#This Row],[Paired WTG Generation for loss calculation]]/24)*Table6[[#This Row],[Breakdown Time]]</f>
        <v>108.58263888889098</v>
      </c>
      <c r="AB338" s="102"/>
      <c r="AC338" s="35"/>
      <c r="AD338" s="35"/>
    </row>
    <row r="339" spans="1:30">
      <c r="A339" s="102">
        <f t="shared" si="6"/>
        <v>338</v>
      </c>
      <c r="B339" s="468">
        <f>YEAR(Table6[[#This Row],[Date]])+IF(MONTH(Table6[[#This Row],[Date]])&gt;=4,1,0)</f>
        <v>2026</v>
      </c>
      <c r="C339" s="102">
        <f>YEAR(Table6[[#This Row],[Date]])</f>
        <v>2025</v>
      </c>
      <c r="D339" s="102" t="s">
        <v>1992</v>
      </c>
      <c r="E339" s="469">
        <f>Table6[[#This Row],[Date]]-DAY(Table6[[#This Row],[Date]])+1</f>
        <v>45748</v>
      </c>
      <c r="F339" s="470">
        <v>45767</v>
      </c>
      <c r="G339" s="35" t="s">
        <v>82</v>
      </c>
      <c r="H339" s="35" t="str">
        <f>IFERROR(_xlfn.XLOOKUP(Table6[[#This Row],[Affected WTG]],'Basic Data'!$A:$A,'Basic Data'!$B:$B),"")</f>
        <v>TQGXIIPL</v>
      </c>
      <c r="I339" s="35" t="str">
        <f>IFERROR(_xlfn.XLOOKUP(Table6[[#This Row],[Affected WTG]],'Basic Data'!$A:$A,'Basic Data'!$C:$C),"")</f>
        <v>GEDA</v>
      </c>
      <c r="J339" s="471">
        <f>IFERROR(_xlfn.XLOOKUP(Table6[[#This Row],[Affected WTG]],'Basic Data'!$A:$A,'Basic Data'!$E:$E),"")</f>
        <v>3.846153846153845E-2</v>
      </c>
      <c r="K339" s="102">
        <v>55</v>
      </c>
      <c r="L339" s="35" t="str">
        <f>IFERROR(_xlfn.XLOOKUP(Table6[[#This Row],[Error Code]],'Basic Data'!$AA:$AA,'Basic Data'!$AB:$AB),"Incorrect Error Code")</f>
        <v>WTG shut down</v>
      </c>
      <c r="M339" s="35" t="s">
        <v>291</v>
      </c>
      <c r="N339" s="475"/>
      <c r="O339" s="476">
        <v>0.6166666666666667</v>
      </c>
      <c r="P339" s="476">
        <v>0.6166666666666667</v>
      </c>
      <c r="Q339" s="477">
        <v>0.625</v>
      </c>
      <c r="R339" s="472">
        <f>IF(Table6[[#This Row],[Work Start TimeStamp]]="","",(Table6[[#This Row],[Work Start TimeStamp]]-Table6[[#This Row],[Fault Start TimeStamp]])*24)</f>
        <v>0</v>
      </c>
      <c r="S339" s="472">
        <f>(Table6[[#This Row],[Fault Clearance time]]-Table6[[#This Row],[Work Start TimeStamp]])*24</f>
        <v>0.19999999999999929</v>
      </c>
      <c r="T339" s="472">
        <f>(Table6[[#This Row],[Fault Clearance time]]-Table6[[#This Row],[Fault Start TimeStamp]])*24</f>
        <v>0.19999999999999929</v>
      </c>
      <c r="U339" s="35" t="s">
        <v>389</v>
      </c>
      <c r="V339" s="102" t="s">
        <v>293</v>
      </c>
      <c r="W339" s="478">
        <f>IFERROR(Table6[[#This Row],[Breakdown Time]]*Table6[[#This Row],[Plant Equivalent Weightage]],"")</f>
        <v>7.6923076923076624E-3</v>
      </c>
      <c r="X339" s="473" t="s">
        <v>290</v>
      </c>
      <c r="Y339" s="474" t="s">
        <v>332</v>
      </c>
      <c r="Z339" s="102">
        <v>22769</v>
      </c>
      <c r="AA339" s="468">
        <f>(Table6[[#This Row],[Paired WTG Generation for loss calculation]]/24)*Table6[[#This Row],[Breakdown Time]]</f>
        <v>189.74166666666599</v>
      </c>
      <c r="AB339" s="102"/>
      <c r="AC339" s="35"/>
      <c r="AD339" s="35"/>
    </row>
    <row r="340" spans="1:30">
      <c r="A340" s="102">
        <f t="shared" si="6"/>
        <v>339</v>
      </c>
      <c r="B340" s="468">
        <f>YEAR(Table6[[#This Row],[Date]])+IF(MONTH(Table6[[#This Row],[Date]])&gt;=4,1,0)</f>
        <v>2026</v>
      </c>
      <c r="C340" s="102">
        <f>YEAR(Table6[[#This Row],[Date]])</f>
        <v>2025</v>
      </c>
      <c r="D340" s="102" t="s">
        <v>1992</v>
      </c>
      <c r="E340" s="469">
        <f>Table6[[#This Row],[Date]]-DAY(Table6[[#This Row],[Date]])+1</f>
        <v>45748</v>
      </c>
      <c r="F340" s="470">
        <v>45767</v>
      </c>
      <c r="G340" s="35" t="s">
        <v>84</v>
      </c>
      <c r="H340" s="35" t="str">
        <f>IFERROR(_xlfn.XLOOKUP(Table6[[#This Row],[Affected WTG]],'Basic Data'!$A:$A,'Basic Data'!$B:$B),"")</f>
        <v>TQGXIIPL</v>
      </c>
      <c r="I340" s="35" t="str">
        <f>IFERROR(_xlfn.XLOOKUP(Table6[[#This Row],[Affected WTG]],'Basic Data'!$A:$A,'Basic Data'!$C:$C),"")</f>
        <v>GEDA</v>
      </c>
      <c r="J340" s="471">
        <f>IFERROR(_xlfn.XLOOKUP(Table6[[#This Row],[Affected WTG]],'Basic Data'!$A:$A,'Basic Data'!$E:$E),"")</f>
        <v>3.846153846153845E-2</v>
      </c>
      <c r="K340" s="102">
        <v>55</v>
      </c>
      <c r="L340" s="35" t="str">
        <f>IFERROR(_xlfn.XLOOKUP(Table6[[#This Row],[Error Code]],'Basic Data'!$AA:$AA,'Basic Data'!$AB:$AB),"Incorrect Error Code")</f>
        <v>WTG shut down</v>
      </c>
      <c r="M340" s="35" t="s">
        <v>291</v>
      </c>
      <c r="N340" s="475"/>
      <c r="O340" s="476">
        <v>0.68333333333333335</v>
      </c>
      <c r="P340" s="476">
        <v>0.68333333333333335</v>
      </c>
      <c r="Q340" s="477">
        <v>0.68819444444444444</v>
      </c>
      <c r="R340" s="472">
        <f>IF(Table6[[#This Row],[Work Start TimeStamp]]="","",(Table6[[#This Row],[Work Start TimeStamp]]-Table6[[#This Row],[Fault Start TimeStamp]])*24)</f>
        <v>0</v>
      </c>
      <c r="S340" s="472">
        <f>(Table6[[#This Row],[Fault Clearance time]]-Table6[[#This Row],[Work Start TimeStamp]])*24</f>
        <v>0.11666666666666625</v>
      </c>
      <c r="T340" s="472">
        <f>(Table6[[#This Row],[Fault Clearance time]]-Table6[[#This Row],[Fault Start TimeStamp]])*24</f>
        <v>0.11666666666666625</v>
      </c>
      <c r="U340" s="35" t="s">
        <v>389</v>
      </c>
      <c r="V340" s="102" t="s">
        <v>293</v>
      </c>
      <c r="W340" s="478">
        <f>IFERROR(Table6[[#This Row],[Breakdown Time]]*Table6[[#This Row],[Plant Equivalent Weightage]],"")</f>
        <v>4.4871794871794695E-3</v>
      </c>
      <c r="X340" s="473" t="s">
        <v>290</v>
      </c>
      <c r="Y340" s="474" t="s">
        <v>327</v>
      </c>
      <c r="Z340" s="102">
        <v>27081</v>
      </c>
      <c r="AA340" s="468">
        <f>(Table6[[#This Row],[Paired WTG Generation for loss calculation]]/24)*Table6[[#This Row],[Breakdown Time]]</f>
        <v>131.64374999999953</v>
      </c>
      <c r="AB340" s="102"/>
      <c r="AC340" s="35"/>
      <c r="AD340" s="35"/>
    </row>
    <row r="341" spans="1:30">
      <c r="A341" s="102">
        <f t="shared" si="6"/>
        <v>340</v>
      </c>
      <c r="B341" s="468">
        <f>YEAR(Table6[[#This Row],[Date]])+IF(MONTH(Table6[[#This Row],[Date]])&gt;=4,1,0)</f>
        <v>2026</v>
      </c>
      <c r="C341" s="102">
        <f>YEAR(Table6[[#This Row],[Date]])</f>
        <v>2025</v>
      </c>
      <c r="D341" s="102" t="s">
        <v>1992</v>
      </c>
      <c r="E341" s="469">
        <f>Table6[[#This Row],[Date]]-DAY(Table6[[#This Row],[Date]])+1</f>
        <v>45748</v>
      </c>
      <c r="F341" s="470">
        <v>45767</v>
      </c>
      <c r="G341" s="35" t="s">
        <v>85</v>
      </c>
      <c r="H341" s="35" t="str">
        <f>IFERROR(_xlfn.XLOOKUP(Table6[[#This Row],[Affected WTG]],'Basic Data'!$A:$A,'Basic Data'!$B:$B),"")</f>
        <v>TQGXIIPL</v>
      </c>
      <c r="I341" s="35" t="str">
        <f>IFERROR(_xlfn.XLOOKUP(Table6[[#This Row],[Affected WTG]],'Basic Data'!$A:$A,'Basic Data'!$C:$C),"")</f>
        <v>GEDA</v>
      </c>
      <c r="J341" s="471">
        <f>IFERROR(_xlfn.XLOOKUP(Table6[[#This Row],[Affected WTG]],'Basic Data'!$A:$A,'Basic Data'!$E:$E),"")</f>
        <v>3.846153846153845E-2</v>
      </c>
      <c r="K341" s="102">
        <v>55</v>
      </c>
      <c r="L341" s="35" t="str">
        <f>IFERROR(_xlfn.XLOOKUP(Table6[[#This Row],[Error Code]],'Basic Data'!$AA:$AA,'Basic Data'!$AB:$AB),"Incorrect Error Code")</f>
        <v>WTG shut down</v>
      </c>
      <c r="M341" s="35" t="s">
        <v>291</v>
      </c>
      <c r="N341" s="475"/>
      <c r="O341" s="476">
        <v>0.73124999999999996</v>
      </c>
      <c r="P341" s="476">
        <v>0.73124999999999996</v>
      </c>
      <c r="Q341" s="477">
        <v>0.74861111111111112</v>
      </c>
      <c r="R341" s="472">
        <f>IF(Table6[[#This Row],[Work Start TimeStamp]]="","",(Table6[[#This Row],[Work Start TimeStamp]]-Table6[[#This Row],[Fault Start TimeStamp]])*24)</f>
        <v>0</v>
      </c>
      <c r="S341" s="472">
        <f>(Table6[[#This Row],[Fault Clearance time]]-Table6[[#This Row],[Work Start TimeStamp]])*24</f>
        <v>0.41666666666666785</v>
      </c>
      <c r="T341" s="472">
        <f>(Table6[[#This Row],[Fault Clearance time]]-Table6[[#This Row],[Fault Start TimeStamp]])*24</f>
        <v>0.41666666666666785</v>
      </c>
      <c r="U341" s="35" t="s">
        <v>389</v>
      </c>
      <c r="V341" s="102" t="s">
        <v>293</v>
      </c>
      <c r="W341" s="478">
        <f>IFERROR(Table6[[#This Row],[Breakdown Time]]*Table6[[#This Row],[Plant Equivalent Weightage]],"")</f>
        <v>1.6025641025641066E-2</v>
      </c>
      <c r="X341" s="473" t="s">
        <v>290</v>
      </c>
      <c r="Y341" s="474" t="s">
        <v>322</v>
      </c>
      <c r="Z341" s="102">
        <v>25432</v>
      </c>
      <c r="AA341" s="468">
        <f>(Table6[[#This Row],[Paired WTG Generation for loss calculation]]/24)*Table6[[#This Row],[Breakdown Time]]</f>
        <v>441.52777777777908</v>
      </c>
      <c r="AB341" s="102"/>
      <c r="AC341" s="35"/>
      <c r="AD341" s="35"/>
    </row>
    <row r="342" spans="1:30">
      <c r="A342" s="102">
        <f t="shared" si="6"/>
        <v>341</v>
      </c>
      <c r="B342" s="468">
        <f>YEAR(Table6[[#This Row],[Date]])+IF(MONTH(Table6[[#This Row],[Date]])&gt;=4,1,0)</f>
        <v>2026</v>
      </c>
      <c r="C342" s="102">
        <f>YEAR(Table6[[#This Row],[Date]])</f>
        <v>2025</v>
      </c>
      <c r="D342" s="102" t="s">
        <v>1992</v>
      </c>
      <c r="E342" s="469">
        <f>Table6[[#This Row],[Date]]-DAY(Table6[[#This Row],[Date]])+1</f>
        <v>45748</v>
      </c>
      <c r="F342" s="470">
        <v>45767</v>
      </c>
      <c r="G342" s="35" t="s">
        <v>86</v>
      </c>
      <c r="H342" s="35" t="str">
        <f>IFERROR(_xlfn.XLOOKUP(Table6[[#This Row],[Affected WTG]],'Basic Data'!$A:$A,'Basic Data'!$B:$B),"")</f>
        <v>TQGXIIPL</v>
      </c>
      <c r="I342" s="35" t="str">
        <f>IFERROR(_xlfn.XLOOKUP(Table6[[#This Row],[Affected WTG]],'Basic Data'!$A:$A,'Basic Data'!$C:$C),"")</f>
        <v>GEDA</v>
      </c>
      <c r="J342" s="471">
        <f>IFERROR(_xlfn.XLOOKUP(Table6[[#This Row],[Affected WTG]],'Basic Data'!$A:$A,'Basic Data'!$E:$E),"")</f>
        <v>3.846153846153845E-2</v>
      </c>
      <c r="K342" s="102">
        <v>6130</v>
      </c>
      <c r="L342" s="35" t="str">
        <f>IFERROR(_xlfn.XLOOKUP(Table6[[#This Row],[Error Code]],'Basic Data'!$AA:$AA,'Basic Data'!$AB:$AB),"Incorrect Error Code")</f>
        <v>Yaw speed high</v>
      </c>
      <c r="M342" s="35" t="s">
        <v>291</v>
      </c>
      <c r="N342" s="475"/>
      <c r="O342" s="476">
        <v>0.58125000000000004</v>
      </c>
      <c r="P342" s="476">
        <v>0.58125000000000004</v>
      </c>
      <c r="Q342" s="477">
        <v>0.5854166666666667</v>
      </c>
      <c r="R342" s="472">
        <f>IF(Table6[[#This Row],[Work Start TimeStamp]]="","",(Table6[[#This Row],[Work Start TimeStamp]]-Table6[[#This Row],[Fault Start TimeStamp]])*24)</f>
        <v>0</v>
      </c>
      <c r="S342" s="472">
        <f>(Table6[[#This Row],[Fault Clearance time]]-Table6[[#This Row],[Work Start TimeStamp]])*24</f>
        <v>9.9999999999999645E-2</v>
      </c>
      <c r="T342" s="472">
        <f>(Table6[[#This Row],[Fault Clearance time]]-Table6[[#This Row],[Fault Start TimeStamp]])*24</f>
        <v>9.9999999999999645E-2</v>
      </c>
      <c r="U342" s="35" t="s">
        <v>349</v>
      </c>
      <c r="V342" s="102" t="s">
        <v>293</v>
      </c>
      <c r="W342" s="478">
        <f>IFERROR(Table6[[#This Row],[Breakdown Time]]*Table6[[#This Row],[Plant Equivalent Weightage]],"")</f>
        <v>3.8461538461538312E-3</v>
      </c>
      <c r="X342" s="473" t="s">
        <v>294</v>
      </c>
      <c r="Y342" s="474" t="s">
        <v>313</v>
      </c>
      <c r="Z342" s="102">
        <v>27364</v>
      </c>
      <c r="AA342" s="468">
        <f>(Table6[[#This Row],[Paired WTG Generation for loss calculation]]/24)*Table6[[#This Row],[Breakdown Time]]</f>
        <v>114.01666666666627</v>
      </c>
      <c r="AB342" s="102"/>
      <c r="AC342" s="35"/>
      <c r="AD342" s="35"/>
    </row>
    <row r="343" spans="1:30">
      <c r="A343" s="102">
        <f t="shared" si="6"/>
        <v>342</v>
      </c>
      <c r="B343" s="468">
        <f>YEAR(Table6[[#This Row],[Date]])+IF(MONTH(Table6[[#This Row],[Date]])&gt;=4,1,0)</f>
        <v>2026</v>
      </c>
      <c r="C343" s="102">
        <f>YEAR(Table6[[#This Row],[Date]])</f>
        <v>2025</v>
      </c>
      <c r="D343" s="102" t="s">
        <v>1992</v>
      </c>
      <c r="E343" s="469">
        <f>Table6[[#This Row],[Date]]-DAY(Table6[[#This Row],[Date]])+1</f>
        <v>45748</v>
      </c>
      <c r="F343" s="470">
        <v>45767</v>
      </c>
      <c r="G343" s="35" t="s">
        <v>86</v>
      </c>
      <c r="H343" s="35" t="str">
        <f>IFERROR(_xlfn.XLOOKUP(Table6[[#This Row],[Affected WTG]],'Basic Data'!$A:$A,'Basic Data'!$B:$B),"")</f>
        <v>TQGXIIPL</v>
      </c>
      <c r="I343" s="35" t="str">
        <f>IFERROR(_xlfn.XLOOKUP(Table6[[#This Row],[Affected WTG]],'Basic Data'!$A:$A,'Basic Data'!$C:$C),"")</f>
        <v>GEDA</v>
      </c>
      <c r="J343" s="471">
        <f>IFERROR(_xlfn.XLOOKUP(Table6[[#This Row],[Affected WTG]],'Basic Data'!$A:$A,'Basic Data'!$E:$E),"")</f>
        <v>3.846153846153845E-2</v>
      </c>
      <c r="K343" s="102">
        <v>55</v>
      </c>
      <c r="L343" s="35" t="str">
        <f>IFERROR(_xlfn.XLOOKUP(Table6[[#This Row],[Error Code]],'Basic Data'!$AA:$AA,'Basic Data'!$AB:$AB),"Incorrect Error Code")</f>
        <v>WTG shut down</v>
      </c>
      <c r="M343" s="35" t="s">
        <v>291</v>
      </c>
      <c r="N343" s="475"/>
      <c r="O343" s="476">
        <v>0.65138888888888891</v>
      </c>
      <c r="P343" s="476">
        <v>0.65138888888888891</v>
      </c>
      <c r="Q343" s="477">
        <v>0.66319444444444442</v>
      </c>
      <c r="R343" s="472">
        <f>IF(Table6[[#This Row],[Work Start TimeStamp]]="","",(Table6[[#This Row],[Work Start TimeStamp]]-Table6[[#This Row],[Fault Start TimeStamp]])*24)</f>
        <v>0</v>
      </c>
      <c r="S343" s="472">
        <f>(Table6[[#This Row],[Fault Clearance time]]-Table6[[#This Row],[Work Start TimeStamp]])*24</f>
        <v>0.28333333333333233</v>
      </c>
      <c r="T343" s="472">
        <f>(Table6[[#This Row],[Fault Clearance time]]-Table6[[#This Row],[Fault Start TimeStamp]])*24</f>
        <v>0.28333333333333233</v>
      </c>
      <c r="U343" s="35" t="s">
        <v>389</v>
      </c>
      <c r="V343" s="102" t="s">
        <v>293</v>
      </c>
      <c r="W343" s="478">
        <f>IFERROR(Table6[[#This Row],[Breakdown Time]]*Table6[[#This Row],[Plant Equivalent Weightage]],"")</f>
        <v>1.0897435897435855E-2</v>
      </c>
      <c r="X343" s="473" t="s">
        <v>290</v>
      </c>
      <c r="Y343" s="474" t="s">
        <v>313</v>
      </c>
      <c r="Z343" s="102">
        <v>27364</v>
      </c>
      <c r="AA343" s="468">
        <f>(Table6[[#This Row],[Paired WTG Generation for loss calculation]]/24)*Table6[[#This Row],[Breakdown Time]]</f>
        <v>323.04722222222108</v>
      </c>
      <c r="AB343" s="102"/>
      <c r="AC343" s="35"/>
      <c r="AD343" s="35"/>
    </row>
    <row r="344" spans="1:30">
      <c r="A344" s="102">
        <f t="shared" si="6"/>
        <v>343</v>
      </c>
      <c r="B344" s="468">
        <f>YEAR(Table6[[#This Row],[Date]])+IF(MONTH(Table6[[#This Row],[Date]])&gt;=4,1,0)</f>
        <v>2026</v>
      </c>
      <c r="C344" s="102">
        <f>YEAR(Table6[[#This Row],[Date]])</f>
        <v>2025</v>
      </c>
      <c r="D344" s="102" t="s">
        <v>1992</v>
      </c>
      <c r="E344" s="469">
        <f>Table6[[#This Row],[Date]]-DAY(Table6[[#This Row],[Date]])+1</f>
        <v>45748</v>
      </c>
      <c r="F344" s="470">
        <v>45767</v>
      </c>
      <c r="G344" s="35" t="s">
        <v>87</v>
      </c>
      <c r="H344" s="35" t="str">
        <f>IFERROR(_xlfn.XLOOKUP(Table6[[#This Row],[Affected WTG]],'Basic Data'!$A:$A,'Basic Data'!$B:$B),"")</f>
        <v>TQGXIIPL</v>
      </c>
      <c r="I344" s="35" t="str">
        <f>IFERROR(_xlfn.XLOOKUP(Table6[[#This Row],[Affected WTG]],'Basic Data'!$A:$A,'Basic Data'!$C:$C),"")</f>
        <v>GEDA</v>
      </c>
      <c r="J344" s="471">
        <f>IFERROR(_xlfn.XLOOKUP(Table6[[#This Row],[Affected WTG]],'Basic Data'!$A:$A,'Basic Data'!$E:$E),"")</f>
        <v>3.846153846153845E-2</v>
      </c>
      <c r="K344" s="102">
        <v>55</v>
      </c>
      <c r="L344" s="35" t="str">
        <f>IFERROR(_xlfn.XLOOKUP(Table6[[#This Row],[Error Code]],'Basic Data'!$AA:$AA,'Basic Data'!$AB:$AB),"Incorrect Error Code")</f>
        <v>WTG shut down</v>
      </c>
      <c r="M344" s="35" t="s">
        <v>291</v>
      </c>
      <c r="N344" s="475"/>
      <c r="O344" s="476">
        <v>0.67638888888888893</v>
      </c>
      <c r="P344" s="476">
        <v>0.67638888888888893</v>
      </c>
      <c r="Q344" s="477">
        <v>0.68055555555555558</v>
      </c>
      <c r="R344" s="472">
        <f>IF(Table6[[#This Row],[Work Start TimeStamp]]="","",(Table6[[#This Row],[Work Start TimeStamp]]-Table6[[#This Row],[Fault Start TimeStamp]])*24)</f>
        <v>0</v>
      </c>
      <c r="S344" s="472">
        <f>(Table6[[#This Row],[Fault Clearance time]]-Table6[[#This Row],[Work Start TimeStamp]])*24</f>
        <v>9.9999999999999645E-2</v>
      </c>
      <c r="T344" s="472">
        <f>(Table6[[#This Row],[Fault Clearance time]]-Table6[[#This Row],[Fault Start TimeStamp]])*24</f>
        <v>9.9999999999999645E-2</v>
      </c>
      <c r="U344" s="35" t="s">
        <v>389</v>
      </c>
      <c r="V344" s="102" t="s">
        <v>293</v>
      </c>
      <c r="W344" s="478">
        <f>IFERROR(Table6[[#This Row],[Breakdown Time]]*Table6[[#This Row],[Plant Equivalent Weightage]],"")</f>
        <v>3.8461538461538312E-3</v>
      </c>
      <c r="X344" s="473" t="s">
        <v>290</v>
      </c>
      <c r="Y344" s="474" t="s">
        <v>327</v>
      </c>
      <c r="Z344" s="102">
        <v>27081</v>
      </c>
      <c r="AA344" s="468">
        <f>(Table6[[#This Row],[Paired WTG Generation for loss calculation]]/24)*Table6[[#This Row],[Breakdown Time]]</f>
        <v>112.83749999999959</v>
      </c>
      <c r="AB344" s="102"/>
      <c r="AC344" s="35"/>
      <c r="AD344" s="35"/>
    </row>
    <row r="345" spans="1:30">
      <c r="A345" s="102">
        <f t="shared" si="6"/>
        <v>344</v>
      </c>
      <c r="B345" s="468">
        <f>YEAR(Table6[[#This Row],[Date]])+IF(MONTH(Table6[[#This Row],[Date]])&gt;=4,1,0)</f>
        <v>2026</v>
      </c>
      <c r="C345" s="102">
        <f>YEAR(Table6[[#This Row],[Date]])</f>
        <v>2025</v>
      </c>
      <c r="D345" s="102" t="s">
        <v>1992</v>
      </c>
      <c r="E345" s="469">
        <f>Table6[[#This Row],[Date]]-DAY(Table6[[#This Row],[Date]])+1</f>
        <v>45748</v>
      </c>
      <c r="F345" s="470">
        <v>45767</v>
      </c>
      <c r="G345" s="35" t="s">
        <v>89</v>
      </c>
      <c r="H345" s="35" t="str">
        <f>IFERROR(_xlfn.XLOOKUP(Table6[[#This Row],[Affected WTG]],'Basic Data'!$A:$A,'Basic Data'!$B:$B),"")</f>
        <v>TQGXIIPL</v>
      </c>
      <c r="I345" s="35" t="str">
        <f>IFERROR(_xlfn.XLOOKUP(Table6[[#This Row],[Affected WTG]],'Basic Data'!$A:$A,'Basic Data'!$C:$C),"")</f>
        <v>GEDA</v>
      </c>
      <c r="J345" s="471">
        <f>IFERROR(_xlfn.XLOOKUP(Table6[[#This Row],[Affected WTG]],'Basic Data'!$A:$A,'Basic Data'!$E:$E),"")</f>
        <v>3.846153846153845E-2</v>
      </c>
      <c r="K345" s="102">
        <v>55</v>
      </c>
      <c r="L345" s="35" t="str">
        <f>IFERROR(_xlfn.XLOOKUP(Table6[[#This Row],[Error Code]],'Basic Data'!$AA:$AA,'Basic Data'!$AB:$AB),"Incorrect Error Code")</f>
        <v>WTG shut down</v>
      </c>
      <c r="M345" s="35" t="s">
        <v>291</v>
      </c>
      <c r="N345" s="475"/>
      <c r="O345" s="476">
        <v>0.62013888888888891</v>
      </c>
      <c r="P345" s="476">
        <v>0.62013888888888891</v>
      </c>
      <c r="Q345" s="477">
        <v>0.62638888888888888</v>
      </c>
      <c r="R345" s="472">
        <f>IF(Table6[[#This Row],[Work Start TimeStamp]]="","",(Table6[[#This Row],[Work Start TimeStamp]]-Table6[[#This Row],[Fault Start TimeStamp]])*24)</f>
        <v>0</v>
      </c>
      <c r="S345" s="472">
        <f>(Table6[[#This Row],[Fault Clearance time]]-Table6[[#This Row],[Work Start TimeStamp]])*24</f>
        <v>0.14999999999999947</v>
      </c>
      <c r="T345" s="472">
        <f>(Table6[[#This Row],[Fault Clearance time]]-Table6[[#This Row],[Fault Start TimeStamp]])*24</f>
        <v>0.14999999999999947</v>
      </c>
      <c r="U345" s="35" t="s">
        <v>389</v>
      </c>
      <c r="V345" s="102" t="s">
        <v>293</v>
      </c>
      <c r="W345" s="478">
        <f>IFERROR(Table6[[#This Row],[Breakdown Time]]*Table6[[#This Row],[Plant Equivalent Weightage]],"")</f>
        <v>5.769230769230747E-3</v>
      </c>
      <c r="X345" s="473" t="s">
        <v>290</v>
      </c>
      <c r="Y345" s="474" t="s">
        <v>325</v>
      </c>
      <c r="Z345" s="102">
        <v>29926</v>
      </c>
      <c r="AA345" s="468">
        <f>(Table6[[#This Row],[Paired WTG Generation for loss calculation]]/24)*Table6[[#This Row],[Breakdown Time]]</f>
        <v>187.03749999999934</v>
      </c>
      <c r="AB345" s="102"/>
      <c r="AC345" s="35"/>
      <c r="AD345" s="35"/>
    </row>
    <row r="346" spans="1:30">
      <c r="A346" s="102">
        <f t="shared" si="6"/>
        <v>345</v>
      </c>
      <c r="B346" s="468">
        <f>YEAR(Table6[[#This Row],[Date]])+IF(MONTH(Table6[[#This Row],[Date]])&gt;=4,1,0)</f>
        <v>2026</v>
      </c>
      <c r="C346" s="102">
        <f>YEAR(Table6[[#This Row],[Date]])</f>
        <v>2025</v>
      </c>
      <c r="D346" s="102" t="s">
        <v>1992</v>
      </c>
      <c r="E346" s="469">
        <f>Table6[[#This Row],[Date]]-DAY(Table6[[#This Row],[Date]])+1</f>
        <v>45748</v>
      </c>
      <c r="F346" s="470">
        <v>45767</v>
      </c>
      <c r="G346" s="35" t="s">
        <v>90</v>
      </c>
      <c r="H346" s="35" t="str">
        <f>IFERROR(_xlfn.XLOOKUP(Table6[[#This Row],[Affected WTG]],'Basic Data'!$A:$A,'Basic Data'!$B:$B),"")</f>
        <v>TQGXIIPL</v>
      </c>
      <c r="I346" s="35" t="str">
        <f>IFERROR(_xlfn.XLOOKUP(Table6[[#This Row],[Affected WTG]],'Basic Data'!$A:$A,'Basic Data'!$C:$C),"")</f>
        <v>GEDA</v>
      </c>
      <c r="J346" s="471">
        <f>IFERROR(_xlfn.XLOOKUP(Table6[[#This Row],[Affected WTG]],'Basic Data'!$A:$A,'Basic Data'!$E:$E),"")</f>
        <v>3.846153846153845E-2</v>
      </c>
      <c r="K346" s="102">
        <v>55</v>
      </c>
      <c r="L346" s="35" t="str">
        <f>IFERROR(_xlfn.XLOOKUP(Table6[[#This Row],[Error Code]],'Basic Data'!$AA:$AA,'Basic Data'!$AB:$AB),"Incorrect Error Code")</f>
        <v>WTG shut down</v>
      </c>
      <c r="M346" s="35" t="s">
        <v>291</v>
      </c>
      <c r="N346" s="475"/>
      <c r="O346" s="476">
        <v>0.49375000000000002</v>
      </c>
      <c r="P346" s="476">
        <v>0.49375000000000002</v>
      </c>
      <c r="Q346" s="477">
        <v>0.50138888888888888</v>
      </c>
      <c r="R346" s="472">
        <f>IF(Table6[[#This Row],[Work Start TimeStamp]]="","",(Table6[[#This Row],[Work Start TimeStamp]]-Table6[[#This Row],[Fault Start TimeStamp]])*24)</f>
        <v>0</v>
      </c>
      <c r="S346" s="472">
        <f>(Table6[[#This Row],[Fault Clearance time]]-Table6[[#This Row],[Work Start TimeStamp]])*24</f>
        <v>0.18333333333333268</v>
      </c>
      <c r="T346" s="472">
        <f>(Table6[[#This Row],[Fault Clearance time]]-Table6[[#This Row],[Fault Start TimeStamp]])*24</f>
        <v>0.18333333333333268</v>
      </c>
      <c r="U346" s="35" t="s">
        <v>389</v>
      </c>
      <c r="V346" s="102" t="s">
        <v>293</v>
      </c>
      <c r="W346" s="478">
        <f>IFERROR(Table6[[#This Row],[Breakdown Time]]*Table6[[#This Row],[Plant Equivalent Weightage]],"")</f>
        <v>7.0512820512820245E-3</v>
      </c>
      <c r="X346" s="473" t="s">
        <v>290</v>
      </c>
      <c r="Y346" s="474" t="s">
        <v>339</v>
      </c>
      <c r="Z346" s="102">
        <v>28894</v>
      </c>
      <c r="AA346" s="468">
        <f>(Table6[[#This Row],[Paired WTG Generation for loss calculation]]/24)*Table6[[#This Row],[Breakdown Time]]</f>
        <v>220.7180555555548</v>
      </c>
      <c r="AB346" s="102"/>
      <c r="AC346" s="35"/>
      <c r="AD346" s="35"/>
    </row>
    <row r="347" spans="1:30">
      <c r="A347" s="102">
        <f t="shared" si="6"/>
        <v>346</v>
      </c>
      <c r="B347" s="468">
        <f>YEAR(Table6[[#This Row],[Date]])+IF(MONTH(Table6[[#This Row],[Date]])&gt;=4,1,0)</f>
        <v>2026</v>
      </c>
      <c r="C347" s="102">
        <f>YEAR(Table6[[#This Row],[Date]])</f>
        <v>2025</v>
      </c>
      <c r="D347" s="102" t="s">
        <v>1992</v>
      </c>
      <c r="E347" s="469">
        <f>Table6[[#This Row],[Date]]-DAY(Table6[[#This Row],[Date]])+1</f>
        <v>45748</v>
      </c>
      <c r="F347" s="470">
        <v>45767</v>
      </c>
      <c r="G347" s="35" t="s">
        <v>90</v>
      </c>
      <c r="H347" s="35" t="str">
        <f>IFERROR(_xlfn.XLOOKUP(Table6[[#This Row],[Affected WTG]],'Basic Data'!$A:$A,'Basic Data'!$B:$B),"")</f>
        <v>TQGXIIPL</v>
      </c>
      <c r="I347" s="35" t="str">
        <f>IFERROR(_xlfn.XLOOKUP(Table6[[#This Row],[Affected WTG]],'Basic Data'!$A:$A,'Basic Data'!$C:$C),"")</f>
        <v>GEDA</v>
      </c>
      <c r="J347" s="471">
        <f>IFERROR(_xlfn.XLOOKUP(Table6[[#This Row],[Affected WTG]],'Basic Data'!$A:$A,'Basic Data'!$E:$E),"")</f>
        <v>3.846153846153845E-2</v>
      </c>
      <c r="K347" s="102">
        <v>55</v>
      </c>
      <c r="L347" s="35" t="str">
        <f>IFERROR(_xlfn.XLOOKUP(Table6[[#This Row],[Error Code]],'Basic Data'!$AA:$AA,'Basic Data'!$AB:$AB),"Incorrect Error Code")</f>
        <v>WTG shut down</v>
      </c>
      <c r="M347" s="35" t="s">
        <v>291</v>
      </c>
      <c r="N347" s="475"/>
      <c r="O347" s="476">
        <v>0.57222222222222219</v>
      </c>
      <c r="P347" s="476">
        <v>0.57222222222222219</v>
      </c>
      <c r="Q347" s="477">
        <v>0.57777777777777772</v>
      </c>
      <c r="R347" s="472">
        <f>IF(Table6[[#This Row],[Work Start TimeStamp]]="","",(Table6[[#This Row],[Work Start TimeStamp]]-Table6[[#This Row],[Fault Start TimeStamp]])*24)</f>
        <v>0</v>
      </c>
      <c r="S347" s="472">
        <f>(Table6[[#This Row],[Fault Clearance time]]-Table6[[#This Row],[Work Start TimeStamp]])*24</f>
        <v>0.13333333333333286</v>
      </c>
      <c r="T347" s="472">
        <f>(Table6[[#This Row],[Fault Clearance time]]-Table6[[#This Row],[Fault Start TimeStamp]])*24</f>
        <v>0.13333333333333286</v>
      </c>
      <c r="U347" s="35" t="s">
        <v>389</v>
      </c>
      <c r="V347" s="102" t="s">
        <v>293</v>
      </c>
      <c r="W347" s="478">
        <f>IFERROR(Table6[[#This Row],[Breakdown Time]]*Table6[[#This Row],[Plant Equivalent Weightage]],"")</f>
        <v>5.1282051282051083E-3</v>
      </c>
      <c r="X347" s="473" t="s">
        <v>290</v>
      </c>
      <c r="Y347" s="474" t="s">
        <v>339</v>
      </c>
      <c r="Z347" s="102">
        <v>28894</v>
      </c>
      <c r="AA347" s="468">
        <f>(Table6[[#This Row],[Paired WTG Generation for loss calculation]]/24)*Table6[[#This Row],[Breakdown Time]]</f>
        <v>160.52222222222167</v>
      </c>
      <c r="AB347" s="102"/>
      <c r="AC347" s="35"/>
      <c r="AD347" s="35"/>
    </row>
    <row r="348" spans="1:30">
      <c r="A348" s="102">
        <f t="shared" si="6"/>
        <v>347</v>
      </c>
      <c r="B348" s="468">
        <f>YEAR(Table6[[#This Row],[Date]])+IF(MONTH(Table6[[#This Row],[Date]])&gt;=4,1,0)</f>
        <v>2026</v>
      </c>
      <c r="C348" s="102">
        <f>YEAR(Table6[[#This Row],[Date]])</f>
        <v>2025</v>
      </c>
      <c r="D348" s="102" t="s">
        <v>1992</v>
      </c>
      <c r="E348" s="469">
        <f>Table6[[#This Row],[Date]]-DAY(Table6[[#This Row],[Date]])+1</f>
        <v>45748</v>
      </c>
      <c r="F348" s="470">
        <v>45767</v>
      </c>
      <c r="G348" s="35" t="s">
        <v>91</v>
      </c>
      <c r="H348" s="35" t="str">
        <f>IFERROR(_xlfn.XLOOKUP(Table6[[#This Row],[Affected WTG]],'Basic Data'!$A:$A,'Basic Data'!$B:$B),"")</f>
        <v>TQGXIIPL</v>
      </c>
      <c r="I348" s="35" t="str">
        <f>IFERROR(_xlfn.XLOOKUP(Table6[[#This Row],[Affected WTG]],'Basic Data'!$A:$A,'Basic Data'!$C:$C),"")</f>
        <v>GEDA</v>
      </c>
      <c r="J348" s="471">
        <f>IFERROR(_xlfn.XLOOKUP(Table6[[#This Row],[Affected WTG]],'Basic Data'!$A:$A,'Basic Data'!$E:$E),"")</f>
        <v>3.846153846153845E-2</v>
      </c>
      <c r="K348" s="102">
        <v>55</v>
      </c>
      <c r="L348" s="35" t="str">
        <f>IFERROR(_xlfn.XLOOKUP(Table6[[#This Row],[Error Code]],'Basic Data'!$AA:$AA,'Basic Data'!$AB:$AB),"Incorrect Error Code")</f>
        <v>WTG shut down</v>
      </c>
      <c r="M348" s="35" t="s">
        <v>304</v>
      </c>
      <c r="N348" s="475"/>
      <c r="O348" s="476">
        <v>0.27847222222222223</v>
      </c>
      <c r="P348" s="476">
        <v>0.28402777777777777</v>
      </c>
      <c r="Q348" s="477">
        <v>0.54374999999999996</v>
      </c>
      <c r="R348" s="472">
        <f>IF(Table6[[#This Row],[Work Start TimeStamp]]="","",(Table6[[#This Row],[Work Start TimeStamp]]-Table6[[#This Row],[Fault Start TimeStamp]])*24)</f>
        <v>0.13333333333333286</v>
      </c>
      <c r="S348" s="472">
        <f>(Table6[[#This Row],[Fault Clearance time]]-Table6[[#This Row],[Work Start TimeStamp]])*24</f>
        <v>6.2333333333333325</v>
      </c>
      <c r="T348" s="472">
        <f>(Table6[[#This Row],[Fault Clearance time]]-Table6[[#This Row],[Fault Start TimeStamp]])*24</f>
        <v>6.3666666666666654</v>
      </c>
      <c r="U348" s="35" t="s">
        <v>357</v>
      </c>
      <c r="V348" s="102" t="s">
        <v>293</v>
      </c>
      <c r="W348" s="478">
        <f>IFERROR(Table6[[#This Row],[Breakdown Time]]*Table6[[#This Row],[Plant Equivalent Weightage]],"")</f>
        <v>0.24487179487179475</v>
      </c>
      <c r="X348" s="473" t="s">
        <v>305</v>
      </c>
      <c r="Y348" s="474" t="s">
        <v>319</v>
      </c>
      <c r="Z348" s="102">
        <v>30187</v>
      </c>
      <c r="AA348" s="468">
        <f>(Table6[[#This Row],[Paired WTG Generation for loss calculation]]/24)*Table6[[#This Row],[Breakdown Time]]</f>
        <v>8007.9402777777768</v>
      </c>
      <c r="AB348" s="102"/>
      <c r="AC348" s="35"/>
      <c r="AD348" s="35"/>
    </row>
    <row r="349" spans="1:30">
      <c r="A349" s="102">
        <f t="shared" si="6"/>
        <v>348</v>
      </c>
      <c r="B349" s="468">
        <f>YEAR(Table6[[#This Row],[Date]])+IF(MONTH(Table6[[#This Row],[Date]])&gt;=4,1,0)</f>
        <v>2026</v>
      </c>
      <c r="C349" s="102">
        <f>YEAR(Table6[[#This Row],[Date]])</f>
        <v>2025</v>
      </c>
      <c r="D349" s="102" t="s">
        <v>1992</v>
      </c>
      <c r="E349" s="469">
        <f>Table6[[#This Row],[Date]]-DAY(Table6[[#This Row],[Date]])+1</f>
        <v>45748</v>
      </c>
      <c r="F349" s="470">
        <v>45767</v>
      </c>
      <c r="G349" s="35" t="s">
        <v>95</v>
      </c>
      <c r="H349" s="35" t="str">
        <f>IFERROR(_xlfn.XLOOKUP(Table6[[#This Row],[Affected WTG]],'Basic Data'!$A:$A,'Basic Data'!$B:$B),"")</f>
        <v>TQGXIIPL</v>
      </c>
      <c r="I349" s="35" t="str">
        <f>IFERROR(_xlfn.XLOOKUP(Table6[[#This Row],[Affected WTG]],'Basic Data'!$A:$A,'Basic Data'!$C:$C),"")</f>
        <v>GEDA</v>
      </c>
      <c r="J349" s="471">
        <f>IFERROR(_xlfn.XLOOKUP(Table6[[#This Row],[Affected WTG]],'Basic Data'!$A:$A,'Basic Data'!$E:$E),"")</f>
        <v>3.846153846153845E-2</v>
      </c>
      <c r="K349" s="102">
        <v>55</v>
      </c>
      <c r="L349" s="35" t="str">
        <f>IFERROR(_xlfn.XLOOKUP(Table6[[#This Row],[Error Code]],'Basic Data'!$AA:$AA,'Basic Data'!$AB:$AB),"Incorrect Error Code")</f>
        <v>WTG shut down</v>
      </c>
      <c r="M349" s="35" t="s">
        <v>291</v>
      </c>
      <c r="N349" s="475"/>
      <c r="O349" s="476">
        <v>0.53680555555555554</v>
      </c>
      <c r="P349" s="476">
        <v>0.53680555555555554</v>
      </c>
      <c r="Q349" s="477">
        <v>0.54374999999999996</v>
      </c>
      <c r="R349" s="472">
        <f>IF(Table6[[#This Row],[Work Start TimeStamp]]="","",(Table6[[#This Row],[Work Start TimeStamp]]-Table6[[#This Row],[Fault Start TimeStamp]])*24)</f>
        <v>0</v>
      </c>
      <c r="S349" s="472">
        <f>(Table6[[#This Row],[Fault Clearance time]]-Table6[[#This Row],[Work Start TimeStamp]])*24</f>
        <v>0.16666666666666607</v>
      </c>
      <c r="T349" s="472">
        <f>(Table6[[#This Row],[Fault Clearance time]]-Table6[[#This Row],[Fault Start TimeStamp]])*24</f>
        <v>0.16666666666666607</v>
      </c>
      <c r="U349" s="35" t="s">
        <v>389</v>
      </c>
      <c r="V349" s="102" t="s">
        <v>293</v>
      </c>
      <c r="W349" s="478">
        <f>IFERROR(Table6[[#This Row],[Breakdown Time]]*Table6[[#This Row],[Plant Equivalent Weightage]],"")</f>
        <v>6.4102564102563857E-3</v>
      </c>
      <c r="X349" s="473" t="s">
        <v>290</v>
      </c>
      <c r="Y349" s="474" t="s">
        <v>319</v>
      </c>
      <c r="Z349" s="102">
        <v>30187</v>
      </c>
      <c r="AA349" s="468">
        <f>(Table6[[#This Row],[Paired WTG Generation for loss calculation]]/24)*Table6[[#This Row],[Breakdown Time]]</f>
        <v>209.63194444444372</v>
      </c>
      <c r="AB349" s="102"/>
      <c r="AC349" s="35"/>
      <c r="AD349" s="35"/>
    </row>
    <row r="350" spans="1:30">
      <c r="A350" s="102">
        <f t="shared" si="6"/>
        <v>349</v>
      </c>
      <c r="B350" s="468">
        <f>YEAR(Table6[[#This Row],[Date]])+IF(MONTH(Table6[[#This Row],[Date]])&gt;=4,1,0)</f>
        <v>2026</v>
      </c>
      <c r="C350" s="102">
        <f>YEAR(Table6[[#This Row],[Date]])</f>
        <v>2025</v>
      </c>
      <c r="D350" s="102" t="s">
        <v>1992</v>
      </c>
      <c r="E350" s="469">
        <f>Table6[[#This Row],[Date]]-DAY(Table6[[#This Row],[Date]])+1</f>
        <v>45748</v>
      </c>
      <c r="F350" s="470">
        <v>45767</v>
      </c>
      <c r="G350" s="35" t="s">
        <v>95</v>
      </c>
      <c r="H350" s="35" t="str">
        <f>IFERROR(_xlfn.XLOOKUP(Table6[[#This Row],[Affected WTG]],'Basic Data'!$A:$A,'Basic Data'!$B:$B),"")</f>
        <v>TQGXIIPL</v>
      </c>
      <c r="I350" s="35" t="str">
        <f>IFERROR(_xlfn.XLOOKUP(Table6[[#This Row],[Affected WTG]],'Basic Data'!$A:$A,'Basic Data'!$C:$C),"")</f>
        <v>GEDA</v>
      </c>
      <c r="J350" s="471">
        <f>IFERROR(_xlfn.XLOOKUP(Table6[[#This Row],[Affected WTG]],'Basic Data'!$A:$A,'Basic Data'!$E:$E),"")</f>
        <v>3.846153846153845E-2</v>
      </c>
      <c r="K350" s="102">
        <v>6130</v>
      </c>
      <c r="L350" s="35" t="str">
        <f>IFERROR(_xlfn.XLOOKUP(Table6[[#This Row],[Error Code]],'Basic Data'!$AA:$AA,'Basic Data'!$AB:$AB),"Incorrect Error Code")</f>
        <v>Yaw speed high</v>
      </c>
      <c r="M350" s="35" t="s">
        <v>292</v>
      </c>
      <c r="N350" s="475"/>
      <c r="O350" s="476">
        <v>0.72569444444444442</v>
      </c>
      <c r="P350" s="476">
        <v>0.72569444444444442</v>
      </c>
      <c r="Q350" s="477">
        <v>0.72986111111111107</v>
      </c>
      <c r="R350" s="472">
        <f>IF(Table6[[#This Row],[Work Start TimeStamp]]="","",(Table6[[#This Row],[Work Start TimeStamp]]-Table6[[#This Row],[Fault Start TimeStamp]])*24)</f>
        <v>0</v>
      </c>
      <c r="S350" s="472">
        <f>(Table6[[#This Row],[Fault Clearance time]]-Table6[[#This Row],[Work Start TimeStamp]])*24</f>
        <v>9.9999999999999645E-2</v>
      </c>
      <c r="T350" s="472">
        <f>(Table6[[#This Row],[Fault Clearance time]]-Table6[[#This Row],[Fault Start TimeStamp]])*24</f>
        <v>9.9999999999999645E-2</v>
      </c>
      <c r="U350" s="35" t="s">
        <v>336</v>
      </c>
      <c r="V350" s="102" t="s">
        <v>293</v>
      </c>
      <c r="W350" s="478">
        <f>IFERROR(Table6[[#This Row],[Breakdown Time]]*Table6[[#This Row],[Plant Equivalent Weightage]],"")</f>
        <v>3.8461538461538312E-3</v>
      </c>
      <c r="X350" s="473" t="s">
        <v>294</v>
      </c>
      <c r="Y350" s="474" t="s">
        <v>319</v>
      </c>
      <c r="Z350" s="102">
        <v>30187</v>
      </c>
      <c r="AA350" s="468">
        <f>(Table6[[#This Row],[Paired WTG Generation for loss calculation]]/24)*Table6[[#This Row],[Breakdown Time]]</f>
        <v>125.77916666666623</v>
      </c>
      <c r="AB350" s="102"/>
      <c r="AC350" s="35"/>
      <c r="AD350" s="35"/>
    </row>
    <row r="351" spans="1:30">
      <c r="A351" s="102">
        <f t="shared" si="6"/>
        <v>350</v>
      </c>
      <c r="B351" s="468">
        <f>YEAR(Table6[[#This Row],[Date]])+IF(MONTH(Table6[[#This Row],[Date]])&gt;=4,1,0)</f>
        <v>2026</v>
      </c>
      <c r="C351" s="102">
        <f>YEAR(Table6[[#This Row],[Date]])</f>
        <v>2025</v>
      </c>
      <c r="D351" s="102" t="s">
        <v>1992</v>
      </c>
      <c r="E351" s="469">
        <f>Table6[[#This Row],[Date]]-DAY(Table6[[#This Row],[Date]])+1</f>
        <v>45748</v>
      </c>
      <c r="F351" s="470">
        <v>45767</v>
      </c>
      <c r="G351" s="35" t="s">
        <v>97</v>
      </c>
      <c r="H351" s="35" t="str">
        <f>IFERROR(_xlfn.XLOOKUP(Table6[[#This Row],[Affected WTG]],'Basic Data'!$A:$A,'Basic Data'!$B:$B),"")</f>
        <v>TQGXIIPL</v>
      </c>
      <c r="I351" s="35" t="str">
        <f>IFERROR(_xlfn.XLOOKUP(Table6[[#This Row],[Affected WTG]],'Basic Data'!$A:$A,'Basic Data'!$C:$C),"")</f>
        <v>GEDA</v>
      </c>
      <c r="J351" s="471">
        <f>IFERROR(_xlfn.XLOOKUP(Table6[[#This Row],[Affected WTG]],'Basic Data'!$A:$A,'Basic Data'!$E:$E),"")</f>
        <v>3.846153846153845E-2</v>
      </c>
      <c r="K351" s="102">
        <v>175</v>
      </c>
      <c r="L351" s="35" t="str">
        <f>IFERROR(_xlfn.XLOOKUP(Table6[[#This Row],[Error Code]],'Basic Data'!$AA:$AA,'Basic Data'!$AB:$AB),"Incorrect Error Code")</f>
        <v>SLC error</v>
      </c>
      <c r="M351" s="35" t="s">
        <v>291</v>
      </c>
      <c r="N351" s="475"/>
      <c r="O351" s="476">
        <v>0.375</v>
      </c>
      <c r="P351" s="476">
        <v>0.375</v>
      </c>
      <c r="Q351" s="477">
        <v>0.38819444444444445</v>
      </c>
      <c r="R351" s="472">
        <f>IF(Table6[[#This Row],[Work Start TimeStamp]]="","",(Table6[[#This Row],[Work Start TimeStamp]]-Table6[[#This Row],[Fault Start TimeStamp]])*24)</f>
        <v>0</v>
      </c>
      <c r="S351" s="472">
        <f>(Table6[[#This Row],[Fault Clearance time]]-Table6[[#This Row],[Work Start TimeStamp]])*24</f>
        <v>0.31666666666666687</v>
      </c>
      <c r="T351" s="472">
        <f>(Table6[[#This Row],[Fault Clearance time]]-Table6[[#This Row],[Fault Start TimeStamp]])*24</f>
        <v>0.31666666666666687</v>
      </c>
      <c r="U351" s="35" t="s">
        <v>349</v>
      </c>
      <c r="V351" s="102" t="s">
        <v>293</v>
      </c>
      <c r="W351" s="478">
        <f>IFERROR(Table6[[#This Row],[Breakdown Time]]*Table6[[#This Row],[Plant Equivalent Weightage]],"")</f>
        <v>1.2179487179487183E-2</v>
      </c>
      <c r="X351" s="473" t="s">
        <v>294</v>
      </c>
      <c r="Y351" s="474" t="s">
        <v>320</v>
      </c>
      <c r="Z351" s="102">
        <v>28383</v>
      </c>
      <c r="AA351" s="468">
        <f>(Table6[[#This Row],[Paired WTG Generation for loss calculation]]/24)*Table6[[#This Row],[Breakdown Time]]</f>
        <v>374.49791666666692</v>
      </c>
      <c r="AB351" s="102"/>
      <c r="AC351" s="35"/>
      <c r="AD351" s="35"/>
    </row>
    <row r="352" spans="1:30">
      <c r="A352" s="102">
        <f t="shared" si="6"/>
        <v>351</v>
      </c>
      <c r="B352" s="468">
        <f>YEAR(Table6[[#This Row],[Date]])+IF(MONTH(Table6[[#This Row],[Date]])&gt;=4,1,0)</f>
        <v>2026</v>
      </c>
      <c r="C352" s="102">
        <f>YEAR(Table6[[#This Row],[Date]])</f>
        <v>2025</v>
      </c>
      <c r="D352" s="102" t="s">
        <v>1992</v>
      </c>
      <c r="E352" s="469">
        <f>Table6[[#This Row],[Date]]-DAY(Table6[[#This Row],[Date]])+1</f>
        <v>45748</v>
      </c>
      <c r="F352" s="470">
        <v>45767</v>
      </c>
      <c r="G352" s="35" t="s">
        <v>99</v>
      </c>
      <c r="H352" s="35" t="str">
        <f>IFERROR(_xlfn.XLOOKUP(Table6[[#This Row],[Affected WTG]],'Basic Data'!$A:$A,'Basic Data'!$B:$B),"")</f>
        <v>TQGXIIPL</v>
      </c>
      <c r="I352" s="35" t="str">
        <f>IFERROR(_xlfn.XLOOKUP(Table6[[#This Row],[Affected WTG]],'Basic Data'!$A:$A,'Basic Data'!$C:$C),"")</f>
        <v>GEDA</v>
      </c>
      <c r="J352" s="471">
        <f>IFERROR(_xlfn.XLOOKUP(Table6[[#This Row],[Affected WTG]],'Basic Data'!$A:$A,'Basic Data'!$E:$E),"")</f>
        <v>3.846153846153845E-2</v>
      </c>
      <c r="K352" s="102">
        <v>658</v>
      </c>
      <c r="L352" s="35" t="str">
        <f>IFERROR(_xlfn.XLOOKUP(Table6[[#This Row],[Error Code]],'Basic Data'!$AA:$AA,'Basic Data'!$AB:$AB),"Incorrect Error Code")</f>
        <v>Error pitch converter 3</v>
      </c>
      <c r="M352" s="35" t="s">
        <v>291</v>
      </c>
      <c r="N352" s="475"/>
      <c r="O352" s="476">
        <v>0.31180555555555556</v>
      </c>
      <c r="P352" s="476">
        <v>0.31180555555555556</v>
      </c>
      <c r="Q352" s="477">
        <v>0.32361111111111113</v>
      </c>
      <c r="R352" s="472">
        <f>IF(Table6[[#This Row],[Work Start TimeStamp]]="","",(Table6[[#This Row],[Work Start TimeStamp]]-Table6[[#This Row],[Fault Start TimeStamp]])*24)</f>
        <v>0</v>
      </c>
      <c r="S352" s="472">
        <f>(Table6[[#This Row],[Fault Clearance time]]-Table6[[#This Row],[Work Start TimeStamp]])*24</f>
        <v>0.28333333333333366</v>
      </c>
      <c r="T352" s="472">
        <f>(Table6[[#This Row],[Fault Clearance time]]-Table6[[#This Row],[Fault Start TimeStamp]])*24</f>
        <v>0.28333333333333366</v>
      </c>
      <c r="U352" s="35" t="s">
        <v>349</v>
      </c>
      <c r="V352" s="102" t="s">
        <v>293</v>
      </c>
      <c r="W352" s="478">
        <f>IFERROR(Table6[[#This Row],[Breakdown Time]]*Table6[[#This Row],[Plant Equivalent Weightage]],"")</f>
        <v>1.0897435897435907E-2</v>
      </c>
      <c r="X352" s="473" t="s">
        <v>294</v>
      </c>
      <c r="Y352" s="474" t="s">
        <v>315</v>
      </c>
      <c r="Z352" s="102">
        <v>24919</v>
      </c>
      <c r="AA352" s="468">
        <f>(Table6[[#This Row],[Paired WTG Generation for loss calculation]]/24)*Table6[[#This Row],[Breakdown Time]]</f>
        <v>294.18263888888924</v>
      </c>
      <c r="AB352" s="102"/>
      <c r="AC352" s="35"/>
      <c r="AD352" s="35"/>
    </row>
    <row r="353" spans="1:30">
      <c r="A353" s="102">
        <f t="shared" si="6"/>
        <v>352</v>
      </c>
      <c r="B353" s="468">
        <f>YEAR(Table6[[#This Row],[Date]])+IF(MONTH(Table6[[#This Row],[Date]])&gt;=4,1,0)</f>
        <v>2026</v>
      </c>
      <c r="C353" s="102">
        <f>YEAR(Table6[[#This Row],[Date]])</f>
        <v>2025</v>
      </c>
      <c r="D353" s="102" t="s">
        <v>1992</v>
      </c>
      <c r="E353" s="469">
        <f>Table6[[#This Row],[Date]]-DAY(Table6[[#This Row],[Date]])+1</f>
        <v>45748</v>
      </c>
      <c r="F353" s="470">
        <v>45768</v>
      </c>
      <c r="G353" s="35" t="s">
        <v>74</v>
      </c>
      <c r="H353" s="35" t="str">
        <f>IFERROR(_xlfn.XLOOKUP(Table6[[#This Row],[Affected WTG]],'Basic Data'!$A:$A,'Basic Data'!$B:$B),"")</f>
        <v>TQGXIIPL</v>
      </c>
      <c r="I353" s="35" t="str">
        <f>IFERROR(_xlfn.XLOOKUP(Table6[[#This Row],[Affected WTG]],'Basic Data'!$A:$A,'Basic Data'!$C:$C),"")</f>
        <v>GEDA</v>
      </c>
      <c r="J353" s="471">
        <f>IFERROR(_xlfn.XLOOKUP(Table6[[#This Row],[Affected WTG]],'Basic Data'!$A:$A,'Basic Data'!$E:$E),"")</f>
        <v>3.846153846153845E-2</v>
      </c>
      <c r="K353" s="102">
        <v>3110</v>
      </c>
      <c r="L353" s="35" t="str">
        <f>IFERROR(_xlfn.XLOOKUP(Table6[[#This Row],[Error Code]],'Basic Data'!$AA:$AA,'Basic Data'!$AB:$AB),"Incorrect Error Code")</f>
        <v>Frequency converter error</v>
      </c>
      <c r="M353" s="35" t="s">
        <v>291</v>
      </c>
      <c r="N353" s="475"/>
      <c r="O353" s="476">
        <v>0</v>
      </c>
      <c r="P353" s="476">
        <v>0</v>
      </c>
      <c r="Q353" s="477">
        <v>9.7222222222222224E-3</v>
      </c>
      <c r="R353" s="472">
        <f>IF(Table6[[#This Row],[Work Start TimeStamp]]="","",(Table6[[#This Row],[Work Start TimeStamp]]-Table6[[#This Row],[Fault Start TimeStamp]])*24)</f>
        <v>0</v>
      </c>
      <c r="S353" s="472">
        <f>(Table6[[#This Row],[Fault Clearance time]]-Table6[[#This Row],[Work Start TimeStamp]])*24</f>
        <v>0.23333333333333334</v>
      </c>
      <c r="T353" s="472">
        <f>(Table6[[#This Row],[Fault Clearance time]]-Table6[[#This Row],[Fault Start TimeStamp]])*24</f>
        <v>0.23333333333333334</v>
      </c>
      <c r="U353" s="35" t="s">
        <v>1699</v>
      </c>
      <c r="V353" s="102" t="s">
        <v>293</v>
      </c>
      <c r="W353" s="478">
        <f>IFERROR(Table6[[#This Row],[Breakdown Time]]*Table6[[#This Row],[Plant Equivalent Weightage]],"")</f>
        <v>8.974358974358972E-3</v>
      </c>
      <c r="X353" s="473" t="s">
        <v>294</v>
      </c>
      <c r="Y353" s="474" t="s">
        <v>321</v>
      </c>
      <c r="Z353" s="102">
        <v>7446</v>
      </c>
      <c r="AA353" s="468">
        <f>(Table6[[#This Row],[Paired WTG Generation for loss calculation]]/24)*Table6[[#This Row],[Breakdown Time]]</f>
        <v>72.391666666666666</v>
      </c>
      <c r="AB353" s="102"/>
      <c r="AC353" s="35"/>
      <c r="AD353" s="35"/>
    </row>
    <row r="354" spans="1:30">
      <c r="A354" s="102">
        <f t="shared" si="6"/>
        <v>353</v>
      </c>
      <c r="B354" s="468">
        <f>YEAR(Table6[[#This Row],[Date]])+IF(MONTH(Table6[[#This Row],[Date]])&gt;=4,1,0)</f>
        <v>2026</v>
      </c>
      <c r="C354" s="102">
        <f>YEAR(Table6[[#This Row],[Date]])</f>
        <v>2025</v>
      </c>
      <c r="D354" s="102" t="s">
        <v>1992</v>
      </c>
      <c r="E354" s="469">
        <f>Table6[[#This Row],[Date]]-DAY(Table6[[#This Row],[Date]])+1</f>
        <v>45748</v>
      </c>
      <c r="F354" s="470">
        <v>45768</v>
      </c>
      <c r="G354" s="35" t="s">
        <v>75</v>
      </c>
      <c r="H354" s="35" t="str">
        <f>IFERROR(_xlfn.XLOOKUP(Table6[[#This Row],[Affected WTG]],'Basic Data'!$A:$A,'Basic Data'!$B:$B),"")</f>
        <v>TQGXIIPL</v>
      </c>
      <c r="I354" s="35" t="str">
        <f>IFERROR(_xlfn.XLOOKUP(Table6[[#This Row],[Affected WTG]],'Basic Data'!$A:$A,'Basic Data'!$C:$C),"")</f>
        <v>GEDA</v>
      </c>
      <c r="J354" s="471">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291</v>
      </c>
      <c r="N354" s="475"/>
      <c r="O354" s="476">
        <v>0.79861111111111116</v>
      </c>
      <c r="P354" s="476">
        <v>0.79861111111111116</v>
      </c>
      <c r="Q354" s="477">
        <v>0.8305555555555556</v>
      </c>
      <c r="R354" s="472">
        <f>IF(Table6[[#This Row],[Work Start TimeStamp]]="","",(Table6[[#This Row],[Work Start TimeStamp]]-Table6[[#This Row],[Fault Start TimeStamp]])*24)</f>
        <v>0</v>
      </c>
      <c r="S354" s="472">
        <f>(Table6[[#This Row],[Fault Clearance time]]-Table6[[#This Row],[Work Start TimeStamp]])*24</f>
        <v>0.76666666666666661</v>
      </c>
      <c r="T354" s="472">
        <f>(Table6[[#This Row],[Fault Clearance time]]-Table6[[#This Row],[Fault Start TimeStamp]])*24</f>
        <v>0.76666666666666661</v>
      </c>
      <c r="U354" s="35" t="s">
        <v>345</v>
      </c>
      <c r="V354" s="102" t="s">
        <v>293</v>
      </c>
      <c r="W354" s="478">
        <f>IFERROR(Table6[[#This Row],[Breakdown Time]]*Table6[[#This Row],[Plant Equivalent Weightage]],"")</f>
        <v>2.9487179487179476E-2</v>
      </c>
      <c r="X354" s="473" t="s">
        <v>294</v>
      </c>
      <c r="Y354" s="474" t="s">
        <v>318</v>
      </c>
      <c r="Z354" s="102">
        <v>12194</v>
      </c>
      <c r="AA354" s="468">
        <f>(Table6[[#This Row],[Paired WTG Generation for loss calculation]]/24)*Table6[[#This Row],[Breakdown Time]]</f>
        <v>389.53055555555551</v>
      </c>
      <c r="AB354" s="102"/>
      <c r="AC354" s="35"/>
      <c r="AD354" s="35"/>
    </row>
    <row r="355" spans="1:30">
      <c r="A355" s="102">
        <f t="shared" si="6"/>
        <v>354</v>
      </c>
      <c r="B355" s="468">
        <f>YEAR(Table6[[#This Row],[Date]])+IF(MONTH(Table6[[#This Row],[Date]])&gt;=4,1,0)</f>
        <v>2026</v>
      </c>
      <c r="C355" s="102">
        <f>YEAR(Table6[[#This Row],[Date]])</f>
        <v>2025</v>
      </c>
      <c r="D355" s="102" t="s">
        <v>1992</v>
      </c>
      <c r="E355" s="469">
        <f>Table6[[#This Row],[Date]]-DAY(Table6[[#This Row],[Date]])+1</f>
        <v>45748</v>
      </c>
      <c r="F355" s="470">
        <v>45768</v>
      </c>
      <c r="G355" s="35" t="s">
        <v>79</v>
      </c>
      <c r="H355" s="35" t="str">
        <f>IFERROR(_xlfn.XLOOKUP(Table6[[#This Row],[Affected WTG]],'Basic Data'!$A:$A,'Basic Data'!$B:$B),"")</f>
        <v>TQGXIIPL</v>
      </c>
      <c r="I355" s="35" t="str">
        <f>IFERROR(_xlfn.XLOOKUP(Table6[[#This Row],[Affected WTG]],'Basic Data'!$A:$A,'Basic Data'!$C:$C),"")</f>
        <v>GEDA</v>
      </c>
      <c r="J355" s="471">
        <f>IFERROR(_xlfn.XLOOKUP(Table6[[#This Row],[Affected WTG]],'Basic Data'!$A:$A,'Basic Data'!$E:$E),"")</f>
        <v>3.846153846153845E-2</v>
      </c>
      <c r="K355" s="102">
        <v>6130</v>
      </c>
      <c r="L355" s="35" t="str">
        <f>IFERROR(_xlfn.XLOOKUP(Table6[[#This Row],[Error Code]],'Basic Data'!$AA:$AA,'Basic Data'!$AB:$AB),"Incorrect Error Code")</f>
        <v>Yaw speed high</v>
      </c>
      <c r="M355" s="35" t="s">
        <v>291</v>
      </c>
      <c r="N355" s="475"/>
      <c r="O355" s="476">
        <v>0.70694444444444449</v>
      </c>
      <c r="P355" s="476">
        <v>0.70694444444444449</v>
      </c>
      <c r="Q355" s="477">
        <v>0.71180555555555558</v>
      </c>
      <c r="R355" s="472">
        <f>IF(Table6[[#This Row],[Work Start TimeStamp]]="","",(Table6[[#This Row],[Work Start TimeStamp]]-Table6[[#This Row],[Fault Start TimeStamp]])*24)</f>
        <v>0</v>
      </c>
      <c r="S355" s="472">
        <f>(Table6[[#This Row],[Fault Clearance time]]-Table6[[#This Row],[Work Start TimeStamp]])*24</f>
        <v>0.11666666666666625</v>
      </c>
      <c r="T355" s="472">
        <f>(Table6[[#This Row],[Fault Clearance time]]-Table6[[#This Row],[Fault Start TimeStamp]])*24</f>
        <v>0.11666666666666625</v>
      </c>
      <c r="U355" s="35" t="s">
        <v>349</v>
      </c>
      <c r="V355" s="102" t="s">
        <v>293</v>
      </c>
      <c r="W355" s="478">
        <f>IFERROR(Table6[[#This Row],[Breakdown Time]]*Table6[[#This Row],[Plant Equivalent Weightage]],"")</f>
        <v>4.4871794871794695E-3</v>
      </c>
      <c r="X355" s="473" t="s">
        <v>294</v>
      </c>
      <c r="Y355" s="474" t="s">
        <v>325</v>
      </c>
      <c r="Z355" s="102">
        <v>9310</v>
      </c>
      <c r="AA355" s="468">
        <f>(Table6[[#This Row],[Paired WTG Generation for loss calculation]]/24)*Table6[[#This Row],[Breakdown Time]]</f>
        <v>45.256944444444287</v>
      </c>
      <c r="AB355" s="102"/>
      <c r="AC355" s="35"/>
      <c r="AD355" s="35"/>
    </row>
    <row r="356" spans="1:30">
      <c r="A356" s="102">
        <f t="shared" si="6"/>
        <v>355</v>
      </c>
      <c r="B356" s="468">
        <f>YEAR(Table6[[#This Row],[Date]])+IF(MONTH(Table6[[#This Row],[Date]])&gt;=4,1,0)</f>
        <v>2026</v>
      </c>
      <c r="C356" s="102">
        <f>YEAR(Table6[[#This Row],[Date]])</f>
        <v>2025</v>
      </c>
      <c r="D356" s="102" t="s">
        <v>1992</v>
      </c>
      <c r="E356" s="469">
        <f>Table6[[#This Row],[Date]]-DAY(Table6[[#This Row],[Date]])+1</f>
        <v>45748</v>
      </c>
      <c r="F356" s="470">
        <v>45768</v>
      </c>
      <c r="G356" s="35" t="s">
        <v>84</v>
      </c>
      <c r="H356" s="35" t="str">
        <f>IFERROR(_xlfn.XLOOKUP(Table6[[#This Row],[Affected WTG]],'Basic Data'!$A:$A,'Basic Data'!$B:$B),"")</f>
        <v>TQGXIIPL</v>
      </c>
      <c r="I356" s="35" t="str">
        <f>IFERROR(_xlfn.XLOOKUP(Table6[[#This Row],[Affected WTG]],'Basic Data'!$A:$A,'Basic Data'!$C:$C),"")</f>
        <v>GEDA</v>
      </c>
      <c r="J356" s="471">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291</v>
      </c>
      <c r="N356" s="475"/>
      <c r="O356" s="476">
        <v>0.79861111111111116</v>
      </c>
      <c r="P356" s="476">
        <v>0.79861111111111116</v>
      </c>
      <c r="Q356" s="477">
        <v>0.83263888888888893</v>
      </c>
      <c r="R356" s="472">
        <f>IF(Table6[[#This Row],[Work Start TimeStamp]]="","",(Table6[[#This Row],[Work Start TimeStamp]]-Table6[[#This Row],[Fault Start TimeStamp]])*24)</f>
        <v>0</v>
      </c>
      <c r="S356" s="472">
        <f>(Table6[[#This Row],[Fault Clearance time]]-Table6[[#This Row],[Work Start TimeStamp]])*24</f>
        <v>0.81666666666666643</v>
      </c>
      <c r="T356" s="472">
        <f>(Table6[[#This Row],[Fault Clearance time]]-Table6[[#This Row],[Fault Start TimeStamp]])*24</f>
        <v>0.81666666666666643</v>
      </c>
      <c r="U356" s="35" t="s">
        <v>1700</v>
      </c>
      <c r="V356" s="102" t="s">
        <v>293</v>
      </c>
      <c r="W356" s="478">
        <f>IFERROR(Table6[[#This Row],[Breakdown Time]]*Table6[[#This Row],[Plant Equivalent Weightage]],"")</f>
        <v>3.1410256410256389E-2</v>
      </c>
      <c r="X356" s="473" t="s">
        <v>294</v>
      </c>
      <c r="Y356" s="474" t="s">
        <v>327</v>
      </c>
      <c r="Z356" s="102">
        <v>9575</v>
      </c>
      <c r="AA356" s="468">
        <f>(Table6[[#This Row],[Paired WTG Generation for loss calculation]]/24)*Table6[[#This Row],[Breakdown Time]]</f>
        <v>325.81597222222211</v>
      </c>
      <c r="AB356" s="102"/>
      <c r="AC356" s="35"/>
      <c r="AD356" s="35"/>
    </row>
    <row r="357" spans="1:30">
      <c r="A357" s="102">
        <f t="shared" si="6"/>
        <v>356</v>
      </c>
      <c r="B357" s="468">
        <f>YEAR(Table6[[#This Row],[Date]])+IF(MONTH(Table6[[#This Row],[Date]])&gt;=4,1,0)</f>
        <v>2026</v>
      </c>
      <c r="C357" s="102">
        <f>YEAR(Table6[[#This Row],[Date]])</f>
        <v>2025</v>
      </c>
      <c r="D357" s="102" t="s">
        <v>1992</v>
      </c>
      <c r="E357" s="469">
        <f>Table6[[#This Row],[Date]]-DAY(Table6[[#This Row],[Date]])+1</f>
        <v>45748</v>
      </c>
      <c r="F357" s="470">
        <v>45768</v>
      </c>
      <c r="G357" s="35" t="s">
        <v>84</v>
      </c>
      <c r="H357" s="35" t="str">
        <f>IFERROR(_xlfn.XLOOKUP(Table6[[#This Row],[Affected WTG]],'Basic Data'!$A:$A,'Basic Data'!$B:$B),"")</f>
        <v>TQGXIIPL</v>
      </c>
      <c r="I357" s="35" t="str">
        <f>IFERROR(_xlfn.XLOOKUP(Table6[[#This Row],[Affected WTG]],'Basic Data'!$A:$A,'Basic Data'!$C:$C),"")</f>
        <v>GEDA</v>
      </c>
      <c r="J357" s="471">
        <f>IFERROR(_xlfn.XLOOKUP(Table6[[#This Row],[Affected WTG]],'Basic Data'!$A:$A,'Basic Data'!$E:$E),"")</f>
        <v>3.846153846153845E-2</v>
      </c>
      <c r="K357" s="102">
        <v>665</v>
      </c>
      <c r="L357" s="35" t="str">
        <f>IFERROR(_xlfn.XLOOKUP(Table6[[#This Row],[Error Code]],'Basic Data'!$AA:$AA,'Basic Data'!$AB:$AB),"Incorrect Error Code")</f>
        <v>Pitch error</v>
      </c>
      <c r="M357" s="35" t="s">
        <v>291</v>
      </c>
      <c r="N357" s="475"/>
      <c r="O357" s="476">
        <v>0.85833333333333328</v>
      </c>
      <c r="P357" s="476">
        <v>0.9375</v>
      </c>
      <c r="Q357" s="477">
        <v>0.99998842592592596</v>
      </c>
      <c r="R357" s="472">
        <f>IF(Table6[[#This Row],[Work Start TimeStamp]]="","",(Table6[[#This Row],[Work Start TimeStamp]]-Table6[[#This Row],[Fault Start TimeStamp]])*24)</f>
        <v>1.9000000000000012</v>
      </c>
      <c r="S357" s="472">
        <f>(Table6[[#This Row],[Fault Clearance time]]-Table6[[#This Row],[Work Start TimeStamp]])*24</f>
        <v>1.4997222222222231</v>
      </c>
      <c r="T357" s="472">
        <f>(Table6[[#This Row],[Fault Clearance time]]-Table6[[#This Row],[Fault Start TimeStamp]])*24</f>
        <v>3.3997222222222243</v>
      </c>
      <c r="U357" s="35" t="s">
        <v>1701</v>
      </c>
      <c r="V357" s="102" t="s">
        <v>335</v>
      </c>
      <c r="W357" s="478">
        <f>IFERROR(Table6[[#This Row],[Breakdown Time]]*Table6[[#This Row],[Plant Equivalent Weightage]],"")</f>
        <v>0.13075854700854705</v>
      </c>
      <c r="X357" s="473" t="s">
        <v>294</v>
      </c>
      <c r="Y357" s="474" t="s">
        <v>327</v>
      </c>
      <c r="Z357" s="102">
        <v>9575</v>
      </c>
      <c r="AA357" s="468">
        <f>(Table6[[#This Row],[Paired WTG Generation for loss calculation]]/24)*Table6[[#This Row],[Breakdown Time]]</f>
        <v>1356.3475115740748</v>
      </c>
      <c r="AB357" s="102"/>
      <c r="AC357" s="35"/>
      <c r="AD357" s="35"/>
    </row>
    <row r="358" spans="1:30">
      <c r="A358" s="102">
        <f t="shared" si="6"/>
        <v>357</v>
      </c>
      <c r="B358" s="468">
        <f>YEAR(Table6[[#This Row],[Date]])+IF(MONTH(Table6[[#This Row],[Date]])&gt;=4,1,0)</f>
        <v>2026</v>
      </c>
      <c r="C358" s="102">
        <f>YEAR(Table6[[#This Row],[Date]])</f>
        <v>2025</v>
      </c>
      <c r="D358" s="102" t="s">
        <v>1992</v>
      </c>
      <c r="E358" s="469">
        <f>Table6[[#This Row],[Date]]-DAY(Table6[[#This Row],[Date]])+1</f>
        <v>45748</v>
      </c>
      <c r="F358" s="470">
        <v>45768</v>
      </c>
      <c r="G358" s="35" t="s">
        <v>85</v>
      </c>
      <c r="H358" s="35" t="str">
        <f>IFERROR(_xlfn.XLOOKUP(Table6[[#This Row],[Affected WTG]],'Basic Data'!$A:$A,'Basic Data'!$B:$B),"")</f>
        <v>TQGXIIPL</v>
      </c>
      <c r="I358" s="35" t="str">
        <f>IFERROR(_xlfn.XLOOKUP(Table6[[#This Row],[Affected WTG]],'Basic Data'!$A:$A,'Basic Data'!$C:$C),"")</f>
        <v>GEDA</v>
      </c>
      <c r="J358" s="471">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291</v>
      </c>
      <c r="N358" s="475"/>
      <c r="O358" s="476">
        <v>0.39652777777777776</v>
      </c>
      <c r="P358" s="476">
        <v>0.44444444444444442</v>
      </c>
      <c r="Q358" s="477">
        <v>0.52083333333333337</v>
      </c>
      <c r="R358" s="472">
        <f>IF(Table6[[#This Row],[Work Start TimeStamp]]="","",(Table6[[#This Row],[Work Start TimeStamp]]-Table6[[#This Row],[Fault Start TimeStamp]])*24)</f>
        <v>1.1499999999999999</v>
      </c>
      <c r="S358" s="472">
        <f>(Table6[[#This Row],[Fault Clearance time]]-Table6[[#This Row],[Work Start TimeStamp]])*24</f>
        <v>1.8333333333333348</v>
      </c>
      <c r="T358" s="472">
        <f>(Table6[[#This Row],[Fault Clearance time]]-Table6[[#This Row],[Fault Start TimeStamp]])*24</f>
        <v>2.9833333333333347</v>
      </c>
      <c r="U358" s="35" t="s">
        <v>1702</v>
      </c>
      <c r="V358" s="102" t="s">
        <v>293</v>
      </c>
      <c r="W358" s="478">
        <f>IFERROR(Table6[[#This Row],[Breakdown Time]]*Table6[[#This Row],[Plant Equivalent Weightage]],"")</f>
        <v>0.11474358974358977</v>
      </c>
      <c r="X358" s="473" t="s">
        <v>294</v>
      </c>
      <c r="Y358" s="474" t="s">
        <v>322</v>
      </c>
      <c r="Z358" s="102">
        <v>9107</v>
      </c>
      <c r="AA358" s="468">
        <f>(Table6[[#This Row],[Paired WTG Generation for loss calculation]]/24)*Table6[[#This Row],[Breakdown Time]]</f>
        <v>1132.0506944444448</v>
      </c>
      <c r="AB358" s="102"/>
      <c r="AC358" s="35"/>
      <c r="AD358" s="35"/>
    </row>
    <row r="359" spans="1:30">
      <c r="A359" s="102">
        <f t="shared" si="6"/>
        <v>358</v>
      </c>
      <c r="B359" s="468">
        <f>YEAR(Table6[[#This Row],[Date]])+IF(MONTH(Table6[[#This Row],[Date]])&gt;=4,1,0)</f>
        <v>2026</v>
      </c>
      <c r="C359" s="102">
        <f>YEAR(Table6[[#This Row],[Date]])</f>
        <v>2025</v>
      </c>
      <c r="D359" s="102" t="s">
        <v>1992</v>
      </c>
      <c r="E359" s="469">
        <f>Table6[[#This Row],[Date]]-DAY(Table6[[#This Row],[Date]])+1</f>
        <v>45748</v>
      </c>
      <c r="F359" s="470">
        <v>45768</v>
      </c>
      <c r="G359" s="35" t="s">
        <v>87</v>
      </c>
      <c r="H359" s="35" t="str">
        <f>IFERROR(_xlfn.XLOOKUP(Table6[[#This Row],[Affected WTG]],'Basic Data'!$A:$A,'Basic Data'!$B:$B),"")</f>
        <v>TQGXIIPL</v>
      </c>
      <c r="I359" s="35" t="str">
        <f>IFERROR(_xlfn.XLOOKUP(Table6[[#This Row],[Affected WTG]],'Basic Data'!$A:$A,'Basic Data'!$C:$C),"")</f>
        <v>GEDA</v>
      </c>
      <c r="J359" s="471">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291</v>
      </c>
      <c r="N359" s="475"/>
      <c r="O359" s="476">
        <v>0.79861111111111116</v>
      </c>
      <c r="P359" s="476">
        <v>0.79861111111111116</v>
      </c>
      <c r="Q359" s="477">
        <v>0.82222222222222219</v>
      </c>
      <c r="R359" s="472">
        <f>IF(Table6[[#This Row],[Work Start TimeStamp]]="","",(Table6[[#This Row],[Work Start TimeStamp]]-Table6[[#This Row],[Fault Start TimeStamp]])*24)</f>
        <v>0</v>
      </c>
      <c r="S359" s="472">
        <f>(Table6[[#This Row],[Fault Clearance time]]-Table6[[#This Row],[Work Start TimeStamp]])*24</f>
        <v>0.56666666666666465</v>
      </c>
      <c r="T359" s="472">
        <f>(Table6[[#This Row],[Fault Clearance time]]-Table6[[#This Row],[Fault Start TimeStamp]])*24</f>
        <v>0.56666666666666465</v>
      </c>
      <c r="U359" s="35" t="s">
        <v>1700</v>
      </c>
      <c r="V359" s="102" t="s">
        <v>293</v>
      </c>
      <c r="W359" s="478">
        <f>IFERROR(Table6[[#This Row],[Breakdown Time]]*Table6[[#This Row],[Plant Equivalent Weightage]],"")</f>
        <v>2.1794871794871711E-2</v>
      </c>
      <c r="X359" s="473" t="s">
        <v>294</v>
      </c>
      <c r="Y359" s="474" t="s">
        <v>327</v>
      </c>
      <c r="Z359" s="102">
        <v>9575</v>
      </c>
      <c r="AA359" s="468">
        <f>(Table6[[#This Row],[Paired WTG Generation for loss calculation]]/24)*Table6[[#This Row],[Breakdown Time]]</f>
        <v>226.07638888888806</v>
      </c>
      <c r="AB359" s="102"/>
      <c r="AC359" s="35"/>
      <c r="AD359" s="35"/>
    </row>
    <row r="360" spans="1:30">
      <c r="A360" s="102">
        <f t="shared" si="6"/>
        <v>359</v>
      </c>
      <c r="B360" s="468">
        <f>YEAR(Table6[[#This Row],[Date]])+IF(MONTH(Table6[[#This Row],[Date]])&gt;=4,1,0)</f>
        <v>2026</v>
      </c>
      <c r="C360" s="102">
        <f>YEAR(Table6[[#This Row],[Date]])</f>
        <v>2025</v>
      </c>
      <c r="D360" s="102" t="s">
        <v>1992</v>
      </c>
      <c r="E360" s="469">
        <f>Table6[[#This Row],[Date]]-DAY(Table6[[#This Row],[Date]])+1</f>
        <v>45748</v>
      </c>
      <c r="F360" s="470">
        <v>45768</v>
      </c>
      <c r="G360" s="35" t="s">
        <v>89</v>
      </c>
      <c r="H360" s="35" t="str">
        <f>IFERROR(_xlfn.XLOOKUP(Table6[[#This Row],[Affected WTG]],'Basic Data'!$A:$A,'Basic Data'!$B:$B),"")</f>
        <v>TQGXIIPL</v>
      </c>
      <c r="I360" s="35" t="str">
        <f>IFERROR(_xlfn.XLOOKUP(Table6[[#This Row],[Affected WTG]],'Basic Data'!$A:$A,'Basic Data'!$C:$C),"")</f>
        <v>GEDA</v>
      </c>
      <c r="J360" s="471">
        <f>IFERROR(_xlfn.XLOOKUP(Table6[[#This Row],[Affected WTG]],'Basic Data'!$A:$A,'Basic Data'!$E:$E),"")</f>
        <v>3.846153846153845E-2</v>
      </c>
      <c r="K360" s="102">
        <v>55</v>
      </c>
      <c r="L360" s="35" t="str">
        <f>IFERROR(_xlfn.XLOOKUP(Table6[[#This Row],[Error Code]],'Basic Data'!$AA:$AA,'Basic Data'!$AB:$AB),"Incorrect Error Code")</f>
        <v>WTG shut down</v>
      </c>
      <c r="M360" s="35" t="s">
        <v>304</v>
      </c>
      <c r="N360" s="475"/>
      <c r="O360" s="476">
        <v>0.28611111111111109</v>
      </c>
      <c r="P360" s="476">
        <v>0.29236111111111113</v>
      </c>
      <c r="Q360" s="477">
        <v>0.54861111111111116</v>
      </c>
      <c r="R360" s="472">
        <f>IF(Table6[[#This Row],[Work Start TimeStamp]]="","",(Table6[[#This Row],[Work Start TimeStamp]]-Table6[[#This Row],[Fault Start TimeStamp]])*24)</f>
        <v>0.1500000000000008</v>
      </c>
      <c r="S360" s="472">
        <f>(Table6[[#This Row],[Fault Clearance time]]-Table6[[#This Row],[Work Start TimeStamp]])*24</f>
        <v>6.15</v>
      </c>
      <c r="T360" s="472">
        <f>(Table6[[#This Row],[Fault Clearance time]]-Table6[[#This Row],[Fault Start TimeStamp]])*24</f>
        <v>6.3000000000000016</v>
      </c>
      <c r="U360" s="35" t="s">
        <v>357</v>
      </c>
      <c r="V360" s="102" t="s">
        <v>293</v>
      </c>
      <c r="W360" s="478">
        <f>IFERROR(Table6[[#This Row],[Breakdown Time]]*Table6[[#This Row],[Plant Equivalent Weightage]],"")</f>
        <v>0.24230769230769231</v>
      </c>
      <c r="X360" s="473" t="s">
        <v>305</v>
      </c>
      <c r="Y360" s="474" t="s">
        <v>325</v>
      </c>
      <c r="Z360" s="102">
        <v>9310</v>
      </c>
      <c r="AA360" s="468">
        <f>(Table6[[#This Row],[Paired WTG Generation for loss calculation]]/24)*Table6[[#This Row],[Breakdown Time]]</f>
        <v>2443.8750000000009</v>
      </c>
      <c r="AB360" s="102"/>
      <c r="AC360" s="35"/>
      <c r="AD360" s="35"/>
    </row>
    <row r="361" spans="1:30">
      <c r="A361" s="102">
        <f t="shared" si="6"/>
        <v>360</v>
      </c>
      <c r="B361" s="468">
        <f>YEAR(Table6[[#This Row],[Date]])+IF(MONTH(Table6[[#This Row],[Date]])&gt;=4,1,0)</f>
        <v>2026</v>
      </c>
      <c r="C361" s="102">
        <f>YEAR(Table6[[#This Row],[Date]])</f>
        <v>2025</v>
      </c>
      <c r="D361" s="102" t="s">
        <v>1992</v>
      </c>
      <c r="E361" s="469">
        <f>Table6[[#This Row],[Date]]-DAY(Table6[[#This Row],[Date]])+1</f>
        <v>45748</v>
      </c>
      <c r="F361" s="470">
        <v>45769</v>
      </c>
      <c r="G361" s="35" t="s">
        <v>74</v>
      </c>
      <c r="H361" s="35" t="str">
        <f>IFERROR(_xlfn.XLOOKUP(Table6[[#This Row],[Affected WTG]],'Basic Data'!$A:$A,'Basic Data'!$B:$B),"")</f>
        <v>TQGXIIPL</v>
      </c>
      <c r="I361" s="35" t="str">
        <f>IFERROR(_xlfn.XLOOKUP(Table6[[#This Row],[Affected WTG]],'Basic Data'!$A:$A,'Basic Data'!$C:$C),"")</f>
        <v>GEDA</v>
      </c>
      <c r="J361" s="471">
        <f>IFERROR(_xlfn.XLOOKUP(Table6[[#This Row],[Affected WTG]],'Basic Data'!$A:$A,'Basic Data'!$E:$E),"")</f>
        <v>3.846153846153845E-2</v>
      </c>
      <c r="K361" s="102">
        <v>3110</v>
      </c>
      <c r="L361" s="35" t="str">
        <f>IFERROR(_xlfn.XLOOKUP(Table6[[#This Row],[Error Code]],'Basic Data'!$AA:$AA,'Basic Data'!$AB:$AB),"Incorrect Error Code")</f>
        <v>Frequency converter error</v>
      </c>
      <c r="M361" s="35" t="s">
        <v>291</v>
      </c>
      <c r="N361" s="475"/>
      <c r="O361" s="476">
        <v>0.65833333333333333</v>
      </c>
      <c r="P361" s="476">
        <v>0.65833333333333333</v>
      </c>
      <c r="Q361" s="477">
        <v>0.66805555555555551</v>
      </c>
      <c r="R361" s="472">
        <f>IF(Table6[[#This Row],[Work Start TimeStamp]]="","",(Table6[[#This Row],[Work Start TimeStamp]]-Table6[[#This Row],[Fault Start TimeStamp]])*24)</f>
        <v>0</v>
      </c>
      <c r="S361" s="472">
        <f>(Table6[[#This Row],[Fault Clearance time]]-Table6[[#This Row],[Work Start TimeStamp]])*24</f>
        <v>0.2333333333333325</v>
      </c>
      <c r="T361" s="472">
        <f>(Table6[[#This Row],[Fault Clearance time]]-Table6[[#This Row],[Fault Start TimeStamp]])*24</f>
        <v>0.2333333333333325</v>
      </c>
      <c r="U361" s="35" t="s">
        <v>349</v>
      </c>
      <c r="V361" s="102" t="s">
        <v>293</v>
      </c>
      <c r="W361" s="478">
        <f>IFERROR(Table6[[#This Row],[Breakdown Time]]*Table6[[#This Row],[Plant Equivalent Weightage]],"")</f>
        <v>8.974358974358939E-3</v>
      </c>
      <c r="X361" s="473" t="s">
        <v>294</v>
      </c>
      <c r="Y361" s="474" t="s">
        <v>321</v>
      </c>
      <c r="Z361" s="102">
        <v>12251</v>
      </c>
      <c r="AA361" s="468">
        <f>(Table6[[#This Row],[Paired WTG Generation for loss calculation]]/24)*Table6[[#This Row],[Breakdown Time]]</f>
        <v>119.10694444444401</v>
      </c>
      <c r="AB361" s="102"/>
      <c r="AC361" s="35"/>
      <c r="AD361" s="35"/>
    </row>
    <row r="362" spans="1:30">
      <c r="A362" s="102">
        <f t="shared" si="6"/>
        <v>361</v>
      </c>
      <c r="B362" s="468">
        <f>YEAR(Table6[[#This Row],[Date]])+IF(MONTH(Table6[[#This Row],[Date]])&gt;=4,1,0)</f>
        <v>2026</v>
      </c>
      <c r="C362" s="102">
        <f>YEAR(Table6[[#This Row],[Date]])</f>
        <v>2025</v>
      </c>
      <c r="D362" s="102" t="s">
        <v>1992</v>
      </c>
      <c r="E362" s="469">
        <f>Table6[[#This Row],[Date]]-DAY(Table6[[#This Row],[Date]])+1</f>
        <v>45748</v>
      </c>
      <c r="F362" s="470">
        <v>45769</v>
      </c>
      <c r="G362" s="35" t="s">
        <v>74</v>
      </c>
      <c r="H362" s="35" t="str">
        <f>IFERROR(_xlfn.XLOOKUP(Table6[[#This Row],[Affected WTG]],'Basic Data'!$A:$A,'Basic Data'!$B:$B),"")</f>
        <v>TQGXIIPL</v>
      </c>
      <c r="I362" s="35" t="str">
        <f>IFERROR(_xlfn.XLOOKUP(Table6[[#This Row],[Affected WTG]],'Basic Data'!$A:$A,'Basic Data'!$C:$C),"")</f>
        <v>GEDA</v>
      </c>
      <c r="J362" s="471">
        <f>IFERROR(_xlfn.XLOOKUP(Table6[[#This Row],[Affected WTG]],'Basic Data'!$A:$A,'Basic Data'!$E:$E),"")</f>
        <v>3.846153846153845E-2</v>
      </c>
      <c r="K362" s="102">
        <v>3110</v>
      </c>
      <c r="L362" s="35" t="str">
        <f>IFERROR(_xlfn.XLOOKUP(Table6[[#This Row],[Error Code]],'Basic Data'!$AA:$AA,'Basic Data'!$AB:$AB),"Incorrect Error Code")</f>
        <v>Frequency converter error</v>
      </c>
      <c r="M362" s="35" t="s">
        <v>291</v>
      </c>
      <c r="N362" s="475"/>
      <c r="O362" s="476">
        <v>0.75624999999999998</v>
      </c>
      <c r="P362" s="476">
        <v>0.78472222222222221</v>
      </c>
      <c r="Q362" s="477">
        <v>0.80763888888888891</v>
      </c>
      <c r="R362" s="472">
        <f>IF(Table6[[#This Row],[Work Start TimeStamp]]="","",(Table6[[#This Row],[Work Start TimeStamp]]-Table6[[#This Row],[Fault Start TimeStamp]])*24)</f>
        <v>0.68333333333333357</v>
      </c>
      <c r="S362" s="472">
        <f>(Table6[[#This Row],[Fault Clearance time]]-Table6[[#This Row],[Work Start TimeStamp]])*24</f>
        <v>0.55000000000000071</v>
      </c>
      <c r="T362" s="472">
        <f>(Table6[[#This Row],[Fault Clearance time]]-Table6[[#This Row],[Fault Start TimeStamp]])*24</f>
        <v>1.2333333333333343</v>
      </c>
      <c r="U362" s="35" t="s">
        <v>1709</v>
      </c>
      <c r="V362" s="102" t="s">
        <v>293</v>
      </c>
      <c r="W362" s="478">
        <f>IFERROR(Table6[[#This Row],[Breakdown Time]]*Table6[[#This Row],[Plant Equivalent Weightage]],"")</f>
        <v>4.7435897435897455E-2</v>
      </c>
      <c r="X362" s="473" t="s">
        <v>294</v>
      </c>
      <c r="Y362" s="474" t="s">
        <v>321</v>
      </c>
      <c r="Z362" s="102">
        <v>12251</v>
      </c>
      <c r="AA362" s="468">
        <f>(Table6[[#This Row],[Paired WTG Generation for loss calculation]]/24)*Table6[[#This Row],[Breakdown Time]]</f>
        <v>629.56527777777819</v>
      </c>
      <c r="AB362" s="102"/>
      <c r="AC362" s="35"/>
      <c r="AD362" s="35"/>
    </row>
    <row r="363" spans="1:30">
      <c r="A363" s="102">
        <f t="shared" si="6"/>
        <v>362</v>
      </c>
      <c r="B363" s="468">
        <f>YEAR(Table6[[#This Row],[Date]])+IF(MONTH(Table6[[#This Row],[Date]])&gt;=4,1,0)</f>
        <v>2026</v>
      </c>
      <c r="C363" s="102">
        <f>YEAR(Table6[[#This Row],[Date]])</f>
        <v>2025</v>
      </c>
      <c r="D363" s="102" t="s">
        <v>1992</v>
      </c>
      <c r="E363" s="469">
        <f>Table6[[#This Row],[Date]]-DAY(Table6[[#This Row],[Date]])+1</f>
        <v>45748</v>
      </c>
      <c r="F363" s="470">
        <v>45769</v>
      </c>
      <c r="G363" s="35" t="s">
        <v>84</v>
      </c>
      <c r="H363" s="35" t="str">
        <f>IFERROR(_xlfn.XLOOKUP(Table6[[#This Row],[Affected WTG]],'Basic Data'!$A:$A,'Basic Data'!$B:$B),"")</f>
        <v>TQGXIIPL</v>
      </c>
      <c r="I363" s="35" t="str">
        <f>IFERROR(_xlfn.XLOOKUP(Table6[[#This Row],[Affected WTG]],'Basic Data'!$A:$A,'Basic Data'!$C:$C),"")</f>
        <v>GEDA</v>
      </c>
      <c r="J363" s="471">
        <f>IFERROR(_xlfn.XLOOKUP(Table6[[#This Row],[Affected WTG]],'Basic Data'!$A:$A,'Basic Data'!$E:$E),"")</f>
        <v>3.846153846153845E-2</v>
      </c>
      <c r="K363" s="102">
        <v>665</v>
      </c>
      <c r="L363" s="35" t="str">
        <f>IFERROR(_xlfn.XLOOKUP(Table6[[#This Row],[Error Code]],'Basic Data'!$AA:$AA,'Basic Data'!$AB:$AB),"Incorrect Error Code")</f>
        <v>Pitch error</v>
      </c>
      <c r="M363" s="35" t="s">
        <v>291</v>
      </c>
      <c r="N363" s="475"/>
      <c r="O363" s="476">
        <v>0</v>
      </c>
      <c r="P363" s="476">
        <v>0</v>
      </c>
      <c r="Q363" s="477">
        <v>2.1527777777777778E-2</v>
      </c>
      <c r="R363" s="472">
        <f>IF(Table6[[#This Row],[Work Start TimeStamp]]="","",(Table6[[#This Row],[Work Start TimeStamp]]-Table6[[#This Row],[Fault Start TimeStamp]])*24)</f>
        <v>0</v>
      </c>
      <c r="S363" s="472">
        <f>(Table6[[#This Row],[Fault Clearance time]]-Table6[[#This Row],[Work Start TimeStamp]])*24</f>
        <v>0.51666666666666661</v>
      </c>
      <c r="T363" s="472">
        <f>(Table6[[#This Row],[Fault Clearance time]]-Table6[[#This Row],[Fault Start TimeStamp]])*24</f>
        <v>0.51666666666666661</v>
      </c>
      <c r="U363" s="35" t="s">
        <v>1710</v>
      </c>
      <c r="V363" s="102" t="s">
        <v>293</v>
      </c>
      <c r="W363" s="478">
        <f>IFERROR(Table6[[#This Row],[Breakdown Time]]*Table6[[#This Row],[Plant Equivalent Weightage]],"")</f>
        <v>1.9871794871794864E-2</v>
      </c>
      <c r="X363" s="473" t="s">
        <v>294</v>
      </c>
      <c r="Y363" s="474" t="s">
        <v>327</v>
      </c>
      <c r="Z363" s="102">
        <v>12585</v>
      </c>
      <c r="AA363" s="468">
        <f>(Table6[[#This Row],[Paired WTG Generation for loss calculation]]/24)*Table6[[#This Row],[Breakdown Time]]</f>
        <v>270.92708333333331</v>
      </c>
      <c r="AB363" s="102"/>
      <c r="AC363" s="35"/>
      <c r="AD363" s="35"/>
    </row>
    <row r="364" spans="1:30">
      <c r="A364" s="102">
        <f t="shared" si="6"/>
        <v>363</v>
      </c>
      <c r="B364" s="468">
        <f>YEAR(Table6[[#This Row],[Date]])+IF(MONTH(Table6[[#This Row],[Date]])&gt;=4,1,0)</f>
        <v>2026</v>
      </c>
      <c r="C364" s="102">
        <f>YEAR(Table6[[#This Row],[Date]])</f>
        <v>2025</v>
      </c>
      <c r="D364" s="102" t="s">
        <v>1992</v>
      </c>
      <c r="E364" s="469">
        <f>Table6[[#This Row],[Date]]-DAY(Table6[[#This Row],[Date]])+1</f>
        <v>45748</v>
      </c>
      <c r="F364" s="470">
        <v>45769</v>
      </c>
      <c r="G364" s="35" t="s">
        <v>84</v>
      </c>
      <c r="H364" s="35" t="str">
        <f>IFERROR(_xlfn.XLOOKUP(Table6[[#This Row],[Affected WTG]],'Basic Data'!$A:$A,'Basic Data'!$B:$B),"")</f>
        <v>TQGXIIPL</v>
      </c>
      <c r="I364" s="35" t="str">
        <f>IFERROR(_xlfn.XLOOKUP(Table6[[#This Row],[Affected WTG]],'Basic Data'!$A:$A,'Basic Data'!$C:$C),"")</f>
        <v>GEDA</v>
      </c>
      <c r="J364" s="471">
        <f>IFERROR(_xlfn.XLOOKUP(Table6[[#This Row],[Affected WTG]],'Basic Data'!$A:$A,'Basic Data'!$E:$E),"")</f>
        <v>3.846153846153845E-2</v>
      </c>
      <c r="K364" s="102">
        <v>665</v>
      </c>
      <c r="L364" s="35" t="str">
        <f>IFERROR(_xlfn.XLOOKUP(Table6[[#This Row],[Error Code]],'Basic Data'!$AA:$AA,'Basic Data'!$AB:$AB),"Incorrect Error Code")</f>
        <v>Pitch error</v>
      </c>
      <c r="M364" s="35" t="s">
        <v>291</v>
      </c>
      <c r="N364" s="475"/>
      <c r="O364" s="476">
        <v>4.2361111111111113E-2</v>
      </c>
      <c r="P364" s="476">
        <v>4.2361111111111113E-2</v>
      </c>
      <c r="Q364" s="477">
        <v>0.21249999999999999</v>
      </c>
      <c r="R364" s="472">
        <f>IF(Table6[[#This Row],[Work Start TimeStamp]]="","",(Table6[[#This Row],[Work Start TimeStamp]]-Table6[[#This Row],[Fault Start TimeStamp]])*24)</f>
        <v>0</v>
      </c>
      <c r="S364" s="472">
        <f>(Table6[[#This Row],[Fault Clearance time]]-Table6[[#This Row],[Work Start TimeStamp]])*24</f>
        <v>4.0833333333333339</v>
      </c>
      <c r="T364" s="472">
        <f>(Table6[[#This Row],[Fault Clearance time]]-Table6[[#This Row],[Fault Start TimeStamp]])*24</f>
        <v>4.0833333333333339</v>
      </c>
      <c r="U364" s="35" t="s">
        <v>1711</v>
      </c>
      <c r="V364" s="102" t="s">
        <v>293</v>
      </c>
      <c r="W364" s="478">
        <f>IFERROR(Table6[[#This Row],[Breakdown Time]]*Table6[[#This Row],[Plant Equivalent Weightage]],"")</f>
        <v>0.15705128205128202</v>
      </c>
      <c r="X364" s="473" t="s">
        <v>294</v>
      </c>
      <c r="Y364" s="474" t="s">
        <v>327</v>
      </c>
      <c r="Z364" s="102">
        <v>12585</v>
      </c>
      <c r="AA364" s="468">
        <f>(Table6[[#This Row],[Paired WTG Generation for loss calculation]]/24)*Table6[[#This Row],[Breakdown Time]]</f>
        <v>2141.197916666667</v>
      </c>
      <c r="AB364" s="102"/>
      <c r="AC364" s="35"/>
      <c r="AD364" s="35"/>
    </row>
    <row r="365" spans="1:30">
      <c r="A365" s="102">
        <f t="shared" si="6"/>
        <v>364</v>
      </c>
      <c r="B365" s="468">
        <f>YEAR(Table6[[#This Row],[Date]])+IF(MONTH(Table6[[#This Row],[Date]])&gt;=4,1,0)</f>
        <v>2026</v>
      </c>
      <c r="C365" s="102">
        <f>YEAR(Table6[[#This Row],[Date]])</f>
        <v>2025</v>
      </c>
      <c r="D365" s="102" t="s">
        <v>1992</v>
      </c>
      <c r="E365" s="469">
        <f>Table6[[#This Row],[Date]]-DAY(Table6[[#This Row],[Date]])+1</f>
        <v>45748</v>
      </c>
      <c r="F365" s="470">
        <v>45769</v>
      </c>
      <c r="G365" s="35" t="s">
        <v>84</v>
      </c>
      <c r="H365" s="35" t="str">
        <f>IFERROR(_xlfn.XLOOKUP(Table6[[#This Row],[Affected WTG]],'Basic Data'!$A:$A,'Basic Data'!$B:$B),"")</f>
        <v>TQGXIIPL</v>
      </c>
      <c r="I365" s="35" t="str">
        <f>IFERROR(_xlfn.XLOOKUP(Table6[[#This Row],[Affected WTG]],'Basic Data'!$A:$A,'Basic Data'!$C:$C),"")</f>
        <v>GEDA</v>
      </c>
      <c r="J365" s="471">
        <f>IFERROR(_xlfn.XLOOKUP(Table6[[#This Row],[Affected WTG]],'Basic Data'!$A:$A,'Basic Data'!$E:$E),"")</f>
        <v>3.846153846153845E-2</v>
      </c>
      <c r="K365" s="102">
        <v>665</v>
      </c>
      <c r="L365" s="35" t="str">
        <f>IFERROR(_xlfn.XLOOKUP(Table6[[#This Row],[Error Code]],'Basic Data'!$AA:$AA,'Basic Data'!$AB:$AB),"Incorrect Error Code")</f>
        <v>Pitch error</v>
      </c>
      <c r="M365" s="35" t="s">
        <v>295</v>
      </c>
      <c r="N365" s="475"/>
      <c r="O365" s="476">
        <v>0.25</v>
      </c>
      <c r="P365" s="476">
        <v>0.25</v>
      </c>
      <c r="Q365" s="477">
        <v>0.99998842592592596</v>
      </c>
      <c r="R365" s="472">
        <f>IF(Table6[[#This Row],[Work Start TimeStamp]]="","",(Table6[[#This Row],[Work Start TimeStamp]]-Table6[[#This Row],[Fault Start TimeStamp]])*24)</f>
        <v>0</v>
      </c>
      <c r="S365" s="472">
        <f>(Table6[[#This Row],[Fault Clearance time]]-Table6[[#This Row],[Work Start TimeStamp]])*24</f>
        <v>17.999722222222225</v>
      </c>
      <c r="T365" s="472">
        <f>(Table6[[#This Row],[Fault Clearance time]]-Table6[[#This Row],[Fault Start TimeStamp]])*24</f>
        <v>17.999722222222225</v>
      </c>
      <c r="U365" s="35" t="s">
        <v>1712</v>
      </c>
      <c r="V365" s="102" t="s">
        <v>338</v>
      </c>
      <c r="W365" s="478">
        <f>IFERROR(Table6[[#This Row],[Breakdown Time]]*Table6[[#This Row],[Plant Equivalent Weightage]],"")</f>
        <v>0.69229700854700849</v>
      </c>
      <c r="X365" s="473" t="s">
        <v>294</v>
      </c>
      <c r="Y365" s="474" t="s">
        <v>327</v>
      </c>
      <c r="Z365" s="102">
        <v>12585</v>
      </c>
      <c r="AA365" s="468">
        <f>(Table6[[#This Row],[Paired WTG Generation for loss calculation]]/24)*Table6[[#This Row],[Breakdown Time]]</f>
        <v>9438.6043402777796</v>
      </c>
      <c r="AB365" s="102"/>
      <c r="AC365" s="35"/>
      <c r="AD365" s="35"/>
    </row>
    <row r="366" spans="1:30">
      <c r="A366" s="102">
        <f t="shared" si="6"/>
        <v>365</v>
      </c>
      <c r="B366" s="468">
        <f>YEAR(Table6[[#This Row],[Date]])+IF(MONTH(Table6[[#This Row],[Date]])&gt;=4,1,0)</f>
        <v>2026</v>
      </c>
      <c r="C366" s="102">
        <f>YEAR(Table6[[#This Row],[Date]])</f>
        <v>2025</v>
      </c>
      <c r="D366" s="102" t="s">
        <v>1992</v>
      </c>
      <c r="E366" s="469">
        <f>Table6[[#This Row],[Date]]-DAY(Table6[[#This Row],[Date]])+1</f>
        <v>45748</v>
      </c>
      <c r="F366" s="470">
        <v>45769</v>
      </c>
      <c r="G366" s="35" t="s">
        <v>95</v>
      </c>
      <c r="H366" s="35" t="str">
        <f>IFERROR(_xlfn.XLOOKUP(Table6[[#This Row],[Affected WTG]],'Basic Data'!$A:$A,'Basic Data'!$B:$B),"")</f>
        <v>TQGXIIPL</v>
      </c>
      <c r="I366" s="35" t="str">
        <f>IFERROR(_xlfn.XLOOKUP(Table6[[#This Row],[Affected WTG]],'Basic Data'!$A:$A,'Basic Data'!$C:$C),"")</f>
        <v>GEDA</v>
      </c>
      <c r="J366" s="471">
        <f>IFERROR(_xlfn.XLOOKUP(Table6[[#This Row],[Affected WTG]],'Basic Data'!$A:$A,'Basic Data'!$E:$E),"")</f>
        <v>3.846153846153845E-2</v>
      </c>
      <c r="K366" s="102">
        <v>6130</v>
      </c>
      <c r="L366" s="35" t="str">
        <f>IFERROR(_xlfn.XLOOKUP(Table6[[#This Row],[Error Code]],'Basic Data'!$AA:$AA,'Basic Data'!$AB:$AB),"Incorrect Error Code")</f>
        <v>Yaw speed high</v>
      </c>
      <c r="M366" s="35" t="s">
        <v>292</v>
      </c>
      <c r="N366" s="475"/>
      <c r="O366" s="476">
        <v>0.54722222222222228</v>
      </c>
      <c r="P366" s="476">
        <v>0.54722222222222228</v>
      </c>
      <c r="Q366" s="477">
        <v>0.55138888888888893</v>
      </c>
      <c r="R366" s="472">
        <f>IF(Table6[[#This Row],[Work Start TimeStamp]]="","",(Table6[[#This Row],[Work Start TimeStamp]]-Table6[[#This Row],[Fault Start TimeStamp]])*24)</f>
        <v>0</v>
      </c>
      <c r="S366" s="472">
        <f>(Table6[[#This Row],[Fault Clearance time]]-Table6[[#This Row],[Work Start TimeStamp]])*24</f>
        <v>9.9999999999999645E-2</v>
      </c>
      <c r="T366" s="472">
        <f>(Table6[[#This Row],[Fault Clearance time]]-Table6[[#This Row],[Fault Start TimeStamp]])*24</f>
        <v>9.9999999999999645E-2</v>
      </c>
      <c r="U366" s="35" t="s">
        <v>336</v>
      </c>
      <c r="V366" s="102" t="s">
        <v>293</v>
      </c>
      <c r="W366" s="478">
        <f>IFERROR(Table6[[#This Row],[Breakdown Time]]*Table6[[#This Row],[Plant Equivalent Weightage]],"")</f>
        <v>3.8461538461538312E-3</v>
      </c>
      <c r="X366" s="473" t="s">
        <v>294</v>
      </c>
      <c r="Y366" s="474" t="s">
        <v>319</v>
      </c>
      <c r="Z366" s="102">
        <v>10599</v>
      </c>
      <c r="AA366" s="468">
        <f>(Table6[[#This Row],[Paired WTG Generation for loss calculation]]/24)*Table6[[#This Row],[Breakdown Time]]</f>
        <v>44.162499999999845</v>
      </c>
      <c r="AB366" s="102"/>
      <c r="AC366" s="35"/>
      <c r="AD366" s="35"/>
    </row>
    <row r="367" spans="1:30">
      <c r="A367" s="102">
        <f t="shared" si="6"/>
        <v>366</v>
      </c>
      <c r="B367" s="468">
        <f>YEAR(Table6[[#This Row],[Date]])+IF(MONTH(Table6[[#This Row],[Date]])&gt;=4,1,0)</f>
        <v>2026</v>
      </c>
      <c r="C367" s="102">
        <f>YEAR(Table6[[#This Row],[Date]])</f>
        <v>2025</v>
      </c>
      <c r="D367" s="102" t="s">
        <v>1992</v>
      </c>
      <c r="E367" s="469">
        <f>Table6[[#This Row],[Date]]-DAY(Table6[[#This Row],[Date]])+1</f>
        <v>45748</v>
      </c>
      <c r="F367" s="470">
        <v>45770</v>
      </c>
      <c r="G367" s="35" t="s">
        <v>81</v>
      </c>
      <c r="H367" s="35" t="str">
        <f>IFERROR(_xlfn.XLOOKUP(Table6[[#This Row],[Affected WTG]],'Basic Data'!$A:$A,'Basic Data'!$B:$B),"")</f>
        <v>TQGXIIPL</v>
      </c>
      <c r="I367" s="35" t="str">
        <f>IFERROR(_xlfn.XLOOKUP(Table6[[#This Row],[Affected WTG]],'Basic Data'!$A:$A,'Basic Data'!$C:$C),"")</f>
        <v>GEDA</v>
      </c>
      <c r="J367" s="471">
        <f>IFERROR(_xlfn.XLOOKUP(Table6[[#This Row],[Affected WTG]],'Basic Data'!$A:$A,'Basic Data'!$E:$E),"")</f>
        <v>3.846153846153845E-2</v>
      </c>
      <c r="K367" s="102">
        <v>4960</v>
      </c>
      <c r="L367" s="35" t="str">
        <f>IFERROR(_xlfn.XLOOKUP(Table6[[#This Row],[Error Code]],'Basic Data'!$AA:$AA,'Basic Data'!$AB:$AB),"Incorrect Error Code")</f>
        <v>Tower oscillation YF</v>
      </c>
      <c r="M367" s="35" t="s">
        <v>291</v>
      </c>
      <c r="N367" s="475"/>
      <c r="O367" s="476">
        <v>0.18611111111111112</v>
      </c>
      <c r="P367" s="476">
        <v>0.18611111111111112</v>
      </c>
      <c r="Q367" s="477">
        <v>0.19722222222222222</v>
      </c>
      <c r="R367" s="472">
        <f>IF(Table6[[#This Row],[Work Start TimeStamp]]="","",(Table6[[#This Row],[Work Start TimeStamp]]-Table6[[#This Row],[Fault Start TimeStamp]])*24)</f>
        <v>0</v>
      </c>
      <c r="S367" s="472">
        <f>(Table6[[#This Row],[Fault Clearance time]]-Table6[[#This Row],[Work Start TimeStamp]])*24</f>
        <v>0.26666666666666639</v>
      </c>
      <c r="T367" s="472">
        <f>(Table6[[#This Row],[Fault Clearance time]]-Table6[[#This Row],[Fault Start TimeStamp]])*24</f>
        <v>0.26666666666666639</v>
      </c>
      <c r="U367" s="35" t="s">
        <v>349</v>
      </c>
      <c r="V367" s="102" t="s">
        <v>293</v>
      </c>
      <c r="W367" s="478">
        <f>IFERROR(Table6[[#This Row],[Breakdown Time]]*Table6[[#This Row],[Plant Equivalent Weightage]],"")</f>
        <v>1.0256410256410243E-2</v>
      </c>
      <c r="X367" s="473" t="s">
        <v>294</v>
      </c>
      <c r="Y367" s="474" t="s">
        <v>321</v>
      </c>
      <c r="Z367" s="102">
        <v>13113</v>
      </c>
      <c r="AA367" s="468">
        <f>(Table6[[#This Row],[Paired WTG Generation for loss calculation]]/24)*Table6[[#This Row],[Breakdown Time]]</f>
        <v>145.69999999999985</v>
      </c>
      <c r="AB367" s="102"/>
      <c r="AC367" s="35"/>
      <c r="AD367" s="35"/>
    </row>
    <row r="368" spans="1:30">
      <c r="A368" s="102">
        <f t="shared" si="6"/>
        <v>367</v>
      </c>
      <c r="B368" s="468">
        <f>YEAR(Table6[[#This Row],[Date]])+IF(MONTH(Table6[[#This Row],[Date]])&gt;=4,1,0)</f>
        <v>2026</v>
      </c>
      <c r="C368" s="102">
        <f>YEAR(Table6[[#This Row],[Date]])</f>
        <v>2025</v>
      </c>
      <c r="D368" s="102" t="s">
        <v>1992</v>
      </c>
      <c r="E368" s="469">
        <f>Table6[[#This Row],[Date]]-DAY(Table6[[#This Row],[Date]])+1</f>
        <v>45748</v>
      </c>
      <c r="F368" s="470">
        <v>45770</v>
      </c>
      <c r="G368" s="35" t="s">
        <v>81</v>
      </c>
      <c r="H368" s="35" t="str">
        <f>IFERROR(_xlfn.XLOOKUP(Table6[[#This Row],[Affected WTG]],'Basic Data'!$A:$A,'Basic Data'!$B:$B),"")</f>
        <v>TQGXIIPL</v>
      </c>
      <c r="I368" s="35" t="str">
        <f>IFERROR(_xlfn.XLOOKUP(Table6[[#This Row],[Affected WTG]],'Basic Data'!$A:$A,'Basic Data'!$C:$C),"")</f>
        <v>GEDA</v>
      </c>
      <c r="J368" s="471">
        <f>IFERROR(_xlfn.XLOOKUP(Table6[[#This Row],[Affected WTG]],'Basic Data'!$A:$A,'Basic Data'!$E:$E),"")</f>
        <v>3.846153846153845E-2</v>
      </c>
      <c r="K368" s="102">
        <v>4960</v>
      </c>
      <c r="L368" s="35" t="str">
        <f>IFERROR(_xlfn.XLOOKUP(Table6[[#This Row],[Error Code]],'Basic Data'!$AA:$AA,'Basic Data'!$AB:$AB),"Incorrect Error Code")</f>
        <v>Tower oscillation YF</v>
      </c>
      <c r="M368" s="35" t="s">
        <v>292</v>
      </c>
      <c r="N368" s="475"/>
      <c r="O368" s="476">
        <v>0.22569444444444445</v>
      </c>
      <c r="P368" s="476">
        <v>0.22569444444444445</v>
      </c>
      <c r="Q368" s="477">
        <v>0.23680555555555555</v>
      </c>
      <c r="R368" s="472">
        <f>IF(Table6[[#This Row],[Work Start TimeStamp]]="","",(Table6[[#This Row],[Work Start TimeStamp]]-Table6[[#This Row],[Fault Start TimeStamp]])*24)</f>
        <v>0</v>
      </c>
      <c r="S368" s="472">
        <f>(Table6[[#This Row],[Fault Clearance time]]-Table6[[#This Row],[Work Start TimeStamp]])*24</f>
        <v>0.26666666666666639</v>
      </c>
      <c r="T368" s="472">
        <f>(Table6[[#This Row],[Fault Clearance time]]-Table6[[#This Row],[Fault Start TimeStamp]])*24</f>
        <v>0.26666666666666639</v>
      </c>
      <c r="U368" s="35" t="s">
        <v>336</v>
      </c>
      <c r="V368" s="102" t="s">
        <v>293</v>
      </c>
      <c r="W368" s="478">
        <f>IFERROR(Table6[[#This Row],[Breakdown Time]]*Table6[[#This Row],[Plant Equivalent Weightage]],"")</f>
        <v>1.0256410256410243E-2</v>
      </c>
      <c r="X368" s="473" t="s">
        <v>294</v>
      </c>
      <c r="Y368" s="474" t="s">
        <v>321</v>
      </c>
      <c r="Z368" s="102">
        <v>13113</v>
      </c>
      <c r="AA368" s="468">
        <f>(Table6[[#This Row],[Paired WTG Generation for loss calculation]]/24)*Table6[[#This Row],[Breakdown Time]]</f>
        <v>145.69999999999985</v>
      </c>
      <c r="AB368" s="102"/>
      <c r="AC368" s="35"/>
      <c r="AD368" s="35"/>
    </row>
    <row r="369" spans="1:30">
      <c r="A369" s="102">
        <f t="shared" si="6"/>
        <v>368</v>
      </c>
      <c r="B369" s="468">
        <f>YEAR(Table6[[#This Row],[Date]])+IF(MONTH(Table6[[#This Row],[Date]])&gt;=4,1,0)</f>
        <v>2026</v>
      </c>
      <c r="C369" s="102">
        <f>YEAR(Table6[[#This Row],[Date]])</f>
        <v>2025</v>
      </c>
      <c r="D369" s="102" t="s">
        <v>1992</v>
      </c>
      <c r="E369" s="469">
        <f>Table6[[#This Row],[Date]]-DAY(Table6[[#This Row],[Date]])+1</f>
        <v>45748</v>
      </c>
      <c r="F369" s="470">
        <v>45770</v>
      </c>
      <c r="G369" s="35" t="s">
        <v>84</v>
      </c>
      <c r="H369" s="35" t="str">
        <f>IFERROR(_xlfn.XLOOKUP(Table6[[#This Row],[Affected WTG]],'Basic Data'!$A:$A,'Basic Data'!$B:$B),"")</f>
        <v>TQGXIIPL</v>
      </c>
      <c r="I369" s="35" t="str">
        <f>IFERROR(_xlfn.XLOOKUP(Table6[[#This Row],[Affected WTG]],'Basic Data'!$A:$A,'Basic Data'!$C:$C),"")</f>
        <v>GEDA</v>
      </c>
      <c r="J369" s="471">
        <f>IFERROR(_xlfn.XLOOKUP(Table6[[#This Row],[Affected WTG]],'Basic Data'!$A:$A,'Basic Data'!$E:$E),"")</f>
        <v>3.846153846153845E-2</v>
      </c>
      <c r="K369" s="102">
        <v>665</v>
      </c>
      <c r="L369" s="35" t="str">
        <f>IFERROR(_xlfn.XLOOKUP(Table6[[#This Row],[Error Code]],'Basic Data'!$AA:$AA,'Basic Data'!$AB:$AB),"Incorrect Error Code")</f>
        <v>Pitch error</v>
      </c>
      <c r="M369" s="35" t="s">
        <v>291</v>
      </c>
      <c r="N369" s="475"/>
      <c r="O369" s="476">
        <v>0</v>
      </c>
      <c r="P369" s="476">
        <v>0</v>
      </c>
      <c r="Q369" s="477">
        <v>0.2326388888888889</v>
      </c>
      <c r="R369" s="472">
        <f>IF(Table6[[#This Row],[Work Start TimeStamp]]="","",(Table6[[#This Row],[Work Start TimeStamp]]-Table6[[#This Row],[Fault Start TimeStamp]])*24)</f>
        <v>0</v>
      </c>
      <c r="S369" s="472">
        <f>(Table6[[#This Row],[Fault Clearance time]]-Table6[[#This Row],[Work Start TimeStamp]])*24</f>
        <v>5.5833333333333339</v>
      </c>
      <c r="T369" s="472">
        <f>(Table6[[#This Row],[Fault Clearance time]]-Table6[[#This Row],[Fault Start TimeStamp]])*24</f>
        <v>5.5833333333333339</v>
      </c>
      <c r="U369" s="35" t="s">
        <v>1716</v>
      </c>
      <c r="V369" s="102" t="s">
        <v>293</v>
      </c>
      <c r="W369" s="478">
        <f>IFERROR(Table6[[#This Row],[Breakdown Time]]*Table6[[#This Row],[Plant Equivalent Weightage]],"")</f>
        <v>0.2147435897435897</v>
      </c>
      <c r="X369" s="473" t="s">
        <v>294</v>
      </c>
      <c r="Y369" s="474" t="s">
        <v>327</v>
      </c>
      <c r="Z369" s="102">
        <v>18749</v>
      </c>
      <c r="AA369" s="468">
        <f>(Table6[[#This Row],[Paired WTG Generation for loss calculation]]/24)*Table6[[#This Row],[Breakdown Time]]</f>
        <v>4361.7465277777783</v>
      </c>
      <c r="AB369" s="102"/>
      <c r="AC369" s="35"/>
      <c r="AD369" s="35"/>
    </row>
    <row r="370" spans="1:30">
      <c r="A370" s="102">
        <f t="shared" si="6"/>
        <v>369</v>
      </c>
      <c r="B370" s="468">
        <f>YEAR(Table6[[#This Row],[Date]])+IF(MONTH(Table6[[#This Row],[Date]])&gt;=4,1,0)</f>
        <v>2026</v>
      </c>
      <c r="C370" s="102">
        <f>YEAR(Table6[[#This Row],[Date]])</f>
        <v>2025</v>
      </c>
      <c r="D370" s="102" t="s">
        <v>1992</v>
      </c>
      <c r="E370" s="469">
        <f>Table6[[#This Row],[Date]]-DAY(Table6[[#This Row],[Date]])+1</f>
        <v>45748</v>
      </c>
      <c r="F370" s="470">
        <v>45770</v>
      </c>
      <c r="G370" s="35" t="s">
        <v>84</v>
      </c>
      <c r="H370" s="35" t="str">
        <f>IFERROR(_xlfn.XLOOKUP(Table6[[#This Row],[Affected WTG]],'Basic Data'!$A:$A,'Basic Data'!$B:$B),"")</f>
        <v>TQGXIIPL</v>
      </c>
      <c r="I370" s="35" t="str">
        <f>IFERROR(_xlfn.XLOOKUP(Table6[[#This Row],[Affected WTG]],'Basic Data'!$A:$A,'Basic Data'!$C:$C),"")</f>
        <v>GEDA</v>
      </c>
      <c r="J370" s="471">
        <f>IFERROR(_xlfn.XLOOKUP(Table6[[#This Row],[Affected WTG]],'Basic Data'!$A:$A,'Basic Data'!$E:$E),"")</f>
        <v>3.846153846153845E-2</v>
      </c>
      <c r="K370" s="102">
        <v>665</v>
      </c>
      <c r="L370" s="35" t="str">
        <f>IFERROR(_xlfn.XLOOKUP(Table6[[#This Row],[Error Code]],'Basic Data'!$AA:$AA,'Basic Data'!$AB:$AB),"Incorrect Error Code")</f>
        <v>Pitch error</v>
      </c>
      <c r="M370" s="35" t="s">
        <v>291</v>
      </c>
      <c r="N370" s="475"/>
      <c r="O370" s="476">
        <v>0.4375</v>
      </c>
      <c r="P370" s="476">
        <v>0.48402777777777778</v>
      </c>
      <c r="Q370" s="477">
        <v>0.64930555555555558</v>
      </c>
      <c r="R370" s="472">
        <f>IF(Table6[[#This Row],[Work Start TimeStamp]]="","",(Table6[[#This Row],[Work Start TimeStamp]]-Table6[[#This Row],[Fault Start TimeStamp]])*24)</f>
        <v>1.1166666666666667</v>
      </c>
      <c r="S370" s="472">
        <f>(Table6[[#This Row],[Fault Clearance time]]-Table6[[#This Row],[Work Start TimeStamp]])*24</f>
        <v>3.9666666666666672</v>
      </c>
      <c r="T370" s="472">
        <f>(Table6[[#This Row],[Fault Clearance time]]-Table6[[#This Row],[Fault Start TimeStamp]])*24</f>
        <v>5.0833333333333339</v>
      </c>
      <c r="U370" s="35" t="s">
        <v>1717</v>
      </c>
      <c r="V370" s="102" t="s">
        <v>293</v>
      </c>
      <c r="W370" s="478">
        <f>IFERROR(Table6[[#This Row],[Breakdown Time]]*Table6[[#This Row],[Plant Equivalent Weightage]],"")</f>
        <v>0.19551282051282048</v>
      </c>
      <c r="X370" s="473" t="s">
        <v>294</v>
      </c>
      <c r="Y370" s="474" t="s">
        <v>327</v>
      </c>
      <c r="Z370" s="102">
        <v>18749</v>
      </c>
      <c r="AA370" s="468">
        <f>(Table6[[#This Row],[Paired WTG Generation for loss calculation]]/24)*Table6[[#This Row],[Breakdown Time]]</f>
        <v>3971.1423611111118</v>
      </c>
      <c r="AB370" s="102"/>
      <c r="AC370" s="35"/>
      <c r="AD370" s="35"/>
    </row>
    <row r="371" spans="1:30">
      <c r="A371" s="102">
        <f t="shared" si="6"/>
        <v>370</v>
      </c>
      <c r="B371" s="468">
        <f>YEAR(Table6[[#This Row],[Date]])+IF(MONTH(Table6[[#This Row],[Date]])&gt;=4,1,0)</f>
        <v>2026</v>
      </c>
      <c r="C371" s="102">
        <f>YEAR(Table6[[#This Row],[Date]])</f>
        <v>2025</v>
      </c>
      <c r="D371" s="102" t="s">
        <v>1992</v>
      </c>
      <c r="E371" s="469">
        <f>Table6[[#This Row],[Date]]-DAY(Table6[[#This Row],[Date]])+1</f>
        <v>45748</v>
      </c>
      <c r="F371" s="470">
        <v>45770</v>
      </c>
      <c r="G371" s="35" t="s">
        <v>91</v>
      </c>
      <c r="H371" s="35" t="str">
        <f>IFERROR(_xlfn.XLOOKUP(Table6[[#This Row],[Affected WTG]],'Basic Data'!$A:$A,'Basic Data'!$B:$B),"")</f>
        <v>TQGXIIPL</v>
      </c>
      <c r="I371" s="35" t="str">
        <f>IFERROR(_xlfn.XLOOKUP(Table6[[#This Row],[Affected WTG]],'Basic Data'!$A:$A,'Basic Data'!$C:$C),"")</f>
        <v>GEDA</v>
      </c>
      <c r="J371" s="471">
        <f>IFERROR(_xlfn.XLOOKUP(Table6[[#This Row],[Affected WTG]],'Basic Data'!$A:$A,'Basic Data'!$E:$E),"")</f>
        <v>3.846153846153845E-2</v>
      </c>
      <c r="K371" s="102">
        <v>55</v>
      </c>
      <c r="L371" s="35" t="str">
        <f>IFERROR(_xlfn.XLOOKUP(Table6[[#This Row],[Error Code]],'Basic Data'!$AA:$AA,'Basic Data'!$AB:$AB),"Incorrect Error Code")</f>
        <v>WTG shut down</v>
      </c>
      <c r="M371" s="35" t="s">
        <v>295</v>
      </c>
      <c r="N371" s="475"/>
      <c r="O371" s="476">
        <v>0.40416666666666667</v>
      </c>
      <c r="P371" s="476">
        <v>0.40416666666666667</v>
      </c>
      <c r="Q371" s="477">
        <v>0.76458333333333328</v>
      </c>
      <c r="R371" s="472">
        <f>IF(Table6[[#This Row],[Work Start TimeStamp]]="","",(Table6[[#This Row],[Work Start TimeStamp]]-Table6[[#This Row],[Fault Start TimeStamp]])*24)</f>
        <v>0</v>
      </c>
      <c r="S371" s="472">
        <f>(Table6[[#This Row],[Fault Clearance time]]-Table6[[#This Row],[Work Start TimeStamp]])*24</f>
        <v>8.6499999999999986</v>
      </c>
      <c r="T371" s="472">
        <f>(Table6[[#This Row],[Fault Clearance time]]-Table6[[#This Row],[Fault Start TimeStamp]])*24</f>
        <v>8.6499999999999986</v>
      </c>
      <c r="U371" s="35" t="s">
        <v>1718</v>
      </c>
      <c r="V371" s="102" t="s">
        <v>293</v>
      </c>
      <c r="W371" s="478">
        <f>IFERROR(Table6[[#This Row],[Breakdown Time]]*Table6[[#This Row],[Plant Equivalent Weightage]],"")</f>
        <v>0.33269230769230751</v>
      </c>
      <c r="X371" s="473" t="s">
        <v>290</v>
      </c>
      <c r="Y371" s="474" t="s">
        <v>319</v>
      </c>
      <c r="Z371" s="102">
        <v>18174</v>
      </c>
      <c r="AA371" s="468">
        <f>(Table6[[#This Row],[Paired WTG Generation for loss calculation]]/24)*Table6[[#This Row],[Breakdown Time]]</f>
        <v>6550.2124999999987</v>
      </c>
      <c r="AB371" s="102"/>
      <c r="AC371" s="35"/>
      <c r="AD371" s="35"/>
    </row>
    <row r="372" spans="1:30">
      <c r="A372" s="102">
        <f t="shared" si="6"/>
        <v>371</v>
      </c>
      <c r="B372" s="468">
        <f>YEAR(Table6[[#This Row],[Date]])+IF(MONTH(Table6[[#This Row],[Date]])&gt;=4,1,0)</f>
        <v>2026</v>
      </c>
      <c r="C372" s="102">
        <f>YEAR(Table6[[#This Row],[Date]])</f>
        <v>2025</v>
      </c>
      <c r="D372" s="102" t="s">
        <v>1992</v>
      </c>
      <c r="E372" s="469">
        <f>Table6[[#This Row],[Date]]-DAY(Table6[[#This Row],[Date]])+1</f>
        <v>45748</v>
      </c>
      <c r="F372" s="470">
        <v>45771</v>
      </c>
      <c r="G372" s="35" t="s">
        <v>90</v>
      </c>
      <c r="H372" s="35" t="str">
        <f>IFERROR(_xlfn.XLOOKUP(Table6[[#This Row],[Affected WTG]],'Basic Data'!$A:$A,'Basic Data'!$B:$B),"")</f>
        <v>TQGXIIPL</v>
      </c>
      <c r="I372" s="35" t="str">
        <f>IFERROR(_xlfn.XLOOKUP(Table6[[#This Row],[Affected WTG]],'Basic Data'!$A:$A,'Basic Data'!$C:$C),"")</f>
        <v>GEDA</v>
      </c>
      <c r="J372" s="471">
        <f>IFERROR(_xlfn.XLOOKUP(Table6[[#This Row],[Affected WTG]],'Basic Data'!$A:$A,'Basic Data'!$E:$E),"")</f>
        <v>3.846153846153845E-2</v>
      </c>
      <c r="K372" s="102">
        <v>55</v>
      </c>
      <c r="L372" s="35" t="str">
        <f>IFERROR(_xlfn.XLOOKUP(Table6[[#This Row],[Error Code]],'Basic Data'!$AA:$AA,'Basic Data'!$AB:$AB),"Incorrect Error Code")</f>
        <v>WTG shut down</v>
      </c>
      <c r="M372" s="35" t="s">
        <v>295</v>
      </c>
      <c r="N372" s="475"/>
      <c r="O372" s="476">
        <v>0.47222222222222221</v>
      </c>
      <c r="P372" s="476">
        <v>0.47222222222222221</v>
      </c>
      <c r="Q372" s="477">
        <v>0.77638888888888891</v>
      </c>
      <c r="R372" s="472">
        <f>IF(Table6[[#This Row],[Work Start TimeStamp]]="","",(Table6[[#This Row],[Work Start TimeStamp]]-Table6[[#This Row],[Fault Start TimeStamp]])*24)</f>
        <v>0</v>
      </c>
      <c r="S372" s="472">
        <f>(Table6[[#This Row],[Fault Clearance time]]-Table6[[#This Row],[Work Start TimeStamp]])*24</f>
        <v>7.3000000000000007</v>
      </c>
      <c r="T372" s="472">
        <f>(Table6[[#This Row],[Fault Clearance time]]-Table6[[#This Row],[Fault Start TimeStamp]])*24</f>
        <v>7.3000000000000007</v>
      </c>
      <c r="U372" s="35" t="s">
        <v>1719</v>
      </c>
      <c r="V372" s="102" t="s">
        <v>293</v>
      </c>
      <c r="W372" s="478">
        <f>IFERROR(Table6[[#This Row],[Breakdown Time]]*Table6[[#This Row],[Plant Equivalent Weightage]],"")</f>
        <v>0.28076923076923072</v>
      </c>
      <c r="X372" s="473" t="s">
        <v>290</v>
      </c>
      <c r="Y372" s="474" t="s">
        <v>339</v>
      </c>
      <c r="Z372" s="102">
        <v>20201</v>
      </c>
      <c r="AA372" s="468">
        <f>(Table6[[#This Row],[Paired WTG Generation for loss calculation]]/24)*Table6[[#This Row],[Breakdown Time]]</f>
        <v>6144.4708333333338</v>
      </c>
      <c r="AB372" s="102"/>
      <c r="AC372" s="35"/>
      <c r="AD372" s="35"/>
    </row>
    <row r="373" spans="1:30">
      <c r="A373" s="102">
        <f t="shared" si="6"/>
        <v>372</v>
      </c>
      <c r="B373" s="468">
        <f>YEAR(Table6[[#This Row],[Date]])+IF(MONTH(Table6[[#This Row],[Date]])&gt;=4,1,0)</f>
        <v>2026</v>
      </c>
      <c r="C373" s="102">
        <f>YEAR(Table6[[#This Row],[Date]])</f>
        <v>2025</v>
      </c>
      <c r="D373" s="102" t="s">
        <v>1992</v>
      </c>
      <c r="E373" s="469">
        <f>Table6[[#This Row],[Date]]-DAY(Table6[[#This Row],[Date]])+1</f>
        <v>45748</v>
      </c>
      <c r="F373" s="470">
        <v>45771</v>
      </c>
      <c r="G373" s="35" t="s">
        <v>91</v>
      </c>
      <c r="H373" s="35" t="str">
        <f>IFERROR(_xlfn.XLOOKUP(Table6[[#This Row],[Affected WTG]],'Basic Data'!$A:$A,'Basic Data'!$B:$B),"")</f>
        <v>TQGXIIPL</v>
      </c>
      <c r="I373" s="35" t="str">
        <f>IFERROR(_xlfn.XLOOKUP(Table6[[#This Row],[Affected WTG]],'Basic Data'!$A:$A,'Basic Data'!$C:$C),"")</f>
        <v>GEDA</v>
      </c>
      <c r="J373" s="471">
        <f>IFERROR(_xlfn.XLOOKUP(Table6[[#This Row],[Affected WTG]],'Basic Data'!$A:$A,'Basic Data'!$E:$E),"")</f>
        <v>3.846153846153845E-2</v>
      </c>
      <c r="K373" s="102">
        <v>55</v>
      </c>
      <c r="L373" s="35" t="str">
        <f>IFERROR(_xlfn.XLOOKUP(Table6[[#This Row],[Error Code]],'Basic Data'!$AA:$AA,'Basic Data'!$AB:$AB),"Incorrect Error Code")</f>
        <v>WTG shut down</v>
      </c>
      <c r="M373" s="35" t="s">
        <v>295</v>
      </c>
      <c r="N373" s="475"/>
      <c r="O373" s="476">
        <v>0.38472222222222224</v>
      </c>
      <c r="P373" s="476">
        <v>0.38472222222222224</v>
      </c>
      <c r="Q373" s="477">
        <v>0.69027777777777777</v>
      </c>
      <c r="R373" s="472">
        <f>IF(Table6[[#This Row],[Work Start TimeStamp]]="","",(Table6[[#This Row],[Work Start TimeStamp]]-Table6[[#This Row],[Fault Start TimeStamp]])*24)</f>
        <v>0</v>
      </c>
      <c r="S373" s="472">
        <f>(Table6[[#This Row],[Fault Clearance time]]-Table6[[#This Row],[Work Start TimeStamp]])*24</f>
        <v>7.3333333333333321</v>
      </c>
      <c r="T373" s="472">
        <f>(Table6[[#This Row],[Fault Clearance time]]-Table6[[#This Row],[Fault Start TimeStamp]])*24</f>
        <v>7.3333333333333321</v>
      </c>
      <c r="U373" s="35" t="s">
        <v>1720</v>
      </c>
      <c r="V373" s="102" t="s">
        <v>293</v>
      </c>
      <c r="W373" s="478">
        <f>IFERROR(Table6[[#This Row],[Breakdown Time]]*Table6[[#This Row],[Plant Equivalent Weightage]],"")</f>
        <v>0.28205128205128194</v>
      </c>
      <c r="X373" s="473" t="s">
        <v>290</v>
      </c>
      <c r="Y373" s="474" t="s">
        <v>319</v>
      </c>
      <c r="Z373" s="102">
        <v>18405</v>
      </c>
      <c r="AA373" s="468">
        <f>(Table6[[#This Row],[Paired WTG Generation for loss calculation]]/24)*Table6[[#This Row],[Breakdown Time]]</f>
        <v>5623.7499999999991</v>
      </c>
      <c r="AB373" s="102"/>
      <c r="AC373" s="35"/>
      <c r="AD373" s="35"/>
    </row>
    <row r="374" spans="1:30">
      <c r="A374" s="102">
        <f t="shared" si="6"/>
        <v>373</v>
      </c>
      <c r="B374" s="468">
        <f>YEAR(Table6[[#This Row],[Date]])+IF(MONTH(Table6[[#This Row],[Date]])&gt;=4,1,0)</f>
        <v>2026</v>
      </c>
      <c r="C374" s="102">
        <f>YEAR(Table6[[#This Row],[Date]])</f>
        <v>2025</v>
      </c>
      <c r="D374" s="102" t="s">
        <v>1992</v>
      </c>
      <c r="E374" s="469">
        <f>Table6[[#This Row],[Date]]-DAY(Table6[[#This Row],[Date]])+1</f>
        <v>45748</v>
      </c>
      <c r="F374" s="470">
        <v>45771</v>
      </c>
      <c r="G374" s="35" t="s">
        <v>96</v>
      </c>
      <c r="H374" s="35" t="str">
        <f>IFERROR(_xlfn.XLOOKUP(Table6[[#This Row],[Affected WTG]],'Basic Data'!$A:$A,'Basic Data'!$B:$B),"")</f>
        <v>TQGXIIPL</v>
      </c>
      <c r="I374" s="35" t="str">
        <f>IFERROR(_xlfn.XLOOKUP(Table6[[#This Row],[Affected WTG]],'Basic Data'!$A:$A,'Basic Data'!$C:$C),"")</f>
        <v>GEDA</v>
      </c>
      <c r="J374" s="471">
        <f>IFERROR(_xlfn.XLOOKUP(Table6[[#This Row],[Affected WTG]],'Basic Data'!$A:$A,'Basic Data'!$E:$E),"")</f>
        <v>3.846153846153845E-2</v>
      </c>
      <c r="K374" s="102">
        <v>3211</v>
      </c>
      <c r="L374" s="35" t="str">
        <f>IFERROR(_xlfn.XLOOKUP(Table6[[#This Row],[Error Code]],'Basic Data'!$AA:$AA,'Basic Data'!$AB:$AB),"Incorrect Error Code")</f>
        <v>Conv. load shedding (CAN)</v>
      </c>
      <c r="M374" s="35" t="s">
        <v>291</v>
      </c>
      <c r="N374" s="475"/>
      <c r="O374" s="476">
        <v>0.69652777777777775</v>
      </c>
      <c r="P374" s="476">
        <v>0.69652777777777775</v>
      </c>
      <c r="Q374" s="477">
        <v>0.69861111111111107</v>
      </c>
      <c r="R374" s="472">
        <f>IF(Table6[[#This Row],[Work Start TimeStamp]]="","",(Table6[[#This Row],[Work Start TimeStamp]]-Table6[[#This Row],[Fault Start TimeStamp]])*24)</f>
        <v>0</v>
      </c>
      <c r="S374" s="472">
        <f>(Table6[[#This Row],[Fault Clearance time]]-Table6[[#This Row],[Work Start TimeStamp]])*24</f>
        <v>4.9999999999999822E-2</v>
      </c>
      <c r="T374" s="472">
        <f>(Table6[[#This Row],[Fault Clearance time]]-Table6[[#This Row],[Fault Start TimeStamp]])*24</f>
        <v>4.9999999999999822E-2</v>
      </c>
      <c r="U374" s="35" t="s">
        <v>349</v>
      </c>
      <c r="V374" s="102" t="s">
        <v>293</v>
      </c>
      <c r="W374" s="478">
        <f>IFERROR(Table6[[#This Row],[Breakdown Time]]*Table6[[#This Row],[Plant Equivalent Weightage]],"")</f>
        <v>1.9230769230769156E-3</v>
      </c>
      <c r="X374" s="473" t="s">
        <v>294</v>
      </c>
      <c r="Y374" s="474" t="s">
        <v>313</v>
      </c>
      <c r="Z374" s="102">
        <v>16559</v>
      </c>
      <c r="AA374" s="468">
        <f>(Table6[[#This Row],[Paired WTG Generation for loss calculation]]/24)*Table6[[#This Row],[Breakdown Time]]</f>
        <v>34.497916666666548</v>
      </c>
      <c r="AB374" s="102"/>
      <c r="AC374" s="35"/>
      <c r="AD374" s="35"/>
    </row>
    <row r="375" spans="1:30">
      <c r="A375" s="102">
        <f t="shared" si="6"/>
        <v>374</v>
      </c>
      <c r="B375" s="468">
        <f>YEAR(Table6[[#This Row],[Date]])+IF(MONTH(Table6[[#This Row],[Date]])&gt;=4,1,0)</f>
        <v>2026</v>
      </c>
      <c r="C375" s="102">
        <f>YEAR(Table6[[#This Row],[Date]])</f>
        <v>2025</v>
      </c>
      <c r="D375" s="102" t="s">
        <v>1992</v>
      </c>
      <c r="E375" s="469">
        <f>Table6[[#This Row],[Date]]-DAY(Table6[[#This Row],[Date]])+1</f>
        <v>45748</v>
      </c>
      <c r="F375" s="470">
        <v>45771</v>
      </c>
      <c r="G375" s="35" t="s">
        <v>97</v>
      </c>
      <c r="H375" s="35" t="str">
        <f>IFERROR(_xlfn.XLOOKUP(Table6[[#This Row],[Affected WTG]],'Basic Data'!$A:$A,'Basic Data'!$B:$B),"")</f>
        <v>TQGXIIPL</v>
      </c>
      <c r="I375" s="35" t="str">
        <f>IFERROR(_xlfn.XLOOKUP(Table6[[#This Row],[Affected WTG]],'Basic Data'!$A:$A,'Basic Data'!$C:$C),"")</f>
        <v>GEDA</v>
      </c>
      <c r="J375" s="471">
        <f>IFERROR(_xlfn.XLOOKUP(Table6[[#This Row],[Affected WTG]],'Basic Data'!$A:$A,'Basic Data'!$E:$E),"")</f>
        <v>3.846153846153845E-2</v>
      </c>
      <c r="K375" s="102">
        <v>6130</v>
      </c>
      <c r="L375" s="35" t="str">
        <f>IFERROR(_xlfn.XLOOKUP(Table6[[#This Row],[Error Code]],'Basic Data'!$AA:$AA,'Basic Data'!$AB:$AB),"Incorrect Error Code")</f>
        <v>Yaw speed high</v>
      </c>
      <c r="M375" s="35" t="s">
        <v>292</v>
      </c>
      <c r="N375" s="475"/>
      <c r="O375" s="476">
        <v>0.57499999999999996</v>
      </c>
      <c r="P375" s="476">
        <v>0.57499999999999996</v>
      </c>
      <c r="Q375" s="477">
        <v>0.57916666666666672</v>
      </c>
      <c r="R375" s="472">
        <f>IF(Table6[[#This Row],[Work Start TimeStamp]]="","",(Table6[[#This Row],[Work Start TimeStamp]]-Table6[[#This Row],[Fault Start TimeStamp]])*24)</f>
        <v>0</v>
      </c>
      <c r="S375" s="472">
        <f>(Table6[[#This Row],[Fault Clearance time]]-Table6[[#This Row],[Work Start TimeStamp]])*24</f>
        <v>0.10000000000000231</v>
      </c>
      <c r="T375" s="472">
        <f>(Table6[[#This Row],[Fault Clearance time]]-Table6[[#This Row],[Fault Start TimeStamp]])*24</f>
        <v>0.10000000000000231</v>
      </c>
      <c r="U375" s="35" t="s">
        <v>336</v>
      </c>
      <c r="V375" s="102" t="s">
        <v>293</v>
      </c>
      <c r="W375" s="478">
        <f>IFERROR(Table6[[#This Row],[Breakdown Time]]*Table6[[#This Row],[Plant Equivalent Weightage]],"")</f>
        <v>3.846153846153934E-3</v>
      </c>
      <c r="X375" s="473" t="s">
        <v>294</v>
      </c>
      <c r="Y375" s="474" t="s">
        <v>320</v>
      </c>
      <c r="Z375" s="102">
        <v>18458</v>
      </c>
      <c r="AA375" s="468">
        <f>(Table6[[#This Row],[Paired WTG Generation for loss calculation]]/24)*Table6[[#This Row],[Breakdown Time]]</f>
        <v>76.908333333335108</v>
      </c>
      <c r="AB375" s="102"/>
      <c r="AC375" s="35"/>
      <c r="AD375" s="35"/>
    </row>
    <row r="376" spans="1:30">
      <c r="A376" s="102">
        <f t="shared" si="6"/>
        <v>375</v>
      </c>
      <c r="B376" s="468">
        <f>YEAR(Table6[[#This Row],[Date]])+IF(MONTH(Table6[[#This Row],[Date]])&gt;=4,1,0)</f>
        <v>2026</v>
      </c>
      <c r="C376" s="102">
        <f>YEAR(Table6[[#This Row],[Date]])</f>
        <v>2025</v>
      </c>
      <c r="D376" s="102" t="s">
        <v>1992</v>
      </c>
      <c r="E376" s="469">
        <f>Table6[[#This Row],[Date]]-DAY(Table6[[#This Row],[Date]])+1</f>
        <v>45748</v>
      </c>
      <c r="F376" s="470">
        <v>45772</v>
      </c>
      <c r="G376" s="35" t="s">
        <v>76</v>
      </c>
      <c r="H376" s="35" t="str">
        <f>IFERROR(_xlfn.XLOOKUP(Table6[[#This Row],[Affected WTG]],'Basic Data'!$A:$A,'Basic Data'!$B:$B),"")</f>
        <v>TQGXIIPL</v>
      </c>
      <c r="I376" s="35" t="str">
        <f>IFERROR(_xlfn.XLOOKUP(Table6[[#This Row],[Affected WTG]],'Basic Data'!$A:$A,'Basic Data'!$C:$C),"")</f>
        <v>GEDA</v>
      </c>
      <c r="J376" s="471">
        <f>IFERROR(_xlfn.XLOOKUP(Table6[[#This Row],[Affected WTG]],'Basic Data'!$A:$A,'Basic Data'!$E:$E),"")</f>
        <v>3.846153846153845E-2</v>
      </c>
      <c r="K376" s="102">
        <v>175</v>
      </c>
      <c r="L376" s="35" t="str">
        <f>IFERROR(_xlfn.XLOOKUP(Table6[[#This Row],[Error Code]],'Basic Data'!$AA:$AA,'Basic Data'!$AB:$AB),"Incorrect Error Code")</f>
        <v>SLC error</v>
      </c>
      <c r="M376" s="35" t="s">
        <v>291</v>
      </c>
      <c r="N376" s="475"/>
      <c r="O376" s="476">
        <v>0.78402777777777777</v>
      </c>
      <c r="P376" s="476">
        <v>0.78402777777777777</v>
      </c>
      <c r="Q376" s="477">
        <v>0.80972222222222223</v>
      </c>
      <c r="R376" s="472">
        <f>IF(Table6[[#This Row],[Work Start TimeStamp]]="","",(Table6[[#This Row],[Work Start TimeStamp]]-Table6[[#This Row],[Fault Start TimeStamp]])*24)</f>
        <v>0</v>
      </c>
      <c r="S376" s="472">
        <f>(Table6[[#This Row],[Fault Clearance time]]-Table6[[#This Row],[Work Start TimeStamp]])*24</f>
        <v>0.61666666666666714</v>
      </c>
      <c r="T376" s="472">
        <f>(Table6[[#This Row],[Fault Clearance time]]-Table6[[#This Row],[Fault Start TimeStamp]])*24</f>
        <v>0.61666666666666714</v>
      </c>
      <c r="U376" s="35" t="s">
        <v>1721</v>
      </c>
      <c r="V376" s="102" t="s">
        <v>293</v>
      </c>
      <c r="W376" s="478">
        <f>IFERROR(Table6[[#This Row],[Breakdown Time]]*Table6[[#This Row],[Plant Equivalent Weightage]],"")</f>
        <v>2.3717948717948727E-2</v>
      </c>
      <c r="X376" s="473" t="s">
        <v>294</v>
      </c>
      <c r="Y376" s="474" t="s">
        <v>309</v>
      </c>
      <c r="Z376" s="102">
        <v>23355</v>
      </c>
      <c r="AA376" s="468">
        <f>(Table6[[#This Row],[Paired WTG Generation for loss calculation]]/24)*Table6[[#This Row],[Breakdown Time]]</f>
        <v>600.09375000000045</v>
      </c>
      <c r="AB376" s="102"/>
      <c r="AC376" s="35"/>
      <c r="AD376" s="35"/>
    </row>
    <row r="377" spans="1:30">
      <c r="A377" s="102">
        <f t="shared" si="6"/>
        <v>376</v>
      </c>
      <c r="B377" s="468">
        <f>YEAR(Table6[[#This Row],[Date]])+IF(MONTH(Table6[[#This Row],[Date]])&gt;=4,1,0)</f>
        <v>2026</v>
      </c>
      <c r="C377" s="102">
        <f>YEAR(Table6[[#This Row],[Date]])</f>
        <v>2025</v>
      </c>
      <c r="D377" s="102" t="s">
        <v>1992</v>
      </c>
      <c r="E377" s="469">
        <f>Table6[[#This Row],[Date]]-DAY(Table6[[#This Row],[Date]])+1</f>
        <v>45748</v>
      </c>
      <c r="F377" s="470">
        <v>45772</v>
      </c>
      <c r="G377" s="35" t="s">
        <v>77</v>
      </c>
      <c r="H377" s="35" t="str">
        <f>IFERROR(_xlfn.XLOOKUP(Table6[[#This Row],[Affected WTG]],'Basic Data'!$A:$A,'Basic Data'!$B:$B),"")</f>
        <v>TQGXIIPL</v>
      </c>
      <c r="I377" s="35" t="str">
        <f>IFERROR(_xlfn.XLOOKUP(Table6[[#This Row],[Affected WTG]],'Basic Data'!$A:$A,'Basic Data'!$C:$C),"")</f>
        <v>GEDA</v>
      </c>
      <c r="J377" s="471">
        <f>IFERROR(_xlfn.XLOOKUP(Table6[[#This Row],[Affected WTG]],'Basic Data'!$A:$A,'Basic Data'!$E:$E),"")</f>
        <v>3.846153846153845E-2</v>
      </c>
      <c r="K377" s="102">
        <v>630</v>
      </c>
      <c r="L377" s="35" t="str">
        <f>IFERROR(_xlfn.XLOOKUP(Table6[[#This Row],[Error Code]],'Basic Data'!$AA:$AA,'Basic Data'!$AB:$AB),"Incorrect Error Code")</f>
        <v>Overload fan pitch motor</v>
      </c>
      <c r="M377" s="35" t="s">
        <v>291</v>
      </c>
      <c r="N377" s="475"/>
      <c r="O377" s="476">
        <v>1.9444444444444445E-2</v>
      </c>
      <c r="P377" s="476">
        <v>7.0833333333333331E-2</v>
      </c>
      <c r="Q377" s="477">
        <v>0.125</v>
      </c>
      <c r="R377" s="472">
        <f>IF(Table6[[#This Row],[Work Start TimeStamp]]="","",(Table6[[#This Row],[Work Start TimeStamp]]-Table6[[#This Row],[Fault Start TimeStamp]])*24)</f>
        <v>1.2333333333333334</v>
      </c>
      <c r="S377" s="472">
        <f>(Table6[[#This Row],[Fault Clearance time]]-Table6[[#This Row],[Work Start TimeStamp]])*24</f>
        <v>1.3</v>
      </c>
      <c r="T377" s="472">
        <f>(Table6[[#This Row],[Fault Clearance time]]-Table6[[#This Row],[Fault Start TimeStamp]])*24</f>
        <v>2.5333333333333332</v>
      </c>
      <c r="U377" s="35" t="s">
        <v>1722</v>
      </c>
      <c r="V377" s="102" t="s">
        <v>293</v>
      </c>
      <c r="W377" s="478">
        <f>IFERROR(Table6[[#This Row],[Breakdown Time]]*Table6[[#This Row],[Plant Equivalent Weightage]],"")</f>
        <v>9.7435897435897395E-2</v>
      </c>
      <c r="X377" s="473" t="s">
        <v>294</v>
      </c>
      <c r="Y377" s="474" t="s">
        <v>310</v>
      </c>
      <c r="Z377" s="102">
        <v>25522</v>
      </c>
      <c r="AA377" s="468">
        <f>(Table6[[#This Row],[Paired WTG Generation for loss calculation]]/24)*Table6[[#This Row],[Breakdown Time]]</f>
        <v>2693.9888888888891</v>
      </c>
      <c r="AB377" s="102"/>
      <c r="AC377" s="35"/>
      <c r="AD377" s="35"/>
    </row>
    <row r="378" spans="1:30">
      <c r="A378" s="102">
        <f t="shared" si="6"/>
        <v>377</v>
      </c>
      <c r="B378" s="468">
        <f>YEAR(Table6[[#This Row],[Date]])+IF(MONTH(Table6[[#This Row],[Date]])&gt;=4,1,0)</f>
        <v>2026</v>
      </c>
      <c r="C378" s="102">
        <f>YEAR(Table6[[#This Row],[Date]])</f>
        <v>2025</v>
      </c>
      <c r="D378" s="102" t="s">
        <v>1992</v>
      </c>
      <c r="E378" s="469">
        <f>Table6[[#This Row],[Date]]-DAY(Table6[[#This Row],[Date]])+1</f>
        <v>45748</v>
      </c>
      <c r="F378" s="470">
        <v>45772</v>
      </c>
      <c r="G378" s="35" t="s">
        <v>77</v>
      </c>
      <c r="H378" s="35" t="str">
        <f>IFERROR(_xlfn.XLOOKUP(Table6[[#This Row],[Affected WTG]],'Basic Data'!$A:$A,'Basic Data'!$B:$B),"")</f>
        <v>TQGXIIPL</v>
      </c>
      <c r="I378" s="35" t="str">
        <f>IFERROR(_xlfn.XLOOKUP(Table6[[#This Row],[Affected WTG]],'Basic Data'!$A:$A,'Basic Data'!$C:$C),"")</f>
        <v>GEDA</v>
      </c>
      <c r="J378" s="471">
        <f>IFERROR(_xlfn.XLOOKUP(Table6[[#This Row],[Affected WTG]],'Basic Data'!$A:$A,'Basic Data'!$E:$E),"")</f>
        <v>3.846153846153845E-2</v>
      </c>
      <c r="K378" s="102">
        <v>3250</v>
      </c>
      <c r="L378" s="35" t="str">
        <f>IFERROR(_xlfn.XLOOKUP(Table6[[#This Row],[Error Code]],'Basic Data'!$AA:$AA,'Basic Data'!$AB:$AB),"Incorrect Error Code")</f>
        <v>No power</v>
      </c>
      <c r="M378" s="35" t="s">
        <v>292</v>
      </c>
      <c r="N378" s="475"/>
      <c r="O378" s="476">
        <v>0.17916666666666667</v>
      </c>
      <c r="P378" s="476">
        <v>0.17916666666666667</v>
      </c>
      <c r="Q378" s="477">
        <v>0.17986111111111111</v>
      </c>
      <c r="R378" s="472">
        <f>IF(Table6[[#This Row],[Work Start TimeStamp]]="","",(Table6[[#This Row],[Work Start TimeStamp]]-Table6[[#This Row],[Fault Start TimeStamp]])*24)</f>
        <v>0</v>
      </c>
      <c r="S378" s="472">
        <f>(Table6[[#This Row],[Fault Clearance time]]-Table6[[#This Row],[Work Start TimeStamp]])*24</f>
        <v>1.6666666666666607E-2</v>
      </c>
      <c r="T378" s="472">
        <f>(Table6[[#This Row],[Fault Clearance time]]-Table6[[#This Row],[Fault Start TimeStamp]])*24</f>
        <v>1.6666666666666607E-2</v>
      </c>
      <c r="U378" s="35" t="s">
        <v>336</v>
      </c>
      <c r="V378" s="102" t="s">
        <v>293</v>
      </c>
      <c r="W378" s="478">
        <f>IFERROR(Table6[[#This Row],[Breakdown Time]]*Table6[[#This Row],[Plant Equivalent Weightage]],"")</f>
        <v>6.4102564102563853E-4</v>
      </c>
      <c r="X378" s="473" t="s">
        <v>294</v>
      </c>
      <c r="Y378" s="474" t="s">
        <v>310</v>
      </c>
      <c r="Z378" s="102">
        <v>25522</v>
      </c>
      <c r="AA378" s="468">
        <f>(Table6[[#This Row],[Paired WTG Generation for loss calculation]]/24)*Table6[[#This Row],[Breakdown Time]]</f>
        <v>17.723611111111051</v>
      </c>
      <c r="AB378" s="102"/>
      <c r="AC378" s="35"/>
      <c r="AD378" s="35"/>
    </row>
    <row r="379" spans="1:30">
      <c r="A379" s="102">
        <f t="shared" si="6"/>
        <v>378</v>
      </c>
      <c r="B379" s="468">
        <f>YEAR(Table6[[#This Row],[Date]])+IF(MONTH(Table6[[#This Row],[Date]])&gt;=4,1,0)</f>
        <v>2026</v>
      </c>
      <c r="C379" s="102">
        <f>YEAR(Table6[[#This Row],[Date]])</f>
        <v>2025</v>
      </c>
      <c r="D379" s="102" t="s">
        <v>1992</v>
      </c>
      <c r="E379" s="469">
        <f>Table6[[#This Row],[Date]]-DAY(Table6[[#This Row],[Date]])+1</f>
        <v>45748</v>
      </c>
      <c r="F379" s="470">
        <v>45772</v>
      </c>
      <c r="G379" s="35" t="s">
        <v>77</v>
      </c>
      <c r="H379" s="35" t="str">
        <f>IFERROR(_xlfn.XLOOKUP(Table6[[#This Row],[Affected WTG]],'Basic Data'!$A:$A,'Basic Data'!$B:$B),"")</f>
        <v>TQGXIIPL</v>
      </c>
      <c r="I379" s="35" t="str">
        <f>IFERROR(_xlfn.XLOOKUP(Table6[[#This Row],[Affected WTG]],'Basic Data'!$A:$A,'Basic Data'!$C:$C),"")</f>
        <v>GEDA</v>
      </c>
      <c r="J379" s="471">
        <f>IFERROR(_xlfn.XLOOKUP(Table6[[#This Row],[Affected WTG]],'Basic Data'!$A:$A,'Basic Data'!$E:$E),"")</f>
        <v>3.846153846153845E-2</v>
      </c>
      <c r="K379" s="102">
        <v>55</v>
      </c>
      <c r="L379" s="35" t="str">
        <f>IFERROR(_xlfn.XLOOKUP(Table6[[#This Row],[Error Code]],'Basic Data'!$AA:$AA,'Basic Data'!$AB:$AB),"Incorrect Error Code")</f>
        <v>WTG shut down</v>
      </c>
      <c r="M379" s="35" t="s">
        <v>291</v>
      </c>
      <c r="N379" s="475"/>
      <c r="O379" s="476">
        <v>0.21736111111111112</v>
      </c>
      <c r="P379" s="476">
        <v>0.21736111111111112</v>
      </c>
      <c r="Q379" s="477">
        <v>0.22013888888888888</v>
      </c>
      <c r="R379" s="472">
        <f>IF(Table6[[#This Row],[Work Start TimeStamp]]="","",(Table6[[#This Row],[Work Start TimeStamp]]-Table6[[#This Row],[Fault Start TimeStamp]])*24)</f>
        <v>0</v>
      </c>
      <c r="S379" s="472">
        <f>(Table6[[#This Row],[Fault Clearance time]]-Table6[[#This Row],[Work Start TimeStamp]])*24</f>
        <v>6.666666666666643E-2</v>
      </c>
      <c r="T379" s="472">
        <f>(Table6[[#This Row],[Fault Clearance time]]-Table6[[#This Row],[Fault Start TimeStamp]])*24</f>
        <v>6.666666666666643E-2</v>
      </c>
      <c r="U379" s="35" t="s">
        <v>1723</v>
      </c>
      <c r="V379" s="102" t="s">
        <v>293</v>
      </c>
      <c r="W379" s="478">
        <f>IFERROR(Table6[[#This Row],[Breakdown Time]]*Table6[[#This Row],[Plant Equivalent Weightage]],"")</f>
        <v>2.5641025641025541E-3</v>
      </c>
      <c r="X379" s="473" t="s">
        <v>294</v>
      </c>
      <c r="Y379" s="474" t="s">
        <v>310</v>
      </c>
      <c r="Z379" s="102">
        <v>25522</v>
      </c>
      <c r="AA379" s="468">
        <f>(Table6[[#This Row],[Paired WTG Generation for loss calculation]]/24)*Table6[[#This Row],[Breakdown Time]]</f>
        <v>70.894444444444204</v>
      </c>
      <c r="AB379" s="102"/>
      <c r="AC379" s="35"/>
      <c r="AD379" s="35"/>
    </row>
    <row r="380" spans="1:30">
      <c r="A380" s="102">
        <f t="shared" si="6"/>
        <v>379</v>
      </c>
      <c r="B380" s="468">
        <f>YEAR(Table6[[#This Row],[Date]])+IF(MONTH(Table6[[#This Row],[Date]])&gt;=4,1,0)</f>
        <v>2026</v>
      </c>
      <c r="C380" s="102">
        <f>YEAR(Table6[[#This Row],[Date]])</f>
        <v>2025</v>
      </c>
      <c r="D380" s="102" t="s">
        <v>1992</v>
      </c>
      <c r="E380" s="469">
        <f>Table6[[#This Row],[Date]]-DAY(Table6[[#This Row],[Date]])+1</f>
        <v>45748</v>
      </c>
      <c r="F380" s="470">
        <v>45772</v>
      </c>
      <c r="G380" s="35" t="s">
        <v>78</v>
      </c>
      <c r="H380" s="35" t="str">
        <f>IFERROR(_xlfn.XLOOKUP(Table6[[#This Row],[Affected WTG]],'Basic Data'!$A:$A,'Basic Data'!$B:$B),"")</f>
        <v>TQGXIIPL</v>
      </c>
      <c r="I380" s="35" t="str">
        <f>IFERROR(_xlfn.XLOOKUP(Table6[[#This Row],[Affected WTG]],'Basic Data'!$A:$A,'Basic Data'!$C:$C),"")</f>
        <v>GEDA</v>
      </c>
      <c r="J380" s="471">
        <f>IFERROR(_xlfn.XLOOKUP(Table6[[#This Row],[Affected WTG]],'Basic Data'!$A:$A,'Basic Data'!$E:$E),"")</f>
        <v>3.846153846153845E-2</v>
      </c>
      <c r="K380" s="102">
        <v>3010</v>
      </c>
      <c r="L380" s="35" t="str">
        <f>IFERROR(_xlfn.XLOOKUP(Table6[[#This Row],[Error Code]],'Basic Data'!$AA:$AA,'Basic Data'!$AB:$AB),"Incorrect Error Code")</f>
        <v>Conv. comm.error</v>
      </c>
      <c r="M380" s="35" t="s">
        <v>291</v>
      </c>
      <c r="N380" s="475"/>
      <c r="O380" s="476">
        <v>0.16180555555555556</v>
      </c>
      <c r="P380" s="476">
        <v>0.19166666666666668</v>
      </c>
      <c r="Q380" s="477">
        <v>0.21111111111111111</v>
      </c>
      <c r="R380" s="472">
        <f>IF(Table6[[#This Row],[Work Start TimeStamp]]="","",(Table6[[#This Row],[Work Start TimeStamp]]-Table6[[#This Row],[Fault Start TimeStamp]])*24)</f>
        <v>0.71666666666666679</v>
      </c>
      <c r="S380" s="472">
        <f>(Table6[[#This Row],[Fault Clearance time]]-Table6[[#This Row],[Work Start TimeStamp]])*24</f>
        <v>0.46666666666666634</v>
      </c>
      <c r="T380" s="472">
        <f>(Table6[[#This Row],[Fault Clearance time]]-Table6[[#This Row],[Fault Start TimeStamp]])*24</f>
        <v>1.1833333333333331</v>
      </c>
      <c r="U380" s="35" t="s">
        <v>1724</v>
      </c>
      <c r="V380" s="102" t="s">
        <v>293</v>
      </c>
      <c r="W380" s="478">
        <f>IFERROR(Table6[[#This Row],[Breakdown Time]]*Table6[[#This Row],[Plant Equivalent Weightage]],"")</f>
        <v>4.551282051282049E-2</v>
      </c>
      <c r="X380" s="473" t="s">
        <v>294</v>
      </c>
      <c r="Y380" s="474" t="s">
        <v>333</v>
      </c>
      <c r="Z380" s="102">
        <v>30384</v>
      </c>
      <c r="AA380" s="468">
        <f>(Table6[[#This Row],[Paired WTG Generation for loss calculation]]/24)*Table6[[#This Row],[Breakdown Time]]</f>
        <v>1498.0999999999997</v>
      </c>
      <c r="AB380" s="102"/>
      <c r="AC380" s="35"/>
      <c r="AD380" s="35"/>
    </row>
    <row r="381" spans="1:30">
      <c r="A381" s="102">
        <f t="shared" si="6"/>
        <v>380</v>
      </c>
      <c r="B381" s="468">
        <f>YEAR(Table6[[#This Row],[Date]])+IF(MONTH(Table6[[#This Row],[Date]])&gt;=4,1,0)</f>
        <v>2026</v>
      </c>
      <c r="C381" s="102">
        <f>YEAR(Table6[[#This Row],[Date]])</f>
        <v>2025</v>
      </c>
      <c r="D381" s="102" t="s">
        <v>1992</v>
      </c>
      <c r="E381" s="469">
        <f>Table6[[#This Row],[Date]]-DAY(Table6[[#This Row],[Date]])+1</f>
        <v>45748</v>
      </c>
      <c r="F381" s="470">
        <v>45772</v>
      </c>
      <c r="G381" s="35" t="s">
        <v>78</v>
      </c>
      <c r="H381" s="35" t="str">
        <f>IFERROR(_xlfn.XLOOKUP(Table6[[#This Row],[Affected WTG]],'Basic Data'!$A:$A,'Basic Data'!$B:$B),"")</f>
        <v>TQGXIIPL</v>
      </c>
      <c r="I381" s="35" t="str">
        <f>IFERROR(_xlfn.XLOOKUP(Table6[[#This Row],[Affected WTG]],'Basic Data'!$A:$A,'Basic Data'!$C:$C),"")</f>
        <v>GEDA</v>
      </c>
      <c r="J381" s="471">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291</v>
      </c>
      <c r="N381" s="475"/>
      <c r="O381" s="476">
        <v>0.80902777777777779</v>
      </c>
      <c r="P381" s="476">
        <v>0.80902777777777779</v>
      </c>
      <c r="Q381" s="477">
        <v>0.83819444444444446</v>
      </c>
      <c r="R381" s="472">
        <f>IF(Table6[[#This Row],[Work Start TimeStamp]]="","",(Table6[[#This Row],[Work Start TimeStamp]]-Table6[[#This Row],[Fault Start TimeStamp]])*24)</f>
        <v>0</v>
      </c>
      <c r="S381" s="472">
        <f>(Table6[[#This Row],[Fault Clearance time]]-Table6[[#This Row],[Work Start TimeStamp]])*24</f>
        <v>0.70000000000000018</v>
      </c>
      <c r="T381" s="472">
        <f>(Table6[[#This Row],[Fault Clearance time]]-Table6[[#This Row],[Fault Start TimeStamp]])*24</f>
        <v>0.70000000000000018</v>
      </c>
      <c r="U381" s="35" t="s">
        <v>1725</v>
      </c>
      <c r="V381" s="102" t="s">
        <v>293</v>
      </c>
      <c r="W381" s="478">
        <f>IFERROR(Table6[[#This Row],[Breakdown Time]]*Table6[[#This Row],[Plant Equivalent Weightage]],"")</f>
        <v>2.6923076923076921E-2</v>
      </c>
      <c r="X381" s="473" t="s">
        <v>294</v>
      </c>
      <c r="Y381" s="474" t="s">
        <v>333</v>
      </c>
      <c r="Z381" s="102">
        <v>30384</v>
      </c>
      <c r="AA381" s="468">
        <f>(Table6[[#This Row],[Paired WTG Generation for loss calculation]]/24)*Table6[[#This Row],[Breakdown Time]]</f>
        <v>886.20000000000027</v>
      </c>
      <c r="AB381" s="102"/>
      <c r="AC381" s="35"/>
      <c r="AD381" s="35"/>
    </row>
    <row r="382" spans="1:30">
      <c r="A382" s="102">
        <f t="shared" si="6"/>
        <v>381</v>
      </c>
      <c r="B382" s="468">
        <f>YEAR(Table6[[#This Row],[Date]])+IF(MONTH(Table6[[#This Row],[Date]])&gt;=4,1,0)</f>
        <v>2026</v>
      </c>
      <c r="C382" s="102">
        <f>YEAR(Table6[[#This Row],[Date]])</f>
        <v>2025</v>
      </c>
      <c r="D382" s="102" t="s">
        <v>1992</v>
      </c>
      <c r="E382" s="469">
        <f>Table6[[#This Row],[Date]]-DAY(Table6[[#This Row],[Date]])+1</f>
        <v>45748</v>
      </c>
      <c r="F382" s="470">
        <v>45772</v>
      </c>
      <c r="G382" s="35" t="s">
        <v>85</v>
      </c>
      <c r="H382" s="35" t="str">
        <f>IFERROR(_xlfn.XLOOKUP(Table6[[#This Row],[Affected WTG]],'Basic Data'!$A:$A,'Basic Data'!$B:$B),"")</f>
        <v>TQGXIIPL</v>
      </c>
      <c r="I382" s="35" t="str">
        <f>IFERROR(_xlfn.XLOOKUP(Table6[[#This Row],[Affected WTG]],'Basic Data'!$A:$A,'Basic Data'!$C:$C),"")</f>
        <v>GEDA</v>
      </c>
      <c r="J382" s="471">
        <f>IFERROR(_xlfn.XLOOKUP(Table6[[#This Row],[Affected WTG]],'Basic Data'!$A:$A,'Basic Data'!$E:$E),"")</f>
        <v>3.846153846153845E-2</v>
      </c>
      <c r="K382" s="102">
        <v>55</v>
      </c>
      <c r="L382" s="35" t="str">
        <f>IFERROR(_xlfn.XLOOKUP(Table6[[#This Row],[Error Code]],'Basic Data'!$AA:$AA,'Basic Data'!$AB:$AB),"Incorrect Error Code")</f>
        <v>WTG shut down</v>
      </c>
      <c r="M382" s="35" t="s">
        <v>330</v>
      </c>
      <c r="N382" s="475"/>
      <c r="O382" s="476">
        <v>0.85277777777777775</v>
      </c>
      <c r="P382" s="476">
        <v>0.85277777777777775</v>
      </c>
      <c r="Q382" s="477">
        <v>0.87569444444444444</v>
      </c>
      <c r="R382" s="472">
        <f>IF(Table6[[#This Row],[Work Start TimeStamp]]="","",(Table6[[#This Row],[Work Start TimeStamp]]-Table6[[#This Row],[Fault Start TimeStamp]])*24)</f>
        <v>0</v>
      </c>
      <c r="S382" s="472">
        <f>(Table6[[#This Row],[Fault Clearance time]]-Table6[[#This Row],[Work Start TimeStamp]])*24</f>
        <v>0.55000000000000071</v>
      </c>
      <c r="T382" s="472">
        <f>(Table6[[#This Row],[Fault Clearance time]]-Table6[[#This Row],[Fault Start TimeStamp]])*24</f>
        <v>0.55000000000000071</v>
      </c>
      <c r="U382" s="35" t="s">
        <v>337</v>
      </c>
      <c r="V382" s="102" t="s">
        <v>293</v>
      </c>
      <c r="W382" s="478">
        <f>IFERROR(Table6[[#This Row],[Breakdown Time]]*Table6[[#This Row],[Plant Equivalent Weightage]],"")</f>
        <v>2.1153846153846176E-2</v>
      </c>
      <c r="X382" s="473" t="s">
        <v>290</v>
      </c>
      <c r="Y382" s="474" t="s">
        <v>322</v>
      </c>
      <c r="Z382" s="102">
        <v>19630</v>
      </c>
      <c r="AA382" s="468">
        <f>(Table6[[#This Row],[Paired WTG Generation for loss calculation]]/24)*Table6[[#This Row],[Breakdown Time]]</f>
        <v>449.85416666666725</v>
      </c>
      <c r="AB382" s="102"/>
      <c r="AC382" s="35"/>
      <c r="AD382" s="35"/>
    </row>
    <row r="383" spans="1:30">
      <c r="A383" s="102">
        <f t="shared" si="6"/>
        <v>382</v>
      </c>
      <c r="B383" s="468">
        <f>YEAR(Table6[[#This Row],[Date]])+IF(MONTH(Table6[[#This Row],[Date]])&gt;=4,1,0)</f>
        <v>2026</v>
      </c>
      <c r="C383" s="102">
        <f>YEAR(Table6[[#This Row],[Date]])</f>
        <v>2025</v>
      </c>
      <c r="D383" s="102" t="s">
        <v>1992</v>
      </c>
      <c r="E383" s="469">
        <f>Table6[[#This Row],[Date]]-DAY(Table6[[#This Row],[Date]])+1</f>
        <v>45748</v>
      </c>
      <c r="F383" s="470">
        <v>45772</v>
      </c>
      <c r="G383" s="35" t="s">
        <v>86</v>
      </c>
      <c r="H383" s="35" t="str">
        <f>IFERROR(_xlfn.XLOOKUP(Table6[[#This Row],[Affected WTG]],'Basic Data'!$A:$A,'Basic Data'!$B:$B),"")</f>
        <v>TQGXIIPL</v>
      </c>
      <c r="I383" s="35" t="str">
        <f>IFERROR(_xlfn.XLOOKUP(Table6[[#This Row],[Affected WTG]],'Basic Data'!$A:$A,'Basic Data'!$C:$C),"")</f>
        <v>GEDA</v>
      </c>
      <c r="J383" s="471">
        <f>IFERROR(_xlfn.XLOOKUP(Table6[[#This Row],[Affected WTG]],'Basic Data'!$A:$A,'Basic Data'!$E:$E),"")</f>
        <v>3.846153846153845E-2</v>
      </c>
      <c r="K383" s="102">
        <v>6130</v>
      </c>
      <c r="L383" s="35" t="str">
        <f>IFERROR(_xlfn.XLOOKUP(Table6[[#This Row],[Error Code]],'Basic Data'!$AA:$AA,'Basic Data'!$AB:$AB),"Incorrect Error Code")</f>
        <v>Yaw speed high</v>
      </c>
      <c r="M383" s="35" t="s">
        <v>291</v>
      </c>
      <c r="N383" s="475"/>
      <c r="O383" s="476">
        <v>0.63749999999999996</v>
      </c>
      <c r="P383" s="476">
        <v>0.63749999999999996</v>
      </c>
      <c r="Q383" s="477">
        <v>0.64166666666666672</v>
      </c>
      <c r="R383" s="472">
        <f>IF(Table6[[#This Row],[Work Start TimeStamp]]="","",(Table6[[#This Row],[Work Start TimeStamp]]-Table6[[#This Row],[Fault Start TimeStamp]])*24)</f>
        <v>0</v>
      </c>
      <c r="S383" s="472">
        <f>(Table6[[#This Row],[Fault Clearance time]]-Table6[[#This Row],[Work Start TimeStamp]])*24</f>
        <v>0.10000000000000231</v>
      </c>
      <c r="T383" s="472">
        <f>(Table6[[#This Row],[Fault Clearance time]]-Table6[[#This Row],[Fault Start TimeStamp]])*24</f>
        <v>0.10000000000000231</v>
      </c>
      <c r="U383" s="35" t="s">
        <v>349</v>
      </c>
      <c r="V383" s="102" t="s">
        <v>293</v>
      </c>
      <c r="W383" s="478">
        <f>IFERROR(Table6[[#This Row],[Breakdown Time]]*Table6[[#This Row],[Plant Equivalent Weightage]],"")</f>
        <v>3.846153846153934E-3</v>
      </c>
      <c r="X383" s="473" t="s">
        <v>294</v>
      </c>
      <c r="Y383" s="474" t="s">
        <v>313</v>
      </c>
      <c r="Z383" s="102">
        <v>20809</v>
      </c>
      <c r="AA383" s="468">
        <f>(Table6[[#This Row],[Paired WTG Generation for loss calculation]]/24)*Table6[[#This Row],[Breakdown Time]]</f>
        <v>86.704166666668669</v>
      </c>
      <c r="AB383" s="102"/>
      <c r="AC383" s="35"/>
      <c r="AD383" s="35"/>
    </row>
    <row r="384" spans="1:30">
      <c r="A384" s="102">
        <f t="shared" si="6"/>
        <v>383</v>
      </c>
      <c r="B384" s="468">
        <f>YEAR(Table6[[#This Row],[Date]])+IF(MONTH(Table6[[#This Row],[Date]])&gt;=4,1,0)</f>
        <v>2026</v>
      </c>
      <c r="C384" s="102">
        <f>YEAR(Table6[[#This Row],[Date]])</f>
        <v>2025</v>
      </c>
      <c r="D384" s="102" t="s">
        <v>1992</v>
      </c>
      <c r="E384" s="469">
        <f>Table6[[#This Row],[Date]]-DAY(Table6[[#This Row],[Date]])+1</f>
        <v>45748</v>
      </c>
      <c r="F384" s="470">
        <v>45772</v>
      </c>
      <c r="G384" s="35" t="s">
        <v>87</v>
      </c>
      <c r="H384" s="35" t="str">
        <f>IFERROR(_xlfn.XLOOKUP(Table6[[#This Row],[Affected WTG]],'Basic Data'!$A:$A,'Basic Data'!$B:$B),"")</f>
        <v>TQGXIIPL</v>
      </c>
      <c r="I384" s="35" t="str">
        <f>IFERROR(_xlfn.XLOOKUP(Table6[[#This Row],[Affected WTG]],'Basic Data'!$A:$A,'Basic Data'!$C:$C),"")</f>
        <v>GEDA</v>
      </c>
      <c r="J384" s="471">
        <f>IFERROR(_xlfn.XLOOKUP(Table6[[#This Row],[Affected WTG]],'Basic Data'!$A:$A,'Basic Data'!$E:$E),"")</f>
        <v>3.846153846153845E-2</v>
      </c>
      <c r="K384" s="102">
        <v>55</v>
      </c>
      <c r="L384" s="35" t="str">
        <f>IFERROR(_xlfn.XLOOKUP(Table6[[#This Row],[Error Code]],'Basic Data'!$AA:$AA,'Basic Data'!$AB:$AB),"Incorrect Error Code")</f>
        <v>WTG shut down</v>
      </c>
      <c r="M384" s="35" t="s">
        <v>291</v>
      </c>
      <c r="N384" s="475"/>
      <c r="O384" s="476">
        <v>0.65486111111111112</v>
      </c>
      <c r="P384" s="476">
        <v>0.66527777777777775</v>
      </c>
      <c r="Q384" s="477">
        <v>0.71180555555555558</v>
      </c>
      <c r="R384" s="472">
        <f>IF(Table6[[#This Row],[Work Start TimeStamp]]="","",(Table6[[#This Row],[Work Start TimeStamp]]-Table6[[#This Row],[Fault Start TimeStamp]])*24)</f>
        <v>0.24999999999999911</v>
      </c>
      <c r="S384" s="472">
        <f>(Table6[[#This Row],[Fault Clearance time]]-Table6[[#This Row],[Work Start TimeStamp]])*24</f>
        <v>1.116666666666668</v>
      </c>
      <c r="T384" s="472">
        <f>(Table6[[#This Row],[Fault Clearance time]]-Table6[[#This Row],[Fault Start TimeStamp]])*24</f>
        <v>1.3666666666666671</v>
      </c>
      <c r="U384" s="35" t="s">
        <v>1719</v>
      </c>
      <c r="V384" s="102" t="s">
        <v>293</v>
      </c>
      <c r="W384" s="478">
        <f>IFERROR(Table6[[#This Row],[Breakdown Time]]*Table6[[#This Row],[Plant Equivalent Weightage]],"")</f>
        <v>5.2564102564102565E-2</v>
      </c>
      <c r="X384" s="473" t="s">
        <v>290</v>
      </c>
      <c r="Y384" s="474" t="s">
        <v>327</v>
      </c>
      <c r="Z384" s="102">
        <v>19079</v>
      </c>
      <c r="AA384" s="468">
        <f>(Table6[[#This Row],[Paired WTG Generation for loss calculation]]/24)*Table6[[#This Row],[Breakdown Time]]</f>
        <v>1086.4430555555559</v>
      </c>
      <c r="AB384" s="102"/>
      <c r="AC384" s="35"/>
      <c r="AD384" s="35"/>
    </row>
    <row r="385" spans="1:30">
      <c r="A385" s="102">
        <f t="shared" si="6"/>
        <v>384</v>
      </c>
      <c r="B385" s="468">
        <f>YEAR(Table6[[#This Row],[Date]])+IF(MONTH(Table6[[#This Row],[Date]])&gt;=4,1,0)</f>
        <v>2026</v>
      </c>
      <c r="C385" s="102">
        <f>YEAR(Table6[[#This Row],[Date]])</f>
        <v>2025</v>
      </c>
      <c r="D385" s="102" t="s">
        <v>1992</v>
      </c>
      <c r="E385" s="469">
        <f>Table6[[#This Row],[Date]]-DAY(Table6[[#This Row],[Date]])+1</f>
        <v>45748</v>
      </c>
      <c r="F385" s="470">
        <v>45772</v>
      </c>
      <c r="G385" s="35" t="s">
        <v>91</v>
      </c>
      <c r="H385" s="35" t="str">
        <f>IFERROR(_xlfn.XLOOKUP(Table6[[#This Row],[Affected WTG]],'Basic Data'!$A:$A,'Basic Data'!$B:$B),"")</f>
        <v>TQGXIIPL</v>
      </c>
      <c r="I385" s="35" t="str">
        <f>IFERROR(_xlfn.XLOOKUP(Table6[[#This Row],[Affected WTG]],'Basic Data'!$A:$A,'Basic Data'!$C:$C),"")</f>
        <v>GEDA</v>
      </c>
      <c r="J385" s="471">
        <f>IFERROR(_xlfn.XLOOKUP(Table6[[#This Row],[Affected WTG]],'Basic Data'!$A:$A,'Basic Data'!$E:$E),"")</f>
        <v>3.846153846153845E-2</v>
      </c>
      <c r="K385" s="102">
        <v>55</v>
      </c>
      <c r="L385" s="35" t="str">
        <f>IFERROR(_xlfn.XLOOKUP(Table6[[#This Row],[Error Code]],'Basic Data'!$AA:$AA,'Basic Data'!$AB:$AB),"Incorrect Error Code")</f>
        <v>WTG shut down</v>
      </c>
      <c r="M385" s="35" t="s">
        <v>295</v>
      </c>
      <c r="N385" s="475"/>
      <c r="O385" s="476">
        <v>0.37638888888888888</v>
      </c>
      <c r="P385" s="476">
        <v>0.37638888888888888</v>
      </c>
      <c r="Q385" s="477">
        <v>0.72291666666666665</v>
      </c>
      <c r="R385" s="472">
        <f>IF(Table6[[#This Row],[Work Start TimeStamp]]="","",(Table6[[#This Row],[Work Start TimeStamp]]-Table6[[#This Row],[Fault Start TimeStamp]])*24)</f>
        <v>0</v>
      </c>
      <c r="S385" s="472">
        <f>(Table6[[#This Row],[Fault Clearance time]]-Table6[[#This Row],[Work Start TimeStamp]])*24</f>
        <v>8.3166666666666664</v>
      </c>
      <c r="T385" s="472">
        <f>(Table6[[#This Row],[Fault Clearance time]]-Table6[[#This Row],[Fault Start TimeStamp]])*24</f>
        <v>8.3166666666666664</v>
      </c>
      <c r="U385" s="35" t="s">
        <v>1726</v>
      </c>
      <c r="V385" s="102" t="s">
        <v>293</v>
      </c>
      <c r="W385" s="478">
        <f>IFERROR(Table6[[#This Row],[Breakdown Time]]*Table6[[#This Row],[Plant Equivalent Weightage]],"")</f>
        <v>0.31987179487179479</v>
      </c>
      <c r="X385" s="473" t="s">
        <v>290</v>
      </c>
      <c r="Y385" s="474" t="s">
        <v>319</v>
      </c>
      <c r="Z385" s="102">
        <v>24475</v>
      </c>
      <c r="AA385" s="468">
        <f>(Table6[[#This Row],[Paired WTG Generation for loss calculation]]/24)*Table6[[#This Row],[Breakdown Time]]</f>
        <v>8481.2673611111113</v>
      </c>
      <c r="AB385" s="102"/>
      <c r="AC385" s="35"/>
      <c r="AD385" s="35"/>
    </row>
    <row r="386" spans="1:30">
      <c r="A386" s="102">
        <f t="shared" si="6"/>
        <v>385</v>
      </c>
      <c r="B386" s="468">
        <f>YEAR(Table6[[#This Row],[Date]])+IF(MONTH(Table6[[#This Row],[Date]])&gt;=4,1,0)</f>
        <v>2026</v>
      </c>
      <c r="C386" s="102">
        <f>YEAR(Table6[[#This Row],[Date]])</f>
        <v>2025</v>
      </c>
      <c r="D386" s="102" t="s">
        <v>1992</v>
      </c>
      <c r="E386" s="469">
        <f>Table6[[#This Row],[Date]]-DAY(Table6[[#This Row],[Date]])+1</f>
        <v>45748</v>
      </c>
      <c r="F386" s="470">
        <v>45772</v>
      </c>
      <c r="G386" s="35" t="s">
        <v>91</v>
      </c>
      <c r="H386" s="35" t="str">
        <f>IFERROR(_xlfn.XLOOKUP(Table6[[#This Row],[Affected WTG]],'Basic Data'!$A:$A,'Basic Data'!$B:$B),"")</f>
        <v>TQGXIIPL</v>
      </c>
      <c r="I386" s="35" t="str">
        <f>IFERROR(_xlfn.XLOOKUP(Table6[[#This Row],[Affected WTG]],'Basic Data'!$A:$A,'Basic Data'!$C:$C),"")</f>
        <v>GEDA</v>
      </c>
      <c r="J386" s="471">
        <f>IFERROR(_xlfn.XLOOKUP(Table6[[#This Row],[Affected WTG]],'Basic Data'!$A:$A,'Basic Data'!$E:$E),"")</f>
        <v>3.846153846153845E-2</v>
      </c>
      <c r="K386" s="102">
        <v>55</v>
      </c>
      <c r="L386" s="35" t="str">
        <f>IFERROR(_xlfn.XLOOKUP(Table6[[#This Row],[Error Code]],'Basic Data'!$AA:$AA,'Basic Data'!$AB:$AB),"Incorrect Error Code")</f>
        <v>WTG shut down</v>
      </c>
      <c r="M386" s="35" t="s">
        <v>291</v>
      </c>
      <c r="N386" s="475"/>
      <c r="O386" s="476">
        <v>0.8305555555555556</v>
      </c>
      <c r="P386" s="476">
        <v>0.8305555555555556</v>
      </c>
      <c r="Q386" s="477">
        <v>0.83263888888888893</v>
      </c>
      <c r="R386" s="472">
        <f>IF(Table6[[#This Row],[Work Start TimeStamp]]="","",(Table6[[#This Row],[Work Start TimeStamp]]-Table6[[#This Row],[Fault Start TimeStamp]])*24)</f>
        <v>0</v>
      </c>
      <c r="S386" s="472">
        <f>(Table6[[#This Row],[Fault Clearance time]]-Table6[[#This Row],[Work Start TimeStamp]])*24</f>
        <v>4.9999999999999822E-2</v>
      </c>
      <c r="T386" s="472">
        <f>(Table6[[#This Row],[Fault Clearance time]]-Table6[[#This Row],[Fault Start TimeStamp]])*24</f>
        <v>4.9999999999999822E-2</v>
      </c>
      <c r="U386" s="35" t="s">
        <v>1727</v>
      </c>
      <c r="V386" s="102" t="s">
        <v>293</v>
      </c>
      <c r="W386" s="478">
        <f>IFERROR(Table6[[#This Row],[Breakdown Time]]*Table6[[#This Row],[Plant Equivalent Weightage]],"")</f>
        <v>1.9230769230769156E-3</v>
      </c>
      <c r="X386" s="473" t="s">
        <v>290</v>
      </c>
      <c r="Y386" s="474" t="s">
        <v>319</v>
      </c>
      <c r="Z386" s="102">
        <v>24475</v>
      </c>
      <c r="AA386" s="468">
        <f>(Table6[[#This Row],[Paired WTG Generation for loss calculation]]/24)*Table6[[#This Row],[Breakdown Time]]</f>
        <v>50.989583333333151</v>
      </c>
      <c r="AB386" s="102"/>
      <c r="AC386" s="35"/>
      <c r="AD386" s="35"/>
    </row>
    <row r="387" spans="1:30">
      <c r="A387" s="102">
        <f t="shared" si="6"/>
        <v>386</v>
      </c>
      <c r="B387" s="468">
        <f>YEAR(Table6[[#This Row],[Date]])+IF(MONTH(Table6[[#This Row],[Date]])&gt;=4,1,0)</f>
        <v>2026</v>
      </c>
      <c r="C387" s="102">
        <f>YEAR(Table6[[#This Row],[Date]])</f>
        <v>2025</v>
      </c>
      <c r="D387" s="102" t="s">
        <v>1992</v>
      </c>
      <c r="E387" s="469">
        <f>Table6[[#This Row],[Date]]-DAY(Table6[[#This Row],[Date]])+1</f>
        <v>45748</v>
      </c>
      <c r="F387" s="470">
        <v>45772</v>
      </c>
      <c r="G387" s="35" t="s">
        <v>91</v>
      </c>
      <c r="H387" s="35" t="str">
        <f>IFERROR(_xlfn.XLOOKUP(Table6[[#This Row],[Affected WTG]],'Basic Data'!$A:$A,'Basic Data'!$B:$B),"")</f>
        <v>TQGXIIPL</v>
      </c>
      <c r="I387" s="35" t="str">
        <f>IFERROR(_xlfn.XLOOKUP(Table6[[#This Row],[Affected WTG]],'Basic Data'!$A:$A,'Basic Data'!$C:$C),"")</f>
        <v>GEDA</v>
      </c>
      <c r="J387" s="471">
        <f>IFERROR(_xlfn.XLOOKUP(Table6[[#This Row],[Affected WTG]],'Basic Data'!$A:$A,'Basic Data'!$E:$E),"")</f>
        <v>3.846153846153845E-2</v>
      </c>
      <c r="K387" s="102">
        <v>60</v>
      </c>
      <c r="L387" s="35" t="str">
        <f>IFERROR(_xlfn.XLOOKUP(Table6[[#This Row],[Error Code]],'Basic Data'!$AA:$AA,'Basic Data'!$AB:$AB),"Incorrect Error Code")</f>
        <v>Wind &gt; power</v>
      </c>
      <c r="M387" s="35" t="s">
        <v>291</v>
      </c>
      <c r="N387" s="475"/>
      <c r="O387" s="476">
        <v>0.84791666666666665</v>
      </c>
      <c r="P387" s="476">
        <v>0.84791666666666665</v>
      </c>
      <c r="Q387" s="477">
        <v>0.85347222222222219</v>
      </c>
      <c r="R387" s="472">
        <f>IF(Table6[[#This Row],[Work Start TimeStamp]]="","",(Table6[[#This Row],[Work Start TimeStamp]]-Table6[[#This Row],[Fault Start TimeStamp]])*24)</f>
        <v>0</v>
      </c>
      <c r="S387" s="472">
        <f>(Table6[[#This Row],[Fault Clearance time]]-Table6[[#This Row],[Work Start TimeStamp]])*24</f>
        <v>0.13333333333333286</v>
      </c>
      <c r="T387" s="472">
        <f>(Table6[[#This Row],[Fault Clearance time]]-Table6[[#This Row],[Fault Start TimeStamp]])*24</f>
        <v>0.13333333333333286</v>
      </c>
      <c r="U387" s="35" t="s">
        <v>349</v>
      </c>
      <c r="V387" s="102" t="s">
        <v>293</v>
      </c>
      <c r="W387" s="478">
        <f>IFERROR(Table6[[#This Row],[Breakdown Time]]*Table6[[#This Row],[Plant Equivalent Weightage]],"")</f>
        <v>5.1282051282051083E-3</v>
      </c>
      <c r="X387" s="473" t="s">
        <v>294</v>
      </c>
      <c r="Y387" s="474" t="s">
        <v>319</v>
      </c>
      <c r="Z387" s="102">
        <v>24475</v>
      </c>
      <c r="AA387" s="468">
        <f>(Table6[[#This Row],[Paired WTG Generation for loss calculation]]/24)*Table6[[#This Row],[Breakdown Time]]</f>
        <v>135.97222222222175</v>
      </c>
      <c r="AB387" s="102"/>
      <c r="AC387" s="35"/>
      <c r="AD387" s="35"/>
    </row>
    <row r="388" spans="1:30">
      <c r="A388" s="102">
        <f t="shared" si="6"/>
        <v>387</v>
      </c>
      <c r="B388" s="468">
        <f>YEAR(Table6[[#This Row],[Date]])+IF(MONTH(Table6[[#This Row],[Date]])&gt;=4,1,0)</f>
        <v>2026</v>
      </c>
      <c r="C388" s="102">
        <f>YEAR(Table6[[#This Row],[Date]])</f>
        <v>2025</v>
      </c>
      <c r="D388" s="102" t="s">
        <v>1992</v>
      </c>
      <c r="E388" s="469">
        <f>Table6[[#This Row],[Date]]-DAY(Table6[[#This Row],[Date]])+1</f>
        <v>45748</v>
      </c>
      <c r="F388" s="470">
        <v>45772</v>
      </c>
      <c r="G388" s="35" t="s">
        <v>91</v>
      </c>
      <c r="H388" s="35" t="str">
        <f>IFERROR(_xlfn.XLOOKUP(Table6[[#This Row],[Affected WTG]],'Basic Data'!$A:$A,'Basic Data'!$B:$B),"")</f>
        <v>TQGXIIPL</v>
      </c>
      <c r="I388" s="35" t="str">
        <f>IFERROR(_xlfn.XLOOKUP(Table6[[#This Row],[Affected WTG]],'Basic Data'!$A:$A,'Basic Data'!$C:$C),"")</f>
        <v>GEDA</v>
      </c>
      <c r="J388" s="471">
        <f>IFERROR(_xlfn.XLOOKUP(Table6[[#This Row],[Affected WTG]],'Basic Data'!$A:$A,'Basic Data'!$E:$E),"")</f>
        <v>3.846153846153845E-2</v>
      </c>
      <c r="K388" s="102">
        <v>60</v>
      </c>
      <c r="L388" s="35" t="str">
        <f>IFERROR(_xlfn.XLOOKUP(Table6[[#This Row],[Error Code]],'Basic Data'!$AA:$AA,'Basic Data'!$AB:$AB),"Incorrect Error Code")</f>
        <v>Wind &gt; power</v>
      </c>
      <c r="M388" s="35" t="s">
        <v>291</v>
      </c>
      <c r="N388" s="475"/>
      <c r="O388" s="476">
        <v>0.86944444444444446</v>
      </c>
      <c r="P388" s="476">
        <v>0.86944444444444446</v>
      </c>
      <c r="Q388" s="477">
        <v>0.88124999999999998</v>
      </c>
      <c r="R388" s="472">
        <f>IF(Table6[[#This Row],[Work Start TimeStamp]]="","",(Table6[[#This Row],[Work Start TimeStamp]]-Table6[[#This Row],[Fault Start TimeStamp]])*24)</f>
        <v>0</v>
      </c>
      <c r="S388" s="472">
        <f>(Table6[[#This Row],[Fault Clearance time]]-Table6[[#This Row],[Work Start TimeStamp]])*24</f>
        <v>0.28333333333333233</v>
      </c>
      <c r="T388" s="472">
        <f>(Table6[[#This Row],[Fault Clearance time]]-Table6[[#This Row],[Fault Start TimeStamp]])*24</f>
        <v>0.28333333333333233</v>
      </c>
      <c r="U388" s="35" t="s">
        <v>1729</v>
      </c>
      <c r="V388" s="102" t="s">
        <v>293</v>
      </c>
      <c r="W388" s="478">
        <f>IFERROR(Table6[[#This Row],[Breakdown Time]]*Table6[[#This Row],[Plant Equivalent Weightage]],"")</f>
        <v>1.0897435897435855E-2</v>
      </c>
      <c r="X388" s="473" t="s">
        <v>294</v>
      </c>
      <c r="Y388" s="474" t="s">
        <v>319</v>
      </c>
      <c r="Z388" s="102">
        <v>24475</v>
      </c>
      <c r="AA388" s="468">
        <f>(Table6[[#This Row],[Paired WTG Generation for loss calculation]]/24)*Table6[[#This Row],[Breakdown Time]]</f>
        <v>288.94097222222121</v>
      </c>
      <c r="AB388" s="102"/>
      <c r="AC388" s="35"/>
      <c r="AD388" s="35"/>
    </row>
    <row r="389" spans="1:30">
      <c r="A389" s="102">
        <f t="shared" si="6"/>
        <v>388</v>
      </c>
      <c r="B389" s="468">
        <f>YEAR(Table6[[#This Row],[Date]])+IF(MONTH(Table6[[#This Row],[Date]])&gt;=4,1,0)</f>
        <v>2026</v>
      </c>
      <c r="C389" s="102">
        <f>YEAR(Table6[[#This Row],[Date]])</f>
        <v>2025</v>
      </c>
      <c r="D389" s="102" t="s">
        <v>1992</v>
      </c>
      <c r="E389" s="469">
        <f>Table6[[#This Row],[Date]]-DAY(Table6[[#This Row],[Date]])+1</f>
        <v>45748</v>
      </c>
      <c r="F389" s="470">
        <v>45772</v>
      </c>
      <c r="G389" s="35" t="s">
        <v>91</v>
      </c>
      <c r="H389" s="35" t="str">
        <f>IFERROR(_xlfn.XLOOKUP(Table6[[#This Row],[Affected WTG]],'Basic Data'!$A:$A,'Basic Data'!$B:$B),"")</f>
        <v>TQGXIIPL</v>
      </c>
      <c r="I389" s="35" t="str">
        <f>IFERROR(_xlfn.XLOOKUP(Table6[[#This Row],[Affected WTG]],'Basic Data'!$A:$A,'Basic Data'!$C:$C),"")</f>
        <v>GEDA</v>
      </c>
      <c r="J389" s="471">
        <f>IFERROR(_xlfn.XLOOKUP(Table6[[#This Row],[Affected WTG]],'Basic Data'!$A:$A,'Basic Data'!$E:$E),"")</f>
        <v>3.846153846153845E-2</v>
      </c>
      <c r="K389" s="102">
        <v>60</v>
      </c>
      <c r="L389" s="35" t="str">
        <f>IFERROR(_xlfn.XLOOKUP(Table6[[#This Row],[Error Code]],'Basic Data'!$AA:$AA,'Basic Data'!$AB:$AB),"Incorrect Error Code")</f>
        <v>Wind &gt; power</v>
      </c>
      <c r="M389" s="35" t="s">
        <v>291</v>
      </c>
      <c r="N389" s="475"/>
      <c r="O389" s="476">
        <v>0.89722222222222225</v>
      </c>
      <c r="P389" s="476">
        <v>0.89722222222222225</v>
      </c>
      <c r="Q389" s="477">
        <v>0.91527777777777775</v>
      </c>
      <c r="R389" s="472">
        <f>IF(Table6[[#This Row],[Work Start TimeStamp]]="","",(Table6[[#This Row],[Work Start TimeStamp]]-Table6[[#This Row],[Fault Start TimeStamp]])*24)</f>
        <v>0</v>
      </c>
      <c r="S389" s="472">
        <f>(Table6[[#This Row],[Fault Clearance time]]-Table6[[#This Row],[Work Start TimeStamp]])*24</f>
        <v>0.43333333333333179</v>
      </c>
      <c r="T389" s="472">
        <f>(Table6[[#This Row],[Fault Clearance time]]-Table6[[#This Row],[Fault Start TimeStamp]])*24</f>
        <v>0.43333333333333179</v>
      </c>
      <c r="U389" s="35" t="s">
        <v>1729</v>
      </c>
      <c r="V389" s="102" t="s">
        <v>293</v>
      </c>
      <c r="W389" s="478">
        <f>IFERROR(Table6[[#This Row],[Breakdown Time]]*Table6[[#This Row],[Plant Equivalent Weightage]],"")</f>
        <v>1.6666666666666604E-2</v>
      </c>
      <c r="X389" s="473" t="s">
        <v>294</v>
      </c>
      <c r="Y389" s="474" t="s">
        <v>319</v>
      </c>
      <c r="Z389" s="102">
        <v>24475</v>
      </c>
      <c r="AA389" s="468">
        <f>(Table6[[#This Row],[Paired WTG Generation for loss calculation]]/24)*Table6[[#This Row],[Breakdown Time]]</f>
        <v>441.90972222222064</v>
      </c>
      <c r="AB389" s="102"/>
      <c r="AC389" s="35"/>
      <c r="AD389" s="35"/>
    </row>
    <row r="390" spans="1:30">
      <c r="A390" s="102">
        <f t="shared" si="6"/>
        <v>389</v>
      </c>
      <c r="B390" s="468">
        <f>YEAR(Table6[[#This Row],[Date]])+IF(MONTH(Table6[[#This Row],[Date]])&gt;=4,1,0)</f>
        <v>2026</v>
      </c>
      <c r="C390" s="102">
        <f>YEAR(Table6[[#This Row],[Date]])</f>
        <v>2025</v>
      </c>
      <c r="D390" s="102" t="s">
        <v>1992</v>
      </c>
      <c r="E390" s="469">
        <f>Table6[[#This Row],[Date]]-DAY(Table6[[#This Row],[Date]])+1</f>
        <v>45748</v>
      </c>
      <c r="F390" s="470">
        <v>45772</v>
      </c>
      <c r="G390" s="35" t="s">
        <v>91</v>
      </c>
      <c r="H390" s="35" t="str">
        <f>IFERROR(_xlfn.XLOOKUP(Table6[[#This Row],[Affected WTG]],'Basic Data'!$A:$A,'Basic Data'!$B:$B),"")</f>
        <v>TQGXIIPL</v>
      </c>
      <c r="I390" s="35" t="str">
        <f>IFERROR(_xlfn.XLOOKUP(Table6[[#This Row],[Affected WTG]],'Basic Data'!$A:$A,'Basic Data'!$C:$C),"")</f>
        <v>GEDA</v>
      </c>
      <c r="J390" s="471">
        <f>IFERROR(_xlfn.XLOOKUP(Table6[[#This Row],[Affected WTG]],'Basic Data'!$A:$A,'Basic Data'!$E:$E),"")</f>
        <v>3.846153846153845E-2</v>
      </c>
      <c r="K390" s="102">
        <v>55</v>
      </c>
      <c r="L390" s="35" t="str">
        <f>IFERROR(_xlfn.XLOOKUP(Table6[[#This Row],[Error Code]],'Basic Data'!$AA:$AA,'Basic Data'!$AB:$AB),"Incorrect Error Code")</f>
        <v>WTG shut down</v>
      </c>
      <c r="M390" s="35" t="s">
        <v>291</v>
      </c>
      <c r="N390" s="475"/>
      <c r="O390" s="476">
        <v>0.91805555555555551</v>
      </c>
      <c r="P390" s="476">
        <v>0.91805555555555551</v>
      </c>
      <c r="Q390" s="477">
        <v>0.92569444444444449</v>
      </c>
      <c r="R390" s="472">
        <f>IF(Table6[[#This Row],[Work Start TimeStamp]]="","",(Table6[[#This Row],[Work Start TimeStamp]]-Table6[[#This Row],[Fault Start TimeStamp]])*24)</f>
        <v>0</v>
      </c>
      <c r="S390" s="472">
        <f>(Table6[[#This Row],[Fault Clearance time]]-Table6[[#This Row],[Work Start TimeStamp]])*24</f>
        <v>0.18333333333333535</v>
      </c>
      <c r="T390" s="472">
        <f>(Table6[[#This Row],[Fault Clearance time]]-Table6[[#This Row],[Fault Start TimeStamp]])*24</f>
        <v>0.18333333333333535</v>
      </c>
      <c r="U390" s="35" t="s">
        <v>1728</v>
      </c>
      <c r="V390" s="102" t="s">
        <v>293</v>
      </c>
      <c r="W390" s="478">
        <f>IFERROR(Table6[[#This Row],[Breakdown Time]]*Table6[[#This Row],[Plant Equivalent Weightage]],"")</f>
        <v>7.0512820512821268E-3</v>
      </c>
      <c r="X390" s="473" t="s">
        <v>290</v>
      </c>
      <c r="Y390" s="474" t="s">
        <v>319</v>
      </c>
      <c r="Z390" s="102">
        <v>24475</v>
      </c>
      <c r="AA390" s="468">
        <f>(Table6[[#This Row],[Paired WTG Generation for loss calculation]]/24)*Table6[[#This Row],[Breakdown Time]]</f>
        <v>186.96180555555759</v>
      </c>
      <c r="AB390" s="102"/>
      <c r="AC390" s="35"/>
      <c r="AD390" s="35"/>
    </row>
    <row r="391" spans="1:30">
      <c r="A391" s="102">
        <f t="shared" si="6"/>
        <v>390</v>
      </c>
      <c r="B391" s="468">
        <f>YEAR(Table6[[#This Row],[Date]])+IF(MONTH(Table6[[#This Row],[Date]])&gt;=4,1,0)</f>
        <v>2026</v>
      </c>
      <c r="C391" s="102">
        <f>YEAR(Table6[[#This Row],[Date]])</f>
        <v>2025</v>
      </c>
      <c r="D391" s="102" t="s">
        <v>1992</v>
      </c>
      <c r="E391" s="469">
        <f>Table6[[#This Row],[Date]]-DAY(Table6[[#This Row],[Date]])+1</f>
        <v>45748</v>
      </c>
      <c r="F391" s="470">
        <v>45772</v>
      </c>
      <c r="G391" s="35" t="s">
        <v>93</v>
      </c>
      <c r="H391" s="35" t="str">
        <f>IFERROR(_xlfn.XLOOKUP(Table6[[#This Row],[Affected WTG]],'Basic Data'!$A:$A,'Basic Data'!$B:$B),"")</f>
        <v>TQGXIIPL</v>
      </c>
      <c r="I391" s="35" t="str">
        <f>IFERROR(_xlfn.XLOOKUP(Table6[[#This Row],[Affected WTG]],'Basic Data'!$A:$A,'Basic Data'!$C:$C),"")</f>
        <v>GEDA</v>
      </c>
      <c r="J391" s="471">
        <f>IFERROR(_xlfn.XLOOKUP(Table6[[#This Row],[Affected WTG]],'Basic Data'!$A:$A,'Basic Data'!$E:$E),"")</f>
        <v>3.846153846153845E-2</v>
      </c>
      <c r="K391" s="102">
        <v>55</v>
      </c>
      <c r="L391" s="35" t="str">
        <f>IFERROR(_xlfn.XLOOKUP(Table6[[#This Row],[Error Code]],'Basic Data'!$AA:$AA,'Basic Data'!$AB:$AB),"Incorrect Error Code")</f>
        <v>WTG shut down</v>
      </c>
      <c r="M391" s="35" t="s">
        <v>304</v>
      </c>
      <c r="N391" s="475"/>
      <c r="O391" s="476">
        <v>0.30763888888888891</v>
      </c>
      <c r="P391" s="476">
        <v>0.30763888888888891</v>
      </c>
      <c r="Q391" s="477">
        <v>0.625</v>
      </c>
      <c r="R391" s="472">
        <f>IF(Table6[[#This Row],[Work Start TimeStamp]]="","",(Table6[[#This Row],[Work Start TimeStamp]]-Table6[[#This Row],[Fault Start TimeStamp]])*24)</f>
        <v>0</v>
      </c>
      <c r="S391" s="472">
        <f>(Table6[[#This Row],[Fault Clearance time]]-Table6[[#This Row],[Work Start TimeStamp]])*24</f>
        <v>7.6166666666666663</v>
      </c>
      <c r="T391" s="472">
        <f>(Table6[[#This Row],[Fault Clearance time]]-Table6[[#This Row],[Fault Start TimeStamp]])*24</f>
        <v>7.6166666666666663</v>
      </c>
      <c r="U391" s="35" t="s">
        <v>351</v>
      </c>
      <c r="V391" s="102" t="s">
        <v>293</v>
      </c>
      <c r="W391" s="478">
        <f>IFERROR(Table6[[#This Row],[Breakdown Time]]*Table6[[#This Row],[Plant Equivalent Weightage]],"")</f>
        <v>0.29294871794871785</v>
      </c>
      <c r="X391" s="473" t="s">
        <v>305</v>
      </c>
      <c r="Y391" s="474" t="s">
        <v>314</v>
      </c>
      <c r="Z391" s="102">
        <v>22510</v>
      </c>
      <c r="AA391" s="468">
        <f>(Table6[[#This Row],[Paired WTG Generation for loss calculation]]/24)*Table6[[#This Row],[Breakdown Time]]</f>
        <v>7143.7986111111104</v>
      </c>
      <c r="AB391" s="102"/>
      <c r="AC391" s="35"/>
      <c r="AD391" s="35"/>
    </row>
    <row r="392" spans="1:30">
      <c r="A392" s="102">
        <f t="shared" si="6"/>
        <v>391</v>
      </c>
      <c r="B392" s="468">
        <f>YEAR(Table6[[#This Row],[Date]])+IF(MONTH(Table6[[#This Row],[Date]])&gt;=4,1,0)</f>
        <v>2026</v>
      </c>
      <c r="C392" s="102">
        <f>YEAR(Table6[[#This Row],[Date]])</f>
        <v>2025</v>
      </c>
      <c r="D392" s="102" t="s">
        <v>1992</v>
      </c>
      <c r="E392" s="469">
        <f>Table6[[#This Row],[Date]]-DAY(Table6[[#This Row],[Date]])+1</f>
        <v>45748</v>
      </c>
      <c r="F392" s="470">
        <v>45773</v>
      </c>
      <c r="G392" s="35" t="s">
        <v>76</v>
      </c>
      <c r="H392" s="35" t="str">
        <f>IFERROR(_xlfn.XLOOKUP(Table6[[#This Row],[Affected WTG]],'Basic Data'!$A:$A,'Basic Data'!$B:$B),"")</f>
        <v>TQGXIIPL</v>
      </c>
      <c r="I392" s="35" t="str">
        <f>IFERROR(_xlfn.XLOOKUP(Table6[[#This Row],[Affected WTG]],'Basic Data'!$A:$A,'Basic Data'!$C:$C),"")</f>
        <v>GEDA</v>
      </c>
      <c r="J392" s="471">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291</v>
      </c>
      <c r="N392" s="475"/>
      <c r="O392" s="476">
        <v>0.46041666666666664</v>
      </c>
      <c r="P392" s="476">
        <v>0.46041666666666664</v>
      </c>
      <c r="Q392" s="477">
        <v>0.46736111111111112</v>
      </c>
      <c r="R392" s="472">
        <f>IF(Table6[[#This Row],[Work Start TimeStamp]]="","",(Table6[[#This Row],[Work Start TimeStamp]]-Table6[[#This Row],[Fault Start TimeStamp]])*24)</f>
        <v>0</v>
      </c>
      <c r="S392" s="472">
        <f>(Table6[[#This Row],[Fault Clearance time]]-Table6[[#This Row],[Work Start TimeStamp]])*24</f>
        <v>0.16666666666666741</v>
      </c>
      <c r="T392" s="472">
        <f>(Table6[[#This Row],[Fault Clearance time]]-Table6[[#This Row],[Fault Start TimeStamp]])*24</f>
        <v>0.16666666666666741</v>
      </c>
      <c r="U392" s="35" t="s">
        <v>349</v>
      </c>
      <c r="V392" s="102" t="s">
        <v>293</v>
      </c>
      <c r="W392" s="478">
        <f>IFERROR(Table6[[#This Row],[Breakdown Time]]*Table6[[#This Row],[Plant Equivalent Weightage]],"")</f>
        <v>6.4102564102564369E-3</v>
      </c>
      <c r="X392" s="473" t="s">
        <v>294</v>
      </c>
      <c r="Y392" s="474" t="s">
        <v>309</v>
      </c>
      <c r="Z392" s="102">
        <v>21341</v>
      </c>
      <c r="AA392" s="468">
        <f>(Table6[[#This Row],[Paired WTG Generation for loss calculation]]/24)*Table6[[#This Row],[Breakdown Time]]</f>
        <v>148.20138888888954</v>
      </c>
      <c r="AB392" s="102"/>
      <c r="AC392" s="35"/>
      <c r="AD392" s="35"/>
    </row>
    <row r="393" spans="1:30">
      <c r="A393" s="102">
        <f t="shared" si="6"/>
        <v>392</v>
      </c>
      <c r="B393" s="468">
        <f>YEAR(Table6[[#This Row],[Date]])+IF(MONTH(Table6[[#This Row],[Date]])&gt;=4,1,0)</f>
        <v>2026</v>
      </c>
      <c r="C393" s="102">
        <f>YEAR(Table6[[#This Row],[Date]])</f>
        <v>2025</v>
      </c>
      <c r="D393" s="102" t="s">
        <v>1992</v>
      </c>
      <c r="E393" s="469">
        <f>Table6[[#This Row],[Date]]-DAY(Table6[[#This Row],[Date]])+1</f>
        <v>45748</v>
      </c>
      <c r="F393" s="470">
        <v>45773</v>
      </c>
      <c r="G393" s="35" t="s">
        <v>77</v>
      </c>
      <c r="H393" s="35" t="str">
        <f>IFERROR(_xlfn.XLOOKUP(Table6[[#This Row],[Affected WTG]],'Basic Data'!$A:$A,'Basic Data'!$B:$B),"")</f>
        <v>TQGXIIPL</v>
      </c>
      <c r="I393" s="35" t="str">
        <f>IFERROR(_xlfn.XLOOKUP(Table6[[#This Row],[Affected WTG]],'Basic Data'!$A:$A,'Basic Data'!$C:$C),"")</f>
        <v>GEDA</v>
      </c>
      <c r="J393" s="471">
        <f>IFERROR(_xlfn.XLOOKUP(Table6[[#This Row],[Affected WTG]],'Basic Data'!$A:$A,'Basic Data'!$E:$E),"")</f>
        <v>3.846153846153845E-2</v>
      </c>
      <c r="K393" s="102">
        <v>6130</v>
      </c>
      <c r="L393" s="35" t="str">
        <f>IFERROR(_xlfn.XLOOKUP(Table6[[#This Row],[Error Code]],'Basic Data'!$AA:$AA,'Basic Data'!$AB:$AB),"Incorrect Error Code")</f>
        <v>Yaw speed high</v>
      </c>
      <c r="M393" s="35" t="s">
        <v>291</v>
      </c>
      <c r="N393" s="475"/>
      <c r="O393" s="476">
        <v>0.6743055555555556</v>
      </c>
      <c r="P393" s="476">
        <v>0.6743055555555556</v>
      </c>
      <c r="Q393" s="477">
        <v>0.67847222222222225</v>
      </c>
      <c r="R393" s="472">
        <f>IF(Table6[[#This Row],[Work Start TimeStamp]]="","",(Table6[[#This Row],[Work Start TimeStamp]]-Table6[[#This Row],[Fault Start TimeStamp]])*24)</f>
        <v>0</v>
      </c>
      <c r="S393" s="472">
        <f>(Table6[[#This Row],[Fault Clearance time]]-Table6[[#This Row],[Work Start TimeStamp]])*24</f>
        <v>9.9999999999999645E-2</v>
      </c>
      <c r="T393" s="472">
        <f>(Table6[[#This Row],[Fault Clearance time]]-Table6[[#This Row],[Fault Start TimeStamp]])*24</f>
        <v>9.9999999999999645E-2</v>
      </c>
      <c r="U393" s="35" t="s">
        <v>349</v>
      </c>
      <c r="V393" s="102" t="s">
        <v>293</v>
      </c>
      <c r="W393" s="478">
        <f>IFERROR(Table6[[#This Row],[Breakdown Time]]*Table6[[#This Row],[Plant Equivalent Weightage]],"")</f>
        <v>3.8461538461538312E-3</v>
      </c>
      <c r="X393" s="473" t="s">
        <v>294</v>
      </c>
      <c r="Y393" s="474" t="s">
        <v>310</v>
      </c>
      <c r="Z393" s="102">
        <v>32148</v>
      </c>
      <c r="AA393" s="468">
        <f>(Table6[[#This Row],[Paired WTG Generation for loss calculation]]/24)*Table6[[#This Row],[Breakdown Time]]</f>
        <v>133.94999999999953</v>
      </c>
      <c r="AB393" s="102"/>
      <c r="AC393" s="35"/>
      <c r="AD393" s="35"/>
    </row>
    <row r="394" spans="1:30">
      <c r="A394" s="102">
        <f t="shared" si="6"/>
        <v>393</v>
      </c>
      <c r="B394" s="468">
        <f>YEAR(Table6[[#This Row],[Date]])+IF(MONTH(Table6[[#This Row],[Date]])&gt;=4,1,0)</f>
        <v>2026</v>
      </c>
      <c r="C394" s="102">
        <f>YEAR(Table6[[#This Row],[Date]])</f>
        <v>2025</v>
      </c>
      <c r="D394" s="102" t="s">
        <v>1992</v>
      </c>
      <c r="E394" s="469">
        <f>Table6[[#This Row],[Date]]-DAY(Table6[[#This Row],[Date]])+1</f>
        <v>45748</v>
      </c>
      <c r="F394" s="470">
        <v>45773</v>
      </c>
      <c r="G394" s="35" t="s">
        <v>78</v>
      </c>
      <c r="H394" s="35" t="str">
        <f>IFERROR(_xlfn.XLOOKUP(Table6[[#This Row],[Affected WTG]],'Basic Data'!$A:$A,'Basic Data'!$B:$B),"")</f>
        <v>TQGXIIPL</v>
      </c>
      <c r="I394" s="35" t="str">
        <f>IFERROR(_xlfn.XLOOKUP(Table6[[#This Row],[Affected WTG]],'Basic Data'!$A:$A,'Basic Data'!$C:$C),"")</f>
        <v>GEDA</v>
      </c>
      <c r="J394" s="471">
        <f>IFERROR(_xlfn.XLOOKUP(Table6[[#This Row],[Affected WTG]],'Basic Data'!$A:$A,'Basic Data'!$E:$E),"")</f>
        <v>3.846153846153845E-2</v>
      </c>
      <c r="K394" s="102">
        <v>55</v>
      </c>
      <c r="L394" s="35" t="str">
        <f>IFERROR(_xlfn.XLOOKUP(Table6[[#This Row],[Error Code]],'Basic Data'!$AA:$AA,'Basic Data'!$AB:$AB),"Incorrect Error Code")</f>
        <v>WTG shut down</v>
      </c>
      <c r="M394" s="35" t="s">
        <v>330</v>
      </c>
      <c r="N394" s="475"/>
      <c r="O394" s="476">
        <v>0.7993055555555556</v>
      </c>
      <c r="P394" s="476">
        <v>0.7993055555555556</v>
      </c>
      <c r="Q394" s="477">
        <v>0.90486111111111112</v>
      </c>
      <c r="R394" s="472">
        <f>IF(Table6[[#This Row],[Work Start TimeStamp]]="","",(Table6[[#This Row],[Work Start TimeStamp]]-Table6[[#This Row],[Fault Start TimeStamp]])*24)</f>
        <v>0</v>
      </c>
      <c r="S394" s="472">
        <f>(Table6[[#This Row],[Fault Clearance time]]-Table6[[#This Row],[Work Start TimeStamp]])*24</f>
        <v>2.5333333333333323</v>
      </c>
      <c r="T394" s="472">
        <f>(Table6[[#This Row],[Fault Clearance time]]-Table6[[#This Row],[Fault Start TimeStamp]])*24</f>
        <v>2.5333333333333323</v>
      </c>
      <c r="U394" s="35" t="s">
        <v>337</v>
      </c>
      <c r="V394" s="102" t="s">
        <v>293</v>
      </c>
      <c r="W394" s="478">
        <f>IFERROR(Table6[[#This Row],[Breakdown Time]]*Table6[[#This Row],[Plant Equivalent Weightage]],"")</f>
        <v>9.7435897435897367E-2</v>
      </c>
      <c r="X394" s="473" t="s">
        <v>290</v>
      </c>
      <c r="Y394" s="474" t="s">
        <v>333</v>
      </c>
      <c r="Z394" s="102">
        <v>30087</v>
      </c>
      <c r="AA394" s="468">
        <f>(Table6[[#This Row],[Paired WTG Generation for loss calculation]]/24)*Table6[[#This Row],[Breakdown Time]]</f>
        <v>3175.8499999999985</v>
      </c>
      <c r="AB394" s="102"/>
      <c r="AC394" s="35"/>
      <c r="AD394" s="35"/>
    </row>
    <row r="395" spans="1:30">
      <c r="A395" s="102">
        <f t="shared" si="6"/>
        <v>394</v>
      </c>
      <c r="B395" s="468">
        <f>YEAR(Table6[[#This Row],[Date]])+IF(MONTH(Table6[[#This Row],[Date]])&gt;=4,1,0)</f>
        <v>2026</v>
      </c>
      <c r="C395" s="102">
        <f>YEAR(Table6[[#This Row],[Date]])</f>
        <v>2025</v>
      </c>
      <c r="D395" s="102" t="s">
        <v>1992</v>
      </c>
      <c r="E395" s="469">
        <f>Table6[[#This Row],[Date]]-DAY(Table6[[#This Row],[Date]])+1</f>
        <v>45748</v>
      </c>
      <c r="F395" s="470">
        <v>45773</v>
      </c>
      <c r="G395" s="35" t="s">
        <v>83</v>
      </c>
      <c r="H395" s="35" t="str">
        <f>IFERROR(_xlfn.XLOOKUP(Table6[[#This Row],[Affected WTG]],'Basic Data'!$A:$A,'Basic Data'!$B:$B),"")</f>
        <v>TQGXIIPL</v>
      </c>
      <c r="I395" s="35" t="str">
        <f>IFERROR(_xlfn.XLOOKUP(Table6[[#This Row],[Affected WTG]],'Basic Data'!$A:$A,'Basic Data'!$C:$C),"")</f>
        <v>GEDA</v>
      </c>
      <c r="J395" s="471">
        <f>IFERROR(_xlfn.XLOOKUP(Table6[[#This Row],[Affected WTG]],'Basic Data'!$A:$A,'Basic Data'!$E:$E),"")</f>
        <v>3.846153846153845E-2</v>
      </c>
      <c r="K395" s="102">
        <v>55</v>
      </c>
      <c r="L395" s="35" t="str">
        <f>IFERROR(_xlfn.XLOOKUP(Table6[[#This Row],[Error Code]],'Basic Data'!$AA:$AA,'Basic Data'!$AB:$AB),"Incorrect Error Code")</f>
        <v>WTG shut down</v>
      </c>
      <c r="M395" s="35" t="s">
        <v>291</v>
      </c>
      <c r="N395" s="475"/>
      <c r="O395" s="476">
        <v>0.68958333333333333</v>
      </c>
      <c r="P395" s="476">
        <v>0.68958333333333333</v>
      </c>
      <c r="Q395" s="477">
        <v>0.74652777777777779</v>
      </c>
      <c r="R395" s="472">
        <f>IF(Table6[[#This Row],[Work Start TimeStamp]]="","",(Table6[[#This Row],[Work Start TimeStamp]]-Table6[[#This Row],[Fault Start TimeStamp]])*24)</f>
        <v>0</v>
      </c>
      <c r="S395" s="472">
        <f>(Table6[[#This Row],[Fault Clearance time]]-Table6[[#This Row],[Work Start TimeStamp]])*24</f>
        <v>1.3666666666666671</v>
      </c>
      <c r="T395" s="472">
        <f>(Table6[[#This Row],[Fault Clearance time]]-Table6[[#This Row],[Fault Start TimeStamp]])*24</f>
        <v>1.3666666666666671</v>
      </c>
      <c r="U395" s="35" t="s">
        <v>1719</v>
      </c>
      <c r="V395" s="102" t="s">
        <v>293</v>
      </c>
      <c r="W395" s="478">
        <f>IFERROR(Table6[[#This Row],[Breakdown Time]]*Table6[[#This Row],[Plant Equivalent Weightage]],"")</f>
        <v>5.2564102564102565E-2</v>
      </c>
      <c r="X395" s="473" t="s">
        <v>290</v>
      </c>
      <c r="Y395" s="474" t="s">
        <v>312</v>
      </c>
      <c r="Z395" s="102">
        <v>21293</v>
      </c>
      <c r="AA395" s="468">
        <f>(Table6[[#This Row],[Paired WTG Generation for loss calculation]]/24)*Table6[[#This Row],[Breakdown Time]]</f>
        <v>1212.518055555556</v>
      </c>
      <c r="AB395" s="102"/>
      <c r="AC395" s="35"/>
      <c r="AD395" s="35"/>
    </row>
    <row r="396" spans="1:30">
      <c r="A396" s="102">
        <f t="shared" si="6"/>
        <v>395</v>
      </c>
      <c r="B396" s="468">
        <f>YEAR(Table6[[#This Row],[Date]])+IF(MONTH(Table6[[#This Row],[Date]])&gt;=4,1,0)</f>
        <v>2026</v>
      </c>
      <c r="C396" s="102">
        <f>YEAR(Table6[[#This Row],[Date]])</f>
        <v>2025</v>
      </c>
      <c r="D396" s="102" t="s">
        <v>1992</v>
      </c>
      <c r="E396" s="469">
        <f>Table6[[#This Row],[Date]]-DAY(Table6[[#This Row],[Date]])+1</f>
        <v>45748</v>
      </c>
      <c r="F396" s="470">
        <v>45773</v>
      </c>
      <c r="G396" s="35" t="s">
        <v>84</v>
      </c>
      <c r="H396" s="35" t="str">
        <f>IFERROR(_xlfn.XLOOKUP(Table6[[#This Row],[Affected WTG]],'Basic Data'!$A:$A,'Basic Data'!$B:$B),"")</f>
        <v>TQGXIIPL</v>
      </c>
      <c r="I396" s="35" t="str">
        <f>IFERROR(_xlfn.XLOOKUP(Table6[[#This Row],[Affected WTG]],'Basic Data'!$A:$A,'Basic Data'!$C:$C),"")</f>
        <v>GEDA</v>
      </c>
      <c r="J396" s="471">
        <f>IFERROR(_xlfn.XLOOKUP(Table6[[#This Row],[Affected WTG]],'Basic Data'!$A:$A,'Basic Data'!$E:$E),"")</f>
        <v>3.846153846153845E-2</v>
      </c>
      <c r="K396" s="102">
        <v>55</v>
      </c>
      <c r="L396" s="35" t="str">
        <f>IFERROR(_xlfn.XLOOKUP(Table6[[#This Row],[Error Code]],'Basic Data'!$AA:$AA,'Basic Data'!$AB:$AB),"Incorrect Error Code")</f>
        <v>WTG shut down</v>
      </c>
      <c r="M396" s="35" t="s">
        <v>291</v>
      </c>
      <c r="N396" s="475"/>
      <c r="O396" s="476">
        <v>0.61527777777777781</v>
      </c>
      <c r="P396" s="476">
        <v>0.61527777777777781</v>
      </c>
      <c r="Q396" s="477">
        <v>0.66666666666666663</v>
      </c>
      <c r="R396" s="472">
        <f>IF(Table6[[#This Row],[Work Start TimeStamp]]="","",(Table6[[#This Row],[Work Start TimeStamp]]-Table6[[#This Row],[Fault Start TimeStamp]])*24)</f>
        <v>0</v>
      </c>
      <c r="S396" s="472">
        <f>(Table6[[#This Row],[Fault Clearance time]]-Table6[[#This Row],[Work Start TimeStamp]])*24</f>
        <v>1.2333333333333316</v>
      </c>
      <c r="T396" s="472">
        <f>(Table6[[#This Row],[Fault Clearance time]]-Table6[[#This Row],[Fault Start TimeStamp]])*24</f>
        <v>1.2333333333333316</v>
      </c>
      <c r="U396" s="35" t="s">
        <v>1719</v>
      </c>
      <c r="V396" s="102" t="s">
        <v>293</v>
      </c>
      <c r="W396" s="478">
        <f>IFERROR(Table6[[#This Row],[Breakdown Time]]*Table6[[#This Row],[Plant Equivalent Weightage]],"")</f>
        <v>4.7435897435897358E-2</v>
      </c>
      <c r="X396" s="473" t="s">
        <v>290</v>
      </c>
      <c r="Y396" s="474" t="s">
        <v>327</v>
      </c>
      <c r="Z396" s="102">
        <v>21342</v>
      </c>
      <c r="AA396" s="468">
        <f>(Table6[[#This Row],[Paired WTG Generation for loss calculation]]/24)*Table6[[#This Row],[Breakdown Time]]</f>
        <v>1096.7416666666652</v>
      </c>
      <c r="AB396" s="102"/>
      <c r="AC396" s="35"/>
      <c r="AD396" s="35"/>
    </row>
    <row r="397" spans="1:30">
      <c r="A397" s="102">
        <f t="shared" si="6"/>
        <v>396</v>
      </c>
      <c r="B397" s="468">
        <f>YEAR(Table6[[#This Row],[Date]])+IF(MONTH(Table6[[#This Row],[Date]])&gt;=4,1,0)</f>
        <v>2026</v>
      </c>
      <c r="C397" s="102">
        <f>YEAR(Table6[[#This Row],[Date]])</f>
        <v>2025</v>
      </c>
      <c r="D397" s="102" t="s">
        <v>1992</v>
      </c>
      <c r="E397" s="469">
        <f>Table6[[#This Row],[Date]]-DAY(Table6[[#This Row],[Date]])+1</f>
        <v>45748</v>
      </c>
      <c r="F397" s="470">
        <v>45773</v>
      </c>
      <c r="G397" s="35" t="s">
        <v>86</v>
      </c>
      <c r="H397" s="35" t="str">
        <f>IFERROR(_xlfn.XLOOKUP(Table6[[#This Row],[Affected WTG]],'Basic Data'!$A:$A,'Basic Data'!$B:$B),"")</f>
        <v>TQGXIIPL</v>
      </c>
      <c r="I397" s="35" t="str">
        <f>IFERROR(_xlfn.XLOOKUP(Table6[[#This Row],[Affected WTG]],'Basic Data'!$A:$A,'Basic Data'!$C:$C),"")</f>
        <v>GEDA</v>
      </c>
      <c r="J397" s="471">
        <f>IFERROR(_xlfn.XLOOKUP(Table6[[#This Row],[Affected WTG]],'Basic Data'!$A:$A,'Basic Data'!$E:$E),"")</f>
        <v>3.846153846153845E-2</v>
      </c>
      <c r="K397" s="102">
        <v>55</v>
      </c>
      <c r="L397" s="35" t="str">
        <f>IFERROR(_xlfn.XLOOKUP(Table6[[#This Row],[Error Code]],'Basic Data'!$AA:$AA,'Basic Data'!$AB:$AB),"Incorrect Error Code")</f>
        <v>WTG shut down</v>
      </c>
      <c r="M397" s="35" t="s">
        <v>291</v>
      </c>
      <c r="N397" s="475"/>
      <c r="O397" s="476">
        <v>0.45</v>
      </c>
      <c r="P397" s="476">
        <v>0.45</v>
      </c>
      <c r="Q397" s="477">
        <v>0.5</v>
      </c>
      <c r="R397" s="472">
        <f>IF(Table6[[#This Row],[Work Start TimeStamp]]="","",(Table6[[#This Row],[Work Start TimeStamp]]-Table6[[#This Row],[Fault Start TimeStamp]])*24)</f>
        <v>0</v>
      </c>
      <c r="S397" s="472">
        <f>(Table6[[#This Row],[Fault Clearance time]]-Table6[[#This Row],[Work Start TimeStamp]])*24</f>
        <v>1.1999999999999997</v>
      </c>
      <c r="T397" s="472">
        <f>(Table6[[#This Row],[Fault Clearance time]]-Table6[[#This Row],[Fault Start TimeStamp]])*24</f>
        <v>1.1999999999999997</v>
      </c>
      <c r="U397" s="35" t="s">
        <v>1719</v>
      </c>
      <c r="V397" s="102" t="s">
        <v>293</v>
      </c>
      <c r="W397" s="478">
        <f>IFERROR(Table6[[#This Row],[Breakdown Time]]*Table6[[#This Row],[Plant Equivalent Weightage]],"")</f>
        <v>4.6153846153846129E-2</v>
      </c>
      <c r="X397" s="473" t="s">
        <v>290</v>
      </c>
      <c r="Y397" s="474" t="s">
        <v>313</v>
      </c>
      <c r="Z397" s="102">
        <v>20631</v>
      </c>
      <c r="AA397" s="468">
        <f>(Table6[[#This Row],[Paired WTG Generation for loss calculation]]/24)*Table6[[#This Row],[Breakdown Time]]</f>
        <v>1031.5499999999997</v>
      </c>
      <c r="AB397" s="102"/>
      <c r="AC397" s="35"/>
      <c r="AD397" s="35"/>
    </row>
    <row r="398" spans="1:30">
      <c r="A398" s="102">
        <f t="shared" ref="A398:A461" si="7">A397+1</f>
        <v>397</v>
      </c>
      <c r="B398" s="468">
        <f>YEAR(Table6[[#This Row],[Date]])+IF(MONTH(Table6[[#This Row],[Date]])&gt;=4,1,0)</f>
        <v>2026</v>
      </c>
      <c r="C398" s="102">
        <f>YEAR(Table6[[#This Row],[Date]])</f>
        <v>2025</v>
      </c>
      <c r="D398" s="102" t="s">
        <v>1992</v>
      </c>
      <c r="E398" s="469">
        <f>Table6[[#This Row],[Date]]-DAY(Table6[[#This Row],[Date]])+1</f>
        <v>45748</v>
      </c>
      <c r="F398" s="470">
        <v>45773</v>
      </c>
      <c r="G398" s="35" t="s">
        <v>86</v>
      </c>
      <c r="H398" s="35" t="str">
        <f>IFERROR(_xlfn.XLOOKUP(Table6[[#This Row],[Affected WTG]],'Basic Data'!$A:$A,'Basic Data'!$B:$B),"")</f>
        <v>TQGXIIPL</v>
      </c>
      <c r="I398" s="35" t="str">
        <f>IFERROR(_xlfn.XLOOKUP(Table6[[#This Row],[Affected WTG]],'Basic Data'!$A:$A,'Basic Data'!$C:$C),"")</f>
        <v>GEDA</v>
      </c>
      <c r="J398" s="471">
        <f>IFERROR(_xlfn.XLOOKUP(Table6[[#This Row],[Affected WTG]],'Basic Data'!$A:$A,'Basic Data'!$E:$E),"")</f>
        <v>3.846153846153845E-2</v>
      </c>
      <c r="K398" s="102">
        <v>55</v>
      </c>
      <c r="L398" s="35" t="str">
        <f>IFERROR(_xlfn.XLOOKUP(Table6[[#This Row],[Error Code]],'Basic Data'!$AA:$AA,'Basic Data'!$AB:$AB),"Incorrect Error Code")</f>
        <v>WTG shut down</v>
      </c>
      <c r="M398" s="35" t="s">
        <v>291</v>
      </c>
      <c r="N398" s="475"/>
      <c r="O398" s="476">
        <v>0.5</v>
      </c>
      <c r="P398" s="476">
        <v>0.5</v>
      </c>
      <c r="Q398" s="477">
        <v>0.55208333333333337</v>
      </c>
      <c r="R398" s="472">
        <f>IF(Table6[[#This Row],[Work Start TimeStamp]]="","",(Table6[[#This Row],[Work Start TimeStamp]]-Table6[[#This Row],[Fault Start TimeStamp]])*24)</f>
        <v>0</v>
      </c>
      <c r="S398" s="472">
        <f>(Table6[[#This Row],[Fault Clearance time]]-Table6[[#This Row],[Work Start TimeStamp]])*24</f>
        <v>1.2500000000000009</v>
      </c>
      <c r="T398" s="472">
        <f>(Table6[[#This Row],[Fault Clearance time]]-Table6[[#This Row],[Fault Start TimeStamp]])*24</f>
        <v>1.2500000000000009</v>
      </c>
      <c r="U398" s="35" t="s">
        <v>347</v>
      </c>
      <c r="V398" s="102" t="s">
        <v>293</v>
      </c>
      <c r="W398" s="478">
        <f>IFERROR(Table6[[#This Row],[Breakdown Time]]*Table6[[#This Row],[Plant Equivalent Weightage]],"")</f>
        <v>4.8076923076923093E-2</v>
      </c>
      <c r="X398" s="473" t="s">
        <v>290</v>
      </c>
      <c r="Y398" s="474" t="s">
        <v>313</v>
      </c>
      <c r="Z398" s="102">
        <v>20631</v>
      </c>
      <c r="AA398" s="468">
        <f>(Table6[[#This Row],[Paired WTG Generation for loss calculation]]/24)*Table6[[#This Row],[Breakdown Time]]</f>
        <v>1074.5312500000007</v>
      </c>
      <c r="AB398" s="102"/>
      <c r="AC398" s="35"/>
      <c r="AD398" s="35"/>
    </row>
    <row r="399" spans="1:30">
      <c r="A399" s="102">
        <f t="shared" si="7"/>
        <v>398</v>
      </c>
      <c r="B399" s="468">
        <f>YEAR(Table6[[#This Row],[Date]])+IF(MONTH(Table6[[#This Row],[Date]])&gt;=4,1,0)</f>
        <v>2026</v>
      </c>
      <c r="C399" s="102">
        <f>YEAR(Table6[[#This Row],[Date]])</f>
        <v>2025</v>
      </c>
      <c r="D399" s="102" t="s">
        <v>1992</v>
      </c>
      <c r="E399" s="469">
        <f>Table6[[#This Row],[Date]]-DAY(Table6[[#This Row],[Date]])+1</f>
        <v>45748</v>
      </c>
      <c r="F399" s="470">
        <v>45773</v>
      </c>
      <c r="G399" s="35" t="s">
        <v>86</v>
      </c>
      <c r="H399" s="35" t="str">
        <f>IFERROR(_xlfn.XLOOKUP(Table6[[#This Row],[Affected WTG]],'Basic Data'!$A:$A,'Basic Data'!$B:$B),"")</f>
        <v>TQGXIIPL</v>
      </c>
      <c r="I399" s="35" t="str">
        <f>IFERROR(_xlfn.XLOOKUP(Table6[[#This Row],[Affected WTG]],'Basic Data'!$A:$A,'Basic Data'!$C:$C),"")</f>
        <v>GEDA</v>
      </c>
      <c r="J399" s="471">
        <f>IFERROR(_xlfn.XLOOKUP(Table6[[#This Row],[Affected WTG]],'Basic Data'!$A:$A,'Basic Data'!$E:$E),"")</f>
        <v>3.846153846153845E-2</v>
      </c>
      <c r="K399" s="102">
        <v>55</v>
      </c>
      <c r="L399" s="35" t="str">
        <f>IFERROR(_xlfn.XLOOKUP(Table6[[#This Row],[Error Code]],'Basic Data'!$AA:$AA,'Basic Data'!$AB:$AB),"Incorrect Error Code")</f>
        <v>WTG shut down</v>
      </c>
      <c r="M399" s="35" t="s">
        <v>291</v>
      </c>
      <c r="N399" s="475"/>
      <c r="O399" s="476">
        <v>0.56666666666666665</v>
      </c>
      <c r="P399" s="476">
        <v>0.56666666666666665</v>
      </c>
      <c r="Q399" s="477">
        <v>0.6</v>
      </c>
      <c r="R399" s="472">
        <f>IF(Table6[[#This Row],[Work Start TimeStamp]]="","",(Table6[[#This Row],[Work Start TimeStamp]]-Table6[[#This Row],[Fault Start TimeStamp]])*24)</f>
        <v>0</v>
      </c>
      <c r="S399" s="472">
        <f>(Table6[[#This Row],[Fault Clearance time]]-Table6[[#This Row],[Work Start TimeStamp]])*24</f>
        <v>0.79999999999999982</v>
      </c>
      <c r="T399" s="472">
        <f>(Table6[[#This Row],[Fault Clearance time]]-Table6[[#This Row],[Fault Start TimeStamp]])*24</f>
        <v>0.79999999999999982</v>
      </c>
      <c r="U399" s="35" t="s">
        <v>347</v>
      </c>
      <c r="V399" s="102" t="s">
        <v>293</v>
      </c>
      <c r="W399" s="478">
        <f>IFERROR(Table6[[#This Row],[Breakdown Time]]*Table6[[#This Row],[Plant Equivalent Weightage]],"")</f>
        <v>3.0769230769230754E-2</v>
      </c>
      <c r="X399" s="473" t="s">
        <v>290</v>
      </c>
      <c r="Y399" s="474" t="s">
        <v>313</v>
      </c>
      <c r="Z399" s="102">
        <v>20631</v>
      </c>
      <c r="AA399" s="468">
        <f>(Table6[[#This Row],[Paired WTG Generation for loss calculation]]/24)*Table6[[#This Row],[Breakdown Time]]</f>
        <v>687.69999999999982</v>
      </c>
      <c r="AB399" s="102"/>
      <c r="AC399" s="35"/>
      <c r="AD399" s="35"/>
    </row>
    <row r="400" spans="1:30">
      <c r="A400" s="102">
        <f t="shared" si="7"/>
        <v>399</v>
      </c>
      <c r="B400" s="468">
        <f>YEAR(Table6[[#This Row],[Date]])+IF(MONTH(Table6[[#This Row],[Date]])&gt;=4,1,0)</f>
        <v>2026</v>
      </c>
      <c r="C400" s="102">
        <f>YEAR(Table6[[#This Row],[Date]])</f>
        <v>2025</v>
      </c>
      <c r="D400" s="102" t="s">
        <v>1992</v>
      </c>
      <c r="E400" s="469">
        <f>Table6[[#This Row],[Date]]-DAY(Table6[[#This Row],[Date]])+1</f>
        <v>45748</v>
      </c>
      <c r="F400" s="470">
        <v>45773</v>
      </c>
      <c r="G400" s="35" t="s">
        <v>90</v>
      </c>
      <c r="H400" s="35" t="str">
        <f>IFERROR(_xlfn.XLOOKUP(Table6[[#This Row],[Affected WTG]],'Basic Data'!$A:$A,'Basic Data'!$B:$B),"")</f>
        <v>TQGXIIPL</v>
      </c>
      <c r="I400" s="35" t="str">
        <f>IFERROR(_xlfn.XLOOKUP(Table6[[#This Row],[Affected WTG]],'Basic Data'!$A:$A,'Basic Data'!$C:$C),"")</f>
        <v>GEDA</v>
      </c>
      <c r="J400" s="471">
        <f>IFERROR(_xlfn.XLOOKUP(Table6[[#This Row],[Affected WTG]],'Basic Data'!$A:$A,'Basic Data'!$E:$E),"")</f>
        <v>3.846153846153845E-2</v>
      </c>
      <c r="K400" s="102">
        <v>55</v>
      </c>
      <c r="L400" s="35" t="str">
        <f>IFERROR(_xlfn.XLOOKUP(Table6[[#This Row],[Error Code]],'Basic Data'!$AA:$AA,'Basic Data'!$AB:$AB),"Incorrect Error Code")</f>
        <v>WTG shut down</v>
      </c>
      <c r="M400" s="35" t="s">
        <v>295</v>
      </c>
      <c r="N400" s="475"/>
      <c r="O400" s="476">
        <v>0.39166666666666666</v>
      </c>
      <c r="P400" s="476">
        <v>0.39166666666666666</v>
      </c>
      <c r="Q400" s="477">
        <v>0.67500000000000004</v>
      </c>
      <c r="R400" s="472">
        <f>IF(Table6[[#This Row],[Work Start TimeStamp]]="","",(Table6[[#This Row],[Work Start TimeStamp]]-Table6[[#This Row],[Fault Start TimeStamp]])*24)</f>
        <v>0</v>
      </c>
      <c r="S400" s="472">
        <f>(Table6[[#This Row],[Fault Clearance time]]-Table6[[#This Row],[Work Start TimeStamp]])*24</f>
        <v>6.8000000000000007</v>
      </c>
      <c r="T400" s="472">
        <f>(Table6[[#This Row],[Fault Clearance time]]-Table6[[#This Row],[Fault Start TimeStamp]])*24</f>
        <v>6.8000000000000007</v>
      </c>
      <c r="U400" s="35" t="s">
        <v>1718</v>
      </c>
      <c r="V400" s="102" t="s">
        <v>293</v>
      </c>
      <c r="W400" s="478">
        <f>IFERROR(Table6[[#This Row],[Breakdown Time]]*Table6[[#This Row],[Plant Equivalent Weightage]],"")</f>
        <v>0.2615384615384615</v>
      </c>
      <c r="X400" s="473" t="s">
        <v>290</v>
      </c>
      <c r="Y400" s="474" t="s">
        <v>339</v>
      </c>
      <c r="Z400" s="102">
        <v>28932</v>
      </c>
      <c r="AA400" s="468">
        <f>(Table6[[#This Row],[Paired WTG Generation for loss calculation]]/24)*Table6[[#This Row],[Breakdown Time]]</f>
        <v>8197.4000000000015</v>
      </c>
      <c r="AB400" s="102"/>
      <c r="AC400" s="35"/>
      <c r="AD400" s="35"/>
    </row>
    <row r="401" spans="1:30">
      <c r="A401" s="102">
        <f t="shared" si="7"/>
        <v>400</v>
      </c>
      <c r="B401" s="468">
        <f>YEAR(Table6[[#This Row],[Date]])+IF(MONTH(Table6[[#This Row],[Date]])&gt;=4,1,0)</f>
        <v>2026</v>
      </c>
      <c r="C401" s="102">
        <f>YEAR(Table6[[#This Row],[Date]])</f>
        <v>2025</v>
      </c>
      <c r="D401" s="102" t="s">
        <v>1992</v>
      </c>
      <c r="E401" s="469">
        <f>Table6[[#This Row],[Date]]-DAY(Table6[[#This Row],[Date]])+1</f>
        <v>45748</v>
      </c>
      <c r="F401" s="470">
        <v>45773</v>
      </c>
      <c r="G401" s="35" t="s">
        <v>91</v>
      </c>
      <c r="H401" s="35" t="str">
        <f>IFERROR(_xlfn.XLOOKUP(Table6[[#This Row],[Affected WTG]],'Basic Data'!$A:$A,'Basic Data'!$B:$B),"")</f>
        <v>TQGXIIPL</v>
      </c>
      <c r="I401" s="35" t="str">
        <f>IFERROR(_xlfn.XLOOKUP(Table6[[#This Row],[Affected WTG]],'Basic Data'!$A:$A,'Basic Data'!$C:$C),"")</f>
        <v>GEDA</v>
      </c>
      <c r="J401" s="471">
        <f>IFERROR(_xlfn.XLOOKUP(Table6[[#This Row],[Affected WTG]],'Basic Data'!$A:$A,'Basic Data'!$E:$E),"")</f>
        <v>3.846153846153845E-2</v>
      </c>
      <c r="K401" s="102">
        <v>55</v>
      </c>
      <c r="L401" s="35" t="str">
        <f>IFERROR(_xlfn.XLOOKUP(Table6[[#This Row],[Error Code]],'Basic Data'!$AA:$AA,'Basic Data'!$AB:$AB),"Incorrect Error Code")</f>
        <v>WTG shut down</v>
      </c>
      <c r="M401" s="35" t="s">
        <v>291</v>
      </c>
      <c r="N401" s="475"/>
      <c r="O401" s="476">
        <v>0.58263888888888893</v>
      </c>
      <c r="P401" s="476">
        <v>0.58263888888888893</v>
      </c>
      <c r="Q401" s="477">
        <v>0.58888888888888891</v>
      </c>
      <c r="R401" s="472">
        <f>IF(Table6[[#This Row],[Work Start TimeStamp]]="","",(Table6[[#This Row],[Work Start TimeStamp]]-Table6[[#This Row],[Fault Start TimeStamp]])*24)</f>
        <v>0</v>
      </c>
      <c r="S401" s="472">
        <f>(Table6[[#This Row],[Fault Clearance time]]-Table6[[#This Row],[Work Start TimeStamp]])*24</f>
        <v>0.14999999999999947</v>
      </c>
      <c r="T401" s="472">
        <f>(Table6[[#This Row],[Fault Clearance time]]-Table6[[#This Row],[Fault Start TimeStamp]])*24</f>
        <v>0.14999999999999947</v>
      </c>
      <c r="U401" s="35" t="s">
        <v>1730</v>
      </c>
      <c r="V401" s="102" t="s">
        <v>293</v>
      </c>
      <c r="W401" s="478">
        <f>IFERROR(Table6[[#This Row],[Breakdown Time]]*Table6[[#This Row],[Plant Equivalent Weightage]],"")</f>
        <v>5.769230769230747E-3</v>
      </c>
      <c r="X401" s="473" t="s">
        <v>290</v>
      </c>
      <c r="Y401" s="474" t="s">
        <v>319</v>
      </c>
      <c r="Z401" s="102">
        <v>25979</v>
      </c>
      <c r="AA401" s="468">
        <f>(Table6[[#This Row],[Paired WTG Generation for loss calculation]]/24)*Table6[[#This Row],[Breakdown Time]]</f>
        <v>162.36874999999941</v>
      </c>
      <c r="AB401" s="102"/>
      <c r="AC401" s="35"/>
      <c r="AD401" s="35"/>
    </row>
    <row r="402" spans="1:30">
      <c r="A402" s="102">
        <f t="shared" si="7"/>
        <v>401</v>
      </c>
      <c r="B402" s="468">
        <f>YEAR(Table6[[#This Row],[Date]])+IF(MONTH(Table6[[#This Row],[Date]])&gt;=4,1,0)</f>
        <v>2026</v>
      </c>
      <c r="C402" s="102">
        <f>YEAR(Table6[[#This Row],[Date]])</f>
        <v>2025</v>
      </c>
      <c r="D402" s="102" t="s">
        <v>1992</v>
      </c>
      <c r="E402" s="469">
        <f>Table6[[#This Row],[Date]]-DAY(Table6[[#This Row],[Date]])+1</f>
        <v>45748</v>
      </c>
      <c r="F402" s="470">
        <v>45773</v>
      </c>
      <c r="G402" s="35" t="s">
        <v>91</v>
      </c>
      <c r="H402" s="35" t="str">
        <f>IFERROR(_xlfn.XLOOKUP(Table6[[#This Row],[Affected WTG]],'Basic Data'!$A:$A,'Basic Data'!$B:$B),"")</f>
        <v>TQGXIIPL</v>
      </c>
      <c r="I402" s="35" t="str">
        <f>IFERROR(_xlfn.XLOOKUP(Table6[[#This Row],[Affected WTG]],'Basic Data'!$A:$A,'Basic Data'!$C:$C),"")</f>
        <v>GEDA</v>
      </c>
      <c r="J402" s="471">
        <f>IFERROR(_xlfn.XLOOKUP(Table6[[#This Row],[Affected WTG]],'Basic Data'!$A:$A,'Basic Data'!$E:$E),"")</f>
        <v>3.846153846153845E-2</v>
      </c>
      <c r="K402" s="102">
        <v>60</v>
      </c>
      <c r="L402" s="35" t="str">
        <f>IFERROR(_xlfn.XLOOKUP(Table6[[#This Row],[Error Code]],'Basic Data'!$AA:$AA,'Basic Data'!$AB:$AB),"Incorrect Error Code")</f>
        <v>Wind &gt; power</v>
      </c>
      <c r="M402" s="35" t="s">
        <v>291</v>
      </c>
      <c r="N402" s="475"/>
      <c r="O402" s="476">
        <v>0.74930555555555556</v>
      </c>
      <c r="P402" s="476">
        <v>0.74930555555555556</v>
      </c>
      <c r="Q402" s="477">
        <v>0.7680555555555556</v>
      </c>
      <c r="R402" s="472">
        <f>IF(Table6[[#This Row],[Work Start TimeStamp]]="","",(Table6[[#This Row],[Work Start TimeStamp]]-Table6[[#This Row],[Fault Start TimeStamp]])*24)</f>
        <v>0</v>
      </c>
      <c r="S402" s="472">
        <f>(Table6[[#This Row],[Fault Clearance time]]-Table6[[#This Row],[Work Start TimeStamp]])*24</f>
        <v>0.45000000000000107</v>
      </c>
      <c r="T402" s="472">
        <f>(Table6[[#This Row],[Fault Clearance time]]-Table6[[#This Row],[Fault Start TimeStamp]])*24</f>
        <v>0.45000000000000107</v>
      </c>
      <c r="U402" s="35" t="s">
        <v>1731</v>
      </c>
      <c r="V402" s="102" t="s">
        <v>293</v>
      </c>
      <c r="W402" s="478">
        <f>IFERROR(Table6[[#This Row],[Breakdown Time]]*Table6[[#This Row],[Plant Equivalent Weightage]],"")</f>
        <v>1.7307692307692343E-2</v>
      </c>
      <c r="X402" s="473" t="s">
        <v>294</v>
      </c>
      <c r="Y402" s="474" t="s">
        <v>319</v>
      </c>
      <c r="Z402" s="102">
        <v>25979</v>
      </c>
      <c r="AA402" s="468">
        <f>(Table6[[#This Row],[Paired WTG Generation for loss calculation]]/24)*Table6[[#This Row],[Breakdown Time]]</f>
        <v>487.10625000000113</v>
      </c>
      <c r="AB402" s="102"/>
      <c r="AC402" s="35"/>
      <c r="AD402" s="35"/>
    </row>
    <row r="403" spans="1:30">
      <c r="A403" s="102">
        <f t="shared" si="7"/>
        <v>402</v>
      </c>
      <c r="B403" s="468">
        <f>YEAR(Table6[[#This Row],[Date]])+IF(MONTH(Table6[[#This Row],[Date]])&gt;=4,1,0)</f>
        <v>2026</v>
      </c>
      <c r="C403" s="102">
        <f>YEAR(Table6[[#This Row],[Date]])</f>
        <v>2025</v>
      </c>
      <c r="D403" s="102" t="s">
        <v>1992</v>
      </c>
      <c r="E403" s="469">
        <f>Table6[[#This Row],[Date]]-DAY(Table6[[#This Row],[Date]])+1</f>
        <v>45748</v>
      </c>
      <c r="F403" s="470">
        <v>45773</v>
      </c>
      <c r="G403" s="35" t="s">
        <v>92</v>
      </c>
      <c r="H403" s="35" t="str">
        <f>IFERROR(_xlfn.XLOOKUP(Table6[[#This Row],[Affected WTG]],'Basic Data'!$A:$A,'Basic Data'!$B:$B),"")</f>
        <v>TQGXIIPL</v>
      </c>
      <c r="I403" s="35" t="str">
        <f>IFERROR(_xlfn.XLOOKUP(Table6[[#This Row],[Affected WTG]],'Basic Data'!$A:$A,'Basic Data'!$C:$C),"")</f>
        <v>GEDA</v>
      </c>
      <c r="J403" s="471">
        <f>IFERROR(_xlfn.XLOOKUP(Table6[[#This Row],[Affected WTG]],'Basic Data'!$A:$A,'Basic Data'!$E:$E),"")</f>
        <v>3.846153846153845E-2</v>
      </c>
      <c r="K403" s="102">
        <v>1700</v>
      </c>
      <c r="L403" s="35" t="str">
        <f>IFERROR(_xlfn.XLOOKUP(Table6[[#This Row],[Error Code]],'Basic Data'!$AA:$AA,'Basic Data'!$AB:$AB),"Incorrect Error Code")</f>
        <v>High temp. gear bearing 1</v>
      </c>
      <c r="M403" s="35" t="s">
        <v>292</v>
      </c>
      <c r="N403" s="475"/>
      <c r="O403" s="476">
        <v>0.89930555555555558</v>
      </c>
      <c r="P403" s="476">
        <v>0.89930555555555558</v>
      </c>
      <c r="Q403" s="477">
        <v>0.90069444444444446</v>
      </c>
      <c r="R403" s="472">
        <f>IF(Table6[[#This Row],[Work Start TimeStamp]]="","",(Table6[[#This Row],[Work Start TimeStamp]]-Table6[[#This Row],[Fault Start TimeStamp]])*24)</f>
        <v>0</v>
      </c>
      <c r="S403" s="472">
        <f>(Table6[[#This Row],[Fault Clearance time]]-Table6[[#This Row],[Work Start TimeStamp]])*24</f>
        <v>3.3333333333333215E-2</v>
      </c>
      <c r="T403" s="472">
        <f>(Table6[[#This Row],[Fault Clearance time]]-Table6[[#This Row],[Fault Start TimeStamp]])*24</f>
        <v>3.3333333333333215E-2</v>
      </c>
      <c r="U403" s="35" t="s">
        <v>336</v>
      </c>
      <c r="V403" s="102" t="s">
        <v>293</v>
      </c>
      <c r="W403" s="478">
        <f>IFERROR(Table6[[#This Row],[Breakdown Time]]*Table6[[#This Row],[Plant Equivalent Weightage]],"")</f>
        <v>1.2820512820512771E-3</v>
      </c>
      <c r="X403" s="473" t="s">
        <v>294</v>
      </c>
      <c r="Y403" s="474" t="s">
        <v>310</v>
      </c>
      <c r="Z403" s="102">
        <v>32148</v>
      </c>
      <c r="AA403" s="468">
        <f>(Table6[[#This Row],[Paired WTG Generation for loss calculation]]/24)*Table6[[#This Row],[Breakdown Time]]</f>
        <v>44.649999999999842</v>
      </c>
      <c r="AB403" s="102"/>
      <c r="AC403" s="35"/>
      <c r="AD403" s="35"/>
    </row>
    <row r="404" spans="1:30">
      <c r="A404" s="102">
        <f t="shared" si="7"/>
        <v>403</v>
      </c>
      <c r="B404" s="468">
        <f>YEAR(Table6[[#This Row],[Date]])+IF(MONTH(Table6[[#This Row],[Date]])&gt;=4,1,0)</f>
        <v>2026</v>
      </c>
      <c r="C404" s="102">
        <f>YEAR(Table6[[#This Row],[Date]])</f>
        <v>2025</v>
      </c>
      <c r="D404" s="102" t="s">
        <v>1992</v>
      </c>
      <c r="E404" s="469">
        <f>Table6[[#This Row],[Date]]-DAY(Table6[[#This Row],[Date]])+1</f>
        <v>45748</v>
      </c>
      <c r="F404" s="470">
        <v>45773</v>
      </c>
      <c r="G404" s="35" t="s">
        <v>92</v>
      </c>
      <c r="H404" s="35" t="str">
        <f>IFERROR(_xlfn.XLOOKUP(Table6[[#This Row],[Affected WTG]],'Basic Data'!$A:$A,'Basic Data'!$B:$B),"")</f>
        <v>TQGXIIPL</v>
      </c>
      <c r="I404" s="35" t="str">
        <f>IFERROR(_xlfn.XLOOKUP(Table6[[#This Row],[Affected WTG]],'Basic Data'!$A:$A,'Basic Data'!$C:$C),"")</f>
        <v>GEDA</v>
      </c>
      <c r="J404" s="471">
        <f>IFERROR(_xlfn.XLOOKUP(Table6[[#This Row],[Affected WTG]],'Basic Data'!$A:$A,'Basic Data'!$E:$E),"")</f>
        <v>3.846153846153845E-2</v>
      </c>
      <c r="K404" s="102">
        <v>3800</v>
      </c>
      <c r="L404" s="35" t="str">
        <f>IFERROR(_xlfn.XLOOKUP(Table6[[#This Row],[Error Code]],'Basic Data'!$AA:$AA,'Basic Data'!$AB:$AB),"Incorrect Error Code")</f>
        <v>Circuit breaker</v>
      </c>
      <c r="M404" s="35" t="s">
        <v>291</v>
      </c>
      <c r="N404" s="475"/>
      <c r="O404" s="476">
        <v>0.90625</v>
      </c>
      <c r="P404" s="476">
        <v>0.99930555555555556</v>
      </c>
      <c r="Q404" s="477">
        <v>0.99998842592592596</v>
      </c>
      <c r="R404" s="472">
        <f>IF(Table6[[#This Row],[Work Start TimeStamp]]="","",(Table6[[#This Row],[Work Start TimeStamp]]-Table6[[#This Row],[Fault Start TimeStamp]])*24)</f>
        <v>2.2333333333333334</v>
      </c>
      <c r="S404" s="472">
        <f>(Table6[[#This Row],[Fault Clearance time]]-Table6[[#This Row],[Work Start TimeStamp]])*24</f>
        <v>1.6388888888889674E-2</v>
      </c>
      <c r="T404" s="472">
        <f>(Table6[[#This Row],[Fault Clearance time]]-Table6[[#This Row],[Fault Start TimeStamp]])*24</f>
        <v>2.2497222222222231</v>
      </c>
      <c r="U404" s="35" t="s">
        <v>1732</v>
      </c>
      <c r="V404" s="102" t="s">
        <v>293</v>
      </c>
      <c r="W404" s="478">
        <f>IFERROR(Table6[[#This Row],[Breakdown Time]]*Table6[[#This Row],[Plant Equivalent Weightage]],"")</f>
        <v>8.6527777777777787E-2</v>
      </c>
      <c r="X404" s="473" t="s">
        <v>294</v>
      </c>
      <c r="Y404" s="474" t="s">
        <v>310</v>
      </c>
      <c r="Z404" s="102">
        <v>32148</v>
      </c>
      <c r="AA404" s="468">
        <f>(Table6[[#This Row],[Paired WTG Generation for loss calculation]]/24)*Table6[[#This Row],[Breakdown Time]]</f>
        <v>3013.5029166666677</v>
      </c>
      <c r="AB404" s="102"/>
      <c r="AC404" s="35"/>
      <c r="AD404" s="35"/>
    </row>
    <row r="405" spans="1:30">
      <c r="A405" s="102">
        <f t="shared" si="7"/>
        <v>404</v>
      </c>
      <c r="B405" s="468">
        <f>YEAR(Table6[[#This Row],[Date]])+IF(MONTH(Table6[[#This Row],[Date]])&gt;=4,1,0)</f>
        <v>2026</v>
      </c>
      <c r="C405" s="102">
        <f>YEAR(Table6[[#This Row],[Date]])</f>
        <v>2025</v>
      </c>
      <c r="D405" s="102" t="s">
        <v>1992</v>
      </c>
      <c r="E405" s="469">
        <f>Table6[[#This Row],[Date]]-DAY(Table6[[#This Row],[Date]])+1</f>
        <v>45748</v>
      </c>
      <c r="F405" s="470">
        <v>45773</v>
      </c>
      <c r="G405" s="35" t="s">
        <v>93</v>
      </c>
      <c r="H405" s="35" t="str">
        <f>IFERROR(_xlfn.XLOOKUP(Table6[[#This Row],[Affected WTG]],'Basic Data'!$A:$A,'Basic Data'!$B:$B),"")</f>
        <v>TQGXIIPL</v>
      </c>
      <c r="I405" s="35" t="str">
        <f>IFERROR(_xlfn.XLOOKUP(Table6[[#This Row],[Affected WTG]],'Basic Data'!$A:$A,'Basic Data'!$C:$C),"")</f>
        <v>GEDA</v>
      </c>
      <c r="J405" s="471">
        <f>IFERROR(_xlfn.XLOOKUP(Table6[[#This Row],[Affected WTG]],'Basic Data'!$A:$A,'Basic Data'!$E:$E),"")</f>
        <v>3.846153846153845E-2</v>
      </c>
      <c r="K405" s="102">
        <v>55</v>
      </c>
      <c r="L405" s="35" t="str">
        <f>IFERROR(_xlfn.XLOOKUP(Table6[[#This Row],[Error Code]],'Basic Data'!$AA:$AA,'Basic Data'!$AB:$AB),"Incorrect Error Code")</f>
        <v>WTG shut down</v>
      </c>
      <c r="M405" s="35" t="s">
        <v>304</v>
      </c>
      <c r="N405" s="475"/>
      <c r="O405" s="476">
        <v>0.26527777777777778</v>
      </c>
      <c r="P405" s="476">
        <v>0.26527777777777778</v>
      </c>
      <c r="Q405" s="477">
        <v>0.48472222222222222</v>
      </c>
      <c r="R405" s="472">
        <f>IF(Table6[[#This Row],[Work Start TimeStamp]]="","",(Table6[[#This Row],[Work Start TimeStamp]]-Table6[[#This Row],[Fault Start TimeStamp]])*24)</f>
        <v>0</v>
      </c>
      <c r="S405" s="472">
        <f>(Table6[[#This Row],[Fault Clearance time]]-Table6[[#This Row],[Work Start TimeStamp]])*24</f>
        <v>5.2666666666666666</v>
      </c>
      <c r="T405" s="472">
        <f>(Table6[[#This Row],[Fault Clearance time]]-Table6[[#This Row],[Fault Start TimeStamp]])*24</f>
        <v>5.2666666666666666</v>
      </c>
      <c r="U405" s="35" t="s">
        <v>351</v>
      </c>
      <c r="V405" s="102" t="s">
        <v>293</v>
      </c>
      <c r="W405" s="478">
        <f>IFERROR(Table6[[#This Row],[Breakdown Time]]*Table6[[#This Row],[Plant Equivalent Weightage]],"")</f>
        <v>0.20256410256410251</v>
      </c>
      <c r="X405" s="473" t="s">
        <v>305</v>
      </c>
      <c r="Y405" s="474" t="s">
        <v>314</v>
      </c>
      <c r="Z405" s="102">
        <v>23190</v>
      </c>
      <c r="AA405" s="468">
        <f>(Table6[[#This Row],[Paired WTG Generation for loss calculation]]/24)*Table6[[#This Row],[Breakdown Time]]</f>
        <v>5088.916666666667</v>
      </c>
      <c r="AB405" s="102"/>
      <c r="AC405" s="35"/>
      <c r="AD405" s="35"/>
    </row>
    <row r="406" spans="1:30">
      <c r="A406" s="102">
        <f t="shared" si="7"/>
        <v>405</v>
      </c>
      <c r="B406" s="468">
        <f>YEAR(Table6[[#This Row],[Date]])+IF(MONTH(Table6[[#This Row],[Date]])&gt;=4,1,0)</f>
        <v>2026</v>
      </c>
      <c r="C406" s="102">
        <f>YEAR(Table6[[#This Row],[Date]])</f>
        <v>2025</v>
      </c>
      <c r="D406" s="102" t="s">
        <v>1992</v>
      </c>
      <c r="E406" s="469">
        <f>Table6[[#This Row],[Date]]-DAY(Table6[[#This Row],[Date]])+1</f>
        <v>45748</v>
      </c>
      <c r="F406" s="470">
        <v>45773</v>
      </c>
      <c r="G406" s="35" t="s">
        <v>93</v>
      </c>
      <c r="H406" s="35" t="str">
        <f>IFERROR(_xlfn.XLOOKUP(Table6[[#This Row],[Affected WTG]],'Basic Data'!$A:$A,'Basic Data'!$B:$B),"")</f>
        <v>TQGXIIPL</v>
      </c>
      <c r="I406" s="35" t="str">
        <f>IFERROR(_xlfn.XLOOKUP(Table6[[#This Row],[Affected WTG]],'Basic Data'!$A:$A,'Basic Data'!$C:$C),"")</f>
        <v>GEDA</v>
      </c>
      <c r="J406" s="471">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291</v>
      </c>
      <c r="N406" s="475"/>
      <c r="O406" s="476">
        <v>0.49652777777777779</v>
      </c>
      <c r="P406" s="476">
        <v>0.49652777777777779</v>
      </c>
      <c r="Q406" s="477">
        <v>0.49861111111111112</v>
      </c>
      <c r="R406" s="472">
        <f>IF(Table6[[#This Row],[Work Start TimeStamp]]="","",(Table6[[#This Row],[Work Start TimeStamp]]-Table6[[#This Row],[Fault Start TimeStamp]])*24)</f>
        <v>0</v>
      </c>
      <c r="S406" s="472">
        <f>(Table6[[#This Row],[Fault Clearance time]]-Table6[[#This Row],[Work Start TimeStamp]])*24</f>
        <v>4.9999999999999822E-2</v>
      </c>
      <c r="T406" s="472">
        <f>(Table6[[#This Row],[Fault Clearance time]]-Table6[[#This Row],[Fault Start TimeStamp]])*24</f>
        <v>4.9999999999999822E-2</v>
      </c>
      <c r="U406" s="35" t="s">
        <v>349</v>
      </c>
      <c r="V406" s="102" t="s">
        <v>293</v>
      </c>
      <c r="W406" s="478">
        <f>IFERROR(Table6[[#This Row],[Breakdown Time]]*Table6[[#This Row],[Plant Equivalent Weightage]],"")</f>
        <v>1.9230769230769156E-3</v>
      </c>
      <c r="X406" s="473" t="s">
        <v>294</v>
      </c>
      <c r="Y406" s="474" t="s">
        <v>314</v>
      </c>
      <c r="Z406" s="102">
        <v>23190</v>
      </c>
      <c r="AA406" s="468">
        <f>(Table6[[#This Row],[Paired WTG Generation for loss calculation]]/24)*Table6[[#This Row],[Breakdown Time]]</f>
        <v>48.312499999999829</v>
      </c>
      <c r="AB406" s="102"/>
      <c r="AC406" s="35"/>
      <c r="AD406" s="35"/>
    </row>
    <row r="407" spans="1:30">
      <c r="A407" s="102">
        <f t="shared" si="7"/>
        <v>406</v>
      </c>
      <c r="B407" s="468">
        <f>YEAR(Table6[[#This Row],[Date]])+IF(MONTH(Table6[[#This Row],[Date]])&gt;=4,1,0)</f>
        <v>2026</v>
      </c>
      <c r="C407" s="102">
        <f>YEAR(Table6[[#This Row],[Date]])</f>
        <v>2025</v>
      </c>
      <c r="D407" s="102" t="s">
        <v>1992</v>
      </c>
      <c r="E407" s="469">
        <f>Table6[[#This Row],[Date]]-DAY(Table6[[#This Row],[Date]])+1</f>
        <v>45748</v>
      </c>
      <c r="F407" s="470">
        <v>45773</v>
      </c>
      <c r="G407" s="35" t="s">
        <v>96</v>
      </c>
      <c r="H407" s="35" t="str">
        <f>IFERROR(_xlfn.XLOOKUP(Table6[[#This Row],[Affected WTG]],'Basic Data'!$A:$A,'Basic Data'!$B:$B),"")</f>
        <v>TQGXIIPL</v>
      </c>
      <c r="I407" s="35" t="str">
        <f>IFERROR(_xlfn.XLOOKUP(Table6[[#This Row],[Affected WTG]],'Basic Data'!$A:$A,'Basic Data'!$C:$C),"")</f>
        <v>GEDA</v>
      </c>
      <c r="J407" s="471">
        <f>IFERROR(_xlfn.XLOOKUP(Table6[[#This Row],[Affected WTG]],'Basic Data'!$A:$A,'Basic Data'!$E:$E),"")</f>
        <v>3.846153846153845E-2</v>
      </c>
      <c r="K407" s="102">
        <v>6130</v>
      </c>
      <c r="L407" s="35" t="str">
        <f>IFERROR(_xlfn.XLOOKUP(Table6[[#This Row],[Error Code]],'Basic Data'!$AA:$AA,'Basic Data'!$AB:$AB),"Incorrect Error Code")</f>
        <v>Yaw speed high</v>
      </c>
      <c r="M407" s="35" t="s">
        <v>292</v>
      </c>
      <c r="N407" s="475"/>
      <c r="O407" s="476">
        <v>0.51388888888888884</v>
      </c>
      <c r="P407" s="476">
        <v>0.51388888888888884</v>
      </c>
      <c r="Q407" s="477">
        <v>0.5180555555555556</v>
      </c>
      <c r="R407" s="472">
        <f>IF(Table6[[#This Row],[Work Start TimeStamp]]="","",(Table6[[#This Row],[Work Start TimeStamp]]-Table6[[#This Row],[Fault Start TimeStamp]])*24)</f>
        <v>0</v>
      </c>
      <c r="S407" s="472">
        <f>(Table6[[#This Row],[Fault Clearance time]]-Table6[[#This Row],[Work Start TimeStamp]])*24</f>
        <v>0.10000000000000231</v>
      </c>
      <c r="T407" s="472">
        <f>(Table6[[#This Row],[Fault Clearance time]]-Table6[[#This Row],[Fault Start TimeStamp]])*24</f>
        <v>0.10000000000000231</v>
      </c>
      <c r="U407" s="35" t="s">
        <v>336</v>
      </c>
      <c r="V407" s="102" t="s">
        <v>293</v>
      </c>
      <c r="W407" s="478">
        <f>IFERROR(Table6[[#This Row],[Breakdown Time]]*Table6[[#This Row],[Plant Equivalent Weightage]],"")</f>
        <v>3.846153846153934E-3</v>
      </c>
      <c r="X407" s="473" t="s">
        <v>294</v>
      </c>
      <c r="Y407" s="474" t="s">
        <v>313</v>
      </c>
      <c r="Z407" s="102">
        <v>20631</v>
      </c>
      <c r="AA407" s="468">
        <f>(Table6[[#This Row],[Paired WTG Generation for loss calculation]]/24)*Table6[[#This Row],[Breakdown Time]]</f>
        <v>85.962500000001981</v>
      </c>
      <c r="AB407" s="102"/>
      <c r="AC407" s="35"/>
      <c r="AD407" s="35"/>
    </row>
    <row r="408" spans="1:30">
      <c r="A408" s="102">
        <f t="shared" si="7"/>
        <v>407</v>
      </c>
      <c r="B408" s="468">
        <f>YEAR(Table6[[#This Row],[Date]])+IF(MONTH(Table6[[#This Row],[Date]])&gt;=4,1,0)</f>
        <v>2026</v>
      </c>
      <c r="C408" s="102">
        <f>YEAR(Table6[[#This Row],[Date]])</f>
        <v>2025</v>
      </c>
      <c r="D408" s="102" t="s">
        <v>1992</v>
      </c>
      <c r="E408" s="469">
        <f>Table6[[#This Row],[Date]]-DAY(Table6[[#This Row],[Date]])+1</f>
        <v>45748</v>
      </c>
      <c r="F408" s="470">
        <v>45773</v>
      </c>
      <c r="G408" s="35" t="s">
        <v>98</v>
      </c>
      <c r="H408" s="35" t="str">
        <f>IFERROR(_xlfn.XLOOKUP(Table6[[#This Row],[Affected WTG]],'Basic Data'!$A:$A,'Basic Data'!$B:$B),"")</f>
        <v>TQGXIIPL</v>
      </c>
      <c r="I408" s="35" t="str">
        <f>IFERROR(_xlfn.XLOOKUP(Table6[[#This Row],[Affected WTG]],'Basic Data'!$A:$A,'Basic Data'!$C:$C),"")</f>
        <v>GEDA</v>
      </c>
      <c r="J408" s="471">
        <f>IFERROR(_xlfn.XLOOKUP(Table6[[#This Row],[Affected WTG]],'Basic Data'!$A:$A,'Basic Data'!$E:$E),"")</f>
        <v>3.846153846153845E-2</v>
      </c>
      <c r="K408" s="102">
        <v>55</v>
      </c>
      <c r="L408" s="35" t="str">
        <f>IFERROR(_xlfn.XLOOKUP(Table6[[#This Row],[Error Code]],'Basic Data'!$AA:$AA,'Basic Data'!$AB:$AB),"Incorrect Error Code")</f>
        <v>WTG shut down</v>
      </c>
      <c r="M408" s="35" t="s">
        <v>330</v>
      </c>
      <c r="N408" s="475"/>
      <c r="O408" s="476">
        <v>0.75694444444444442</v>
      </c>
      <c r="P408" s="476">
        <v>0.75694444444444442</v>
      </c>
      <c r="Q408" s="477">
        <v>0.88541666666666663</v>
      </c>
      <c r="R408" s="472">
        <f>IF(Table6[[#This Row],[Work Start TimeStamp]]="","",(Table6[[#This Row],[Work Start TimeStamp]]-Table6[[#This Row],[Fault Start TimeStamp]])*24)</f>
        <v>0</v>
      </c>
      <c r="S408" s="472">
        <f>(Table6[[#This Row],[Fault Clearance time]]-Table6[[#This Row],[Work Start TimeStamp]])*24</f>
        <v>3.083333333333333</v>
      </c>
      <c r="T408" s="472">
        <f>(Table6[[#This Row],[Fault Clearance time]]-Table6[[#This Row],[Fault Start TimeStamp]])*24</f>
        <v>3.083333333333333</v>
      </c>
      <c r="U408" s="35" t="s">
        <v>337</v>
      </c>
      <c r="V408" s="102" t="s">
        <v>293</v>
      </c>
      <c r="W408" s="478">
        <f>IFERROR(Table6[[#This Row],[Breakdown Time]]*Table6[[#This Row],[Plant Equivalent Weightage]],"")</f>
        <v>0.11858974358974354</v>
      </c>
      <c r="X408" s="473" t="s">
        <v>290</v>
      </c>
      <c r="Y408" s="474" t="s">
        <v>315</v>
      </c>
      <c r="Z408" s="102">
        <v>23625</v>
      </c>
      <c r="AA408" s="468">
        <f>(Table6[[#This Row],[Paired WTG Generation for loss calculation]]/24)*Table6[[#This Row],[Breakdown Time]]</f>
        <v>3035.1562499999995</v>
      </c>
      <c r="AB408" s="102"/>
      <c r="AC408" s="35"/>
      <c r="AD408" s="35"/>
    </row>
    <row r="409" spans="1:30">
      <c r="A409" s="102">
        <f t="shared" si="7"/>
        <v>408</v>
      </c>
      <c r="B409" s="468">
        <f>YEAR(Table6[[#This Row],[Date]])+IF(MONTH(Table6[[#This Row],[Date]])&gt;=4,1,0)</f>
        <v>2026</v>
      </c>
      <c r="C409" s="102">
        <f>YEAR(Table6[[#This Row],[Date]])</f>
        <v>2025</v>
      </c>
      <c r="D409" s="102" t="s">
        <v>1992</v>
      </c>
      <c r="E409" s="469">
        <f>Table6[[#This Row],[Date]]-DAY(Table6[[#This Row],[Date]])+1</f>
        <v>45748</v>
      </c>
      <c r="F409" s="470">
        <v>45774</v>
      </c>
      <c r="G409" s="35" t="s">
        <v>78</v>
      </c>
      <c r="H409" s="35" t="str">
        <f>IFERROR(_xlfn.XLOOKUP(Table6[[#This Row],[Affected WTG]],'Basic Data'!$A:$A,'Basic Data'!$B:$B),"")</f>
        <v>TQGXIIPL</v>
      </c>
      <c r="I409" s="35" t="str">
        <f>IFERROR(_xlfn.XLOOKUP(Table6[[#This Row],[Affected WTG]],'Basic Data'!$A:$A,'Basic Data'!$C:$C),"")</f>
        <v>GEDA</v>
      </c>
      <c r="J409" s="471">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291</v>
      </c>
      <c r="N409" s="475"/>
      <c r="O409" s="476">
        <v>0.23055555555555557</v>
      </c>
      <c r="P409" s="476">
        <v>0.23055555555555557</v>
      </c>
      <c r="Q409" s="477">
        <v>0.2326388888888889</v>
      </c>
      <c r="R409" s="472">
        <f>IF(Table6[[#This Row],[Work Start TimeStamp]]="","",(Table6[[#This Row],[Work Start TimeStamp]]-Table6[[#This Row],[Fault Start TimeStamp]])*24)</f>
        <v>0</v>
      </c>
      <c r="S409" s="472">
        <f>(Table6[[#This Row],[Fault Clearance time]]-Table6[[#This Row],[Work Start TimeStamp]])*24</f>
        <v>4.9999999999999822E-2</v>
      </c>
      <c r="T409" s="472">
        <f>(Table6[[#This Row],[Fault Clearance time]]-Table6[[#This Row],[Fault Start TimeStamp]])*24</f>
        <v>4.9999999999999822E-2</v>
      </c>
      <c r="U409" s="35" t="s">
        <v>349</v>
      </c>
      <c r="V409" s="102" t="s">
        <v>293</v>
      </c>
      <c r="W409" s="478">
        <f>IFERROR(Table6[[#This Row],[Breakdown Time]]*Table6[[#This Row],[Plant Equivalent Weightage]],"")</f>
        <v>1.9230769230769156E-3</v>
      </c>
      <c r="X409" s="473" t="s">
        <v>294</v>
      </c>
      <c r="Y409" s="474" t="s">
        <v>333</v>
      </c>
      <c r="Z409" s="102">
        <v>27721</v>
      </c>
      <c r="AA409" s="468">
        <f>(Table6[[#This Row],[Paired WTG Generation for loss calculation]]/24)*Table6[[#This Row],[Breakdown Time]]</f>
        <v>57.752083333333132</v>
      </c>
      <c r="AB409" s="102"/>
      <c r="AC409" s="35"/>
      <c r="AD409" s="35"/>
    </row>
    <row r="410" spans="1:30">
      <c r="A410" s="102">
        <f t="shared" si="7"/>
        <v>409</v>
      </c>
      <c r="B410" s="468">
        <f>YEAR(Table6[[#This Row],[Date]])+IF(MONTH(Table6[[#This Row],[Date]])&gt;=4,1,0)</f>
        <v>2026</v>
      </c>
      <c r="C410" s="102">
        <f>YEAR(Table6[[#This Row],[Date]])</f>
        <v>2025</v>
      </c>
      <c r="D410" s="102" t="s">
        <v>1992</v>
      </c>
      <c r="E410" s="469">
        <f>Table6[[#This Row],[Date]]-DAY(Table6[[#This Row],[Date]])+1</f>
        <v>45748</v>
      </c>
      <c r="F410" s="470">
        <v>45774</v>
      </c>
      <c r="G410" s="35" t="s">
        <v>80</v>
      </c>
      <c r="H410" s="35" t="str">
        <f>IFERROR(_xlfn.XLOOKUP(Table6[[#This Row],[Affected WTG]],'Basic Data'!$A:$A,'Basic Data'!$B:$B),"")</f>
        <v>TQGXIIPL</v>
      </c>
      <c r="I410" s="35" t="str">
        <f>IFERROR(_xlfn.XLOOKUP(Table6[[#This Row],[Affected WTG]],'Basic Data'!$A:$A,'Basic Data'!$C:$C),"")</f>
        <v>GEDA</v>
      </c>
      <c r="J410" s="471">
        <f>IFERROR(_xlfn.XLOOKUP(Table6[[#This Row],[Affected WTG]],'Basic Data'!$A:$A,'Basic Data'!$E:$E),"")</f>
        <v>3.846153846153845E-2</v>
      </c>
      <c r="K410" s="102">
        <v>6300</v>
      </c>
      <c r="L410" s="35" t="str">
        <f>IFERROR(_xlfn.XLOOKUP(Table6[[#This Row],[Error Code]],'Basic Data'!$AA:$AA,'Basic Data'!$AB:$AB),"Incorrect Error Code")</f>
        <v>Yaw error</v>
      </c>
      <c r="M410" s="35" t="s">
        <v>291</v>
      </c>
      <c r="N410" s="475"/>
      <c r="O410" s="476">
        <v>0.80833333333333335</v>
      </c>
      <c r="P410" s="476">
        <v>0.80833333333333335</v>
      </c>
      <c r="Q410" s="477">
        <v>0.81319444444444444</v>
      </c>
      <c r="R410" s="472">
        <f>IF(Table6[[#This Row],[Work Start TimeStamp]]="","",(Table6[[#This Row],[Work Start TimeStamp]]-Table6[[#This Row],[Fault Start TimeStamp]])*24)</f>
        <v>0</v>
      </c>
      <c r="S410" s="472">
        <f>(Table6[[#This Row],[Fault Clearance time]]-Table6[[#This Row],[Work Start TimeStamp]])*24</f>
        <v>0.11666666666666625</v>
      </c>
      <c r="T410" s="472">
        <f>(Table6[[#This Row],[Fault Clearance time]]-Table6[[#This Row],[Fault Start TimeStamp]])*24</f>
        <v>0.11666666666666625</v>
      </c>
      <c r="U410" s="35" t="s">
        <v>349</v>
      </c>
      <c r="V410" s="102" t="s">
        <v>293</v>
      </c>
      <c r="W410" s="478">
        <f>IFERROR(Table6[[#This Row],[Breakdown Time]]*Table6[[#This Row],[Plant Equivalent Weightage]],"")</f>
        <v>4.4871794871794695E-3</v>
      </c>
      <c r="X410" s="473" t="s">
        <v>294</v>
      </c>
      <c r="Y410" s="474" t="s">
        <v>317</v>
      </c>
      <c r="Z410" s="102">
        <v>25863</v>
      </c>
      <c r="AA410" s="468">
        <f>(Table6[[#This Row],[Paired WTG Generation for loss calculation]]/24)*Table6[[#This Row],[Breakdown Time]]</f>
        <v>125.72291666666622</v>
      </c>
      <c r="AB410" s="102"/>
      <c r="AC410" s="35"/>
      <c r="AD410" s="35"/>
    </row>
    <row r="411" spans="1:30">
      <c r="A411" s="102">
        <f t="shared" si="7"/>
        <v>410</v>
      </c>
      <c r="B411" s="468">
        <f>YEAR(Table6[[#This Row],[Date]])+IF(MONTH(Table6[[#This Row],[Date]])&gt;=4,1,0)</f>
        <v>2026</v>
      </c>
      <c r="C411" s="102">
        <f>YEAR(Table6[[#This Row],[Date]])</f>
        <v>2025</v>
      </c>
      <c r="D411" s="102" t="s">
        <v>1992</v>
      </c>
      <c r="E411" s="469">
        <f>Table6[[#This Row],[Date]]-DAY(Table6[[#This Row],[Date]])+1</f>
        <v>45748</v>
      </c>
      <c r="F411" s="470">
        <v>45774</v>
      </c>
      <c r="G411" s="35" t="s">
        <v>85</v>
      </c>
      <c r="H411" s="35" t="str">
        <f>IFERROR(_xlfn.XLOOKUP(Table6[[#This Row],[Affected WTG]],'Basic Data'!$A:$A,'Basic Data'!$B:$B),"")</f>
        <v>TQGXIIPL</v>
      </c>
      <c r="I411" s="35" t="str">
        <f>IFERROR(_xlfn.XLOOKUP(Table6[[#This Row],[Affected WTG]],'Basic Data'!$A:$A,'Basic Data'!$C:$C),"")</f>
        <v>GEDA</v>
      </c>
      <c r="J411" s="471">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291</v>
      </c>
      <c r="N411" s="475"/>
      <c r="O411" s="476">
        <v>0.49930555555555556</v>
      </c>
      <c r="P411" s="476">
        <v>0.49930555555555556</v>
      </c>
      <c r="Q411" s="477">
        <v>0.50763888888888886</v>
      </c>
      <c r="R411" s="472">
        <f>IF(Table6[[#This Row],[Work Start TimeStamp]]="","",(Table6[[#This Row],[Work Start TimeStamp]]-Table6[[#This Row],[Fault Start TimeStamp]])*24)</f>
        <v>0</v>
      </c>
      <c r="S411" s="472">
        <f>(Table6[[#This Row],[Fault Clearance time]]-Table6[[#This Row],[Work Start TimeStamp]])*24</f>
        <v>0.19999999999999929</v>
      </c>
      <c r="T411" s="472">
        <f>(Table6[[#This Row],[Fault Clearance time]]-Table6[[#This Row],[Fault Start TimeStamp]])*24</f>
        <v>0.19999999999999929</v>
      </c>
      <c r="U411" s="35" t="s">
        <v>396</v>
      </c>
      <c r="V411" s="102" t="s">
        <v>293</v>
      </c>
      <c r="W411" s="478">
        <f>IFERROR(Table6[[#This Row],[Breakdown Time]]*Table6[[#This Row],[Plant Equivalent Weightage]],"")</f>
        <v>7.6923076923076624E-3</v>
      </c>
      <c r="X411" s="473" t="s">
        <v>294</v>
      </c>
      <c r="Y411" s="474" t="s">
        <v>322</v>
      </c>
      <c r="Z411" s="102">
        <v>17831</v>
      </c>
      <c r="AA411" s="468">
        <f>(Table6[[#This Row],[Paired WTG Generation for loss calculation]]/24)*Table6[[#This Row],[Breakdown Time]]</f>
        <v>148.59166666666616</v>
      </c>
      <c r="AB411" s="102"/>
      <c r="AC411" s="35"/>
      <c r="AD411" s="35"/>
    </row>
    <row r="412" spans="1:30">
      <c r="A412" s="102">
        <f t="shared" si="7"/>
        <v>411</v>
      </c>
      <c r="B412" s="468">
        <f>YEAR(Table6[[#This Row],[Date]])+IF(MONTH(Table6[[#This Row],[Date]])&gt;=4,1,0)</f>
        <v>2026</v>
      </c>
      <c r="C412" s="102">
        <f>YEAR(Table6[[#This Row],[Date]])</f>
        <v>2025</v>
      </c>
      <c r="D412" s="102" t="s">
        <v>1992</v>
      </c>
      <c r="E412" s="469">
        <f>Table6[[#This Row],[Date]]-DAY(Table6[[#This Row],[Date]])+1</f>
        <v>45748</v>
      </c>
      <c r="F412" s="470">
        <v>45774</v>
      </c>
      <c r="G412" s="35" t="s">
        <v>90</v>
      </c>
      <c r="H412" s="35" t="str">
        <f>IFERROR(_xlfn.XLOOKUP(Table6[[#This Row],[Affected WTG]],'Basic Data'!$A:$A,'Basic Data'!$B:$B),"")</f>
        <v>TQGXIIPL</v>
      </c>
      <c r="I412" s="35" t="str">
        <f>IFERROR(_xlfn.XLOOKUP(Table6[[#This Row],[Affected WTG]],'Basic Data'!$A:$A,'Basic Data'!$C:$C),"")</f>
        <v>GEDA</v>
      </c>
      <c r="J412" s="471">
        <f>IFERROR(_xlfn.XLOOKUP(Table6[[#This Row],[Affected WTG]],'Basic Data'!$A:$A,'Basic Data'!$E:$E),"")</f>
        <v>3.846153846153845E-2</v>
      </c>
      <c r="K412" s="102">
        <v>55</v>
      </c>
      <c r="L412" s="35" t="str">
        <f>IFERROR(_xlfn.XLOOKUP(Table6[[#This Row],[Error Code]],'Basic Data'!$AA:$AA,'Basic Data'!$AB:$AB),"Incorrect Error Code")</f>
        <v>WTG shut down</v>
      </c>
      <c r="M412" s="35" t="s">
        <v>295</v>
      </c>
      <c r="N412" s="475"/>
      <c r="O412" s="476">
        <v>0.31666666666666665</v>
      </c>
      <c r="P412" s="476">
        <v>0.31666666666666665</v>
      </c>
      <c r="Q412" s="477">
        <v>0.62361111111111112</v>
      </c>
      <c r="R412" s="472">
        <f>IF(Table6[[#This Row],[Work Start TimeStamp]]="","",(Table6[[#This Row],[Work Start TimeStamp]]-Table6[[#This Row],[Fault Start TimeStamp]])*24)</f>
        <v>0</v>
      </c>
      <c r="S412" s="472">
        <f>(Table6[[#This Row],[Fault Clearance time]]-Table6[[#This Row],[Work Start TimeStamp]])*24</f>
        <v>7.3666666666666671</v>
      </c>
      <c r="T412" s="472">
        <f>(Table6[[#This Row],[Fault Clearance time]]-Table6[[#This Row],[Fault Start TimeStamp]])*24</f>
        <v>7.3666666666666671</v>
      </c>
      <c r="U412" s="35" t="s">
        <v>1726</v>
      </c>
      <c r="V412" s="102" t="s">
        <v>293</v>
      </c>
      <c r="W412" s="478">
        <f>IFERROR(Table6[[#This Row],[Breakdown Time]]*Table6[[#This Row],[Plant Equivalent Weightage]],"")</f>
        <v>0.28333333333333327</v>
      </c>
      <c r="X412" s="473" t="s">
        <v>290</v>
      </c>
      <c r="Y412" s="474" t="s">
        <v>339</v>
      </c>
      <c r="Z412" s="102">
        <v>24160</v>
      </c>
      <c r="AA412" s="468">
        <f>(Table6[[#This Row],[Paired WTG Generation for loss calculation]]/24)*Table6[[#This Row],[Breakdown Time]]</f>
        <v>7415.7777777777783</v>
      </c>
      <c r="AB412" s="102"/>
      <c r="AC412" s="35"/>
      <c r="AD412" s="35"/>
    </row>
    <row r="413" spans="1:30">
      <c r="A413" s="102">
        <f t="shared" si="7"/>
        <v>412</v>
      </c>
      <c r="B413" s="468">
        <f>YEAR(Table6[[#This Row],[Date]])+IF(MONTH(Table6[[#This Row],[Date]])&gt;=4,1,0)</f>
        <v>2026</v>
      </c>
      <c r="C413" s="102">
        <f>YEAR(Table6[[#This Row],[Date]])</f>
        <v>2025</v>
      </c>
      <c r="D413" s="102" t="s">
        <v>1992</v>
      </c>
      <c r="E413" s="469">
        <f>Table6[[#This Row],[Date]]-DAY(Table6[[#This Row],[Date]])+1</f>
        <v>45748</v>
      </c>
      <c r="F413" s="470">
        <v>45774</v>
      </c>
      <c r="G413" s="35" t="s">
        <v>92</v>
      </c>
      <c r="H413" s="35" t="str">
        <f>IFERROR(_xlfn.XLOOKUP(Table6[[#This Row],[Affected WTG]],'Basic Data'!$A:$A,'Basic Data'!$B:$B),"")</f>
        <v>TQGXIIPL</v>
      </c>
      <c r="I413" s="35" t="str">
        <f>IFERROR(_xlfn.XLOOKUP(Table6[[#This Row],[Affected WTG]],'Basic Data'!$A:$A,'Basic Data'!$C:$C),"")</f>
        <v>GEDA</v>
      </c>
      <c r="J413" s="471">
        <f>IFERROR(_xlfn.XLOOKUP(Table6[[#This Row],[Affected WTG]],'Basic Data'!$A:$A,'Basic Data'!$E:$E),"")</f>
        <v>3.846153846153845E-2</v>
      </c>
      <c r="K413" s="102">
        <v>3800</v>
      </c>
      <c r="L413" s="35" t="str">
        <f>IFERROR(_xlfn.XLOOKUP(Table6[[#This Row],[Error Code]],'Basic Data'!$AA:$AA,'Basic Data'!$AB:$AB),"Incorrect Error Code")</f>
        <v>Circuit breaker</v>
      </c>
      <c r="M413" s="35" t="s">
        <v>295</v>
      </c>
      <c r="N413" s="475"/>
      <c r="O413" s="476">
        <v>0</v>
      </c>
      <c r="P413" s="476">
        <v>0.15555555555555556</v>
      </c>
      <c r="Q413" s="477">
        <v>0.6069444444444444</v>
      </c>
      <c r="R413" s="472">
        <f>IF(Table6[[#This Row],[Work Start TimeStamp]]="","",(Table6[[#This Row],[Work Start TimeStamp]]-Table6[[#This Row],[Fault Start TimeStamp]])*24)</f>
        <v>3.7333333333333334</v>
      </c>
      <c r="S413" s="472">
        <f>(Table6[[#This Row],[Fault Clearance time]]-Table6[[#This Row],[Work Start TimeStamp]])*24</f>
        <v>10.833333333333332</v>
      </c>
      <c r="T413" s="472">
        <f>(Table6[[#This Row],[Fault Clearance time]]-Table6[[#This Row],[Fault Start TimeStamp]])*24</f>
        <v>14.566666666666666</v>
      </c>
      <c r="U413" s="35" t="s">
        <v>1733</v>
      </c>
      <c r="V413" s="102" t="s">
        <v>293</v>
      </c>
      <c r="W413" s="478">
        <f>IFERROR(Table6[[#This Row],[Breakdown Time]]*Table6[[#This Row],[Plant Equivalent Weightage]],"")</f>
        <v>0.56025641025641004</v>
      </c>
      <c r="X413" s="473" t="s">
        <v>294</v>
      </c>
      <c r="Y413" s="474" t="s">
        <v>310</v>
      </c>
      <c r="Z413" s="102">
        <v>23298</v>
      </c>
      <c r="AA413" s="468">
        <f>(Table6[[#This Row],[Paired WTG Generation for loss calculation]]/24)*Table6[[#This Row],[Breakdown Time]]</f>
        <v>14140.591666666667</v>
      </c>
      <c r="AB413" s="102"/>
      <c r="AC413" s="35"/>
      <c r="AD413" s="35"/>
    </row>
    <row r="414" spans="1:30">
      <c r="A414" s="102">
        <f t="shared" si="7"/>
        <v>413</v>
      </c>
      <c r="B414" s="468">
        <f>YEAR(Table6[[#This Row],[Date]])+IF(MONTH(Table6[[#This Row],[Date]])&gt;=4,1,0)</f>
        <v>2026</v>
      </c>
      <c r="C414" s="102">
        <f>YEAR(Table6[[#This Row],[Date]])</f>
        <v>2025</v>
      </c>
      <c r="D414" s="102" t="s">
        <v>1992</v>
      </c>
      <c r="E414" s="469">
        <f>Table6[[#This Row],[Date]]-DAY(Table6[[#This Row],[Date]])+1</f>
        <v>45748</v>
      </c>
      <c r="F414" s="470">
        <v>45774</v>
      </c>
      <c r="G414" s="35" t="s">
        <v>92</v>
      </c>
      <c r="H414" s="35" t="str">
        <f>IFERROR(_xlfn.XLOOKUP(Table6[[#This Row],[Affected WTG]],'Basic Data'!$A:$A,'Basic Data'!$B:$B),"")</f>
        <v>TQGXIIPL</v>
      </c>
      <c r="I414" s="35" t="str">
        <f>IFERROR(_xlfn.XLOOKUP(Table6[[#This Row],[Affected WTG]],'Basic Data'!$A:$A,'Basic Data'!$C:$C),"")</f>
        <v>GEDA</v>
      </c>
      <c r="J414" s="471">
        <f>IFERROR(_xlfn.XLOOKUP(Table6[[#This Row],[Affected WTG]],'Basic Data'!$A:$A,'Basic Data'!$E:$E),"")</f>
        <v>3.846153846153845E-2</v>
      </c>
      <c r="K414" s="102">
        <v>55</v>
      </c>
      <c r="L414" s="35" t="str">
        <f>IFERROR(_xlfn.XLOOKUP(Table6[[#This Row],[Error Code]],'Basic Data'!$AA:$AA,'Basic Data'!$AB:$AB),"Incorrect Error Code")</f>
        <v>WTG shut down</v>
      </c>
      <c r="M414" s="35" t="s">
        <v>291</v>
      </c>
      <c r="N414" s="475"/>
      <c r="O414" s="476">
        <v>0.70972222222222225</v>
      </c>
      <c r="P414" s="476">
        <v>0.70972222222222225</v>
      </c>
      <c r="Q414" s="477">
        <v>0.7319444444444444</v>
      </c>
      <c r="R414" s="472">
        <f>IF(Table6[[#This Row],[Work Start TimeStamp]]="","",(Table6[[#This Row],[Work Start TimeStamp]]-Table6[[#This Row],[Fault Start TimeStamp]])*24)</f>
        <v>0</v>
      </c>
      <c r="S414" s="472">
        <f>(Table6[[#This Row],[Fault Clearance time]]-Table6[[#This Row],[Work Start TimeStamp]])*24</f>
        <v>0.53333333333333144</v>
      </c>
      <c r="T414" s="472">
        <f>(Table6[[#This Row],[Fault Clearance time]]-Table6[[#This Row],[Fault Start TimeStamp]])*24</f>
        <v>0.53333333333333144</v>
      </c>
      <c r="U414" s="35" t="s">
        <v>1734</v>
      </c>
      <c r="V414" s="102" t="s">
        <v>293</v>
      </c>
      <c r="W414" s="478">
        <f>IFERROR(Table6[[#This Row],[Breakdown Time]]*Table6[[#This Row],[Plant Equivalent Weightage]],"")</f>
        <v>2.0512820512820433E-2</v>
      </c>
      <c r="X414" s="473" t="s">
        <v>290</v>
      </c>
      <c r="Y414" s="474" t="s">
        <v>310</v>
      </c>
      <c r="Z414" s="102">
        <v>23298</v>
      </c>
      <c r="AA414" s="468">
        <f>(Table6[[#This Row],[Paired WTG Generation for loss calculation]]/24)*Table6[[#This Row],[Breakdown Time]]</f>
        <v>517.73333333333153</v>
      </c>
      <c r="AB414" s="102"/>
      <c r="AC414" s="35"/>
      <c r="AD414" s="35"/>
    </row>
    <row r="415" spans="1:30">
      <c r="A415" s="102">
        <f t="shared" si="7"/>
        <v>414</v>
      </c>
      <c r="B415" s="468">
        <f>YEAR(Table6[[#This Row],[Date]])+IF(MONTH(Table6[[#This Row],[Date]])&gt;=4,1,0)</f>
        <v>2026</v>
      </c>
      <c r="C415" s="102">
        <f>YEAR(Table6[[#This Row],[Date]])</f>
        <v>2025</v>
      </c>
      <c r="D415" s="102" t="s">
        <v>1992</v>
      </c>
      <c r="E415" s="469">
        <f>Table6[[#This Row],[Date]]-DAY(Table6[[#This Row],[Date]])+1</f>
        <v>45748</v>
      </c>
      <c r="F415" s="470">
        <v>45774</v>
      </c>
      <c r="G415" s="35" t="s">
        <v>96</v>
      </c>
      <c r="H415" s="35" t="str">
        <f>IFERROR(_xlfn.XLOOKUP(Table6[[#This Row],[Affected WTG]],'Basic Data'!$A:$A,'Basic Data'!$B:$B),"")</f>
        <v>TQGXIIPL</v>
      </c>
      <c r="I415" s="35" t="str">
        <f>IFERROR(_xlfn.XLOOKUP(Table6[[#This Row],[Affected WTG]],'Basic Data'!$A:$A,'Basic Data'!$C:$C),"")</f>
        <v>GEDA</v>
      </c>
      <c r="J415" s="471">
        <f>IFERROR(_xlfn.XLOOKUP(Table6[[#This Row],[Affected WTG]],'Basic Data'!$A:$A,'Basic Data'!$E:$E),"")</f>
        <v>3.846153846153845E-2</v>
      </c>
      <c r="K415" s="102">
        <v>3211</v>
      </c>
      <c r="L415" s="35" t="str">
        <f>IFERROR(_xlfn.XLOOKUP(Table6[[#This Row],[Error Code]],'Basic Data'!$AA:$AA,'Basic Data'!$AB:$AB),"Incorrect Error Code")</f>
        <v>Conv. load shedding (CAN)</v>
      </c>
      <c r="M415" s="35" t="s">
        <v>291</v>
      </c>
      <c r="N415" s="475"/>
      <c r="O415" s="476">
        <v>0.38124999999999998</v>
      </c>
      <c r="P415" s="476">
        <v>0.38124999999999998</v>
      </c>
      <c r="Q415" s="477">
        <v>0.38333333333333336</v>
      </c>
      <c r="R415" s="472">
        <f>IF(Table6[[#This Row],[Work Start TimeStamp]]="","",(Table6[[#This Row],[Work Start TimeStamp]]-Table6[[#This Row],[Fault Start TimeStamp]])*24)</f>
        <v>0</v>
      </c>
      <c r="S415" s="472">
        <f>(Table6[[#This Row],[Fault Clearance time]]-Table6[[#This Row],[Work Start TimeStamp]])*24</f>
        <v>5.0000000000001155E-2</v>
      </c>
      <c r="T415" s="472">
        <f>(Table6[[#This Row],[Fault Clearance time]]-Table6[[#This Row],[Fault Start TimeStamp]])*24</f>
        <v>5.0000000000001155E-2</v>
      </c>
      <c r="U415" s="35" t="s">
        <v>349</v>
      </c>
      <c r="V415" s="102" t="s">
        <v>293</v>
      </c>
      <c r="W415" s="478">
        <f>IFERROR(Table6[[#This Row],[Breakdown Time]]*Table6[[#This Row],[Plant Equivalent Weightage]],"")</f>
        <v>1.923076923076967E-3</v>
      </c>
      <c r="X415" s="473" t="s">
        <v>294</v>
      </c>
      <c r="Y415" s="474" t="s">
        <v>313</v>
      </c>
      <c r="Z415" s="102">
        <v>18496</v>
      </c>
      <c r="AA415" s="468">
        <f>(Table6[[#This Row],[Paired WTG Generation for loss calculation]]/24)*Table6[[#This Row],[Breakdown Time]]</f>
        <v>38.53333333333422</v>
      </c>
      <c r="AB415" s="102"/>
      <c r="AC415" s="35"/>
      <c r="AD415" s="35"/>
    </row>
    <row r="416" spans="1:30">
      <c r="A416" s="102">
        <f t="shared" si="7"/>
        <v>415</v>
      </c>
      <c r="B416" s="468">
        <f>YEAR(Table6[[#This Row],[Date]])+IF(MONTH(Table6[[#This Row],[Date]])&gt;=4,1,0)</f>
        <v>2026</v>
      </c>
      <c r="C416" s="102">
        <f>YEAR(Table6[[#This Row],[Date]])</f>
        <v>2025</v>
      </c>
      <c r="D416" s="102" t="s">
        <v>1992</v>
      </c>
      <c r="E416" s="469">
        <f>Table6[[#This Row],[Date]]-DAY(Table6[[#This Row],[Date]])+1</f>
        <v>45748</v>
      </c>
      <c r="F416" s="470">
        <v>45774</v>
      </c>
      <c r="G416" s="35" t="s">
        <v>99</v>
      </c>
      <c r="H416" s="35" t="str">
        <f>IFERROR(_xlfn.XLOOKUP(Table6[[#This Row],[Affected WTG]],'Basic Data'!$A:$A,'Basic Data'!$B:$B),"")</f>
        <v>TQGXIIPL</v>
      </c>
      <c r="I416" s="35" t="str">
        <f>IFERROR(_xlfn.XLOOKUP(Table6[[#This Row],[Affected WTG]],'Basic Data'!$A:$A,'Basic Data'!$C:$C),"")</f>
        <v>GEDA</v>
      </c>
      <c r="J416" s="471">
        <f>IFERROR(_xlfn.XLOOKUP(Table6[[#This Row],[Affected WTG]],'Basic Data'!$A:$A,'Basic Data'!$E:$E),"")</f>
        <v>3.846153846153845E-2</v>
      </c>
      <c r="K416" s="102">
        <v>3211</v>
      </c>
      <c r="L416" s="35" t="str">
        <f>IFERROR(_xlfn.XLOOKUP(Table6[[#This Row],[Error Code]],'Basic Data'!$AA:$AA,'Basic Data'!$AB:$AB),"Incorrect Error Code")</f>
        <v>Conv. load shedding (CAN)</v>
      </c>
      <c r="M416" s="35" t="s">
        <v>291</v>
      </c>
      <c r="N416" s="475"/>
      <c r="O416" s="476">
        <v>0.38124999999999998</v>
      </c>
      <c r="P416" s="476">
        <v>0.38124999999999998</v>
      </c>
      <c r="Q416" s="477">
        <v>0.38333333333333336</v>
      </c>
      <c r="R416" s="472">
        <f>IF(Table6[[#This Row],[Work Start TimeStamp]]="","",(Table6[[#This Row],[Work Start TimeStamp]]-Table6[[#This Row],[Fault Start TimeStamp]])*24)</f>
        <v>0</v>
      </c>
      <c r="S416" s="472">
        <f>(Table6[[#This Row],[Fault Clearance time]]-Table6[[#This Row],[Work Start TimeStamp]])*24</f>
        <v>5.0000000000001155E-2</v>
      </c>
      <c r="T416" s="472">
        <f>(Table6[[#This Row],[Fault Clearance time]]-Table6[[#This Row],[Fault Start TimeStamp]])*24</f>
        <v>5.0000000000001155E-2</v>
      </c>
      <c r="U416" s="35" t="s">
        <v>349</v>
      </c>
      <c r="V416" s="102" t="s">
        <v>293</v>
      </c>
      <c r="W416" s="478">
        <f>IFERROR(Table6[[#This Row],[Breakdown Time]]*Table6[[#This Row],[Plant Equivalent Weightage]],"")</f>
        <v>1.923076923076967E-3</v>
      </c>
      <c r="X416" s="473" t="s">
        <v>294</v>
      </c>
      <c r="Y416" s="474" t="s">
        <v>315</v>
      </c>
      <c r="Z416" s="102">
        <v>21657</v>
      </c>
      <c r="AA416" s="468">
        <f>(Table6[[#This Row],[Paired WTG Generation for loss calculation]]/24)*Table6[[#This Row],[Breakdown Time]]</f>
        <v>45.118750000001043</v>
      </c>
      <c r="AB416" s="102"/>
      <c r="AC416" s="35"/>
      <c r="AD416" s="35"/>
    </row>
    <row r="417" spans="1:30">
      <c r="A417" s="102">
        <f t="shared" si="7"/>
        <v>416</v>
      </c>
      <c r="B417" s="468">
        <f>YEAR(Table6[[#This Row],[Date]])+IF(MONTH(Table6[[#This Row],[Date]])&gt;=4,1,0)</f>
        <v>2026</v>
      </c>
      <c r="C417" s="102">
        <f>YEAR(Table6[[#This Row],[Date]])</f>
        <v>2025</v>
      </c>
      <c r="D417" s="102" t="s">
        <v>1992</v>
      </c>
      <c r="E417" s="469">
        <f>Table6[[#This Row],[Date]]-DAY(Table6[[#This Row],[Date]])+1</f>
        <v>45748</v>
      </c>
      <c r="F417" s="470">
        <v>45775</v>
      </c>
      <c r="G417" s="35" t="s">
        <v>75</v>
      </c>
      <c r="H417" s="35" t="str">
        <f>IFERROR(_xlfn.XLOOKUP(Table6[[#This Row],[Affected WTG]],'Basic Data'!$A:$A,'Basic Data'!$B:$B),"")</f>
        <v>TQGXIIPL</v>
      </c>
      <c r="I417" s="35" t="str">
        <f>IFERROR(_xlfn.XLOOKUP(Table6[[#This Row],[Affected WTG]],'Basic Data'!$A:$A,'Basic Data'!$C:$C),"")</f>
        <v>GEDA</v>
      </c>
      <c r="J417" s="471">
        <f>IFERROR(_xlfn.XLOOKUP(Table6[[#This Row],[Affected WTG]],'Basic Data'!$A:$A,'Basic Data'!$E:$E),"")</f>
        <v>3.846153846153845E-2</v>
      </c>
      <c r="K417" s="102">
        <v>6130</v>
      </c>
      <c r="L417" s="35" t="str">
        <f>IFERROR(_xlfn.XLOOKUP(Table6[[#This Row],[Error Code]],'Basic Data'!$AA:$AA,'Basic Data'!$AB:$AB),"Incorrect Error Code")</f>
        <v>Yaw speed high</v>
      </c>
      <c r="M417" s="35" t="s">
        <v>292</v>
      </c>
      <c r="N417" s="475"/>
      <c r="O417" s="476">
        <v>0.47361111111111109</v>
      </c>
      <c r="P417" s="476">
        <v>0.47361111111111109</v>
      </c>
      <c r="Q417" s="477">
        <v>0.4777777777777778</v>
      </c>
      <c r="R417" s="472">
        <f>IF(Table6[[#This Row],[Work Start TimeStamp]]="","",(Table6[[#This Row],[Work Start TimeStamp]]-Table6[[#This Row],[Fault Start TimeStamp]])*24)</f>
        <v>0</v>
      </c>
      <c r="S417" s="472">
        <f>(Table6[[#This Row],[Fault Clearance time]]-Table6[[#This Row],[Work Start TimeStamp]])*24</f>
        <v>0.10000000000000098</v>
      </c>
      <c r="T417" s="472">
        <f>(Table6[[#This Row],[Fault Clearance time]]-Table6[[#This Row],[Fault Start TimeStamp]])*24</f>
        <v>0.10000000000000098</v>
      </c>
      <c r="U417" s="35" t="s">
        <v>336</v>
      </c>
      <c r="V417" s="102" t="s">
        <v>293</v>
      </c>
      <c r="W417" s="478">
        <f>IFERROR(Table6[[#This Row],[Breakdown Time]]*Table6[[#This Row],[Plant Equivalent Weightage]],"")</f>
        <v>3.8461538461538824E-3</v>
      </c>
      <c r="X417" s="473" t="s">
        <v>294</v>
      </c>
      <c r="Y417" s="474" t="s">
        <v>318</v>
      </c>
      <c r="Z417" s="102">
        <v>28941</v>
      </c>
      <c r="AA417" s="468">
        <f>(Table6[[#This Row],[Paired WTG Generation for loss calculation]]/24)*Table6[[#This Row],[Breakdown Time]]</f>
        <v>120.58750000000119</v>
      </c>
      <c r="AB417" s="102"/>
      <c r="AC417" s="35"/>
      <c r="AD417" s="35"/>
    </row>
    <row r="418" spans="1:30">
      <c r="A418" s="102">
        <f t="shared" si="7"/>
        <v>417</v>
      </c>
      <c r="B418" s="468">
        <f>YEAR(Table6[[#This Row],[Date]])+IF(MONTH(Table6[[#This Row],[Date]])&gt;=4,1,0)</f>
        <v>2026</v>
      </c>
      <c r="C418" s="102">
        <f>YEAR(Table6[[#This Row],[Date]])</f>
        <v>2025</v>
      </c>
      <c r="D418" s="102" t="s">
        <v>1992</v>
      </c>
      <c r="E418" s="469">
        <f>Table6[[#This Row],[Date]]-DAY(Table6[[#This Row],[Date]])+1</f>
        <v>45748</v>
      </c>
      <c r="F418" s="470">
        <v>45775</v>
      </c>
      <c r="G418" s="35" t="s">
        <v>76</v>
      </c>
      <c r="H418" s="35" t="str">
        <f>IFERROR(_xlfn.XLOOKUP(Table6[[#This Row],[Affected WTG]],'Basic Data'!$A:$A,'Basic Data'!$B:$B),"")</f>
        <v>TQGXIIPL</v>
      </c>
      <c r="I418" s="35" t="str">
        <f>IFERROR(_xlfn.XLOOKUP(Table6[[#This Row],[Affected WTG]],'Basic Data'!$A:$A,'Basic Data'!$C:$C),"")</f>
        <v>GEDA</v>
      </c>
      <c r="J418" s="471">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291</v>
      </c>
      <c r="N418" s="475"/>
      <c r="O418" s="476">
        <v>0.77500000000000002</v>
      </c>
      <c r="P418" s="476">
        <v>0.77500000000000002</v>
      </c>
      <c r="Q418" s="477">
        <v>0.77986111111111112</v>
      </c>
      <c r="R418" s="472">
        <f>IF(Table6[[#This Row],[Work Start TimeStamp]]="","",(Table6[[#This Row],[Work Start TimeStamp]]-Table6[[#This Row],[Fault Start TimeStamp]])*24)</f>
        <v>0</v>
      </c>
      <c r="S418" s="472">
        <f>(Table6[[#This Row],[Fault Clearance time]]-Table6[[#This Row],[Work Start TimeStamp]])*24</f>
        <v>0.11666666666666625</v>
      </c>
      <c r="T418" s="472">
        <f>(Table6[[#This Row],[Fault Clearance time]]-Table6[[#This Row],[Fault Start TimeStamp]])*24</f>
        <v>0.11666666666666625</v>
      </c>
      <c r="U418" s="35" t="s">
        <v>1735</v>
      </c>
      <c r="V418" s="102" t="s">
        <v>293</v>
      </c>
      <c r="W418" s="478">
        <f>IFERROR(Table6[[#This Row],[Breakdown Time]]*Table6[[#This Row],[Plant Equivalent Weightage]],"")</f>
        <v>4.4871794871794695E-3</v>
      </c>
      <c r="X418" s="473" t="s">
        <v>294</v>
      </c>
      <c r="Y418" s="474" t="s">
        <v>309</v>
      </c>
      <c r="Z418" s="102">
        <v>23663</v>
      </c>
      <c r="AA418" s="468">
        <f>(Table6[[#This Row],[Paired WTG Generation for loss calculation]]/24)*Table6[[#This Row],[Breakdown Time]]</f>
        <v>115.02847222222182</v>
      </c>
      <c r="AB418" s="102"/>
      <c r="AC418" s="35"/>
      <c r="AD418" s="35"/>
    </row>
    <row r="419" spans="1:30">
      <c r="A419" s="102">
        <f t="shared" si="7"/>
        <v>418</v>
      </c>
      <c r="B419" s="468">
        <f>YEAR(Table6[[#This Row],[Date]])+IF(MONTH(Table6[[#This Row],[Date]])&gt;=4,1,0)</f>
        <v>2026</v>
      </c>
      <c r="C419" s="102">
        <f>YEAR(Table6[[#This Row],[Date]])</f>
        <v>2025</v>
      </c>
      <c r="D419" s="102" t="s">
        <v>1992</v>
      </c>
      <c r="E419" s="469">
        <f>Table6[[#This Row],[Date]]-DAY(Table6[[#This Row],[Date]])+1</f>
        <v>45748</v>
      </c>
      <c r="F419" s="470">
        <v>45775</v>
      </c>
      <c r="G419" s="35" t="s">
        <v>78</v>
      </c>
      <c r="H419" s="35" t="str">
        <f>IFERROR(_xlfn.XLOOKUP(Table6[[#This Row],[Affected WTG]],'Basic Data'!$A:$A,'Basic Data'!$B:$B),"")</f>
        <v>TQGXIIPL</v>
      </c>
      <c r="I419" s="35" t="str">
        <f>IFERROR(_xlfn.XLOOKUP(Table6[[#This Row],[Affected WTG]],'Basic Data'!$A:$A,'Basic Data'!$C:$C),"")</f>
        <v>GEDA</v>
      </c>
      <c r="J419" s="471">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291</v>
      </c>
      <c r="N419" s="475"/>
      <c r="O419" s="476">
        <v>0.47430555555555554</v>
      </c>
      <c r="P419" s="476">
        <v>0.47430555555555554</v>
      </c>
      <c r="Q419" s="477">
        <v>0.47638888888888886</v>
      </c>
      <c r="R419" s="472">
        <f>IF(Table6[[#This Row],[Work Start TimeStamp]]="","",(Table6[[#This Row],[Work Start TimeStamp]]-Table6[[#This Row],[Fault Start TimeStamp]])*24)</f>
        <v>0</v>
      </c>
      <c r="S419" s="472">
        <f>(Table6[[#This Row],[Fault Clearance time]]-Table6[[#This Row],[Work Start TimeStamp]])*24</f>
        <v>4.9999999999999822E-2</v>
      </c>
      <c r="T419" s="472">
        <f>(Table6[[#This Row],[Fault Clearance time]]-Table6[[#This Row],[Fault Start TimeStamp]])*24</f>
        <v>4.9999999999999822E-2</v>
      </c>
      <c r="U419" s="35" t="s">
        <v>349</v>
      </c>
      <c r="V419" s="102" t="s">
        <v>293</v>
      </c>
      <c r="W419" s="478">
        <f>IFERROR(Table6[[#This Row],[Breakdown Time]]*Table6[[#This Row],[Plant Equivalent Weightage]],"")</f>
        <v>1.9230769230769156E-3</v>
      </c>
      <c r="X419" s="473" t="s">
        <v>294</v>
      </c>
      <c r="Y419" s="474" t="s">
        <v>333</v>
      </c>
      <c r="Z419" s="102">
        <v>33725</v>
      </c>
      <c r="AA419" s="468">
        <f>(Table6[[#This Row],[Paired WTG Generation for loss calculation]]/24)*Table6[[#This Row],[Breakdown Time]]</f>
        <v>70.260416666666416</v>
      </c>
      <c r="AB419" s="102"/>
      <c r="AC419" s="35"/>
      <c r="AD419" s="35"/>
    </row>
    <row r="420" spans="1:30">
      <c r="A420" s="102">
        <f t="shared" si="7"/>
        <v>419</v>
      </c>
      <c r="B420" s="468">
        <f>YEAR(Table6[[#This Row],[Date]])+IF(MONTH(Table6[[#This Row],[Date]])&gt;=4,1,0)</f>
        <v>2026</v>
      </c>
      <c r="C420" s="102">
        <f>YEAR(Table6[[#This Row],[Date]])</f>
        <v>2025</v>
      </c>
      <c r="D420" s="102" t="s">
        <v>1992</v>
      </c>
      <c r="E420" s="469">
        <f>Table6[[#This Row],[Date]]-DAY(Table6[[#This Row],[Date]])+1</f>
        <v>45748</v>
      </c>
      <c r="F420" s="470">
        <v>45775</v>
      </c>
      <c r="G420" s="35" t="s">
        <v>78</v>
      </c>
      <c r="H420" s="35" t="str">
        <f>IFERROR(_xlfn.XLOOKUP(Table6[[#This Row],[Affected WTG]],'Basic Data'!$A:$A,'Basic Data'!$B:$B),"")</f>
        <v>TQGXIIPL</v>
      </c>
      <c r="I420" s="35" t="str">
        <f>IFERROR(_xlfn.XLOOKUP(Table6[[#This Row],[Affected WTG]],'Basic Data'!$A:$A,'Basic Data'!$C:$C),"")</f>
        <v>GEDA</v>
      </c>
      <c r="J420" s="471">
        <f>IFERROR(_xlfn.XLOOKUP(Table6[[#This Row],[Affected WTG]],'Basic Data'!$A:$A,'Basic Data'!$E:$E),"")</f>
        <v>3.846153846153845E-2</v>
      </c>
      <c r="K420" s="102">
        <v>6130</v>
      </c>
      <c r="L420" s="35" t="str">
        <f>IFERROR(_xlfn.XLOOKUP(Table6[[#This Row],[Error Code]],'Basic Data'!$AA:$AA,'Basic Data'!$AB:$AB),"Incorrect Error Code")</f>
        <v>Yaw speed high</v>
      </c>
      <c r="M420" s="35" t="s">
        <v>292</v>
      </c>
      <c r="N420" s="475"/>
      <c r="O420" s="476">
        <v>0.74861111111111112</v>
      </c>
      <c r="P420" s="476">
        <v>0.74861111111111112</v>
      </c>
      <c r="Q420" s="477">
        <v>0.75277777777777777</v>
      </c>
      <c r="R420" s="472">
        <f>IF(Table6[[#This Row],[Work Start TimeStamp]]="","",(Table6[[#This Row],[Work Start TimeStamp]]-Table6[[#This Row],[Fault Start TimeStamp]])*24)</f>
        <v>0</v>
      </c>
      <c r="S420" s="472">
        <f>(Table6[[#This Row],[Fault Clearance time]]-Table6[[#This Row],[Work Start TimeStamp]])*24</f>
        <v>9.9999999999999645E-2</v>
      </c>
      <c r="T420" s="472">
        <f>(Table6[[#This Row],[Fault Clearance time]]-Table6[[#This Row],[Fault Start TimeStamp]])*24</f>
        <v>9.9999999999999645E-2</v>
      </c>
      <c r="U420" s="35" t="s">
        <v>336</v>
      </c>
      <c r="V420" s="102" t="s">
        <v>293</v>
      </c>
      <c r="W420" s="478">
        <f>IFERROR(Table6[[#This Row],[Breakdown Time]]*Table6[[#This Row],[Plant Equivalent Weightage]],"")</f>
        <v>3.8461538461538312E-3</v>
      </c>
      <c r="X420" s="473" t="s">
        <v>294</v>
      </c>
      <c r="Y420" s="474" t="s">
        <v>333</v>
      </c>
      <c r="Z420" s="102">
        <v>33725</v>
      </c>
      <c r="AA420" s="468">
        <f>(Table6[[#This Row],[Paired WTG Generation for loss calculation]]/24)*Table6[[#This Row],[Breakdown Time]]</f>
        <v>140.52083333333283</v>
      </c>
      <c r="AB420" s="102"/>
      <c r="AC420" s="35"/>
      <c r="AD420" s="35"/>
    </row>
    <row r="421" spans="1:30">
      <c r="A421" s="102">
        <f t="shared" si="7"/>
        <v>420</v>
      </c>
      <c r="B421" s="468">
        <f>YEAR(Table6[[#This Row],[Date]])+IF(MONTH(Table6[[#This Row],[Date]])&gt;=4,1,0)</f>
        <v>2026</v>
      </c>
      <c r="C421" s="102">
        <f>YEAR(Table6[[#This Row],[Date]])</f>
        <v>2025</v>
      </c>
      <c r="D421" s="102" t="s">
        <v>1992</v>
      </c>
      <c r="E421" s="469">
        <f>Table6[[#This Row],[Date]]-DAY(Table6[[#This Row],[Date]])+1</f>
        <v>45748</v>
      </c>
      <c r="F421" s="470">
        <v>45775</v>
      </c>
      <c r="G421" s="35" t="s">
        <v>78</v>
      </c>
      <c r="H421" s="35" t="str">
        <f>IFERROR(_xlfn.XLOOKUP(Table6[[#This Row],[Affected WTG]],'Basic Data'!$A:$A,'Basic Data'!$B:$B),"")</f>
        <v>TQGXIIPL</v>
      </c>
      <c r="I421" s="35" t="str">
        <f>IFERROR(_xlfn.XLOOKUP(Table6[[#This Row],[Affected WTG]],'Basic Data'!$A:$A,'Basic Data'!$C:$C),"")</f>
        <v>GEDA</v>
      </c>
      <c r="J421" s="471">
        <f>IFERROR(_xlfn.XLOOKUP(Table6[[#This Row],[Affected WTG]],'Basic Data'!$A:$A,'Basic Data'!$E:$E),"")</f>
        <v>3.846153846153845E-2</v>
      </c>
      <c r="K421" s="102">
        <v>55</v>
      </c>
      <c r="L421" s="35" t="str">
        <f>IFERROR(_xlfn.XLOOKUP(Table6[[#This Row],[Error Code]],'Basic Data'!$AA:$AA,'Basic Data'!$AB:$AB),"Incorrect Error Code")</f>
        <v>WTG shut down</v>
      </c>
      <c r="M421" s="35" t="s">
        <v>330</v>
      </c>
      <c r="N421" s="475"/>
      <c r="O421" s="476">
        <v>0.85763888888888884</v>
      </c>
      <c r="P421" s="476">
        <v>0.85763888888888884</v>
      </c>
      <c r="Q421" s="477">
        <v>0.92638888888888893</v>
      </c>
      <c r="R421" s="472">
        <f>IF(Table6[[#This Row],[Work Start TimeStamp]]="","",(Table6[[#This Row],[Work Start TimeStamp]]-Table6[[#This Row],[Fault Start TimeStamp]])*24)</f>
        <v>0</v>
      </c>
      <c r="S421" s="472">
        <f>(Table6[[#This Row],[Fault Clearance time]]-Table6[[#This Row],[Work Start TimeStamp]])*24</f>
        <v>1.6500000000000021</v>
      </c>
      <c r="T421" s="472">
        <f>(Table6[[#This Row],[Fault Clearance time]]-Table6[[#This Row],[Fault Start TimeStamp]])*24</f>
        <v>1.6500000000000021</v>
      </c>
      <c r="U421" s="35" t="s">
        <v>337</v>
      </c>
      <c r="V421" s="102" t="s">
        <v>293</v>
      </c>
      <c r="W421" s="478">
        <f>IFERROR(Table6[[#This Row],[Breakdown Time]]*Table6[[#This Row],[Plant Equivalent Weightage]],"")</f>
        <v>6.3461538461538528E-2</v>
      </c>
      <c r="X421" s="473" t="s">
        <v>290</v>
      </c>
      <c r="Y421" s="474" t="s">
        <v>333</v>
      </c>
      <c r="Z421" s="102">
        <v>33725</v>
      </c>
      <c r="AA421" s="468">
        <f>(Table6[[#This Row],[Paired WTG Generation for loss calculation]]/24)*Table6[[#This Row],[Breakdown Time]]</f>
        <v>2318.5937500000027</v>
      </c>
      <c r="AB421" s="102"/>
      <c r="AC421" s="35"/>
      <c r="AD421" s="35"/>
    </row>
    <row r="422" spans="1:30">
      <c r="A422" s="102">
        <f t="shared" si="7"/>
        <v>421</v>
      </c>
      <c r="B422" s="468">
        <f>YEAR(Table6[[#This Row],[Date]])+IF(MONTH(Table6[[#This Row],[Date]])&gt;=4,1,0)</f>
        <v>2026</v>
      </c>
      <c r="C422" s="102">
        <f>YEAR(Table6[[#This Row],[Date]])</f>
        <v>2025</v>
      </c>
      <c r="D422" s="102" t="s">
        <v>1992</v>
      </c>
      <c r="E422" s="469">
        <f>Table6[[#This Row],[Date]]-DAY(Table6[[#This Row],[Date]])+1</f>
        <v>45748</v>
      </c>
      <c r="F422" s="470">
        <v>45775</v>
      </c>
      <c r="G422" s="35" t="s">
        <v>79</v>
      </c>
      <c r="H422" s="35" t="str">
        <f>IFERROR(_xlfn.XLOOKUP(Table6[[#This Row],[Affected WTG]],'Basic Data'!$A:$A,'Basic Data'!$B:$B),"")</f>
        <v>TQGXIIPL</v>
      </c>
      <c r="I422" s="35" t="str">
        <f>IFERROR(_xlfn.XLOOKUP(Table6[[#This Row],[Affected WTG]],'Basic Data'!$A:$A,'Basic Data'!$C:$C),"")</f>
        <v>GEDA</v>
      </c>
      <c r="J422" s="471">
        <f>IFERROR(_xlfn.XLOOKUP(Table6[[#This Row],[Affected WTG]],'Basic Data'!$A:$A,'Basic Data'!$E:$E),"")</f>
        <v>3.846153846153845E-2</v>
      </c>
      <c r="K422" s="102">
        <v>55</v>
      </c>
      <c r="L422" s="35" t="str">
        <f>IFERROR(_xlfn.XLOOKUP(Table6[[#This Row],[Error Code]],'Basic Data'!$AA:$AA,'Basic Data'!$AB:$AB),"Incorrect Error Code")</f>
        <v>WTG shut down</v>
      </c>
      <c r="M422" s="35" t="s">
        <v>304</v>
      </c>
      <c r="N422" s="475"/>
      <c r="O422" s="476">
        <v>0.28472222222222221</v>
      </c>
      <c r="P422" s="476">
        <v>0.28472222222222221</v>
      </c>
      <c r="Q422" s="477">
        <v>0.60833333333333328</v>
      </c>
      <c r="R422" s="472">
        <f>IF(Table6[[#This Row],[Work Start TimeStamp]]="","",(Table6[[#This Row],[Work Start TimeStamp]]-Table6[[#This Row],[Fault Start TimeStamp]])*24)</f>
        <v>0</v>
      </c>
      <c r="S422" s="472">
        <f>(Table6[[#This Row],[Fault Clearance time]]-Table6[[#This Row],[Work Start TimeStamp]])*24</f>
        <v>7.7666666666666657</v>
      </c>
      <c r="T422" s="472">
        <f>(Table6[[#This Row],[Fault Clearance time]]-Table6[[#This Row],[Fault Start TimeStamp]])*24</f>
        <v>7.7666666666666657</v>
      </c>
      <c r="U422" s="35" t="s">
        <v>1736</v>
      </c>
      <c r="V422" s="102" t="s">
        <v>293</v>
      </c>
      <c r="W422" s="478">
        <f>IFERROR(Table6[[#This Row],[Breakdown Time]]*Table6[[#This Row],[Plant Equivalent Weightage]],"")</f>
        <v>0.2987179487179486</v>
      </c>
      <c r="X422" s="473" t="s">
        <v>305</v>
      </c>
      <c r="Y422" s="474" t="s">
        <v>325</v>
      </c>
      <c r="Z422" s="102">
        <v>21721</v>
      </c>
      <c r="AA422" s="468">
        <f>(Table6[[#This Row],[Paired WTG Generation for loss calculation]]/24)*Table6[[#This Row],[Breakdown Time]]</f>
        <v>7029.1569444444431</v>
      </c>
      <c r="AB422" s="102"/>
      <c r="AC422" s="35"/>
      <c r="AD422" s="35"/>
    </row>
    <row r="423" spans="1:30">
      <c r="A423" s="102">
        <f t="shared" si="7"/>
        <v>422</v>
      </c>
      <c r="B423" s="468">
        <f>YEAR(Table6[[#This Row],[Date]])+IF(MONTH(Table6[[#This Row],[Date]])&gt;=4,1,0)</f>
        <v>2026</v>
      </c>
      <c r="C423" s="102">
        <f>YEAR(Table6[[#This Row],[Date]])</f>
        <v>2025</v>
      </c>
      <c r="D423" s="102" t="s">
        <v>1992</v>
      </c>
      <c r="E423" s="469">
        <f>Table6[[#This Row],[Date]]-DAY(Table6[[#This Row],[Date]])+1</f>
        <v>45748</v>
      </c>
      <c r="F423" s="470">
        <v>45775</v>
      </c>
      <c r="G423" s="35" t="s">
        <v>79</v>
      </c>
      <c r="H423" s="35" t="str">
        <f>IFERROR(_xlfn.XLOOKUP(Table6[[#This Row],[Affected WTG]],'Basic Data'!$A:$A,'Basic Data'!$B:$B),"")</f>
        <v>TQGXIIPL</v>
      </c>
      <c r="I423" s="35" t="str">
        <f>IFERROR(_xlfn.XLOOKUP(Table6[[#This Row],[Affected WTG]],'Basic Data'!$A:$A,'Basic Data'!$C:$C),"")</f>
        <v>GEDA</v>
      </c>
      <c r="J423" s="471">
        <f>IFERROR(_xlfn.XLOOKUP(Table6[[#This Row],[Affected WTG]],'Basic Data'!$A:$A,'Basic Data'!$E:$E),"")</f>
        <v>3.846153846153845E-2</v>
      </c>
      <c r="K423" s="102">
        <v>6056</v>
      </c>
      <c r="L423" s="35" t="str">
        <f>IFERROR(_xlfn.XLOOKUP(Table6[[#This Row],[Error Code]],'Basic Data'!$AA:$AA,'Basic Data'!$AB:$AB),"Incorrect Error Code")</f>
        <v>High yaw load</v>
      </c>
      <c r="M423" s="35" t="s">
        <v>291</v>
      </c>
      <c r="N423" s="475"/>
      <c r="O423" s="476">
        <v>0.66180555555555554</v>
      </c>
      <c r="P423" s="476">
        <v>0.66180555555555554</v>
      </c>
      <c r="Q423" s="477">
        <v>0.66319444444444442</v>
      </c>
      <c r="R423" s="472">
        <f>IF(Table6[[#This Row],[Work Start TimeStamp]]="","",(Table6[[#This Row],[Work Start TimeStamp]]-Table6[[#This Row],[Fault Start TimeStamp]])*24)</f>
        <v>0</v>
      </c>
      <c r="S423" s="472">
        <f>(Table6[[#This Row],[Fault Clearance time]]-Table6[[#This Row],[Work Start TimeStamp]])*24</f>
        <v>3.3333333333333215E-2</v>
      </c>
      <c r="T423" s="472">
        <f>(Table6[[#This Row],[Fault Clearance time]]-Table6[[#This Row],[Fault Start TimeStamp]])*24</f>
        <v>3.3333333333333215E-2</v>
      </c>
      <c r="U423" s="35" t="s">
        <v>349</v>
      </c>
      <c r="V423" s="102" t="s">
        <v>293</v>
      </c>
      <c r="W423" s="478">
        <f>IFERROR(Table6[[#This Row],[Breakdown Time]]*Table6[[#This Row],[Plant Equivalent Weightage]],"")</f>
        <v>1.2820512820512771E-3</v>
      </c>
      <c r="X423" s="473" t="s">
        <v>294</v>
      </c>
      <c r="Y423" s="474" t="s">
        <v>325</v>
      </c>
      <c r="Z423" s="102">
        <v>21721</v>
      </c>
      <c r="AA423" s="468">
        <f>(Table6[[#This Row],[Paired WTG Generation for loss calculation]]/24)*Table6[[#This Row],[Breakdown Time]]</f>
        <v>30.168055555555448</v>
      </c>
      <c r="AB423" s="102"/>
      <c r="AC423" s="35"/>
      <c r="AD423" s="35"/>
    </row>
    <row r="424" spans="1:30">
      <c r="A424" s="102">
        <f t="shared" si="7"/>
        <v>423</v>
      </c>
      <c r="B424" s="468">
        <f>YEAR(Table6[[#This Row],[Date]])+IF(MONTH(Table6[[#This Row],[Date]])&gt;=4,1,0)</f>
        <v>2026</v>
      </c>
      <c r="C424" s="102">
        <f>YEAR(Table6[[#This Row],[Date]])</f>
        <v>2025</v>
      </c>
      <c r="D424" s="102" t="s">
        <v>1992</v>
      </c>
      <c r="E424" s="469">
        <f>Table6[[#This Row],[Date]]-DAY(Table6[[#This Row],[Date]])+1</f>
        <v>45748</v>
      </c>
      <c r="F424" s="470">
        <v>45775</v>
      </c>
      <c r="G424" s="35" t="s">
        <v>85</v>
      </c>
      <c r="H424" s="35" t="str">
        <f>IFERROR(_xlfn.XLOOKUP(Table6[[#This Row],[Affected WTG]],'Basic Data'!$A:$A,'Basic Data'!$B:$B),"")</f>
        <v>TQGXIIPL</v>
      </c>
      <c r="I424" s="35" t="str">
        <f>IFERROR(_xlfn.XLOOKUP(Table6[[#This Row],[Affected WTG]],'Basic Data'!$A:$A,'Basic Data'!$C:$C),"")</f>
        <v>GEDA</v>
      </c>
      <c r="J424" s="471">
        <f>IFERROR(_xlfn.XLOOKUP(Table6[[#This Row],[Affected WTG]],'Basic Data'!$A:$A,'Basic Data'!$E:$E),"")</f>
        <v>3.846153846153845E-2</v>
      </c>
      <c r="K424" s="102">
        <v>55</v>
      </c>
      <c r="L424" s="35" t="str">
        <f>IFERROR(_xlfn.XLOOKUP(Table6[[#This Row],[Error Code]],'Basic Data'!$AA:$AA,'Basic Data'!$AB:$AB),"Incorrect Error Code")</f>
        <v>WTG shut down</v>
      </c>
      <c r="M424" s="35" t="s">
        <v>330</v>
      </c>
      <c r="N424" s="475"/>
      <c r="O424" s="476">
        <v>0.78680555555555554</v>
      </c>
      <c r="P424" s="476">
        <v>0.78680555555555554</v>
      </c>
      <c r="Q424" s="477">
        <v>0.84027777777777779</v>
      </c>
      <c r="R424" s="472">
        <f>IF(Table6[[#This Row],[Work Start TimeStamp]]="","",(Table6[[#This Row],[Work Start TimeStamp]]-Table6[[#This Row],[Fault Start TimeStamp]])*24)</f>
        <v>0</v>
      </c>
      <c r="S424" s="472">
        <f>(Table6[[#This Row],[Fault Clearance time]]-Table6[[#This Row],[Work Start TimeStamp]])*24</f>
        <v>1.2833333333333341</v>
      </c>
      <c r="T424" s="472">
        <f>(Table6[[#This Row],[Fault Clearance time]]-Table6[[#This Row],[Fault Start TimeStamp]])*24</f>
        <v>1.2833333333333341</v>
      </c>
      <c r="U424" s="35" t="s">
        <v>1737</v>
      </c>
      <c r="V424" s="102" t="s">
        <v>293</v>
      </c>
      <c r="W424" s="478">
        <f>IFERROR(Table6[[#This Row],[Breakdown Time]]*Table6[[#This Row],[Plant Equivalent Weightage]],"")</f>
        <v>4.9358974358974371E-2</v>
      </c>
      <c r="X424" s="473" t="s">
        <v>290</v>
      </c>
      <c r="Y424" s="474" t="s">
        <v>322</v>
      </c>
      <c r="Z424" s="102">
        <v>20172</v>
      </c>
      <c r="AA424" s="468">
        <f>(Table6[[#This Row],[Paired WTG Generation for loss calculation]]/24)*Table6[[#This Row],[Breakdown Time]]</f>
        <v>1078.6416666666673</v>
      </c>
      <c r="AB424" s="102"/>
      <c r="AC424" s="35"/>
      <c r="AD424" s="35"/>
    </row>
    <row r="425" spans="1:30">
      <c r="A425" s="102">
        <f t="shared" si="7"/>
        <v>424</v>
      </c>
      <c r="B425" s="468">
        <f>YEAR(Table6[[#This Row],[Date]])+IF(MONTH(Table6[[#This Row],[Date]])&gt;=4,1,0)</f>
        <v>2026</v>
      </c>
      <c r="C425" s="102">
        <f>YEAR(Table6[[#This Row],[Date]])</f>
        <v>2025</v>
      </c>
      <c r="D425" s="102" t="s">
        <v>1992</v>
      </c>
      <c r="E425" s="469">
        <f>Table6[[#This Row],[Date]]-DAY(Table6[[#This Row],[Date]])+1</f>
        <v>45748</v>
      </c>
      <c r="F425" s="470">
        <v>45775</v>
      </c>
      <c r="G425" s="35" t="s">
        <v>89</v>
      </c>
      <c r="H425" s="35" t="str">
        <f>IFERROR(_xlfn.XLOOKUP(Table6[[#This Row],[Affected WTG]],'Basic Data'!$A:$A,'Basic Data'!$B:$B),"")</f>
        <v>TQGXIIPL</v>
      </c>
      <c r="I425" s="35" t="str">
        <f>IFERROR(_xlfn.XLOOKUP(Table6[[#This Row],[Affected WTG]],'Basic Data'!$A:$A,'Basic Data'!$C:$C),"")</f>
        <v>GEDA</v>
      </c>
      <c r="J425" s="471">
        <f>IFERROR(_xlfn.XLOOKUP(Table6[[#This Row],[Affected WTG]],'Basic Data'!$A:$A,'Basic Data'!$E:$E),"")</f>
        <v>3.846153846153845E-2</v>
      </c>
      <c r="K425" s="102">
        <v>55</v>
      </c>
      <c r="L425" s="35" t="str">
        <f>IFERROR(_xlfn.XLOOKUP(Table6[[#This Row],[Error Code]],'Basic Data'!$AA:$AA,'Basic Data'!$AB:$AB),"Incorrect Error Code")</f>
        <v>WTG shut down</v>
      </c>
      <c r="M425" s="35" t="s">
        <v>291</v>
      </c>
      <c r="N425" s="475"/>
      <c r="O425" s="476">
        <v>0.69791666666666663</v>
      </c>
      <c r="P425" s="476">
        <v>0.69791666666666663</v>
      </c>
      <c r="Q425" s="477">
        <v>0.7270833333333333</v>
      </c>
      <c r="R425" s="472">
        <f>IF(Table6[[#This Row],[Work Start TimeStamp]]="","",(Table6[[#This Row],[Work Start TimeStamp]]-Table6[[#This Row],[Fault Start TimeStamp]])*24)</f>
        <v>0</v>
      </c>
      <c r="S425" s="472">
        <f>(Table6[[#This Row],[Fault Clearance time]]-Table6[[#This Row],[Work Start TimeStamp]])*24</f>
        <v>0.70000000000000018</v>
      </c>
      <c r="T425" s="472">
        <f>(Table6[[#This Row],[Fault Clearance time]]-Table6[[#This Row],[Fault Start TimeStamp]])*24</f>
        <v>0.70000000000000018</v>
      </c>
      <c r="U425" s="35" t="s">
        <v>1719</v>
      </c>
      <c r="V425" s="102" t="s">
        <v>293</v>
      </c>
      <c r="W425" s="478">
        <f>IFERROR(Table6[[#This Row],[Breakdown Time]]*Table6[[#This Row],[Plant Equivalent Weightage]],"")</f>
        <v>2.6923076923076921E-2</v>
      </c>
      <c r="X425" s="473" t="s">
        <v>290</v>
      </c>
      <c r="Y425" s="474" t="s">
        <v>325</v>
      </c>
      <c r="Z425" s="102">
        <v>21721</v>
      </c>
      <c r="AA425" s="468">
        <f>(Table6[[#This Row],[Paired WTG Generation for loss calculation]]/24)*Table6[[#This Row],[Breakdown Time]]</f>
        <v>633.52916666666681</v>
      </c>
      <c r="AB425" s="102"/>
      <c r="AC425" s="35"/>
      <c r="AD425" s="35"/>
    </row>
    <row r="426" spans="1:30">
      <c r="A426" s="102">
        <f t="shared" si="7"/>
        <v>425</v>
      </c>
      <c r="B426" s="468">
        <f>YEAR(Table6[[#This Row],[Date]])+IF(MONTH(Table6[[#This Row],[Date]])&gt;=4,1,0)</f>
        <v>2026</v>
      </c>
      <c r="C426" s="102">
        <f>YEAR(Table6[[#This Row],[Date]])</f>
        <v>2025</v>
      </c>
      <c r="D426" s="102" t="s">
        <v>1992</v>
      </c>
      <c r="E426" s="469">
        <f>Table6[[#This Row],[Date]]-DAY(Table6[[#This Row],[Date]])+1</f>
        <v>45748</v>
      </c>
      <c r="F426" s="470">
        <v>45775</v>
      </c>
      <c r="G426" s="35" t="s">
        <v>90</v>
      </c>
      <c r="H426" s="35" t="str">
        <f>IFERROR(_xlfn.XLOOKUP(Table6[[#This Row],[Affected WTG]],'Basic Data'!$A:$A,'Basic Data'!$B:$B),"")</f>
        <v>TQGXIIPL</v>
      </c>
      <c r="I426" s="35" t="str">
        <f>IFERROR(_xlfn.XLOOKUP(Table6[[#This Row],[Affected WTG]],'Basic Data'!$A:$A,'Basic Data'!$C:$C),"")</f>
        <v>GEDA</v>
      </c>
      <c r="J426" s="471">
        <f>IFERROR(_xlfn.XLOOKUP(Table6[[#This Row],[Affected WTG]],'Basic Data'!$A:$A,'Basic Data'!$E:$E),"")</f>
        <v>3.846153846153845E-2</v>
      </c>
      <c r="K426" s="102">
        <v>551</v>
      </c>
      <c r="L426" s="35" t="str">
        <f>IFERROR(_xlfn.XLOOKUP(Table6[[#This Row],[Error Code]],'Basic Data'!$AA:$AA,'Basic Data'!$AB:$AB),"Incorrect Error Code")</f>
        <v>Pitch motor current too high</v>
      </c>
      <c r="M426" s="35" t="s">
        <v>291</v>
      </c>
      <c r="N426" s="475"/>
      <c r="O426" s="476">
        <v>0.25208333333333333</v>
      </c>
      <c r="P426" s="476">
        <v>0.25208333333333333</v>
      </c>
      <c r="Q426" s="477">
        <v>0.25555555555555554</v>
      </c>
      <c r="R426" s="472">
        <f>IF(Table6[[#This Row],[Work Start TimeStamp]]="","",(Table6[[#This Row],[Work Start TimeStamp]]-Table6[[#This Row],[Fault Start TimeStamp]])*24)</f>
        <v>0</v>
      </c>
      <c r="S426" s="472">
        <f>(Table6[[#This Row],[Fault Clearance time]]-Table6[[#This Row],[Work Start TimeStamp]])*24</f>
        <v>8.3333333333333037E-2</v>
      </c>
      <c r="T426" s="472">
        <f>(Table6[[#This Row],[Fault Clearance time]]-Table6[[#This Row],[Fault Start TimeStamp]])*24</f>
        <v>8.3333333333333037E-2</v>
      </c>
      <c r="U426" s="35" t="s">
        <v>349</v>
      </c>
      <c r="V426" s="102" t="s">
        <v>293</v>
      </c>
      <c r="W426" s="478">
        <f>IFERROR(Table6[[#This Row],[Breakdown Time]]*Table6[[#This Row],[Plant Equivalent Weightage]],"")</f>
        <v>3.2051282051281929E-3</v>
      </c>
      <c r="X426" s="473" t="s">
        <v>294</v>
      </c>
      <c r="Y426" s="474" t="s">
        <v>339</v>
      </c>
      <c r="Z426" s="102">
        <v>28665</v>
      </c>
      <c r="AA426" s="468">
        <f>(Table6[[#This Row],[Paired WTG Generation for loss calculation]]/24)*Table6[[#This Row],[Breakdown Time]]</f>
        <v>99.531249999999645</v>
      </c>
      <c r="AB426" s="102"/>
      <c r="AC426" s="35"/>
      <c r="AD426" s="35"/>
    </row>
    <row r="427" spans="1:30">
      <c r="A427" s="102">
        <f t="shared" si="7"/>
        <v>426</v>
      </c>
      <c r="B427" s="468">
        <f>YEAR(Table6[[#This Row],[Date]])+IF(MONTH(Table6[[#This Row],[Date]])&gt;=4,1,0)</f>
        <v>2026</v>
      </c>
      <c r="C427" s="102">
        <f>YEAR(Table6[[#This Row],[Date]])</f>
        <v>2025</v>
      </c>
      <c r="D427" s="102" t="s">
        <v>1992</v>
      </c>
      <c r="E427" s="469">
        <f>Table6[[#This Row],[Date]]-DAY(Table6[[#This Row],[Date]])+1</f>
        <v>45748</v>
      </c>
      <c r="F427" s="470">
        <v>45775</v>
      </c>
      <c r="G427" s="35" t="s">
        <v>90</v>
      </c>
      <c r="H427" s="35" t="str">
        <f>IFERROR(_xlfn.XLOOKUP(Table6[[#This Row],[Affected WTG]],'Basic Data'!$A:$A,'Basic Data'!$B:$B),"")</f>
        <v>TQGXIIPL</v>
      </c>
      <c r="I427" s="35" t="str">
        <f>IFERROR(_xlfn.XLOOKUP(Table6[[#This Row],[Affected WTG]],'Basic Data'!$A:$A,'Basic Data'!$C:$C),"")</f>
        <v>GEDA</v>
      </c>
      <c r="J427" s="471">
        <f>IFERROR(_xlfn.XLOOKUP(Table6[[#This Row],[Affected WTG]],'Basic Data'!$A:$A,'Basic Data'!$E:$E),"")</f>
        <v>3.846153846153845E-2</v>
      </c>
      <c r="K427" s="102">
        <v>55</v>
      </c>
      <c r="L427" s="35" t="str">
        <f>IFERROR(_xlfn.XLOOKUP(Table6[[#This Row],[Error Code]],'Basic Data'!$AA:$AA,'Basic Data'!$AB:$AB),"Incorrect Error Code")</f>
        <v>WTG shut down</v>
      </c>
      <c r="M427" s="35" t="s">
        <v>295</v>
      </c>
      <c r="N427" s="475"/>
      <c r="O427" s="476">
        <v>0.3527777777777778</v>
      </c>
      <c r="P427" s="476">
        <v>0.3527777777777778</v>
      </c>
      <c r="Q427" s="477">
        <v>0.69097222222222221</v>
      </c>
      <c r="R427" s="472">
        <f>IF(Table6[[#This Row],[Work Start TimeStamp]]="","",(Table6[[#This Row],[Work Start TimeStamp]]-Table6[[#This Row],[Fault Start TimeStamp]])*24)</f>
        <v>0</v>
      </c>
      <c r="S427" s="472">
        <f>(Table6[[#This Row],[Fault Clearance time]]-Table6[[#This Row],[Work Start TimeStamp]])*24</f>
        <v>8.1166666666666654</v>
      </c>
      <c r="T427" s="472">
        <f>(Table6[[#This Row],[Fault Clearance time]]-Table6[[#This Row],[Fault Start TimeStamp]])*24</f>
        <v>8.1166666666666654</v>
      </c>
      <c r="U427" s="35" t="s">
        <v>1720</v>
      </c>
      <c r="V427" s="102" t="s">
        <v>293</v>
      </c>
      <c r="W427" s="478">
        <f>IFERROR(Table6[[#This Row],[Breakdown Time]]*Table6[[#This Row],[Plant Equivalent Weightage]],"")</f>
        <v>0.31217948717948701</v>
      </c>
      <c r="X427" s="473" t="s">
        <v>290</v>
      </c>
      <c r="Y427" s="474" t="s">
        <v>339</v>
      </c>
      <c r="Z427" s="102">
        <v>28665</v>
      </c>
      <c r="AA427" s="468">
        <f>(Table6[[#This Row],[Paired WTG Generation for loss calculation]]/24)*Table6[[#This Row],[Breakdown Time]]</f>
        <v>9694.3437499999982</v>
      </c>
      <c r="AB427" s="102"/>
      <c r="AC427" s="35"/>
      <c r="AD427" s="35"/>
    </row>
    <row r="428" spans="1:30">
      <c r="A428" s="102">
        <f t="shared" si="7"/>
        <v>427</v>
      </c>
      <c r="B428" s="468">
        <f>YEAR(Table6[[#This Row],[Date]])+IF(MONTH(Table6[[#This Row],[Date]])&gt;=4,1,0)</f>
        <v>2026</v>
      </c>
      <c r="C428" s="102">
        <f>YEAR(Table6[[#This Row],[Date]])</f>
        <v>2025</v>
      </c>
      <c r="D428" s="102" t="s">
        <v>1992</v>
      </c>
      <c r="E428" s="469">
        <f>Table6[[#This Row],[Date]]-DAY(Table6[[#This Row],[Date]])+1</f>
        <v>45748</v>
      </c>
      <c r="F428" s="470">
        <v>45775</v>
      </c>
      <c r="G428" s="35" t="s">
        <v>90</v>
      </c>
      <c r="H428" s="35" t="str">
        <f>IFERROR(_xlfn.XLOOKUP(Table6[[#This Row],[Affected WTG]],'Basic Data'!$A:$A,'Basic Data'!$B:$B),"")</f>
        <v>TQGXIIPL</v>
      </c>
      <c r="I428" s="35" t="str">
        <f>IFERROR(_xlfn.XLOOKUP(Table6[[#This Row],[Affected WTG]],'Basic Data'!$A:$A,'Basic Data'!$C:$C),"")</f>
        <v>GEDA</v>
      </c>
      <c r="J428" s="471">
        <f>IFERROR(_xlfn.XLOOKUP(Table6[[#This Row],[Affected WTG]],'Basic Data'!$A:$A,'Basic Data'!$E:$E),"")</f>
        <v>3.846153846153845E-2</v>
      </c>
      <c r="K428" s="102">
        <v>6605</v>
      </c>
      <c r="L428" s="35" t="str">
        <f>IFERROR(_xlfn.XLOOKUP(Table6[[#This Row],[Error Code]],'Basic Data'!$AA:$AA,'Basic Data'!$AB:$AB),"Incorrect Error Code")</f>
        <v>Wind.dir. diff. level 2</v>
      </c>
      <c r="M428" s="35" t="s">
        <v>291</v>
      </c>
      <c r="N428" s="475"/>
      <c r="O428" s="476">
        <v>0.87777777777777777</v>
      </c>
      <c r="P428" s="476">
        <v>0.87777777777777777</v>
      </c>
      <c r="Q428" s="477">
        <v>0.87916666666666665</v>
      </c>
      <c r="R428" s="472">
        <f>IF(Table6[[#This Row],[Work Start TimeStamp]]="","",(Table6[[#This Row],[Work Start TimeStamp]]-Table6[[#This Row],[Fault Start TimeStamp]])*24)</f>
        <v>0</v>
      </c>
      <c r="S428" s="472">
        <f>(Table6[[#This Row],[Fault Clearance time]]-Table6[[#This Row],[Work Start TimeStamp]])*24</f>
        <v>3.3333333333333215E-2</v>
      </c>
      <c r="T428" s="472">
        <f>(Table6[[#This Row],[Fault Clearance time]]-Table6[[#This Row],[Fault Start TimeStamp]])*24</f>
        <v>3.3333333333333215E-2</v>
      </c>
      <c r="U428" s="35" t="s">
        <v>349</v>
      </c>
      <c r="V428" s="102" t="s">
        <v>293</v>
      </c>
      <c r="W428" s="478">
        <f>IFERROR(Table6[[#This Row],[Breakdown Time]]*Table6[[#This Row],[Plant Equivalent Weightage]],"")</f>
        <v>1.2820512820512771E-3</v>
      </c>
      <c r="X428" s="473" t="s">
        <v>294</v>
      </c>
      <c r="Y428" s="474" t="s">
        <v>339</v>
      </c>
      <c r="Z428" s="102">
        <v>28665</v>
      </c>
      <c r="AA428" s="468">
        <f>(Table6[[#This Row],[Paired WTG Generation for loss calculation]]/24)*Table6[[#This Row],[Breakdown Time]]</f>
        <v>39.812499999999858</v>
      </c>
      <c r="AB428" s="102"/>
      <c r="AC428" s="35"/>
      <c r="AD428" s="35"/>
    </row>
    <row r="429" spans="1:30">
      <c r="A429" s="102">
        <f t="shared" si="7"/>
        <v>428</v>
      </c>
      <c r="B429" s="468">
        <f>YEAR(Table6[[#This Row],[Date]])+IF(MONTH(Table6[[#This Row],[Date]])&gt;=4,1,0)</f>
        <v>2026</v>
      </c>
      <c r="C429" s="102">
        <f>YEAR(Table6[[#This Row],[Date]])</f>
        <v>2025</v>
      </c>
      <c r="D429" s="102" t="s">
        <v>1992</v>
      </c>
      <c r="E429" s="469">
        <f>Table6[[#This Row],[Date]]-DAY(Table6[[#This Row],[Date]])+1</f>
        <v>45748</v>
      </c>
      <c r="F429" s="470">
        <v>45775</v>
      </c>
      <c r="G429" s="35" t="s">
        <v>93</v>
      </c>
      <c r="H429" s="35" t="str">
        <f>IFERROR(_xlfn.XLOOKUP(Table6[[#This Row],[Affected WTG]],'Basic Data'!$A:$A,'Basic Data'!$B:$B),"")</f>
        <v>TQGXIIPL</v>
      </c>
      <c r="I429" s="35" t="str">
        <f>IFERROR(_xlfn.XLOOKUP(Table6[[#This Row],[Affected WTG]],'Basic Data'!$A:$A,'Basic Data'!$C:$C),"")</f>
        <v>GEDA</v>
      </c>
      <c r="J429" s="471">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291</v>
      </c>
      <c r="N429" s="475"/>
      <c r="O429" s="476">
        <v>0.78541666666666665</v>
      </c>
      <c r="P429" s="476">
        <v>0.78541666666666665</v>
      </c>
      <c r="Q429" s="477">
        <v>0.79374999999999996</v>
      </c>
      <c r="R429" s="472">
        <f>IF(Table6[[#This Row],[Work Start TimeStamp]]="","",(Table6[[#This Row],[Work Start TimeStamp]]-Table6[[#This Row],[Fault Start TimeStamp]])*24)</f>
        <v>0</v>
      </c>
      <c r="S429" s="472">
        <f>(Table6[[#This Row],[Fault Clearance time]]-Table6[[#This Row],[Work Start TimeStamp]])*24</f>
        <v>0.19999999999999929</v>
      </c>
      <c r="T429" s="472">
        <f>(Table6[[#This Row],[Fault Clearance time]]-Table6[[#This Row],[Fault Start TimeStamp]])*24</f>
        <v>0.19999999999999929</v>
      </c>
      <c r="U429" s="35" t="s">
        <v>396</v>
      </c>
      <c r="V429" s="102" t="s">
        <v>293</v>
      </c>
      <c r="W429" s="478">
        <f>IFERROR(Table6[[#This Row],[Breakdown Time]]*Table6[[#This Row],[Plant Equivalent Weightage]],"")</f>
        <v>7.6923076923076624E-3</v>
      </c>
      <c r="X429" s="473" t="s">
        <v>294</v>
      </c>
      <c r="Y429" s="474" t="s">
        <v>314</v>
      </c>
      <c r="Z429" s="102">
        <v>25311</v>
      </c>
      <c r="AA429" s="468">
        <f>(Table6[[#This Row],[Paired WTG Generation for loss calculation]]/24)*Table6[[#This Row],[Breakdown Time]]</f>
        <v>210.92499999999924</v>
      </c>
      <c r="AB429" s="102"/>
      <c r="AC429" s="35"/>
      <c r="AD429" s="35"/>
    </row>
    <row r="430" spans="1:30">
      <c r="A430" s="102">
        <f t="shared" si="7"/>
        <v>429</v>
      </c>
      <c r="B430" s="468">
        <f>YEAR(Table6[[#This Row],[Date]])+IF(MONTH(Table6[[#This Row],[Date]])&gt;=4,1,0)</f>
        <v>2026</v>
      </c>
      <c r="C430" s="102">
        <f>YEAR(Table6[[#This Row],[Date]])</f>
        <v>2025</v>
      </c>
      <c r="D430" s="102" t="s">
        <v>1992</v>
      </c>
      <c r="E430" s="469">
        <f>Table6[[#This Row],[Date]]-DAY(Table6[[#This Row],[Date]])+1</f>
        <v>45748</v>
      </c>
      <c r="F430" s="470">
        <v>45775</v>
      </c>
      <c r="G430" s="35" t="s">
        <v>94</v>
      </c>
      <c r="H430" s="35" t="str">
        <f>IFERROR(_xlfn.XLOOKUP(Table6[[#This Row],[Affected WTG]],'Basic Data'!$A:$A,'Basic Data'!$B:$B),"")</f>
        <v>TQGXIIPL</v>
      </c>
      <c r="I430" s="35" t="str">
        <f>IFERROR(_xlfn.XLOOKUP(Table6[[#This Row],[Affected WTG]],'Basic Data'!$A:$A,'Basic Data'!$C:$C),"")</f>
        <v>GEDA</v>
      </c>
      <c r="J430" s="471">
        <f>IFERROR(_xlfn.XLOOKUP(Table6[[#This Row],[Affected WTG]],'Basic Data'!$A:$A,'Basic Data'!$E:$E),"")</f>
        <v>3.846153846153845E-2</v>
      </c>
      <c r="K430" s="102">
        <v>55</v>
      </c>
      <c r="L430" s="35" t="str">
        <f>IFERROR(_xlfn.XLOOKUP(Table6[[#This Row],[Error Code]],'Basic Data'!$AA:$AA,'Basic Data'!$AB:$AB),"Incorrect Error Code")</f>
        <v>WTG shut down</v>
      </c>
      <c r="M430" s="35" t="s">
        <v>291</v>
      </c>
      <c r="N430" s="475"/>
      <c r="O430" s="476">
        <v>0.62916666666666665</v>
      </c>
      <c r="P430" s="476">
        <v>0.62916666666666665</v>
      </c>
      <c r="Q430" s="477">
        <v>0.66527777777777775</v>
      </c>
      <c r="R430" s="472">
        <f>IF(Table6[[#This Row],[Work Start TimeStamp]]="","",(Table6[[#This Row],[Work Start TimeStamp]]-Table6[[#This Row],[Fault Start TimeStamp]])*24)</f>
        <v>0</v>
      </c>
      <c r="S430" s="472">
        <f>(Table6[[#This Row],[Fault Clearance time]]-Table6[[#This Row],[Work Start TimeStamp]])*24</f>
        <v>0.86666666666666625</v>
      </c>
      <c r="T430" s="472">
        <f>(Table6[[#This Row],[Fault Clearance time]]-Table6[[#This Row],[Fault Start TimeStamp]])*24</f>
        <v>0.86666666666666625</v>
      </c>
      <c r="U430" s="35" t="s">
        <v>1719</v>
      </c>
      <c r="V430" s="102" t="s">
        <v>293</v>
      </c>
      <c r="W430" s="478">
        <f>IFERROR(Table6[[#This Row],[Breakdown Time]]*Table6[[#This Row],[Plant Equivalent Weightage]],"")</f>
        <v>3.3333333333333305E-2</v>
      </c>
      <c r="X430" s="473" t="s">
        <v>290</v>
      </c>
      <c r="Y430" s="474" t="s">
        <v>319</v>
      </c>
      <c r="Z430" s="102">
        <v>18752</v>
      </c>
      <c r="AA430" s="468">
        <f>(Table6[[#This Row],[Paired WTG Generation for loss calculation]]/24)*Table6[[#This Row],[Breakdown Time]]</f>
        <v>677.15555555555522</v>
      </c>
      <c r="AB430" s="102"/>
      <c r="AC430" s="35"/>
      <c r="AD430" s="35"/>
    </row>
    <row r="431" spans="1:30">
      <c r="A431" s="102">
        <f t="shared" si="7"/>
        <v>430</v>
      </c>
      <c r="B431" s="468">
        <f>YEAR(Table6[[#This Row],[Date]])+IF(MONTH(Table6[[#This Row],[Date]])&gt;=4,1,0)</f>
        <v>2026</v>
      </c>
      <c r="C431" s="102">
        <f>YEAR(Table6[[#This Row],[Date]])</f>
        <v>2025</v>
      </c>
      <c r="D431" s="102" t="s">
        <v>1992</v>
      </c>
      <c r="E431" s="469">
        <f>Table6[[#This Row],[Date]]-DAY(Table6[[#This Row],[Date]])+1</f>
        <v>45748</v>
      </c>
      <c r="F431" s="470">
        <v>45775</v>
      </c>
      <c r="G431" s="35" t="s">
        <v>95</v>
      </c>
      <c r="H431" s="35" t="str">
        <f>IFERROR(_xlfn.XLOOKUP(Table6[[#This Row],[Affected WTG]],'Basic Data'!$A:$A,'Basic Data'!$B:$B),"")</f>
        <v>TQGXIIPL</v>
      </c>
      <c r="I431" s="35" t="str">
        <f>IFERROR(_xlfn.XLOOKUP(Table6[[#This Row],[Affected WTG]],'Basic Data'!$A:$A,'Basic Data'!$C:$C),"")</f>
        <v>GEDA</v>
      </c>
      <c r="J431" s="471">
        <f>IFERROR(_xlfn.XLOOKUP(Table6[[#This Row],[Affected WTG]],'Basic Data'!$A:$A,'Basic Data'!$E:$E),"")</f>
        <v>3.846153846153845E-2</v>
      </c>
      <c r="K431" s="102">
        <v>55</v>
      </c>
      <c r="L431" s="35" t="str">
        <f>IFERROR(_xlfn.XLOOKUP(Table6[[#This Row],[Error Code]],'Basic Data'!$AA:$AA,'Basic Data'!$AB:$AB),"Incorrect Error Code")</f>
        <v>WTG shut down</v>
      </c>
      <c r="M431" s="35" t="s">
        <v>291</v>
      </c>
      <c r="N431" s="475"/>
      <c r="O431" s="476">
        <v>0.46180555555555558</v>
      </c>
      <c r="P431" s="476">
        <v>0.46180555555555558</v>
      </c>
      <c r="Q431" s="477">
        <v>0.50347222222222221</v>
      </c>
      <c r="R431" s="472">
        <f>IF(Table6[[#This Row],[Work Start TimeStamp]]="","",(Table6[[#This Row],[Work Start TimeStamp]]-Table6[[#This Row],[Fault Start TimeStamp]])*24)</f>
        <v>0</v>
      </c>
      <c r="S431" s="472">
        <f>(Table6[[#This Row],[Fault Clearance time]]-Table6[[#This Row],[Work Start TimeStamp]])*24</f>
        <v>0.99999999999999911</v>
      </c>
      <c r="T431" s="472">
        <f>(Table6[[#This Row],[Fault Clearance time]]-Table6[[#This Row],[Fault Start TimeStamp]])*24</f>
        <v>0.99999999999999911</v>
      </c>
      <c r="U431" s="35" t="s">
        <v>1738</v>
      </c>
      <c r="V431" s="102" t="s">
        <v>293</v>
      </c>
      <c r="W431" s="478">
        <f>IFERROR(Table6[[#This Row],[Breakdown Time]]*Table6[[#This Row],[Plant Equivalent Weightage]],"")</f>
        <v>3.8461538461538415E-2</v>
      </c>
      <c r="X431" s="473" t="s">
        <v>290</v>
      </c>
      <c r="Y431" s="474" t="s">
        <v>319</v>
      </c>
      <c r="Z431" s="102">
        <v>18752</v>
      </c>
      <c r="AA431" s="468">
        <f>(Table6[[#This Row],[Paired WTG Generation for loss calculation]]/24)*Table6[[#This Row],[Breakdown Time]]</f>
        <v>781.33333333333269</v>
      </c>
      <c r="AB431" s="102"/>
      <c r="AC431" s="35"/>
      <c r="AD431" s="35"/>
    </row>
    <row r="432" spans="1:30">
      <c r="A432" s="102">
        <f t="shared" si="7"/>
        <v>431</v>
      </c>
      <c r="B432" s="468">
        <f>YEAR(Table6[[#This Row],[Date]])+IF(MONTH(Table6[[#This Row],[Date]])&gt;=4,1,0)</f>
        <v>2026</v>
      </c>
      <c r="C432" s="102">
        <f>YEAR(Table6[[#This Row],[Date]])</f>
        <v>2025</v>
      </c>
      <c r="D432" s="102" t="s">
        <v>1992</v>
      </c>
      <c r="E432" s="469">
        <f>Table6[[#This Row],[Date]]-DAY(Table6[[#This Row],[Date]])+1</f>
        <v>45748</v>
      </c>
      <c r="F432" s="470">
        <v>45775</v>
      </c>
      <c r="G432" s="35" t="s">
        <v>95</v>
      </c>
      <c r="H432" s="35" t="str">
        <f>IFERROR(_xlfn.XLOOKUP(Table6[[#This Row],[Affected WTG]],'Basic Data'!$A:$A,'Basic Data'!$B:$B),"")</f>
        <v>TQGXIIPL</v>
      </c>
      <c r="I432" s="35" t="str">
        <f>IFERROR(_xlfn.XLOOKUP(Table6[[#This Row],[Affected WTG]],'Basic Data'!$A:$A,'Basic Data'!$C:$C),"")</f>
        <v>GEDA</v>
      </c>
      <c r="J432" s="471">
        <f>IFERROR(_xlfn.XLOOKUP(Table6[[#This Row],[Affected WTG]],'Basic Data'!$A:$A,'Basic Data'!$E:$E),"")</f>
        <v>3.846153846153845E-2</v>
      </c>
      <c r="K432" s="102">
        <v>55</v>
      </c>
      <c r="L432" s="35" t="str">
        <f>IFERROR(_xlfn.XLOOKUP(Table6[[#This Row],[Error Code]],'Basic Data'!$AA:$AA,'Basic Data'!$AB:$AB),"Incorrect Error Code")</f>
        <v>WTG shut down</v>
      </c>
      <c r="M432" s="35" t="s">
        <v>291</v>
      </c>
      <c r="N432" s="475"/>
      <c r="O432" s="476">
        <v>0.50347222222222221</v>
      </c>
      <c r="P432" s="476">
        <v>0.50347222222222221</v>
      </c>
      <c r="Q432" s="477">
        <v>0.53680555555555554</v>
      </c>
      <c r="R432" s="472">
        <f>IF(Table6[[#This Row],[Work Start TimeStamp]]="","",(Table6[[#This Row],[Work Start TimeStamp]]-Table6[[#This Row],[Fault Start TimeStamp]])*24)</f>
        <v>0</v>
      </c>
      <c r="S432" s="472">
        <f>(Table6[[#This Row],[Fault Clearance time]]-Table6[[#This Row],[Work Start TimeStamp]])*24</f>
        <v>0.79999999999999982</v>
      </c>
      <c r="T432" s="472">
        <f>(Table6[[#This Row],[Fault Clearance time]]-Table6[[#This Row],[Fault Start TimeStamp]])*24</f>
        <v>0.79999999999999982</v>
      </c>
      <c r="U432" s="35" t="s">
        <v>1719</v>
      </c>
      <c r="V432" s="102" t="s">
        <v>293</v>
      </c>
      <c r="W432" s="478">
        <f>IFERROR(Table6[[#This Row],[Breakdown Time]]*Table6[[#This Row],[Plant Equivalent Weightage]],"")</f>
        <v>3.0769230769230754E-2</v>
      </c>
      <c r="X432" s="473" t="s">
        <v>290</v>
      </c>
      <c r="Y432" s="474" t="s">
        <v>319</v>
      </c>
      <c r="Z432" s="102">
        <v>18752</v>
      </c>
      <c r="AA432" s="468">
        <f>(Table6[[#This Row],[Paired WTG Generation for loss calculation]]/24)*Table6[[#This Row],[Breakdown Time]]</f>
        <v>625.06666666666661</v>
      </c>
      <c r="AB432" s="102"/>
      <c r="AC432" s="35"/>
      <c r="AD432" s="35"/>
    </row>
    <row r="433" spans="1:30">
      <c r="A433" s="102">
        <f t="shared" si="7"/>
        <v>432</v>
      </c>
      <c r="B433" s="468">
        <f>YEAR(Table6[[#This Row],[Date]])+IF(MONTH(Table6[[#This Row],[Date]])&gt;=4,1,0)</f>
        <v>2026</v>
      </c>
      <c r="C433" s="102">
        <f>YEAR(Table6[[#This Row],[Date]])</f>
        <v>2025</v>
      </c>
      <c r="D433" s="102" t="s">
        <v>1992</v>
      </c>
      <c r="E433" s="469">
        <f>Table6[[#This Row],[Date]]-DAY(Table6[[#This Row],[Date]])+1</f>
        <v>45748</v>
      </c>
      <c r="F433" s="470">
        <v>45775</v>
      </c>
      <c r="G433" s="35" t="s">
        <v>96</v>
      </c>
      <c r="H433" s="35" t="str">
        <f>IFERROR(_xlfn.XLOOKUP(Table6[[#This Row],[Affected WTG]],'Basic Data'!$A:$A,'Basic Data'!$B:$B),"")</f>
        <v>TQGXIIPL</v>
      </c>
      <c r="I433" s="35" t="str">
        <f>IFERROR(_xlfn.XLOOKUP(Table6[[#This Row],[Affected WTG]],'Basic Data'!$A:$A,'Basic Data'!$C:$C),"")</f>
        <v>GEDA</v>
      </c>
      <c r="J433" s="471">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291</v>
      </c>
      <c r="N433" s="475"/>
      <c r="O433" s="476">
        <v>0.76597222222222228</v>
      </c>
      <c r="P433" s="476">
        <v>0.76597222222222228</v>
      </c>
      <c r="Q433" s="477">
        <v>0.77222222222222225</v>
      </c>
      <c r="R433" s="472">
        <f>IF(Table6[[#This Row],[Work Start TimeStamp]]="","",(Table6[[#This Row],[Work Start TimeStamp]]-Table6[[#This Row],[Fault Start TimeStamp]])*24)</f>
        <v>0</v>
      </c>
      <c r="S433" s="472">
        <f>(Table6[[#This Row],[Fault Clearance time]]-Table6[[#This Row],[Work Start TimeStamp]])*24</f>
        <v>0.14999999999999947</v>
      </c>
      <c r="T433" s="472">
        <f>(Table6[[#This Row],[Fault Clearance time]]-Table6[[#This Row],[Fault Start TimeStamp]])*24</f>
        <v>0.14999999999999947</v>
      </c>
      <c r="U433" s="35" t="s">
        <v>1735</v>
      </c>
      <c r="V433" s="102" t="s">
        <v>293</v>
      </c>
      <c r="W433" s="478">
        <f>IFERROR(Table6[[#This Row],[Breakdown Time]]*Table6[[#This Row],[Plant Equivalent Weightage]],"")</f>
        <v>5.769230769230747E-3</v>
      </c>
      <c r="X433" s="473" t="s">
        <v>294</v>
      </c>
      <c r="Y433" s="474" t="s">
        <v>313</v>
      </c>
      <c r="Z433" s="102">
        <v>22680</v>
      </c>
      <c r="AA433" s="468">
        <f>(Table6[[#This Row],[Paired WTG Generation for loss calculation]]/24)*Table6[[#This Row],[Breakdown Time]]</f>
        <v>141.74999999999949</v>
      </c>
      <c r="AB433" s="102"/>
      <c r="AC433" s="35"/>
      <c r="AD433" s="35"/>
    </row>
    <row r="434" spans="1:30">
      <c r="A434" s="102">
        <f t="shared" si="7"/>
        <v>433</v>
      </c>
      <c r="B434" s="468">
        <f>YEAR(Table6[[#This Row],[Date]])+IF(MONTH(Table6[[#This Row],[Date]])&gt;=4,1,0)</f>
        <v>2026</v>
      </c>
      <c r="C434" s="102">
        <f>YEAR(Table6[[#This Row],[Date]])</f>
        <v>2025</v>
      </c>
      <c r="D434" s="102" t="s">
        <v>1992</v>
      </c>
      <c r="E434" s="469">
        <f>Table6[[#This Row],[Date]]-DAY(Table6[[#This Row],[Date]])+1</f>
        <v>45748</v>
      </c>
      <c r="F434" s="470">
        <v>45775</v>
      </c>
      <c r="G434" s="35" t="s">
        <v>97</v>
      </c>
      <c r="H434" s="35" t="str">
        <f>IFERROR(_xlfn.XLOOKUP(Table6[[#This Row],[Affected WTG]],'Basic Data'!$A:$A,'Basic Data'!$B:$B),"")</f>
        <v>TQGXIIPL</v>
      </c>
      <c r="I434" s="35" t="str">
        <f>IFERROR(_xlfn.XLOOKUP(Table6[[#This Row],[Affected WTG]],'Basic Data'!$A:$A,'Basic Data'!$C:$C),"")</f>
        <v>GEDA</v>
      </c>
      <c r="J434" s="471">
        <f>IFERROR(_xlfn.XLOOKUP(Table6[[#This Row],[Affected WTG]],'Basic Data'!$A:$A,'Basic Data'!$E:$E),"")</f>
        <v>3.846153846153845E-2</v>
      </c>
      <c r="K434" s="102">
        <v>6130</v>
      </c>
      <c r="L434" s="35" t="str">
        <f>IFERROR(_xlfn.XLOOKUP(Table6[[#This Row],[Error Code]],'Basic Data'!$AA:$AA,'Basic Data'!$AB:$AB),"Incorrect Error Code")</f>
        <v>Yaw speed high</v>
      </c>
      <c r="M434" s="35" t="s">
        <v>292</v>
      </c>
      <c r="N434" s="475"/>
      <c r="O434" s="476">
        <v>0.67361111111111116</v>
      </c>
      <c r="P434" s="476">
        <v>0.67361111111111116</v>
      </c>
      <c r="Q434" s="477">
        <v>0.67777777777777781</v>
      </c>
      <c r="R434" s="472">
        <f>IF(Table6[[#This Row],[Work Start TimeStamp]]="","",(Table6[[#This Row],[Work Start TimeStamp]]-Table6[[#This Row],[Fault Start TimeStamp]])*24)</f>
        <v>0</v>
      </c>
      <c r="S434" s="472">
        <f>(Table6[[#This Row],[Fault Clearance time]]-Table6[[#This Row],[Work Start TimeStamp]])*24</f>
        <v>9.9999999999999645E-2</v>
      </c>
      <c r="T434" s="472">
        <f>(Table6[[#This Row],[Fault Clearance time]]-Table6[[#This Row],[Fault Start TimeStamp]])*24</f>
        <v>9.9999999999999645E-2</v>
      </c>
      <c r="U434" s="35" t="s">
        <v>336</v>
      </c>
      <c r="V434" s="102" t="s">
        <v>293</v>
      </c>
      <c r="W434" s="478">
        <f>IFERROR(Table6[[#This Row],[Breakdown Time]]*Table6[[#This Row],[Plant Equivalent Weightage]],"")</f>
        <v>3.8461538461538312E-3</v>
      </c>
      <c r="X434" s="473" t="s">
        <v>294</v>
      </c>
      <c r="Y434" s="474" t="s">
        <v>320</v>
      </c>
      <c r="Z434" s="102">
        <v>24463</v>
      </c>
      <c r="AA434" s="468">
        <f>(Table6[[#This Row],[Paired WTG Generation for loss calculation]]/24)*Table6[[#This Row],[Breakdown Time]]</f>
        <v>101.9291666666663</v>
      </c>
      <c r="AB434" s="102"/>
      <c r="AC434" s="35"/>
      <c r="AD434" s="35"/>
    </row>
    <row r="435" spans="1:30">
      <c r="A435" s="102">
        <f t="shared" si="7"/>
        <v>434</v>
      </c>
      <c r="B435" s="468">
        <f>YEAR(Table6[[#This Row],[Date]])+IF(MONTH(Table6[[#This Row],[Date]])&gt;=4,1,0)</f>
        <v>2026</v>
      </c>
      <c r="C435" s="102">
        <f>YEAR(Table6[[#This Row],[Date]])</f>
        <v>2025</v>
      </c>
      <c r="D435" s="102" t="s">
        <v>1992</v>
      </c>
      <c r="E435" s="469">
        <f>Table6[[#This Row],[Date]]-DAY(Table6[[#This Row],[Date]])+1</f>
        <v>45748</v>
      </c>
      <c r="F435" s="470">
        <v>45776</v>
      </c>
      <c r="G435" s="35" t="s">
        <v>74</v>
      </c>
      <c r="H435" s="35" t="str">
        <f>IFERROR(_xlfn.XLOOKUP(Table6[[#This Row],[Affected WTG]],'Basic Data'!$A:$A,'Basic Data'!$B:$B),"")</f>
        <v>TQGXIIPL</v>
      </c>
      <c r="I435" s="35" t="str">
        <f>IFERROR(_xlfn.XLOOKUP(Table6[[#This Row],[Affected WTG]],'Basic Data'!$A:$A,'Basic Data'!$C:$C),"")</f>
        <v>GEDA</v>
      </c>
      <c r="J435" s="471">
        <f>IFERROR(_xlfn.XLOOKUP(Table6[[#This Row],[Affected WTG]],'Basic Data'!$A:$A,'Basic Data'!$E:$E),"")</f>
        <v>3.846153846153845E-2</v>
      </c>
      <c r="K435" s="102">
        <v>55</v>
      </c>
      <c r="L435" s="35" t="str">
        <f>IFERROR(_xlfn.XLOOKUP(Table6[[#This Row],[Error Code]],'Basic Data'!$AA:$AA,'Basic Data'!$AB:$AB),"Incorrect Error Code")</f>
        <v>WTG shut down</v>
      </c>
      <c r="M435" s="35" t="s">
        <v>291</v>
      </c>
      <c r="N435" s="475"/>
      <c r="O435" s="476">
        <v>0.58680555555555558</v>
      </c>
      <c r="P435" s="476">
        <v>0.58680555555555558</v>
      </c>
      <c r="Q435" s="477">
        <v>0.60486111111111107</v>
      </c>
      <c r="R435" s="472">
        <f>IF(Table6[[#This Row],[Work Start TimeStamp]]="","",(Table6[[#This Row],[Work Start TimeStamp]]-Table6[[#This Row],[Fault Start TimeStamp]])*24)</f>
        <v>0</v>
      </c>
      <c r="S435" s="472">
        <f>(Table6[[#This Row],[Fault Clearance time]]-Table6[[#This Row],[Work Start TimeStamp]])*24</f>
        <v>0.43333333333333179</v>
      </c>
      <c r="T435" s="472">
        <f>(Table6[[#This Row],[Fault Clearance time]]-Table6[[#This Row],[Fault Start TimeStamp]])*24</f>
        <v>0.43333333333333179</v>
      </c>
      <c r="U435" s="35" t="s">
        <v>1719</v>
      </c>
      <c r="V435" s="102" t="s">
        <v>293</v>
      </c>
      <c r="W435" s="478">
        <f>IFERROR(Table6[[#This Row],[Breakdown Time]]*Table6[[#This Row],[Plant Equivalent Weightage]],"")</f>
        <v>1.6666666666666604E-2</v>
      </c>
      <c r="X435" s="473" t="s">
        <v>290</v>
      </c>
      <c r="Y435" s="474" t="s">
        <v>321</v>
      </c>
      <c r="Z435" s="102">
        <v>40476</v>
      </c>
      <c r="AA435" s="468">
        <f>(Table6[[#This Row],[Paired WTG Generation for loss calculation]]/24)*Table6[[#This Row],[Breakdown Time]]</f>
        <v>730.8166666666641</v>
      </c>
      <c r="AB435" s="102"/>
      <c r="AC435" s="35"/>
      <c r="AD435" s="35"/>
    </row>
    <row r="436" spans="1:30">
      <c r="A436" s="102">
        <f t="shared" si="7"/>
        <v>435</v>
      </c>
      <c r="B436" s="468">
        <f>YEAR(Table6[[#This Row],[Date]])+IF(MONTH(Table6[[#This Row],[Date]])&gt;=4,1,0)</f>
        <v>2026</v>
      </c>
      <c r="C436" s="102">
        <f>YEAR(Table6[[#This Row],[Date]])</f>
        <v>2025</v>
      </c>
      <c r="D436" s="102" t="s">
        <v>1992</v>
      </c>
      <c r="E436" s="469">
        <f>Table6[[#This Row],[Date]]-DAY(Table6[[#This Row],[Date]])+1</f>
        <v>45748</v>
      </c>
      <c r="F436" s="470">
        <v>45776</v>
      </c>
      <c r="G436" s="35" t="s">
        <v>74</v>
      </c>
      <c r="H436" s="35" t="str">
        <f>IFERROR(_xlfn.XLOOKUP(Table6[[#This Row],[Affected WTG]],'Basic Data'!$A:$A,'Basic Data'!$B:$B),"")</f>
        <v>TQGXIIPL</v>
      </c>
      <c r="I436" s="35" t="str">
        <f>IFERROR(_xlfn.XLOOKUP(Table6[[#This Row],[Affected WTG]],'Basic Data'!$A:$A,'Basic Data'!$C:$C),"")</f>
        <v>GEDA</v>
      </c>
      <c r="J436" s="471">
        <f>IFERROR(_xlfn.XLOOKUP(Table6[[#This Row],[Affected WTG]],'Basic Data'!$A:$A,'Basic Data'!$E:$E),"")</f>
        <v>3.846153846153845E-2</v>
      </c>
      <c r="K436" s="102">
        <v>159</v>
      </c>
      <c r="L436" s="35" t="str">
        <f>IFERROR(_xlfn.XLOOKUP(Table6[[#This Row],[Error Code]],'Basic Data'!$AA:$AA,'Basic Data'!$AB:$AB),"Incorrect Error Code")</f>
        <v>SLC SF emergency stop</v>
      </c>
      <c r="M436" s="35" t="s">
        <v>291</v>
      </c>
      <c r="N436" s="475"/>
      <c r="O436" s="476">
        <v>0.96527777777777779</v>
      </c>
      <c r="P436" s="476">
        <v>0.96527777777777779</v>
      </c>
      <c r="Q436" s="477">
        <v>1</v>
      </c>
      <c r="R436" s="472">
        <f>IF(Table6[[#This Row],[Work Start TimeStamp]]="","",(Table6[[#This Row],[Work Start TimeStamp]]-Table6[[#This Row],[Fault Start TimeStamp]])*24)</f>
        <v>0</v>
      </c>
      <c r="S436" s="472">
        <f>(Table6[[#This Row],[Fault Clearance time]]-Table6[[#This Row],[Work Start TimeStamp]])*24</f>
        <v>0.83333333333333304</v>
      </c>
      <c r="T436" s="472">
        <f>(Table6[[#This Row],[Fault Clearance time]]-Table6[[#This Row],[Fault Start TimeStamp]])*24</f>
        <v>0.83333333333333304</v>
      </c>
      <c r="U436" s="35" t="s">
        <v>1740</v>
      </c>
      <c r="V436" s="102" t="s">
        <v>293</v>
      </c>
      <c r="W436" s="478">
        <f>IFERROR(Table6[[#This Row],[Breakdown Time]]*Table6[[#This Row],[Plant Equivalent Weightage]],"")</f>
        <v>3.2051282051282028E-2</v>
      </c>
      <c r="X436" s="473" t="s">
        <v>294</v>
      </c>
      <c r="Y436" s="474" t="s">
        <v>321</v>
      </c>
      <c r="Z436" s="102">
        <v>40476</v>
      </c>
      <c r="AA436" s="468">
        <f>(Table6[[#This Row],[Paired WTG Generation for loss calculation]]/24)*Table6[[#This Row],[Breakdown Time]]</f>
        <v>1405.4166666666661</v>
      </c>
      <c r="AB436" s="102"/>
      <c r="AC436" s="35"/>
      <c r="AD436" s="35"/>
    </row>
    <row r="437" spans="1:30">
      <c r="A437" s="102">
        <f t="shared" si="7"/>
        <v>436</v>
      </c>
      <c r="B437" s="468">
        <f>YEAR(Table6[[#This Row],[Date]])+IF(MONTH(Table6[[#This Row],[Date]])&gt;=4,1,0)</f>
        <v>2026</v>
      </c>
      <c r="C437" s="102">
        <f>YEAR(Table6[[#This Row],[Date]])</f>
        <v>2025</v>
      </c>
      <c r="D437" s="102" t="s">
        <v>1992</v>
      </c>
      <c r="E437" s="469">
        <f>Table6[[#This Row],[Date]]-DAY(Table6[[#This Row],[Date]])+1</f>
        <v>45748</v>
      </c>
      <c r="F437" s="470">
        <v>45776</v>
      </c>
      <c r="G437" s="35" t="s">
        <v>75</v>
      </c>
      <c r="H437" s="35" t="str">
        <f>IFERROR(_xlfn.XLOOKUP(Table6[[#This Row],[Affected WTG]],'Basic Data'!$A:$A,'Basic Data'!$B:$B),"")</f>
        <v>TQGXIIPL</v>
      </c>
      <c r="I437" s="35" t="str">
        <f>IFERROR(_xlfn.XLOOKUP(Table6[[#This Row],[Affected WTG]],'Basic Data'!$A:$A,'Basic Data'!$C:$C),"")</f>
        <v>GEDA</v>
      </c>
      <c r="J437" s="471">
        <f>IFERROR(_xlfn.XLOOKUP(Table6[[#This Row],[Affected WTG]],'Basic Data'!$A:$A,'Basic Data'!$E:$E),"")</f>
        <v>3.846153846153845E-2</v>
      </c>
      <c r="K437" s="102">
        <v>55</v>
      </c>
      <c r="L437" s="35" t="str">
        <f>IFERROR(_xlfn.XLOOKUP(Table6[[#This Row],[Error Code]],'Basic Data'!$AA:$AA,'Basic Data'!$AB:$AB),"Incorrect Error Code")</f>
        <v>WTG shut down</v>
      </c>
      <c r="M437" s="35" t="s">
        <v>291</v>
      </c>
      <c r="N437" s="475"/>
      <c r="O437" s="476">
        <v>0.7104166666666667</v>
      </c>
      <c r="P437" s="476">
        <v>0.7104166666666667</v>
      </c>
      <c r="Q437" s="477">
        <v>0.73541666666666672</v>
      </c>
      <c r="R437" s="472">
        <f>IF(Table6[[#This Row],[Work Start TimeStamp]]="","",(Table6[[#This Row],[Work Start TimeStamp]]-Table6[[#This Row],[Fault Start TimeStamp]])*24)</f>
        <v>0</v>
      </c>
      <c r="S437" s="472">
        <f>(Table6[[#This Row],[Fault Clearance time]]-Table6[[#This Row],[Work Start TimeStamp]])*24</f>
        <v>0.60000000000000053</v>
      </c>
      <c r="T437" s="472">
        <f>(Table6[[#This Row],[Fault Clearance time]]-Table6[[#This Row],[Fault Start TimeStamp]])*24</f>
        <v>0.60000000000000053</v>
      </c>
      <c r="U437" s="35" t="s">
        <v>1719</v>
      </c>
      <c r="V437" s="102" t="s">
        <v>293</v>
      </c>
      <c r="W437" s="478">
        <f>IFERROR(Table6[[#This Row],[Breakdown Time]]*Table6[[#This Row],[Plant Equivalent Weightage]],"")</f>
        <v>2.3076923076923092E-2</v>
      </c>
      <c r="X437" s="473" t="s">
        <v>290</v>
      </c>
      <c r="Y437" s="474" t="s">
        <v>318</v>
      </c>
      <c r="Z437" s="102">
        <v>37871</v>
      </c>
      <c r="AA437" s="468">
        <f>(Table6[[#This Row],[Paired WTG Generation for loss calculation]]/24)*Table6[[#This Row],[Breakdown Time]]</f>
        <v>946.77500000000077</v>
      </c>
      <c r="AB437" s="102"/>
      <c r="AC437" s="35"/>
      <c r="AD437" s="35"/>
    </row>
    <row r="438" spans="1:30">
      <c r="A438" s="102">
        <f t="shared" si="7"/>
        <v>437</v>
      </c>
      <c r="B438" s="468">
        <f>YEAR(Table6[[#This Row],[Date]])+IF(MONTH(Table6[[#This Row],[Date]])&gt;=4,1,0)</f>
        <v>2026</v>
      </c>
      <c r="C438" s="102">
        <f>YEAR(Table6[[#This Row],[Date]])</f>
        <v>2025</v>
      </c>
      <c r="D438" s="102" t="s">
        <v>1992</v>
      </c>
      <c r="E438" s="469">
        <f>Table6[[#This Row],[Date]]-DAY(Table6[[#This Row],[Date]])+1</f>
        <v>45748</v>
      </c>
      <c r="F438" s="470">
        <v>45776</v>
      </c>
      <c r="G438" s="35" t="s">
        <v>76</v>
      </c>
      <c r="H438" s="35" t="str">
        <f>IFERROR(_xlfn.XLOOKUP(Table6[[#This Row],[Affected WTG]],'Basic Data'!$A:$A,'Basic Data'!$B:$B),"")</f>
        <v>TQGXIIPL</v>
      </c>
      <c r="I438" s="35" t="str">
        <f>IFERROR(_xlfn.XLOOKUP(Table6[[#This Row],[Affected WTG]],'Basic Data'!$A:$A,'Basic Data'!$C:$C),"")</f>
        <v>GEDA</v>
      </c>
      <c r="J438" s="471">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291</v>
      </c>
      <c r="N438" s="475"/>
      <c r="O438" s="476">
        <v>0.5</v>
      </c>
      <c r="P438" s="476">
        <v>0.5</v>
      </c>
      <c r="Q438" s="477">
        <v>0.67361111111111116</v>
      </c>
      <c r="R438" s="472">
        <f>IF(Table6[[#This Row],[Work Start TimeStamp]]="","",(Table6[[#This Row],[Work Start TimeStamp]]-Table6[[#This Row],[Fault Start TimeStamp]])*24)</f>
        <v>0</v>
      </c>
      <c r="S438" s="472">
        <f>(Table6[[#This Row],[Fault Clearance time]]-Table6[[#This Row],[Work Start TimeStamp]])*24</f>
        <v>4.1666666666666679</v>
      </c>
      <c r="T438" s="472">
        <f>(Table6[[#This Row],[Fault Clearance time]]-Table6[[#This Row],[Fault Start TimeStamp]])*24</f>
        <v>4.1666666666666679</v>
      </c>
      <c r="U438" s="35" t="s">
        <v>1741</v>
      </c>
      <c r="V438" s="102" t="s">
        <v>293</v>
      </c>
      <c r="W438" s="478">
        <f>IFERROR(Table6[[#This Row],[Breakdown Time]]*Table6[[#This Row],[Plant Equivalent Weightage]],"")</f>
        <v>0.16025641025641024</v>
      </c>
      <c r="X438" s="473" t="s">
        <v>290</v>
      </c>
      <c r="Y438" s="474" t="s">
        <v>309</v>
      </c>
      <c r="Z438" s="102">
        <v>40871</v>
      </c>
      <c r="AA438" s="468">
        <f>(Table6[[#This Row],[Paired WTG Generation for loss calculation]]/24)*Table6[[#This Row],[Breakdown Time]]</f>
        <v>7095.6597222222235</v>
      </c>
      <c r="AB438" s="102"/>
      <c r="AC438" s="35"/>
      <c r="AD438" s="35"/>
    </row>
    <row r="439" spans="1:30">
      <c r="A439" s="102">
        <f t="shared" si="7"/>
        <v>438</v>
      </c>
      <c r="B439" s="468">
        <f>YEAR(Table6[[#This Row],[Date]])+IF(MONTH(Table6[[#This Row],[Date]])&gt;=4,1,0)</f>
        <v>2026</v>
      </c>
      <c r="C439" s="102">
        <f>YEAR(Table6[[#This Row],[Date]])</f>
        <v>2025</v>
      </c>
      <c r="D439" s="102" t="s">
        <v>1992</v>
      </c>
      <c r="E439" s="469">
        <f>Table6[[#This Row],[Date]]-DAY(Table6[[#This Row],[Date]])+1</f>
        <v>45748</v>
      </c>
      <c r="F439" s="470">
        <v>45776</v>
      </c>
      <c r="G439" s="35" t="s">
        <v>77</v>
      </c>
      <c r="H439" s="35" t="str">
        <f>IFERROR(_xlfn.XLOOKUP(Table6[[#This Row],[Affected WTG]],'Basic Data'!$A:$A,'Basic Data'!$B:$B),"")</f>
        <v>TQGXIIPL</v>
      </c>
      <c r="I439" s="35" t="str">
        <f>IFERROR(_xlfn.XLOOKUP(Table6[[#This Row],[Affected WTG]],'Basic Data'!$A:$A,'Basic Data'!$C:$C),"")</f>
        <v>GEDA</v>
      </c>
      <c r="J439" s="471">
        <f>IFERROR(_xlfn.XLOOKUP(Table6[[#This Row],[Affected WTG]],'Basic Data'!$A:$A,'Basic Data'!$E:$E),"")</f>
        <v>3.846153846153845E-2</v>
      </c>
      <c r="K439" s="102">
        <v>55</v>
      </c>
      <c r="L439" s="35" t="str">
        <f>IFERROR(_xlfn.XLOOKUP(Table6[[#This Row],[Error Code]],'Basic Data'!$AA:$AA,'Basic Data'!$AB:$AB),"Incorrect Error Code")</f>
        <v>WTG shut down</v>
      </c>
      <c r="M439" s="35" t="s">
        <v>291</v>
      </c>
      <c r="N439" s="475"/>
      <c r="O439" s="476">
        <v>0.66666666666666663</v>
      </c>
      <c r="P439" s="476">
        <v>0.66666666666666663</v>
      </c>
      <c r="Q439" s="477">
        <v>0.69027777777777777</v>
      </c>
      <c r="R439" s="472">
        <f>IF(Table6[[#This Row],[Work Start TimeStamp]]="","",(Table6[[#This Row],[Work Start TimeStamp]]-Table6[[#This Row],[Fault Start TimeStamp]])*24)</f>
        <v>0</v>
      </c>
      <c r="S439" s="472">
        <f>(Table6[[#This Row],[Fault Clearance time]]-Table6[[#This Row],[Work Start TimeStamp]])*24</f>
        <v>0.56666666666666732</v>
      </c>
      <c r="T439" s="472">
        <f>(Table6[[#This Row],[Fault Clearance time]]-Table6[[#This Row],[Fault Start TimeStamp]])*24</f>
        <v>0.56666666666666732</v>
      </c>
      <c r="U439" s="35" t="s">
        <v>1719</v>
      </c>
      <c r="V439" s="102" t="s">
        <v>293</v>
      </c>
      <c r="W439" s="478">
        <f>IFERROR(Table6[[#This Row],[Breakdown Time]]*Table6[[#This Row],[Plant Equivalent Weightage]],"")</f>
        <v>2.1794871794871815E-2</v>
      </c>
      <c r="X439" s="473" t="s">
        <v>290</v>
      </c>
      <c r="Y439" s="474" t="s">
        <v>310</v>
      </c>
      <c r="Z439" s="102">
        <v>47322</v>
      </c>
      <c r="AA439" s="468">
        <f>(Table6[[#This Row],[Paired WTG Generation for loss calculation]]/24)*Table6[[#This Row],[Breakdown Time]]</f>
        <v>1117.3250000000012</v>
      </c>
      <c r="AB439" s="102"/>
      <c r="AC439" s="35"/>
      <c r="AD439" s="35"/>
    </row>
    <row r="440" spans="1:30">
      <c r="A440" s="102">
        <f t="shared" si="7"/>
        <v>439</v>
      </c>
      <c r="B440" s="468">
        <f>YEAR(Table6[[#This Row],[Date]])+IF(MONTH(Table6[[#This Row],[Date]])&gt;=4,1,0)</f>
        <v>2026</v>
      </c>
      <c r="C440" s="102">
        <f>YEAR(Table6[[#This Row],[Date]])</f>
        <v>2025</v>
      </c>
      <c r="D440" s="102" t="s">
        <v>1992</v>
      </c>
      <c r="E440" s="469">
        <f>Table6[[#This Row],[Date]]-DAY(Table6[[#This Row],[Date]])+1</f>
        <v>45748</v>
      </c>
      <c r="F440" s="470">
        <v>45776</v>
      </c>
      <c r="G440" s="35" t="s">
        <v>77</v>
      </c>
      <c r="H440" s="35" t="str">
        <f>IFERROR(_xlfn.XLOOKUP(Table6[[#This Row],[Affected WTG]],'Basic Data'!$A:$A,'Basic Data'!$B:$B),"")</f>
        <v>TQGXIIPL</v>
      </c>
      <c r="I440" s="35" t="str">
        <f>IFERROR(_xlfn.XLOOKUP(Table6[[#This Row],[Affected WTG]],'Basic Data'!$A:$A,'Basic Data'!$C:$C),"")</f>
        <v>GEDA</v>
      </c>
      <c r="J440" s="471">
        <f>IFERROR(_xlfn.XLOOKUP(Table6[[#This Row],[Affected WTG]],'Basic Data'!$A:$A,'Basic Data'!$E:$E),"")</f>
        <v>3.846153846153845E-2</v>
      </c>
      <c r="K440" s="102">
        <v>1700</v>
      </c>
      <c r="L440" s="35" t="str">
        <f>IFERROR(_xlfn.XLOOKUP(Table6[[#This Row],[Error Code]],'Basic Data'!$AA:$AA,'Basic Data'!$AB:$AB),"Incorrect Error Code")</f>
        <v>High temp. gear bearing 1</v>
      </c>
      <c r="M440" s="35" t="s">
        <v>291</v>
      </c>
      <c r="N440" s="475"/>
      <c r="O440" s="476">
        <v>0.75208333333333333</v>
      </c>
      <c r="P440" s="476">
        <v>0.75208333333333333</v>
      </c>
      <c r="Q440" s="477">
        <v>0.75694444444444442</v>
      </c>
      <c r="R440" s="472">
        <f>IF(Table6[[#This Row],[Work Start TimeStamp]]="","",(Table6[[#This Row],[Work Start TimeStamp]]-Table6[[#This Row],[Fault Start TimeStamp]])*24)</f>
        <v>0</v>
      </c>
      <c r="S440" s="472">
        <f>(Table6[[#This Row],[Fault Clearance time]]-Table6[[#This Row],[Work Start TimeStamp]])*24</f>
        <v>0.11666666666666625</v>
      </c>
      <c r="T440" s="472">
        <f>(Table6[[#This Row],[Fault Clearance time]]-Table6[[#This Row],[Fault Start TimeStamp]])*24</f>
        <v>0.11666666666666625</v>
      </c>
      <c r="U440" s="35" t="s">
        <v>349</v>
      </c>
      <c r="V440" s="102" t="s">
        <v>293</v>
      </c>
      <c r="W440" s="478">
        <f>IFERROR(Table6[[#This Row],[Breakdown Time]]*Table6[[#This Row],[Plant Equivalent Weightage]],"")</f>
        <v>4.4871794871794695E-3</v>
      </c>
      <c r="X440" s="473" t="s">
        <v>294</v>
      </c>
      <c r="Y440" s="474" t="s">
        <v>310</v>
      </c>
      <c r="Z440" s="102">
        <v>47322</v>
      </c>
      <c r="AA440" s="468">
        <f>(Table6[[#This Row],[Paired WTG Generation for loss calculation]]/24)*Table6[[#This Row],[Breakdown Time]]</f>
        <v>230.03749999999917</v>
      </c>
      <c r="AB440" s="102"/>
      <c r="AC440" s="35"/>
      <c r="AD440" s="35"/>
    </row>
    <row r="441" spans="1:30">
      <c r="A441" s="102">
        <f t="shared" si="7"/>
        <v>440</v>
      </c>
      <c r="B441" s="468">
        <f>YEAR(Table6[[#This Row],[Date]])+IF(MONTH(Table6[[#This Row],[Date]])&gt;=4,1,0)</f>
        <v>2026</v>
      </c>
      <c r="C441" s="102">
        <f>YEAR(Table6[[#This Row],[Date]])</f>
        <v>2025</v>
      </c>
      <c r="D441" s="102" t="s">
        <v>1992</v>
      </c>
      <c r="E441" s="469">
        <f>Table6[[#This Row],[Date]]-DAY(Table6[[#This Row],[Date]])+1</f>
        <v>45748</v>
      </c>
      <c r="F441" s="470">
        <v>45776</v>
      </c>
      <c r="G441" s="35" t="s">
        <v>78</v>
      </c>
      <c r="H441" s="35" t="str">
        <f>IFERROR(_xlfn.XLOOKUP(Table6[[#This Row],[Affected WTG]],'Basic Data'!$A:$A,'Basic Data'!$B:$B),"")</f>
        <v>TQGXIIPL</v>
      </c>
      <c r="I441" s="35" t="str">
        <f>IFERROR(_xlfn.XLOOKUP(Table6[[#This Row],[Affected WTG]],'Basic Data'!$A:$A,'Basic Data'!$C:$C),"")</f>
        <v>GEDA</v>
      </c>
      <c r="J441" s="471">
        <f>IFERROR(_xlfn.XLOOKUP(Table6[[#This Row],[Affected WTG]],'Basic Data'!$A:$A,'Basic Data'!$E:$E),"")</f>
        <v>3.846153846153845E-2</v>
      </c>
      <c r="K441" s="102">
        <v>55</v>
      </c>
      <c r="L441" s="35" t="str">
        <f>IFERROR(_xlfn.XLOOKUP(Table6[[#This Row],[Error Code]],'Basic Data'!$AA:$AA,'Basic Data'!$AB:$AB),"Incorrect Error Code")</f>
        <v>WTG shut down</v>
      </c>
      <c r="M441" s="35" t="s">
        <v>330</v>
      </c>
      <c r="N441" s="475"/>
      <c r="O441" s="476">
        <v>0.86458333333333337</v>
      </c>
      <c r="P441" s="476">
        <v>0.86458333333333337</v>
      </c>
      <c r="Q441" s="477">
        <v>1</v>
      </c>
      <c r="R441" s="472">
        <f>IF(Table6[[#This Row],[Work Start TimeStamp]]="","",(Table6[[#This Row],[Work Start TimeStamp]]-Table6[[#This Row],[Fault Start TimeStamp]])*24)</f>
        <v>0</v>
      </c>
      <c r="S441" s="472">
        <f>(Table6[[#This Row],[Fault Clearance time]]-Table6[[#This Row],[Work Start TimeStamp]])*24</f>
        <v>3.2499999999999991</v>
      </c>
      <c r="T441" s="472">
        <f>(Table6[[#This Row],[Fault Clearance time]]-Table6[[#This Row],[Fault Start TimeStamp]])*24</f>
        <v>3.2499999999999991</v>
      </c>
      <c r="U441" s="35" t="s">
        <v>337</v>
      </c>
      <c r="V441" s="102" t="s">
        <v>293</v>
      </c>
      <c r="W441" s="478">
        <f>IFERROR(Table6[[#This Row],[Breakdown Time]]*Table6[[#This Row],[Plant Equivalent Weightage]],"")</f>
        <v>0.12499999999999993</v>
      </c>
      <c r="X441" s="473" t="s">
        <v>290</v>
      </c>
      <c r="Y441" s="474" t="s">
        <v>333</v>
      </c>
      <c r="Z441" s="102">
        <v>46987</v>
      </c>
      <c r="AA441" s="468">
        <f>(Table6[[#This Row],[Paired WTG Generation for loss calculation]]/24)*Table6[[#This Row],[Breakdown Time]]</f>
        <v>6362.8229166666652</v>
      </c>
      <c r="AB441" s="102"/>
      <c r="AC441" s="35"/>
      <c r="AD441" s="35"/>
    </row>
    <row r="442" spans="1:30">
      <c r="A442" s="102">
        <f t="shared" si="7"/>
        <v>441</v>
      </c>
      <c r="B442" s="468">
        <f>YEAR(Table6[[#This Row],[Date]])+IF(MONTH(Table6[[#This Row],[Date]])&gt;=4,1,0)</f>
        <v>2026</v>
      </c>
      <c r="C442" s="102">
        <f>YEAR(Table6[[#This Row],[Date]])</f>
        <v>2025</v>
      </c>
      <c r="D442" s="102" t="s">
        <v>1992</v>
      </c>
      <c r="E442" s="469">
        <f>Table6[[#This Row],[Date]]-DAY(Table6[[#This Row],[Date]])+1</f>
        <v>45748</v>
      </c>
      <c r="F442" s="470">
        <v>45776</v>
      </c>
      <c r="G442" s="35" t="s">
        <v>79</v>
      </c>
      <c r="H442" s="35" t="str">
        <f>IFERROR(_xlfn.XLOOKUP(Table6[[#This Row],[Affected WTG]],'Basic Data'!$A:$A,'Basic Data'!$B:$B),"")</f>
        <v>TQGXIIPL</v>
      </c>
      <c r="I442" s="35" t="str">
        <f>IFERROR(_xlfn.XLOOKUP(Table6[[#This Row],[Affected WTG]],'Basic Data'!$A:$A,'Basic Data'!$C:$C),"")</f>
        <v>GEDA</v>
      </c>
      <c r="J442" s="471">
        <f>IFERROR(_xlfn.XLOOKUP(Table6[[#This Row],[Affected WTG]],'Basic Data'!$A:$A,'Basic Data'!$E:$E),"")</f>
        <v>3.846153846153845E-2</v>
      </c>
      <c r="K442" s="102">
        <v>55</v>
      </c>
      <c r="L442" s="35" t="str">
        <f>IFERROR(_xlfn.XLOOKUP(Table6[[#This Row],[Error Code]],'Basic Data'!$AA:$AA,'Basic Data'!$AB:$AB),"Incorrect Error Code")</f>
        <v>WTG shut down</v>
      </c>
      <c r="M442" s="35" t="s">
        <v>304</v>
      </c>
      <c r="N442" s="475"/>
      <c r="O442" s="476">
        <v>0.28888888888888886</v>
      </c>
      <c r="P442" s="476">
        <v>0.28888888888888886</v>
      </c>
      <c r="Q442" s="477">
        <v>0.57916666666666672</v>
      </c>
      <c r="R442" s="472">
        <f>IF(Table6[[#This Row],[Work Start TimeStamp]]="","",(Table6[[#This Row],[Work Start TimeStamp]]-Table6[[#This Row],[Fault Start TimeStamp]])*24)</f>
        <v>0</v>
      </c>
      <c r="S442" s="472">
        <f>(Table6[[#This Row],[Fault Clearance time]]-Table6[[#This Row],[Work Start TimeStamp]])*24</f>
        <v>6.9666666666666686</v>
      </c>
      <c r="T442" s="472">
        <f>(Table6[[#This Row],[Fault Clearance time]]-Table6[[#This Row],[Fault Start TimeStamp]])*24</f>
        <v>6.9666666666666686</v>
      </c>
      <c r="U442" s="35" t="s">
        <v>357</v>
      </c>
      <c r="V442" s="102" t="s">
        <v>293</v>
      </c>
      <c r="W442" s="478">
        <f>IFERROR(Table6[[#This Row],[Breakdown Time]]*Table6[[#This Row],[Plant Equivalent Weightage]],"")</f>
        <v>0.26794871794871794</v>
      </c>
      <c r="X442" s="473" t="s">
        <v>305</v>
      </c>
      <c r="Y442" s="474" t="s">
        <v>325</v>
      </c>
      <c r="Z442" s="102">
        <v>35807</v>
      </c>
      <c r="AA442" s="468">
        <f>(Table6[[#This Row],[Paired WTG Generation for loss calculation]]/24)*Table6[[#This Row],[Breakdown Time]]</f>
        <v>10393.976388888892</v>
      </c>
      <c r="AB442" s="102"/>
      <c r="AC442" s="35"/>
      <c r="AD442" s="35"/>
    </row>
    <row r="443" spans="1:30">
      <c r="A443" s="102">
        <f t="shared" si="7"/>
        <v>442</v>
      </c>
      <c r="B443" s="468">
        <f>YEAR(Table6[[#This Row],[Date]])+IF(MONTH(Table6[[#This Row],[Date]])&gt;=4,1,0)</f>
        <v>2026</v>
      </c>
      <c r="C443" s="102">
        <f>YEAR(Table6[[#This Row],[Date]])</f>
        <v>2025</v>
      </c>
      <c r="D443" s="102" t="s">
        <v>1992</v>
      </c>
      <c r="E443" s="469">
        <f>Table6[[#This Row],[Date]]-DAY(Table6[[#This Row],[Date]])+1</f>
        <v>45748</v>
      </c>
      <c r="F443" s="470">
        <v>45776</v>
      </c>
      <c r="G443" s="35" t="s">
        <v>79</v>
      </c>
      <c r="H443" s="35" t="str">
        <f>IFERROR(_xlfn.XLOOKUP(Table6[[#This Row],[Affected WTG]],'Basic Data'!$A:$A,'Basic Data'!$B:$B),"")</f>
        <v>TQGXIIPL</v>
      </c>
      <c r="I443" s="35" t="str">
        <f>IFERROR(_xlfn.XLOOKUP(Table6[[#This Row],[Affected WTG]],'Basic Data'!$A:$A,'Basic Data'!$C:$C),"")</f>
        <v>GEDA</v>
      </c>
      <c r="J443" s="471">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291</v>
      </c>
      <c r="N443" s="475"/>
      <c r="O443" s="476">
        <v>0.61041666666666672</v>
      </c>
      <c r="P443" s="476">
        <v>0.61041666666666672</v>
      </c>
      <c r="Q443" s="477">
        <v>0.61527777777777781</v>
      </c>
      <c r="R443" s="472">
        <f>IF(Table6[[#This Row],[Work Start TimeStamp]]="","",(Table6[[#This Row],[Work Start TimeStamp]]-Table6[[#This Row],[Fault Start TimeStamp]])*24)</f>
        <v>0</v>
      </c>
      <c r="S443" s="472">
        <f>(Table6[[#This Row],[Fault Clearance time]]-Table6[[#This Row],[Work Start TimeStamp]])*24</f>
        <v>0.11666666666666625</v>
      </c>
      <c r="T443" s="472">
        <f>(Table6[[#This Row],[Fault Clearance time]]-Table6[[#This Row],[Fault Start TimeStamp]])*24</f>
        <v>0.11666666666666625</v>
      </c>
      <c r="U443" s="35" t="s">
        <v>396</v>
      </c>
      <c r="V443" s="102" t="s">
        <v>293</v>
      </c>
      <c r="W443" s="478">
        <f>IFERROR(Table6[[#This Row],[Breakdown Time]]*Table6[[#This Row],[Plant Equivalent Weightage]],"")</f>
        <v>4.4871794871794695E-3</v>
      </c>
      <c r="X443" s="473" t="s">
        <v>294</v>
      </c>
      <c r="Y443" s="474" t="s">
        <v>325</v>
      </c>
      <c r="Z443" s="102">
        <v>35807</v>
      </c>
      <c r="AA443" s="468">
        <f>(Table6[[#This Row],[Paired WTG Generation for loss calculation]]/24)*Table6[[#This Row],[Breakdown Time]]</f>
        <v>174.06180555555494</v>
      </c>
      <c r="AB443" s="102"/>
      <c r="AC443" s="35"/>
      <c r="AD443" s="35"/>
    </row>
    <row r="444" spans="1:30">
      <c r="A444" s="102">
        <f t="shared" si="7"/>
        <v>443</v>
      </c>
      <c r="B444" s="468">
        <f>YEAR(Table6[[#This Row],[Date]])+IF(MONTH(Table6[[#This Row],[Date]])&gt;=4,1,0)</f>
        <v>2026</v>
      </c>
      <c r="C444" s="102">
        <f>YEAR(Table6[[#This Row],[Date]])</f>
        <v>2025</v>
      </c>
      <c r="D444" s="102" t="s">
        <v>1992</v>
      </c>
      <c r="E444" s="469">
        <f>Table6[[#This Row],[Date]]-DAY(Table6[[#This Row],[Date]])+1</f>
        <v>45748</v>
      </c>
      <c r="F444" s="470">
        <v>45776</v>
      </c>
      <c r="G444" s="35" t="s">
        <v>80</v>
      </c>
      <c r="H444" s="35" t="str">
        <f>IFERROR(_xlfn.XLOOKUP(Table6[[#This Row],[Affected WTG]],'Basic Data'!$A:$A,'Basic Data'!$B:$B),"")</f>
        <v>TQGXIIPL</v>
      </c>
      <c r="I444" s="35" t="str">
        <f>IFERROR(_xlfn.XLOOKUP(Table6[[#This Row],[Affected WTG]],'Basic Data'!$A:$A,'Basic Data'!$C:$C),"")</f>
        <v>GEDA</v>
      </c>
      <c r="J444" s="471">
        <f>IFERROR(_xlfn.XLOOKUP(Table6[[#This Row],[Affected WTG]],'Basic Data'!$A:$A,'Basic Data'!$E:$E),"")</f>
        <v>3.846153846153845E-2</v>
      </c>
      <c r="K444" s="102">
        <v>6130</v>
      </c>
      <c r="L444" s="35" t="str">
        <f>IFERROR(_xlfn.XLOOKUP(Table6[[#This Row],[Error Code]],'Basic Data'!$AA:$AA,'Basic Data'!$AB:$AB),"Incorrect Error Code")</f>
        <v>Yaw speed high</v>
      </c>
      <c r="M444" s="35" t="s">
        <v>292</v>
      </c>
      <c r="N444" s="475"/>
      <c r="O444" s="476">
        <v>0.3263888888888889</v>
      </c>
      <c r="P444" s="476">
        <v>0.3263888888888889</v>
      </c>
      <c r="Q444" s="477">
        <v>0.33055555555555555</v>
      </c>
      <c r="R444" s="472">
        <f>IF(Table6[[#This Row],[Work Start TimeStamp]]="","",(Table6[[#This Row],[Work Start TimeStamp]]-Table6[[#This Row],[Fault Start TimeStamp]])*24)</f>
        <v>0</v>
      </c>
      <c r="S444" s="472">
        <f>(Table6[[#This Row],[Fault Clearance time]]-Table6[[#This Row],[Work Start TimeStamp]])*24</f>
        <v>9.9999999999999645E-2</v>
      </c>
      <c r="T444" s="472">
        <f>(Table6[[#This Row],[Fault Clearance time]]-Table6[[#This Row],[Fault Start TimeStamp]])*24</f>
        <v>9.9999999999999645E-2</v>
      </c>
      <c r="U444" s="35" t="s">
        <v>336</v>
      </c>
      <c r="V444" s="102" t="s">
        <v>293</v>
      </c>
      <c r="W444" s="478">
        <f>IFERROR(Table6[[#This Row],[Breakdown Time]]*Table6[[#This Row],[Plant Equivalent Weightage]],"")</f>
        <v>3.8461538461538312E-3</v>
      </c>
      <c r="X444" s="473" t="s">
        <v>294</v>
      </c>
      <c r="Y444" s="474" t="s">
        <v>317</v>
      </c>
      <c r="Z444" s="102">
        <v>47661</v>
      </c>
      <c r="AA444" s="468">
        <f>(Table6[[#This Row],[Paired WTG Generation for loss calculation]]/24)*Table6[[#This Row],[Breakdown Time]]</f>
        <v>198.5874999999993</v>
      </c>
      <c r="AB444" s="102"/>
      <c r="AC444" s="35"/>
      <c r="AD444" s="35"/>
    </row>
    <row r="445" spans="1:30">
      <c r="A445" s="102">
        <f t="shared" si="7"/>
        <v>444</v>
      </c>
      <c r="B445" s="468">
        <f>YEAR(Table6[[#This Row],[Date]])+IF(MONTH(Table6[[#This Row],[Date]])&gt;=4,1,0)</f>
        <v>2026</v>
      </c>
      <c r="C445" s="102">
        <f>YEAR(Table6[[#This Row],[Date]])</f>
        <v>2025</v>
      </c>
      <c r="D445" s="102" t="s">
        <v>1992</v>
      </c>
      <c r="E445" s="469">
        <f>Table6[[#This Row],[Date]]-DAY(Table6[[#This Row],[Date]])+1</f>
        <v>45748</v>
      </c>
      <c r="F445" s="470">
        <v>45776</v>
      </c>
      <c r="G445" s="35" t="s">
        <v>80</v>
      </c>
      <c r="H445" s="35" t="str">
        <f>IFERROR(_xlfn.XLOOKUP(Table6[[#This Row],[Affected WTG]],'Basic Data'!$A:$A,'Basic Data'!$B:$B),"")</f>
        <v>TQGXIIPL</v>
      </c>
      <c r="I445" s="35" t="str">
        <f>IFERROR(_xlfn.XLOOKUP(Table6[[#This Row],[Affected WTG]],'Basic Data'!$A:$A,'Basic Data'!$C:$C),"")</f>
        <v>GEDA</v>
      </c>
      <c r="J445" s="471">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291</v>
      </c>
      <c r="N445" s="475"/>
      <c r="O445" s="476">
        <v>0.74791666666666667</v>
      </c>
      <c r="P445" s="476">
        <v>0.74791666666666667</v>
      </c>
      <c r="Q445" s="477">
        <v>0.78125</v>
      </c>
      <c r="R445" s="472">
        <f>IF(Table6[[#This Row],[Work Start TimeStamp]]="","",(Table6[[#This Row],[Work Start TimeStamp]]-Table6[[#This Row],[Fault Start TimeStamp]])*24)</f>
        <v>0</v>
      </c>
      <c r="S445" s="472">
        <f>(Table6[[#This Row],[Fault Clearance time]]-Table6[[#This Row],[Work Start TimeStamp]])*24</f>
        <v>0.79999999999999982</v>
      </c>
      <c r="T445" s="472">
        <f>(Table6[[#This Row],[Fault Clearance time]]-Table6[[#This Row],[Fault Start TimeStamp]])*24</f>
        <v>0.79999999999999982</v>
      </c>
      <c r="U445" s="35" t="s">
        <v>396</v>
      </c>
      <c r="V445" s="102" t="s">
        <v>293</v>
      </c>
      <c r="W445" s="478">
        <f>IFERROR(Table6[[#This Row],[Breakdown Time]]*Table6[[#This Row],[Plant Equivalent Weightage]],"")</f>
        <v>3.0769230769230754E-2</v>
      </c>
      <c r="X445" s="473" t="s">
        <v>294</v>
      </c>
      <c r="Y445" s="474" t="s">
        <v>317</v>
      </c>
      <c r="Z445" s="102">
        <v>47661</v>
      </c>
      <c r="AA445" s="468">
        <f>(Table6[[#This Row],[Paired WTG Generation for loss calculation]]/24)*Table6[[#This Row],[Breakdown Time]]</f>
        <v>1588.6999999999996</v>
      </c>
      <c r="AB445" s="102"/>
      <c r="AC445" s="35"/>
      <c r="AD445" s="35"/>
    </row>
    <row r="446" spans="1:30">
      <c r="A446" s="102">
        <f t="shared" si="7"/>
        <v>445</v>
      </c>
      <c r="B446" s="468">
        <f>YEAR(Table6[[#This Row],[Date]])+IF(MONTH(Table6[[#This Row],[Date]])&gt;=4,1,0)</f>
        <v>2026</v>
      </c>
      <c r="C446" s="102">
        <f>YEAR(Table6[[#This Row],[Date]])</f>
        <v>2025</v>
      </c>
      <c r="D446" s="102" t="s">
        <v>1992</v>
      </c>
      <c r="E446" s="469">
        <f>Table6[[#This Row],[Date]]-DAY(Table6[[#This Row],[Date]])+1</f>
        <v>45748</v>
      </c>
      <c r="F446" s="470">
        <v>45776</v>
      </c>
      <c r="G446" s="35" t="s">
        <v>81</v>
      </c>
      <c r="H446" s="35" t="str">
        <f>IFERROR(_xlfn.XLOOKUP(Table6[[#This Row],[Affected WTG]],'Basic Data'!$A:$A,'Basic Data'!$B:$B),"")</f>
        <v>TQGXIIPL</v>
      </c>
      <c r="I446" s="35" t="str">
        <f>IFERROR(_xlfn.XLOOKUP(Table6[[#This Row],[Affected WTG]],'Basic Data'!$A:$A,'Basic Data'!$C:$C),"")</f>
        <v>GEDA</v>
      </c>
      <c r="J446" s="471">
        <f>IFERROR(_xlfn.XLOOKUP(Table6[[#This Row],[Affected WTG]],'Basic Data'!$A:$A,'Basic Data'!$E:$E),"")</f>
        <v>3.846153846153845E-2</v>
      </c>
      <c r="K446" s="102">
        <v>6130</v>
      </c>
      <c r="L446" s="35" t="str">
        <f>IFERROR(_xlfn.XLOOKUP(Table6[[#This Row],[Error Code]],'Basic Data'!$AA:$AA,'Basic Data'!$AB:$AB),"Incorrect Error Code")</f>
        <v>Yaw speed high</v>
      </c>
      <c r="M446" s="35" t="s">
        <v>292</v>
      </c>
      <c r="N446" s="475"/>
      <c r="O446" s="476">
        <v>0.55277777777777781</v>
      </c>
      <c r="P446" s="476">
        <v>0.55277777777777781</v>
      </c>
      <c r="Q446" s="477">
        <v>0.55694444444444446</v>
      </c>
      <c r="R446" s="472">
        <f>IF(Table6[[#This Row],[Work Start TimeStamp]]="","",(Table6[[#This Row],[Work Start TimeStamp]]-Table6[[#This Row],[Fault Start TimeStamp]])*24)</f>
        <v>0</v>
      </c>
      <c r="S446" s="472">
        <f>(Table6[[#This Row],[Fault Clearance time]]-Table6[[#This Row],[Work Start TimeStamp]])*24</f>
        <v>9.9999999999999645E-2</v>
      </c>
      <c r="T446" s="472">
        <f>(Table6[[#This Row],[Fault Clearance time]]-Table6[[#This Row],[Fault Start TimeStamp]])*24</f>
        <v>9.9999999999999645E-2</v>
      </c>
      <c r="U446" s="35" t="s">
        <v>336</v>
      </c>
      <c r="V446" s="102" t="s">
        <v>293</v>
      </c>
      <c r="W446" s="478">
        <f>IFERROR(Table6[[#This Row],[Breakdown Time]]*Table6[[#This Row],[Plant Equivalent Weightage]],"")</f>
        <v>3.8461538461538312E-3</v>
      </c>
      <c r="X446" s="473" t="s">
        <v>294</v>
      </c>
      <c r="Y446" s="474" t="s">
        <v>321</v>
      </c>
      <c r="Z446" s="102">
        <v>40476</v>
      </c>
      <c r="AA446" s="468">
        <f>(Table6[[#This Row],[Paired WTG Generation for loss calculation]]/24)*Table6[[#This Row],[Breakdown Time]]</f>
        <v>168.64999999999941</v>
      </c>
      <c r="AB446" s="102"/>
      <c r="AC446" s="35"/>
      <c r="AD446" s="35"/>
    </row>
    <row r="447" spans="1:30">
      <c r="A447" s="102">
        <f t="shared" si="7"/>
        <v>446</v>
      </c>
      <c r="B447" s="468">
        <f>YEAR(Table6[[#This Row],[Date]])+IF(MONTH(Table6[[#This Row],[Date]])&gt;=4,1,0)</f>
        <v>2026</v>
      </c>
      <c r="C447" s="102">
        <f>YEAR(Table6[[#This Row],[Date]])</f>
        <v>2025</v>
      </c>
      <c r="D447" s="102" t="s">
        <v>1992</v>
      </c>
      <c r="E447" s="469">
        <f>Table6[[#This Row],[Date]]-DAY(Table6[[#This Row],[Date]])+1</f>
        <v>45748</v>
      </c>
      <c r="F447" s="470">
        <v>45776</v>
      </c>
      <c r="G447" s="35" t="s">
        <v>81</v>
      </c>
      <c r="H447" s="35" t="str">
        <f>IFERROR(_xlfn.XLOOKUP(Table6[[#This Row],[Affected WTG]],'Basic Data'!$A:$A,'Basic Data'!$B:$B),"")</f>
        <v>TQGXIIPL</v>
      </c>
      <c r="I447" s="35" t="str">
        <f>IFERROR(_xlfn.XLOOKUP(Table6[[#This Row],[Affected WTG]],'Basic Data'!$A:$A,'Basic Data'!$C:$C),"")</f>
        <v>GEDA</v>
      </c>
      <c r="J447" s="471">
        <f>IFERROR(_xlfn.XLOOKUP(Table6[[#This Row],[Affected WTG]],'Basic Data'!$A:$A,'Basic Data'!$E:$E),"")</f>
        <v>3.846153846153845E-2</v>
      </c>
      <c r="K447" s="102">
        <v>6130</v>
      </c>
      <c r="L447" s="35" t="str">
        <f>IFERROR(_xlfn.XLOOKUP(Table6[[#This Row],[Error Code]],'Basic Data'!$AA:$AA,'Basic Data'!$AB:$AB),"Incorrect Error Code")</f>
        <v>Yaw speed high</v>
      </c>
      <c r="M447" s="35" t="s">
        <v>291</v>
      </c>
      <c r="N447" s="475"/>
      <c r="O447" s="476">
        <v>0.61041666666666672</v>
      </c>
      <c r="P447" s="476">
        <v>0.61041666666666672</v>
      </c>
      <c r="Q447" s="477">
        <v>0.61805555555555558</v>
      </c>
      <c r="R447" s="472">
        <f>IF(Table6[[#This Row],[Work Start TimeStamp]]="","",(Table6[[#This Row],[Work Start TimeStamp]]-Table6[[#This Row],[Fault Start TimeStamp]])*24)</f>
        <v>0</v>
      </c>
      <c r="S447" s="472">
        <f>(Table6[[#This Row],[Fault Clearance time]]-Table6[[#This Row],[Work Start TimeStamp]])*24</f>
        <v>0.18333333333333268</v>
      </c>
      <c r="T447" s="472">
        <f>(Table6[[#This Row],[Fault Clearance time]]-Table6[[#This Row],[Fault Start TimeStamp]])*24</f>
        <v>0.18333333333333268</v>
      </c>
      <c r="U447" s="35" t="s">
        <v>349</v>
      </c>
      <c r="V447" s="102" t="s">
        <v>293</v>
      </c>
      <c r="W447" s="478">
        <f>IFERROR(Table6[[#This Row],[Breakdown Time]]*Table6[[#This Row],[Plant Equivalent Weightage]],"")</f>
        <v>7.0512820512820245E-3</v>
      </c>
      <c r="X447" s="473" t="s">
        <v>294</v>
      </c>
      <c r="Y447" s="474" t="s">
        <v>321</v>
      </c>
      <c r="Z447" s="102">
        <v>40476</v>
      </c>
      <c r="AA447" s="468">
        <f>(Table6[[#This Row],[Paired WTG Generation for loss calculation]]/24)*Table6[[#This Row],[Breakdown Time]]</f>
        <v>309.19166666666558</v>
      </c>
      <c r="AB447" s="102"/>
      <c r="AC447" s="35"/>
      <c r="AD447" s="35"/>
    </row>
    <row r="448" spans="1:30">
      <c r="A448" s="102">
        <f t="shared" si="7"/>
        <v>447</v>
      </c>
      <c r="B448" s="468">
        <f>YEAR(Table6[[#This Row],[Date]])+IF(MONTH(Table6[[#This Row],[Date]])&gt;=4,1,0)</f>
        <v>2026</v>
      </c>
      <c r="C448" s="102">
        <f>YEAR(Table6[[#This Row],[Date]])</f>
        <v>2025</v>
      </c>
      <c r="D448" s="102" t="s">
        <v>1992</v>
      </c>
      <c r="E448" s="469">
        <f>Table6[[#This Row],[Date]]-DAY(Table6[[#This Row],[Date]])+1</f>
        <v>45748</v>
      </c>
      <c r="F448" s="470">
        <v>45776</v>
      </c>
      <c r="G448" s="35" t="s">
        <v>83</v>
      </c>
      <c r="H448" s="35" t="str">
        <f>IFERROR(_xlfn.XLOOKUP(Table6[[#This Row],[Affected WTG]],'Basic Data'!$A:$A,'Basic Data'!$B:$B),"")</f>
        <v>TQGXIIPL</v>
      </c>
      <c r="I448" s="35" t="str">
        <f>IFERROR(_xlfn.XLOOKUP(Table6[[#This Row],[Affected WTG]],'Basic Data'!$A:$A,'Basic Data'!$C:$C),"")</f>
        <v>GEDA</v>
      </c>
      <c r="J448" s="471">
        <f>IFERROR(_xlfn.XLOOKUP(Table6[[#This Row],[Affected WTG]],'Basic Data'!$A:$A,'Basic Data'!$E:$E),"")</f>
        <v>3.846153846153845E-2</v>
      </c>
      <c r="K448" s="102">
        <v>6130</v>
      </c>
      <c r="L448" s="35" t="str">
        <f>IFERROR(_xlfn.XLOOKUP(Table6[[#This Row],[Error Code]],'Basic Data'!$AA:$AA,'Basic Data'!$AB:$AB),"Incorrect Error Code")</f>
        <v>Yaw speed high</v>
      </c>
      <c r="M448" s="35" t="s">
        <v>292</v>
      </c>
      <c r="N448" s="475"/>
      <c r="O448" s="476">
        <v>0.52500000000000002</v>
      </c>
      <c r="P448" s="476">
        <v>0.52500000000000002</v>
      </c>
      <c r="Q448" s="477">
        <v>0.52916666666666667</v>
      </c>
      <c r="R448" s="472">
        <f>IF(Table6[[#This Row],[Work Start TimeStamp]]="","",(Table6[[#This Row],[Work Start TimeStamp]]-Table6[[#This Row],[Fault Start TimeStamp]])*24)</f>
        <v>0</v>
      </c>
      <c r="S448" s="472">
        <f>(Table6[[#This Row],[Fault Clearance time]]-Table6[[#This Row],[Work Start TimeStamp]])*24</f>
        <v>9.9999999999999645E-2</v>
      </c>
      <c r="T448" s="472">
        <f>(Table6[[#This Row],[Fault Clearance time]]-Table6[[#This Row],[Fault Start TimeStamp]])*24</f>
        <v>9.9999999999999645E-2</v>
      </c>
      <c r="U448" s="35" t="s">
        <v>336</v>
      </c>
      <c r="V448" s="102" t="s">
        <v>293</v>
      </c>
      <c r="W448" s="478">
        <f>IFERROR(Table6[[#This Row],[Breakdown Time]]*Table6[[#This Row],[Plant Equivalent Weightage]],"")</f>
        <v>3.8461538461538312E-3</v>
      </c>
      <c r="X448" s="473" t="s">
        <v>294</v>
      </c>
      <c r="Y448" s="474" t="s">
        <v>312</v>
      </c>
      <c r="Z448" s="102">
        <v>40415</v>
      </c>
      <c r="AA448" s="468">
        <f>(Table6[[#This Row],[Paired WTG Generation for loss calculation]]/24)*Table6[[#This Row],[Breakdown Time]]</f>
        <v>168.39583333333272</v>
      </c>
      <c r="AB448" s="102"/>
      <c r="AC448" s="35"/>
      <c r="AD448" s="35"/>
    </row>
    <row r="449" spans="1:30">
      <c r="A449" s="102">
        <f t="shared" si="7"/>
        <v>448</v>
      </c>
      <c r="B449" s="468">
        <f>YEAR(Table6[[#This Row],[Date]])+IF(MONTH(Table6[[#This Row],[Date]])&gt;=4,1,0)</f>
        <v>2026</v>
      </c>
      <c r="C449" s="102">
        <f>YEAR(Table6[[#This Row],[Date]])</f>
        <v>2025</v>
      </c>
      <c r="D449" s="102" t="s">
        <v>1992</v>
      </c>
      <c r="E449" s="469">
        <f>Table6[[#This Row],[Date]]-DAY(Table6[[#This Row],[Date]])+1</f>
        <v>45748</v>
      </c>
      <c r="F449" s="470">
        <v>45776</v>
      </c>
      <c r="G449" s="35" t="s">
        <v>85</v>
      </c>
      <c r="H449" s="35" t="str">
        <f>IFERROR(_xlfn.XLOOKUP(Table6[[#This Row],[Affected WTG]],'Basic Data'!$A:$A,'Basic Data'!$B:$B),"")</f>
        <v>TQGXIIPL</v>
      </c>
      <c r="I449" s="35" t="str">
        <f>IFERROR(_xlfn.XLOOKUP(Table6[[#This Row],[Affected WTG]],'Basic Data'!$A:$A,'Basic Data'!$C:$C),"")</f>
        <v>GEDA</v>
      </c>
      <c r="J449" s="471">
        <f>IFERROR(_xlfn.XLOOKUP(Table6[[#This Row],[Affected WTG]],'Basic Data'!$A:$A,'Basic Data'!$E:$E),"")</f>
        <v>3.846153846153845E-2</v>
      </c>
      <c r="K449" s="102">
        <v>1700</v>
      </c>
      <c r="L449" s="35" t="str">
        <f>IFERROR(_xlfn.XLOOKUP(Table6[[#This Row],[Error Code]],'Basic Data'!$AA:$AA,'Basic Data'!$AB:$AB),"Incorrect Error Code")</f>
        <v>High temp. gear bearing 1</v>
      </c>
      <c r="M449" s="35" t="s">
        <v>291</v>
      </c>
      <c r="N449" s="475"/>
      <c r="O449" s="476">
        <v>0.5083333333333333</v>
      </c>
      <c r="P449" s="476">
        <v>0.5083333333333333</v>
      </c>
      <c r="Q449" s="477">
        <v>0.51944444444444449</v>
      </c>
      <c r="R449" s="472">
        <f>IF(Table6[[#This Row],[Work Start TimeStamp]]="","",(Table6[[#This Row],[Work Start TimeStamp]]-Table6[[#This Row],[Fault Start TimeStamp]])*24)</f>
        <v>0</v>
      </c>
      <c r="S449" s="472">
        <f>(Table6[[#This Row],[Fault Clearance time]]-Table6[[#This Row],[Work Start TimeStamp]])*24</f>
        <v>0.26666666666666838</v>
      </c>
      <c r="T449" s="472">
        <f>(Table6[[#This Row],[Fault Clearance time]]-Table6[[#This Row],[Fault Start TimeStamp]])*24</f>
        <v>0.26666666666666838</v>
      </c>
      <c r="U449" s="35" t="s">
        <v>382</v>
      </c>
      <c r="V449" s="102" t="s">
        <v>293</v>
      </c>
      <c r="W449" s="478">
        <f>IFERROR(Table6[[#This Row],[Breakdown Time]]*Table6[[#This Row],[Plant Equivalent Weightage]],"")</f>
        <v>1.0256410256410319E-2</v>
      </c>
      <c r="X449" s="473" t="s">
        <v>294</v>
      </c>
      <c r="Y449" s="474" t="s">
        <v>322</v>
      </c>
      <c r="Z449" s="102">
        <v>36243</v>
      </c>
      <c r="AA449" s="468">
        <f>(Table6[[#This Row],[Paired WTG Generation for loss calculation]]/24)*Table6[[#This Row],[Breakdown Time]]</f>
        <v>402.7000000000026</v>
      </c>
      <c r="AB449" s="102"/>
      <c r="AC449" s="35"/>
      <c r="AD449" s="35"/>
    </row>
    <row r="450" spans="1:30">
      <c r="A450" s="102">
        <f t="shared" si="7"/>
        <v>449</v>
      </c>
      <c r="B450" s="468">
        <f>YEAR(Table6[[#This Row],[Date]])+IF(MONTH(Table6[[#This Row],[Date]])&gt;=4,1,0)</f>
        <v>2026</v>
      </c>
      <c r="C450" s="102">
        <f>YEAR(Table6[[#This Row],[Date]])</f>
        <v>2025</v>
      </c>
      <c r="D450" s="102" t="s">
        <v>1992</v>
      </c>
      <c r="E450" s="469">
        <f>Table6[[#This Row],[Date]]-DAY(Table6[[#This Row],[Date]])+1</f>
        <v>45748</v>
      </c>
      <c r="F450" s="470">
        <v>45776</v>
      </c>
      <c r="G450" s="35" t="s">
        <v>86</v>
      </c>
      <c r="H450" s="35" t="str">
        <f>IFERROR(_xlfn.XLOOKUP(Table6[[#This Row],[Affected WTG]],'Basic Data'!$A:$A,'Basic Data'!$B:$B),"")</f>
        <v>TQGXIIPL</v>
      </c>
      <c r="I450" s="35" t="str">
        <f>IFERROR(_xlfn.XLOOKUP(Table6[[#This Row],[Affected WTG]],'Basic Data'!$A:$A,'Basic Data'!$C:$C),"")</f>
        <v>GEDA</v>
      </c>
      <c r="J450" s="471">
        <f>IFERROR(_xlfn.XLOOKUP(Table6[[#This Row],[Affected WTG]],'Basic Data'!$A:$A,'Basic Data'!$E:$E),"")</f>
        <v>3.846153846153845E-2</v>
      </c>
      <c r="K450" s="102">
        <v>6130</v>
      </c>
      <c r="L450" s="35" t="str">
        <f>IFERROR(_xlfn.XLOOKUP(Table6[[#This Row],[Error Code]],'Basic Data'!$AA:$AA,'Basic Data'!$AB:$AB),"Incorrect Error Code")</f>
        <v>Yaw speed high</v>
      </c>
      <c r="M450" s="35" t="s">
        <v>292</v>
      </c>
      <c r="N450" s="475"/>
      <c r="O450" s="476">
        <v>0.4597222222222222</v>
      </c>
      <c r="P450" s="476">
        <v>0.4597222222222222</v>
      </c>
      <c r="Q450" s="477">
        <v>0.46388888888888891</v>
      </c>
      <c r="R450" s="472">
        <f>IF(Table6[[#This Row],[Work Start TimeStamp]]="","",(Table6[[#This Row],[Work Start TimeStamp]]-Table6[[#This Row],[Fault Start TimeStamp]])*24)</f>
        <v>0</v>
      </c>
      <c r="S450" s="472">
        <f>(Table6[[#This Row],[Fault Clearance time]]-Table6[[#This Row],[Work Start TimeStamp]])*24</f>
        <v>0.10000000000000098</v>
      </c>
      <c r="T450" s="472">
        <f>(Table6[[#This Row],[Fault Clearance time]]-Table6[[#This Row],[Fault Start TimeStamp]])*24</f>
        <v>0.10000000000000098</v>
      </c>
      <c r="U450" s="35" t="s">
        <v>336</v>
      </c>
      <c r="V450" s="102" t="s">
        <v>293</v>
      </c>
      <c r="W450" s="478">
        <f>IFERROR(Table6[[#This Row],[Breakdown Time]]*Table6[[#This Row],[Plant Equivalent Weightage]],"")</f>
        <v>3.8461538461538824E-3</v>
      </c>
      <c r="X450" s="473" t="s">
        <v>294</v>
      </c>
      <c r="Y450" s="474" t="s">
        <v>313</v>
      </c>
      <c r="Z450" s="102">
        <v>38381</v>
      </c>
      <c r="AA450" s="468">
        <f>(Table6[[#This Row],[Paired WTG Generation for loss calculation]]/24)*Table6[[#This Row],[Breakdown Time]]</f>
        <v>159.92083333333488</v>
      </c>
      <c r="AB450" s="102"/>
      <c r="AC450" s="35"/>
      <c r="AD450" s="35"/>
    </row>
    <row r="451" spans="1:30">
      <c r="A451" s="102">
        <f t="shared" si="7"/>
        <v>450</v>
      </c>
      <c r="B451" s="468">
        <f>YEAR(Table6[[#This Row],[Date]])+IF(MONTH(Table6[[#This Row],[Date]])&gt;=4,1,0)</f>
        <v>2026</v>
      </c>
      <c r="C451" s="102">
        <f>YEAR(Table6[[#This Row],[Date]])</f>
        <v>2025</v>
      </c>
      <c r="D451" s="102" t="s">
        <v>1992</v>
      </c>
      <c r="E451" s="469">
        <f>Table6[[#This Row],[Date]]-DAY(Table6[[#This Row],[Date]])+1</f>
        <v>45748</v>
      </c>
      <c r="F451" s="470">
        <v>45776</v>
      </c>
      <c r="G451" s="35" t="s">
        <v>86</v>
      </c>
      <c r="H451" s="35" t="str">
        <f>IFERROR(_xlfn.XLOOKUP(Table6[[#This Row],[Affected WTG]],'Basic Data'!$A:$A,'Basic Data'!$B:$B),"")</f>
        <v>TQGXIIPL</v>
      </c>
      <c r="I451" s="35" t="str">
        <f>IFERROR(_xlfn.XLOOKUP(Table6[[#This Row],[Affected WTG]],'Basic Data'!$A:$A,'Basic Data'!$C:$C),"")</f>
        <v>GEDA</v>
      </c>
      <c r="J451" s="471">
        <f>IFERROR(_xlfn.XLOOKUP(Table6[[#This Row],[Affected WTG]],'Basic Data'!$A:$A,'Basic Data'!$E:$E),"")</f>
        <v>3.846153846153845E-2</v>
      </c>
      <c r="K451" s="102">
        <v>6130</v>
      </c>
      <c r="L451" s="35" t="str">
        <f>IFERROR(_xlfn.XLOOKUP(Table6[[#This Row],[Error Code]],'Basic Data'!$AA:$AA,'Basic Data'!$AB:$AB),"Incorrect Error Code")</f>
        <v>Yaw speed high</v>
      </c>
      <c r="M451" s="35" t="s">
        <v>291</v>
      </c>
      <c r="N451" s="475"/>
      <c r="O451" s="476">
        <v>0.48055555555555557</v>
      </c>
      <c r="P451" s="476">
        <v>0.48055555555555557</v>
      </c>
      <c r="Q451" s="477">
        <v>0.49513888888888891</v>
      </c>
      <c r="R451" s="472">
        <f>IF(Table6[[#This Row],[Work Start TimeStamp]]="","",(Table6[[#This Row],[Work Start TimeStamp]]-Table6[[#This Row],[Fault Start TimeStamp]])*24)</f>
        <v>0</v>
      </c>
      <c r="S451" s="472">
        <f>(Table6[[#This Row],[Fault Clearance time]]-Table6[[#This Row],[Work Start TimeStamp]])*24</f>
        <v>0.35000000000000009</v>
      </c>
      <c r="T451" s="472">
        <f>(Table6[[#This Row],[Fault Clearance time]]-Table6[[#This Row],[Fault Start TimeStamp]])*24</f>
        <v>0.35000000000000009</v>
      </c>
      <c r="U451" s="35" t="s">
        <v>349</v>
      </c>
      <c r="V451" s="102" t="s">
        <v>293</v>
      </c>
      <c r="W451" s="478">
        <f>IFERROR(Table6[[#This Row],[Breakdown Time]]*Table6[[#This Row],[Plant Equivalent Weightage]],"")</f>
        <v>1.3461538461538461E-2</v>
      </c>
      <c r="X451" s="473" t="s">
        <v>294</v>
      </c>
      <c r="Y451" s="474" t="s">
        <v>313</v>
      </c>
      <c r="Z451" s="102">
        <v>38381</v>
      </c>
      <c r="AA451" s="468">
        <f>(Table6[[#This Row],[Paired WTG Generation for loss calculation]]/24)*Table6[[#This Row],[Breakdown Time]]</f>
        <v>559.72291666666683</v>
      </c>
      <c r="AB451" s="102"/>
      <c r="AC451" s="35"/>
      <c r="AD451" s="35"/>
    </row>
    <row r="452" spans="1:30">
      <c r="A452" s="102">
        <f t="shared" si="7"/>
        <v>451</v>
      </c>
      <c r="B452" s="468">
        <f>YEAR(Table6[[#This Row],[Date]])+IF(MONTH(Table6[[#This Row],[Date]])&gt;=4,1,0)</f>
        <v>2026</v>
      </c>
      <c r="C452" s="102">
        <f>YEAR(Table6[[#This Row],[Date]])</f>
        <v>2025</v>
      </c>
      <c r="D452" s="102" t="s">
        <v>1992</v>
      </c>
      <c r="E452" s="469">
        <f>Table6[[#This Row],[Date]]-DAY(Table6[[#This Row],[Date]])+1</f>
        <v>45748</v>
      </c>
      <c r="F452" s="470">
        <v>45776</v>
      </c>
      <c r="G452" s="35" t="s">
        <v>87</v>
      </c>
      <c r="H452" s="35" t="str">
        <f>IFERROR(_xlfn.XLOOKUP(Table6[[#This Row],[Affected WTG]],'Basic Data'!$A:$A,'Basic Data'!$B:$B),"")</f>
        <v>TQGXIIPL</v>
      </c>
      <c r="I452" s="35" t="str">
        <f>IFERROR(_xlfn.XLOOKUP(Table6[[#This Row],[Affected WTG]],'Basic Data'!$A:$A,'Basic Data'!$C:$C),"")</f>
        <v>GEDA</v>
      </c>
      <c r="J452" s="471">
        <f>IFERROR(_xlfn.XLOOKUP(Table6[[#This Row],[Affected WTG]],'Basic Data'!$A:$A,'Basic Data'!$E:$E),"")</f>
        <v>3.846153846153845E-2</v>
      </c>
      <c r="K452" s="102">
        <v>6130</v>
      </c>
      <c r="L452" s="35" t="str">
        <f>IFERROR(_xlfn.XLOOKUP(Table6[[#This Row],[Error Code]],'Basic Data'!$AA:$AA,'Basic Data'!$AB:$AB),"Incorrect Error Code")</f>
        <v>Yaw speed high</v>
      </c>
      <c r="M452" s="35" t="s">
        <v>291</v>
      </c>
      <c r="N452" s="475"/>
      <c r="O452" s="476">
        <v>0.51666666666666672</v>
      </c>
      <c r="P452" s="476">
        <v>0.51666666666666672</v>
      </c>
      <c r="Q452" s="477">
        <v>0.52013888888888893</v>
      </c>
      <c r="R452" s="472">
        <f>IF(Table6[[#This Row],[Work Start TimeStamp]]="","",(Table6[[#This Row],[Work Start TimeStamp]]-Table6[[#This Row],[Fault Start TimeStamp]])*24)</f>
        <v>0</v>
      </c>
      <c r="S452" s="472">
        <f>(Table6[[#This Row],[Fault Clearance time]]-Table6[[#This Row],[Work Start TimeStamp]])*24</f>
        <v>8.3333333333333037E-2</v>
      </c>
      <c r="T452" s="472">
        <f>(Table6[[#This Row],[Fault Clearance time]]-Table6[[#This Row],[Fault Start TimeStamp]])*24</f>
        <v>8.3333333333333037E-2</v>
      </c>
      <c r="U452" s="35" t="s">
        <v>349</v>
      </c>
      <c r="V452" s="102" t="s">
        <v>293</v>
      </c>
      <c r="W452" s="478">
        <f>IFERROR(Table6[[#This Row],[Breakdown Time]]*Table6[[#This Row],[Plant Equivalent Weightage]],"")</f>
        <v>3.2051282051281929E-3</v>
      </c>
      <c r="X452" s="473" t="s">
        <v>294</v>
      </c>
      <c r="Y452" s="474" t="s">
        <v>327</v>
      </c>
      <c r="Z452" s="102">
        <v>36596</v>
      </c>
      <c r="AA452" s="468">
        <f>(Table6[[#This Row],[Paired WTG Generation for loss calculation]]/24)*Table6[[#This Row],[Breakdown Time]]</f>
        <v>127.06944444444399</v>
      </c>
      <c r="AB452" s="102"/>
      <c r="AC452" s="35"/>
      <c r="AD452" s="35"/>
    </row>
    <row r="453" spans="1:30">
      <c r="A453" s="102">
        <f t="shared" si="7"/>
        <v>452</v>
      </c>
      <c r="B453" s="468">
        <f>YEAR(Table6[[#This Row],[Date]])+IF(MONTH(Table6[[#This Row],[Date]])&gt;=4,1,0)</f>
        <v>2026</v>
      </c>
      <c r="C453" s="102">
        <f>YEAR(Table6[[#This Row],[Date]])</f>
        <v>2025</v>
      </c>
      <c r="D453" s="102" t="s">
        <v>1992</v>
      </c>
      <c r="E453" s="469">
        <f>Table6[[#This Row],[Date]]-DAY(Table6[[#This Row],[Date]])+1</f>
        <v>45748</v>
      </c>
      <c r="F453" s="470">
        <v>45776</v>
      </c>
      <c r="G453" s="35" t="s">
        <v>88</v>
      </c>
      <c r="H453" s="35" t="str">
        <f>IFERROR(_xlfn.XLOOKUP(Table6[[#This Row],[Affected WTG]],'Basic Data'!$A:$A,'Basic Data'!$B:$B),"")</f>
        <v>TQGXIIPL</v>
      </c>
      <c r="I453" s="35" t="str">
        <f>IFERROR(_xlfn.XLOOKUP(Table6[[#This Row],[Affected WTG]],'Basic Data'!$A:$A,'Basic Data'!$C:$C),"")</f>
        <v>GEDA</v>
      </c>
      <c r="J453" s="471">
        <f>IFERROR(_xlfn.XLOOKUP(Table6[[#This Row],[Affected WTG]],'Basic Data'!$A:$A,'Basic Data'!$E:$E),"")</f>
        <v>3.846153846153845E-2</v>
      </c>
      <c r="K453" s="102">
        <v>6130</v>
      </c>
      <c r="L453" s="35" t="str">
        <f>IFERROR(_xlfn.XLOOKUP(Table6[[#This Row],[Error Code]],'Basic Data'!$AA:$AA,'Basic Data'!$AB:$AB),"Incorrect Error Code")</f>
        <v>Yaw speed high</v>
      </c>
      <c r="M453" s="35" t="s">
        <v>292</v>
      </c>
      <c r="N453" s="475"/>
      <c r="O453" s="476">
        <v>0.35902777777777778</v>
      </c>
      <c r="P453" s="476">
        <v>0.35902777777777778</v>
      </c>
      <c r="Q453" s="477">
        <v>0.36319444444444443</v>
      </c>
      <c r="R453" s="472">
        <f>IF(Table6[[#This Row],[Work Start TimeStamp]]="","",(Table6[[#This Row],[Work Start TimeStamp]]-Table6[[#This Row],[Fault Start TimeStamp]])*24)</f>
        <v>0</v>
      </c>
      <c r="S453" s="472">
        <f>(Table6[[#This Row],[Fault Clearance time]]-Table6[[#This Row],[Work Start TimeStamp]])*24</f>
        <v>9.9999999999999645E-2</v>
      </c>
      <c r="T453" s="472">
        <f>(Table6[[#This Row],[Fault Clearance time]]-Table6[[#This Row],[Fault Start TimeStamp]])*24</f>
        <v>9.9999999999999645E-2</v>
      </c>
      <c r="U453" s="35" t="s">
        <v>336</v>
      </c>
      <c r="V453" s="102" t="s">
        <v>293</v>
      </c>
      <c r="W453" s="478">
        <f>IFERROR(Table6[[#This Row],[Breakdown Time]]*Table6[[#This Row],[Plant Equivalent Weightage]],"")</f>
        <v>3.8461538461538312E-3</v>
      </c>
      <c r="X453" s="473" t="s">
        <v>294</v>
      </c>
      <c r="Y453" s="474" t="s">
        <v>323</v>
      </c>
      <c r="Z453" s="102">
        <v>33673</v>
      </c>
      <c r="AA453" s="468">
        <f>(Table6[[#This Row],[Paired WTG Generation for loss calculation]]/24)*Table6[[#This Row],[Breakdown Time]]</f>
        <v>140.30416666666616</v>
      </c>
      <c r="AB453" s="102"/>
      <c r="AC453" s="35"/>
      <c r="AD453" s="35"/>
    </row>
    <row r="454" spans="1:30">
      <c r="A454" s="102">
        <f t="shared" si="7"/>
        <v>453</v>
      </c>
      <c r="B454" s="468">
        <f>YEAR(Table6[[#This Row],[Date]])+IF(MONTH(Table6[[#This Row],[Date]])&gt;=4,1,0)</f>
        <v>2026</v>
      </c>
      <c r="C454" s="102">
        <f>YEAR(Table6[[#This Row],[Date]])</f>
        <v>2025</v>
      </c>
      <c r="D454" s="102" t="s">
        <v>1992</v>
      </c>
      <c r="E454" s="469">
        <f>Table6[[#This Row],[Date]]-DAY(Table6[[#This Row],[Date]])+1</f>
        <v>45748</v>
      </c>
      <c r="F454" s="470">
        <v>45776</v>
      </c>
      <c r="G454" s="35" t="s">
        <v>88</v>
      </c>
      <c r="H454" s="35" t="str">
        <f>IFERROR(_xlfn.XLOOKUP(Table6[[#This Row],[Affected WTG]],'Basic Data'!$A:$A,'Basic Data'!$B:$B),"")</f>
        <v>TQGXIIPL</v>
      </c>
      <c r="I454" s="35" t="str">
        <f>IFERROR(_xlfn.XLOOKUP(Table6[[#This Row],[Affected WTG]],'Basic Data'!$A:$A,'Basic Data'!$C:$C),"")</f>
        <v>GEDA</v>
      </c>
      <c r="J454" s="471">
        <f>IFERROR(_xlfn.XLOOKUP(Table6[[#This Row],[Affected WTG]],'Basic Data'!$A:$A,'Basic Data'!$E:$E),"")</f>
        <v>3.846153846153845E-2</v>
      </c>
      <c r="K454" s="102">
        <v>6130</v>
      </c>
      <c r="L454" s="35" t="str">
        <f>IFERROR(_xlfn.XLOOKUP(Table6[[#This Row],[Error Code]],'Basic Data'!$AA:$AA,'Basic Data'!$AB:$AB),"Incorrect Error Code")</f>
        <v>Yaw speed high</v>
      </c>
      <c r="M454" s="35" t="s">
        <v>291</v>
      </c>
      <c r="N454" s="475"/>
      <c r="O454" s="476">
        <v>0.69027777777777777</v>
      </c>
      <c r="P454" s="476">
        <v>0.69027777777777777</v>
      </c>
      <c r="Q454" s="477">
        <v>0.70694444444444449</v>
      </c>
      <c r="R454" s="472">
        <f>IF(Table6[[#This Row],[Work Start TimeStamp]]="","",(Table6[[#This Row],[Work Start TimeStamp]]-Table6[[#This Row],[Fault Start TimeStamp]])*24)</f>
        <v>0</v>
      </c>
      <c r="S454" s="472">
        <f>(Table6[[#This Row],[Fault Clearance time]]-Table6[[#This Row],[Work Start TimeStamp]])*24</f>
        <v>0.40000000000000124</v>
      </c>
      <c r="T454" s="472">
        <f>(Table6[[#This Row],[Fault Clearance time]]-Table6[[#This Row],[Fault Start TimeStamp]])*24</f>
        <v>0.40000000000000124</v>
      </c>
      <c r="U454" s="35" t="s">
        <v>396</v>
      </c>
      <c r="V454" s="102" t="s">
        <v>293</v>
      </c>
      <c r="W454" s="478">
        <f>IFERROR(Table6[[#This Row],[Breakdown Time]]*Table6[[#This Row],[Plant Equivalent Weightage]],"")</f>
        <v>1.5384615384615427E-2</v>
      </c>
      <c r="X454" s="473" t="s">
        <v>294</v>
      </c>
      <c r="Y454" s="474" t="s">
        <v>323</v>
      </c>
      <c r="Z454" s="102">
        <v>33673</v>
      </c>
      <c r="AA454" s="468">
        <f>(Table6[[#This Row],[Paired WTG Generation for loss calculation]]/24)*Table6[[#This Row],[Breakdown Time]]</f>
        <v>561.2166666666684</v>
      </c>
      <c r="AB454" s="102"/>
      <c r="AC454" s="35"/>
      <c r="AD454" s="35"/>
    </row>
    <row r="455" spans="1:30">
      <c r="A455" s="102">
        <f t="shared" si="7"/>
        <v>454</v>
      </c>
      <c r="B455" s="468">
        <f>YEAR(Table6[[#This Row],[Date]])+IF(MONTH(Table6[[#This Row],[Date]])&gt;=4,1,0)</f>
        <v>2026</v>
      </c>
      <c r="C455" s="102">
        <f>YEAR(Table6[[#This Row],[Date]])</f>
        <v>2025</v>
      </c>
      <c r="D455" s="102" t="s">
        <v>1992</v>
      </c>
      <c r="E455" s="469">
        <f>Table6[[#This Row],[Date]]-DAY(Table6[[#This Row],[Date]])+1</f>
        <v>45748</v>
      </c>
      <c r="F455" s="470">
        <v>45776</v>
      </c>
      <c r="G455" s="35" t="s">
        <v>89</v>
      </c>
      <c r="H455" s="35" t="str">
        <f>IFERROR(_xlfn.XLOOKUP(Table6[[#This Row],[Affected WTG]],'Basic Data'!$A:$A,'Basic Data'!$B:$B),"")</f>
        <v>TQGXIIPL</v>
      </c>
      <c r="I455" s="35" t="str">
        <f>IFERROR(_xlfn.XLOOKUP(Table6[[#This Row],[Affected WTG]],'Basic Data'!$A:$A,'Basic Data'!$C:$C),"")</f>
        <v>GEDA</v>
      </c>
      <c r="J455" s="471">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291</v>
      </c>
      <c r="N455" s="475"/>
      <c r="O455" s="476">
        <v>0.64861111111111114</v>
      </c>
      <c r="P455" s="476">
        <v>0.64861111111111114</v>
      </c>
      <c r="Q455" s="477">
        <v>0.65416666666666667</v>
      </c>
      <c r="R455" s="472">
        <f>IF(Table6[[#This Row],[Work Start TimeStamp]]="","",(Table6[[#This Row],[Work Start TimeStamp]]-Table6[[#This Row],[Fault Start TimeStamp]])*24)</f>
        <v>0</v>
      </c>
      <c r="S455" s="472">
        <f>(Table6[[#This Row],[Fault Clearance time]]-Table6[[#This Row],[Work Start TimeStamp]])*24</f>
        <v>0.13333333333333286</v>
      </c>
      <c r="T455" s="472">
        <f>(Table6[[#This Row],[Fault Clearance time]]-Table6[[#This Row],[Fault Start TimeStamp]])*24</f>
        <v>0.13333333333333286</v>
      </c>
      <c r="U455" s="35" t="s">
        <v>396</v>
      </c>
      <c r="V455" s="102" t="s">
        <v>293</v>
      </c>
      <c r="W455" s="478">
        <f>IFERROR(Table6[[#This Row],[Breakdown Time]]*Table6[[#This Row],[Plant Equivalent Weightage]],"")</f>
        <v>5.1282051282051083E-3</v>
      </c>
      <c r="X455" s="473" t="s">
        <v>294</v>
      </c>
      <c r="Y455" s="474" t="s">
        <v>325</v>
      </c>
      <c r="Z455" s="102">
        <v>35807</v>
      </c>
      <c r="AA455" s="468">
        <f>(Table6[[#This Row],[Paired WTG Generation for loss calculation]]/24)*Table6[[#This Row],[Breakdown Time]]</f>
        <v>198.92777777777707</v>
      </c>
      <c r="AB455" s="102"/>
      <c r="AC455" s="35"/>
      <c r="AD455" s="35"/>
    </row>
    <row r="456" spans="1:30">
      <c r="A456" s="102">
        <f t="shared" si="7"/>
        <v>455</v>
      </c>
      <c r="B456" s="468">
        <f>YEAR(Table6[[#This Row],[Date]])+IF(MONTH(Table6[[#This Row],[Date]])&gt;=4,1,0)</f>
        <v>2026</v>
      </c>
      <c r="C456" s="102">
        <f>YEAR(Table6[[#This Row],[Date]])</f>
        <v>2025</v>
      </c>
      <c r="D456" s="102" t="s">
        <v>1992</v>
      </c>
      <c r="E456" s="469">
        <f>Table6[[#This Row],[Date]]-DAY(Table6[[#This Row],[Date]])+1</f>
        <v>45748</v>
      </c>
      <c r="F456" s="470">
        <v>45776</v>
      </c>
      <c r="G456" s="35" t="s">
        <v>89</v>
      </c>
      <c r="H456" s="35" t="str">
        <f>IFERROR(_xlfn.XLOOKUP(Table6[[#This Row],[Affected WTG]],'Basic Data'!$A:$A,'Basic Data'!$B:$B),"")</f>
        <v>TQGXIIPL</v>
      </c>
      <c r="I456" s="35" t="str">
        <f>IFERROR(_xlfn.XLOOKUP(Table6[[#This Row],[Affected WTG]],'Basic Data'!$A:$A,'Basic Data'!$C:$C),"")</f>
        <v>GEDA</v>
      </c>
      <c r="J456" s="471">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291</v>
      </c>
      <c r="N456" s="475"/>
      <c r="O456" s="476">
        <v>0.67291666666666672</v>
      </c>
      <c r="P456" s="476">
        <v>0.67291666666666672</v>
      </c>
      <c r="Q456" s="477">
        <v>0.67708333333333337</v>
      </c>
      <c r="R456" s="472">
        <f>IF(Table6[[#This Row],[Work Start TimeStamp]]="","",(Table6[[#This Row],[Work Start TimeStamp]]-Table6[[#This Row],[Fault Start TimeStamp]])*24)</f>
        <v>0</v>
      </c>
      <c r="S456" s="472">
        <f>(Table6[[#This Row],[Fault Clearance time]]-Table6[[#This Row],[Work Start TimeStamp]])*24</f>
        <v>9.9999999999999645E-2</v>
      </c>
      <c r="T456" s="472">
        <f>(Table6[[#This Row],[Fault Clearance time]]-Table6[[#This Row],[Fault Start TimeStamp]])*24</f>
        <v>9.9999999999999645E-2</v>
      </c>
      <c r="U456" s="35" t="s">
        <v>396</v>
      </c>
      <c r="V456" s="102" t="s">
        <v>293</v>
      </c>
      <c r="W456" s="478">
        <f>IFERROR(Table6[[#This Row],[Breakdown Time]]*Table6[[#This Row],[Plant Equivalent Weightage]],"")</f>
        <v>3.8461538461538312E-3</v>
      </c>
      <c r="X456" s="473" t="s">
        <v>294</v>
      </c>
      <c r="Y456" s="474" t="s">
        <v>325</v>
      </c>
      <c r="Z456" s="102">
        <v>35807</v>
      </c>
      <c r="AA456" s="468">
        <f>(Table6[[#This Row],[Paired WTG Generation for loss calculation]]/24)*Table6[[#This Row],[Breakdown Time]]</f>
        <v>149.19583333333279</v>
      </c>
      <c r="AB456" s="102"/>
      <c r="AC456" s="35"/>
      <c r="AD456" s="35"/>
    </row>
    <row r="457" spans="1:30">
      <c r="A457" s="102">
        <f t="shared" si="7"/>
        <v>456</v>
      </c>
      <c r="B457" s="468">
        <f>YEAR(Table6[[#This Row],[Date]])+IF(MONTH(Table6[[#This Row],[Date]])&gt;=4,1,0)</f>
        <v>2026</v>
      </c>
      <c r="C457" s="102">
        <f>YEAR(Table6[[#This Row],[Date]])</f>
        <v>2025</v>
      </c>
      <c r="D457" s="102" t="s">
        <v>1992</v>
      </c>
      <c r="E457" s="469">
        <f>Table6[[#This Row],[Date]]-DAY(Table6[[#This Row],[Date]])+1</f>
        <v>45748</v>
      </c>
      <c r="F457" s="470">
        <v>45776</v>
      </c>
      <c r="G457" s="35" t="s">
        <v>89</v>
      </c>
      <c r="H457" s="35" t="str">
        <f>IFERROR(_xlfn.XLOOKUP(Table6[[#This Row],[Affected WTG]],'Basic Data'!$A:$A,'Basic Data'!$B:$B),"")</f>
        <v>TQGXIIPL</v>
      </c>
      <c r="I457" s="35" t="str">
        <f>IFERROR(_xlfn.XLOOKUP(Table6[[#This Row],[Affected WTG]],'Basic Data'!$A:$A,'Basic Data'!$C:$C),"")</f>
        <v>GEDA</v>
      </c>
      <c r="J457" s="471">
        <f>IFERROR(_xlfn.XLOOKUP(Table6[[#This Row],[Affected WTG]],'Basic Data'!$A:$A,'Basic Data'!$E:$E),"")</f>
        <v>3.846153846153845E-2</v>
      </c>
      <c r="K457" s="102">
        <v>6130</v>
      </c>
      <c r="L457" s="35" t="str">
        <f>IFERROR(_xlfn.XLOOKUP(Table6[[#This Row],[Error Code]],'Basic Data'!$AA:$AA,'Basic Data'!$AB:$AB),"Incorrect Error Code")</f>
        <v>Yaw speed high</v>
      </c>
      <c r="M457" s="35" t="s">
        <v>292</v>
      </c>
      <c r="N457" s="475"/>
      <c r="O457" s="476">
        <v>0.69513888888888886</v>
      </c>
      <c r="P457" s="476">
        <v>0.69513888888888886</v>
      </c>
      <c r="Q457" s="477">
        <v>0.69930555555555551</v>
      </c>
      <c r="R457" s="472">
        <f>IF(Table6[[#This Row],[Work Start TimeStamp]]="","",(Table6[[#This Row],[Work Start TimeStamp]]-Table6[[#This Row],[Fault Start TimeStamp]])*24)</f>
        <v>0</v>
      </c>
      <c r="S457" s="472">
        <f>(Table6[[#This Row],[Fault Clearance time]]-Table6[[#This Row],[Work Start TimeStamp]])*24</f>
        <v>9.9999999999999645E-2</v>
      </c>
      <c r="T457" s="472">
        <f>(Table6[[#This Row],[Fault Clearance time]]-Table6[[#This Row],[Fault Start TimeStamp]])*24</f>
        <v>9.9999999999999645E-2</v>
      </c>
      <c r="U457" s="35" t="s">
        <v>336</v>
      </c>
      <c r="V457" s="102" t="s">
        <v>293</v>
      </c>
      <c r="W457" s="478">
        <f>IFERROR(Table6[[#This Row],[Breakdown Time]]*Table6[[#This Row],[Plant Equivalent Weightage]],"")</f>
        <v>3.8461538461538312E-3</v>
      </c>
      <c r="X457" s="473" t="s">
        <v>294</v>
      </c>
      <c r="Y457" s="474" t="s">
        <v>325</v>
      </c>
      <c r="Z457" s="102">
        <v>35807</v>
      </c>
      <c r="AA457" s="468">
        <f>(Table6[[#This Row],[Paired WTG Generation for loss calculation]]/24)*Table6[[#This Row],[Breakdown Time]]</f>
        <v>149.19583333333279</v>
      </c>
      <c r="AB457" s="102"/>
      <c r="AC457" s="35"/>
      <c r="AD457" s="35"/>
    </row>
    <row r="458" spans="1:30">
      <c r="A458" s="102">
        <f t="shared" si="7"/>
        <v>457</v>
      </c>
      <c r="B458" s="468">
        <f>YEAR(Table6[[#This Row],[Date]])+IF(MONTH(Table6[[#This Row],[Date]])&gt;=4,1,0)</f>
        <v>2026</v>
      </c>
      <c r="C458" s="102">
        <f>YEAR(Table6[[#This Row],[Date]])</f>
        <v>2025</v>
      </c>
      <c r="D458" s="102" t="s">
        <v>1992</v>
      </c>
      <c r="E458" s="469">
        <f>Table6[[#This Row],[Date]]-DAY(Table6[[#This Row],[Date]])+1</f>
        <v>45748</v>
      </c>
      <c r="F458" s="470">
        <v>45776</v>
      </c>
      <c r="G458" s="35" t="s">
        <v>90</v>
      </c>
      <c r="H458" s="35" t="str">
        <f>IFERROR(_xlfn.XLOOKUP(Table6[[#This Row],[Affected WTG]],'Basic Data'!$A:$A,'Basic Data'!$B:$B),"")</f>
        <v>TQGXIIPL</v>
      </c>
      <c r="I458" s="35" t="str">
        <f>IFERROR(_xlfn.XLOOKUP(Table6[[#This Row],[Affected WTG]],'Basic Data'!$A:$A,'Basic Data'!$C:$C),"")</f>
        <v>GEDA</v>
      </c>
      <c r="J458" s="471">
        <f>IFERROR(_xlfn.XLOOKUP(Table6[[#This Row],[Affected WTG]],'Basic Data'!$A:$A,'Basic Data'!$E:$E),"")</f>
        <v>3.846153846153845E-2</v>
      </c>
      <c r="K458" s="102">
        <v>6605</v>
      </c>
      <c r="L458" s="35" t="str">
        <f>IFERROR(_xlfn.XLOOKUP(Table6[[#This Row],[Error Code]],'Basic Data'!$AA:$AA,'Basic Data'!$AB:$AB),"Incorrect Error Code")</f>
        <v>Wind.dir. diff. level 2</v>
      </c>
      <c r="M458" s="35" t="s">
        <v>291</v>
      </c>
      <c r="N458" s="475"/>
      <c r="O458" s="476">
        <v>0.62291666666666667</v>
      </c>
      <c r="P458" s="476">
        <v>0.62291666666666667</v>
      </c>
      <c r="Q458" s="477">
        <v>0.62430555555555556</v>
      </c>
      <c r="R458" s="472">
        <f>IF(Table6[[#This Row],[Work Start TimeStamp]]="","",(Table6[[#This Row],[Work Start TimeStamp]]-Table6[[#This Row],[Fault Start TimeStamp]])*24)</f>
        <v>0</v>
      </c>
      <c r="S458" s="472">
        <f>(Table6[[#This Row],[Fault Clearance time]]-Table6[[#This Row],[Work Start TimeStamp]])*24</f>
        <v>3.3333333333333215E-2</v>
      </c>
      <c r="T458" s="472">
        <f>(Table6[[#This Row],[Fault Clearance time]]-Table6[[#This Row],[Fault Start TimeStamp]])*24</f>
        <v>3.3333333333333215E-2</v>
      </c>
      <c r="U458" s="35" t="s">
        <v>349</v>
      </c>
      <c r="V458" s="102" t="s">
        <v>293</v>
      </c>
      <c r="W458" s="478">
        <f>IFERROR(Table6[[#This Row],[Breakdown Time]]*Table6[[#This Row],[Plant Equivalent Weightage]],"")</f>
        <v>1.2820512820512771E-3</v>
      </c>
      <c r="X458" s="473" t="s">
        <v>294</v>
      </c>
      <c r="Y458" s="474" t="s">
        <v>339</v>
      </c>
      <c r="Z458" s="102">
        <v>41434</v>
      </c>
      <c r="AA458" s="468">
        <f>(Table6[[#This Row],[Paired WTG Generation for loss calculation]]/24)*Table6[[#This Row],[Breakdown Time]]</f>
        <v>57.547222222222018</v>
      </c>
      <c r="AB458" s="102"/>
      <c r="AC458" s="35"/>
      <c r="AD458" s="35"/>
    </row>
    <row r="459" spans="1:30">
      <c r="A459" s="102">
        <f t="shared" si="7"/>
        <v>458</v>
      </c>
      <c r="B459" s="468">
        <f>YEAR(Table6[[#This Row],[Date]])+IF(MONTH(Table6[[#This Row],[Date]])&gt;=4,1,0)</f>
        <v>2026</v>
      </c>
      <c r="C459" s="102">
        <f>YEAR(Table6[[#This Row],[Date]])</f>
        <v>2025</v>
      </c>
      <c r="D459" s="102" t="s">
        <v>1992</v>
      </c>
      <c r="E459" s="469">
        <f>Table6[[#This Row],[Date]]-DAY(Table6[[#This Row],[Date]])+1</f>
        <v>45748</v>
      </c>
      <c r="F459" s="470">
        <v>45776</v>
      </c>
      <c r="G459" s="35" t="s">
        <v>90</v>
      </c>
      <c r="H459" s="35" t="str">
        <f>IFERROR(_xlfn.XLOOKUP(Table6[[#This Row],[Affected WTG]],'Basic Data'!$A:$A,'Basic Data'!$B:$B),"")</f>
        <v>TQGXIIPL</v>
      </c>
      <c r="I459" s="35" t="str">
        <f>IFERROR(_xlfn.XLOOKUP(Table6[[#This Row],[Affected WTG]],'Basic Data'!$A:$A,'Basic Data'!$C:$C),"")</f>
        <v>GEDA</v>
      </c>
      <c r="J459" s="471">
        <f>IFERROR(_xlfn.XLOOKUP(Table6[[#This Row],[Affected WTG]],'Basic Data'!$A:$A,'Basic Data'!$E:$E),"")</f>
        <v>3.846153846153845E-2</v>
      </c>
      <c r="K459" s="102">
        <v>6130</v>
      </c>
      <c r="L459" s="35" t="str">
        <f>IFERROR(_xlfn.XLOOKUP(Table6[[#This Row],[Error Code]],'Basic Data'!$AA:$AA,'Basic Data'!$AB:$AB),"Incorrect Error Code")</f>
        <v>Yaw speed high</v>
      </c>
      <c r="M459" s="35" t="s">
        <v>292</v>
      </c>
      <c r="N459" s="475"/>
      <c r="O459" s="476">
        <v>0.64652777777777781</v>
      </c>
      <c r="P459" s="476">
        <v>0.64652777777777781</v>
      </c>
      <c r="Q459" s="477">
        <v>0.65069444444444446</v>
      </c>
      <c r="R459" s="472">
        <f>IF(Table6[[#This Row],[Work Start TimeStamp]]="","",(Table6[[#This Row],[Work Start TimeStamp]]-Table6[[#This Row],[Fault Start TimeStamp]])*24)</f>
        <v>0</v>
      </c>
      <c r="S459" s="472">
        <f>(Table6[[#This Row],[Fault Clearance time]]-Table6[[#This Row],[Work Start TimeStamp]])*24</f>
        <v>9.9999999999999645E-2</v>
      </c>
      <c r="T459" s="472">
        <f>(Table6[[#This Row],[Fault Clearance time]]-Table6[[#This Row],[Fault Start TimeStamp]])*24</f>
        <v>9.9999999999999645E-2</v>
      </c>
      <c r="U459" s="35" t="s">
        <v>336</v>
      </c>
      <c r="V459" s="102" t="s">
        <v>293</v>
      </c>
      <c r="W459" s="478">
        <f>IFERROR(Table6[[#This Row],[Breakdown Time]]*Table6[[#This Row],[Plant Equivalent Weightage]],"")</f>
        <v>3.8461538461538312E-3</v>
      </c>
      <c r="X459" s="473" t="s">
        <v>294</v>
      </c>
      <c r="Y459" s="474" t="s">
        <v>339</v>
      </c>
      <c r="Z459" s="102">
        <v>41434</v>
      </c>
      <c r="AA459" s="468">
        <f>(Table6[[#This Row],[Paired WTG Generation for loss calculation]]/24)*Table6[[#This Row],[Breakdown Time]]</f>
        <v>172.64166666666605</v>
      </c>
      <c r="AB459" s="102"/>
      <c r="AC459" s="35"/>
      <c r="AD459" s="35"/>
    </row>
    <row r="460" spans="1:30">
      <c r="A460" s="102">
        <f t="shared" si="7"/>
        <v>459</v>
      </c>
      <c r="B460" s="468">
        <f>YEAR(Table6[[#This Row],[Date]])+IF(MONTH(Table6[[#This Row],[Date]])&gt;=4,1,0)</f>
        <v>2026</v>
      </c>
      <c r="C460" s="102">
        <f>YEAR(Table6[[#This Row],[Date]])</f>
        <v>2025</v>
      </c>
      <c r="D460" s="102" t="s">
        <v>1992</v>
      </c>
      <c r="E460" s="469">
        <f>Table6[[#This Row],[Date]]-DAY(Table6[[#This Row],[Date]])+1</f>
        <v>45748</v>
      </c>
      <c r="F460" s="470">
        <v>45776</v>
      </c>
      <c r="G460" s="35" t="s">
        <v>90</v>
      </c>
      <c r="H460" s="35" t="str">
        <f>IFERROR(_xlfn.XLOOKUP(Table6[[#This Row],[Affected WTG]],'Basic Data'!$A:$A,'Basic Data'!$B:$B),"")</f>
        <v>TQGXIIPL</v>
      </c>
      <c r="I460" s="35" t="str">
        <f>IFERROR(_xlfn.XLOOKUP(Table6[[#This Row],[Affected WTG]],'Basic Data'!$A:$A,'Basic Data'!$C:$C),"")</f>
        <v>GEDA</v>
      </c>
      <c r="J460" s="471">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291</v>
      </c>
      <c r="N460" s="475"/>
      <c r="O460" s="476">
        <v>0.74513888888888891</v>
      </c>
      <c r="P460" s="476">
        <v>0.74513888888888891</v>
      </c>
      <c r="Q460" s="477">
        <v>0.77222222222222225</v>
      </c>
      <c r="R460" s="472">
        <f>IF(Table6[[#This Row],[Work Start TimeStamp]]="","",(Table6[[#This Row],[Work Start TimeStamp]]-Table6[[#This Row],[Fault Start TimeStamp]])*24)</f>
        <v>0</v>
      </c>
      <c r="S460" s="472">
        <f>(Table6[[#This Row],[Fault Clearance time]]-Table6[[#This Row],[Work Start TimeStamp]])*24</f>
        <v>0.65000000000000036</v>
      </c>
      <c r="T460" s="472">
        <f>(Table6[[#This Row],[Fault Clearance time]]-Table6[[#This Row],[Fault Start TimeStamp]])*24</f>
        <v>0.65000000000000036</v>
      </c>
      <c r="U460" s="35" t="s">
        <v>396</v>
      </c>
      <c r="V460" s="102" t="s">
        <v>293</v>
      </c>
      <c r="W460" s="478">
        <f>IFERROR(Table6[[#This Row],[Breakdown Time]]*Table6[[#This Row],[Plant Equivalent Weightage]],"")</f>
        <v>2.5000000000000005E-2</v>
      </c>
      <c r="X460" s="473" t="s">
        <v>294</v>
      </c>
      <c r="Y460" s="474" t="s">
        <v>339</v>
      </c>
      <c r="Z460" s="102">
        <v>41434</v>
      </c>
      <c r="AA460" s="468">
        <f>(Table6[[#This Row],[Paired WTG Generation for loss calculation]]/24)*Table6[[#This Row],[Breakdown Time]]</f>
        <v>1122.170833333334</v>
      </c>
      <c r="AB460" s="102"/>
      <c r="AC460" s="35"/>
      <c r="AD460" s="35"/>
    </row>
    <row r="461" spans="1:30">
      <c r="A461" s="102">
        <f t="shared" si="7"/>
        <v>460</v>
      </c>
      <c r="B461" s="468">
        <f>YEAR(Table6[[#This Row],[Date]])+IF(MONTH(Table6[[#This Row],[Date]])&gt;=4,1,0)</f>
        <v>2026</v>
      </c>
      <c r="C461" s="102">
        <f>YEAR(Table6[[#This Row],[Date]])</f>
        <v>2025</v>
      </c>
      <c r="D461" s="102" t="s">
        <v>1992</v>
      </c>
      <c r="E461" s="469">
        <f>Table6[[#This Row],[Date]]-DAY(Table6[[#This Row],[Date]])+1</f>
        <v>45748</v>
      </c>
      <c r="F461" s="470">
        <v>45776</v>
      </c>
      <c r="G461" s="35" t="s">
        <v>92</v>
      </c>
      <c r="H461" s="35" t="str">
        <f>IFERROR(_xlfn.XLOOKUP(Table6[[#This Row],[Affected WTG]],'Basic Data'!$A:$A,'Basic Data'!$B:$B),"")</f>
        <v>TQGXIIPL</v>
      </c>
      <c r="I461" s="35" t="str">
        <f>IFERROR(_xlfn.XLOOKUP(Table6[[#This Row],[Affected WTG]],'Basic Data'!$A:$A,'Basic Data'!$C:$C),"")</f>
        <v>GEDA</v>
      </c>
      <c r="J461" s="471">
        <f>IFERROR(_xlfn.XLOOKUP(Table6[[#This Row],[Affected WTG]],'Basic Data'!$A:$A,'Basic Data'!$E:$E),"")</f>
        <v>3.846153846153845E-2</v>
      </c>
      <c r="K461" s="102">
        <v>1700</v>
      </c>
      <c r="L461" s="35" t="str">
        <f>IFERROR(_xlfn.XLOOKUP(Table6[[#This Row],[Error Code]],'Basic Data'!$AA:$AA,'Basic Data'!$AB:$AB),"Incorrect Error Code")</f>
        <v>High temp. gear bearing 1</v>
      </c>
      <c r="M461" s="35" t="s">
        <v>291</v>
      </c>
      <c r="N461" s="475"/>
      <c r="O461" s="476">
        <v>0.51180555555555551</v>
      </c>
      <c r="P461" s="476">
        <v>0.51180555555555551</v>
      </c>
      <c r="Q461" s="477">
        <v>0.51736111111111116</v>
      </c>
      <c r="R461" s="472">
        <f>IF(Table6[[#This Row],[Work Start TimeStamp]]="","",(Table6[[#This Row],[Work Start TimeStamp]]-Table6[[#This Row],[Fault Start TimeStamp]])*24)</f>
        <v>0</v>
      </c>
      <c r="S461" s="472">
        <f>(Table6[[#This Row],[Fault Clearance time]]-Table6[[#This Row],[Work Start TimeStamp]])*24</f>
        <v>0.13333333333333552</v>
      </c>
      <c r="T461" s="472">
        <f>(Table6[[#This Row],[Fault Clearance time]]-Table6[[#This Row],[Fault Start TimeStamp]])*24</f>
        <v>0.13333333333333552</v>
      </c>
      <c r="U461" s="35" t="s">
        <v>349</v>
      </c>
      <c r="V461" s="102" t="s">
        <v>293</v>
      </c>
      <c r="W461" s="478">
        <f>IFERROR(Table6[[#This Row],[Breakdown Time]]*Table6[[#This Row],[Plant Equivalent Weightage]],"")</f>
        <v>5.1282051282052106E-3</v>
      </c>
      <c r="X461" s="473" t="s">
        <v>294</v>
      </c>
      <c r="Y461" s="474" t="s">
        <v>310</v>
      </c>
      <c r="Z461" s="102">
        <v>47322</v>
      </c>
      <c r="AA461" s="468">
        <f>(Table6[[#This Row],[Paired WTG Generation for loss calculation]]/24)*Table6[[#This Row],[Breakdown Time]]</f>
        <v>262.9000000000043</v>
      </c>
      <c r="AB461" s="102"/>
      <c r="AC461" s="35"/>
      <c r="AD461" s="35"/>
    </row>
    <row r="462" spans="1:30">
      <c r="A462" s="102">
        <f t="shared" ref="A462:A525" si="8">A461+1</f>
        <v>461</v>
      </c>
      <c r="B462" s="468">
        <f>YEAR(Table6[[#This Row],[Date]])+IF(MONTH(Table6[[#This Row],[Date]])&gt;=4,1,0)</f>
        <v>2026</v>
      </c>
      <c r="C462" s="102">
        <f>YEAR(Table6[[#This Row],[Date]])</f>
        <v>2025</v>
      </c>
      <c r="D462" s="102" t="s">
        <v>1992</v>
      </c>
      <c r="E462" s="469">
        <f>Table6[[#This Row],[Date]]-DAY(Table6[[#This Row],[Date]])+1</f>
        <v>45748</v>
      </c>
      <c r="F462" s="470">
        <v>45776</v>
      </c>
      <c r="G462" s="35" t="s">
        <v>92</v>
      </c>
      <c r="H462" s="35" t="str">
        <f>IFERROR(_xlfn.XLOOKUP(Table6[[#This Row],[Affected WTG]],'Basic Data'!$A:$A,'Basic Data'!$B:$B),"")</f>
        <v>TQGXIIPL</v>
      </c>
      <c r="I462" s="35" t="str">
        <f>IFERROR(_xlfn.XLOOKUP(Table6[[#This Row],[Affected WTG]],'Basic Data'!$A:$A,'Basic Data'!$C:$C),"")</f>
        <v>GEDA</v>
      </c>
      <c r="J462" s="471">
        <f>IFERROR(_xlfn.XLOOKUP(Table6[[#This Row],[Affected WTG]],'Basic Data'!$A:$A,'Basic Data'!$E:$E),"")</f>
        <v>3.846153846153845E-2</v>
      </c>
      <c r="K462" s="102">
        <v>1700</v>
      </c>
      <c r="L462" s="35" t="str">
        <f>IFERROR(_xlfn.XLOOKUP(Table6[[#This Row],[Error Code]],'Basic Data'!$AA:$AA,'Basic Data'!$AB:$AB),"Incorrect Error Code")</f>
        <v>High temp. gear bearing 1</v>
      </c>
      <c r="M462" s="35" t="s">
        <v>291</v>
      </c>
      <c r="N462" s="475"/>
      <c r="O462" s="476">
        <v>0.73124999999999996</v>
      </c>
      <c r="P462" s="476">
        <v>0.73124999999999996</v>
      </c>
      <c r="Q462" s="477">
        <v>0.74722222222222223</v>
      </c>
      <c r="R462" s="472">
        <f>IF(Table6[[#This Row],[Work Start TimeStamp]]="","",(Table6[[#This Row],[Work Start TimeStamp]]-Table6[[#This Row],[Fault Start TimeStamp]])*24)</f>
        <v>0</v>
      </c>
      <c r="S462" s="472">
        <f>(Table6[[#This Row],[Fault Clearance time]]-Table6[[#This Row],[Work Start TimeStamp]])*24</f>
        <v>0.38333333333333464</v>
      </c>
      <c r="T462" s="472">
        <f>(Table6[[#This Row],[Fault Clearance time]]-Table6[[#This Row],[Fault Start TimeStamp]])*24</f>
        <v>0.38333333333333464</v>
      </c>
      <c r="U462" s="35" t="s">
        <v>382</v>
      </c>
      <c r="V462" s="102" t="s">
        <v>293</v>
      </c>
      <c r="W462" s="478">
        <f>IFERROR(Table6[[#This Row],[Breakdown Time]]*Table6[[#This Row],[Plant Equivalent Weightage]],"")</f>
        <v>1.4743589743589788E-2</v>
      </c>
      <c r="X462" s="473" t="s">
        <v>294</v>
      </c>
      <c r="Y462" s="474" t="s">
        <v>310</v>
      </c>
      <c r="Z462" s="102">
        <v>47322</v>
      </c>
      <c r="AA462" s="468">
        <f>(Table6[[#This Row],[Paired WTG Generation for loss calculation]]/24)*Table6[[#This Row],[Breakdown Time]]</f>
        <v>755.83750000000259</v>
      </c>
      <c r="AB462" s="102"/>
      <c r="AC462" s="35"/>
      <c r="AD462" s="35"/>
    </row>
    <row r="463" spans="1:30">
      <c r="A463" s="102">
        <f t="shared" si="8"/>
        <v>462</v>
      </c>
      <c r="B463" s="468">
        <f>YEAR(Table6[[#This Row],[Date]])+IF(MONTH(Table6[[#This Row],[Date]])&gt;=4,1,0)</f>
        <v>2026</v>
      </c>
      <c r="C463" s="102">
        <f>YEAR(Table6[[#This Row],[Date]])</f>
        <v>2025</v>
      </c>
      <c r="D463" s="102" t="s">
        <v>1992</v>
      </c>
      <c r="E463" s="469">
        <f>Table6[[#This Row],[Date]]-DAY(Table6[[#This Row],[Date]])+1</f>
        <v>45748</v>
      </c>
      <c r="F463" s="470">
        <v>45776</v>
      </c>
      <c r="G463" s="35" t="s">
        <v>94</v>
      </c>
      <c r="H463" s="35" t="str">
        <f>IFERROR(_xlfn.XLOOKUP(Table6[[#This Row],[Affected WTG]],'Basic Data'!$A:$A,'Basic Data'!$B:$B),"")</f>
        <v>TQGXIIPL</v>
      </c>
      <c r="I463" s="35" t="str">
        <f>IFERROR(_xlfn.XLOOKUP(Table6[[#This Row],[Affected WTG]],'Basic Data'!$A:$A,'Basic Data'!$C:$C),"")</f>
        <v>GEDA</v>
      </c>
      <c r="J463" s="471">
        <f>IFERROR(_xlfn.XLOOKUP(Table6[[#This Row],[Affected WTG]],'Basic Data'!$A:$A,'Basic Data'!$E:$E),"")</f>
        <v>3.846153846153845E-2</v>
      </c>
      <c r="K463" s="102">
        <v>6130</v>
      </c>
      <c r="L463" s="35" t="str">
        <f>IFERROR(_xlfn.XLOOKUP(Table6[[#This Row],[Error Code]],'Basic Data'!$AA:$AA,'Basic Data'!$AB:$AB),"Incorrect Error Code")</f>
        <v>Yaw speed high</v>
      </c>
      <c r="M463" s="35" t="s">
        <v>292</v>
      </c>
      <c r="N463" s="475"/>
      <c r="O463" s="476">
        <v>0.61388888888888893</v>
      </c>
      <c r="P463" s="476">
        <v>0.61388888888888893</v>
      </c>
      <c r="Q463" s="477">
        <v>0.61805555555555558</v>
      </c>
      <c r="R463" s="472">
        <f>IF(Table6[[#This Row],[Work Start TimeStamp]]="","",(Table6[[#This Row],[Work Start TimeStamp]]-Table6[[#This Row],[Fault Start TimeStamp]])*24)</f>
        <v>0</v>
      </c>
      <c r="S463" s="472">
        <f>(Table6[[#This Row],[Fault Clearance time]]-Table6[[#This Row],[Work Start TimeStamp]])*24</f>
        <v>9.9999999999999645E-2</v>
      </c>
      <c r="T463" s="472">
        <f>(Table6[[#This Row],[Fault Clearance time]]-Table6[[#This Row],[Fault Start TimeStamp]])*24</f>
        <v>9.9999999999999645E-2</v>
      </c>
      <c r="U463" s="35" t="s">
        <v>336</v>
      </c>
      <c r="V463" s="102" t="s">
        <v>293</v>
      </c>
      <c r="W463" s="478">
        <f>IFERROR(Table6[[#This Row],[Breakdown Time]]*Table6[[#This Row],[Plant Equivalent Weightage]],"")</f>
        <v>3.8461538461538312E-3</v>
      </c>
      <c r="X463" s="473" t="s">
        <v>294</v>
      </c>
      <c r="Y463" s="474" t="s">
        <v>319</v>
      </c>
      <c r="Z463" s="102">
        <v>30203</v>
      </c>
      <c r="AA463" s="468">
        <f>(Table6[[#This Row],[Paired WTG Generation for loss calculation]]/24)*Table6[[#This Row],[Breakdown Time]]</f>
        <v>125.84583333333288</v>
      </c>
      <c r="AB463" s="102"/>
      <c r="AC463" s="35"/>
      <c r="AD463" s="35"/>
    </row>
    <row r="464" spans="1:30">
      <c r="A464" s="102">
        <f t="shared" si="8"/>
        <v>463</v>
      </c>
      <c r="B464" s="468">
        <f>YEAR(Table6[[#This Row],[Date]])+IF(MONTH(Table6[[#This Row],[Date]])&gt;=4,1,0)</f>
        <v>2026</v>
      </c>
      <c r="C464" s="102">
        <f>YEAR(Table6[[#This Row],[Date]])</f>
        <v>2025</v>
      </c>
      <c r="D464" s="102" t="s">
        <v>1992</v>
      </c>
      <c r="E464" s="469">
        <f>Table6[[#This Row],[Date]]-DAY(Table6[[#This Row],[Date]])+1</f>
        <v>45748</v>
      </c>
      <c r="F464" s="470">
        <v>45776</v>
      </c>
      <c r="G464" s="35" t="s">
        <v>95</v>
      </c>
      <c r="H464" s="35" t="str">
        <f>IFERROR(_xlfn.XLOOKUP(Table6[[#This Row],[Affected WTG]],'Basic Data'!$A:$A,'Basic Data'!$B:$B),"")</f>
        <v>TQGXIIPL</v>
      </c>
      <c r="I464" s="35" t="str">
        <f>IFERROR(_xlfn.XLOOKUP(Table6[[#This Row],[Affected WTG]],'Basic Data'!$A:$A,'Basic Data'!$C:$C),"")</f>
        <v>GEDA</v>
      </c>
      <c r="J464" s="471">
        <f>IFERROR(_xlfn.XLOOKUP(Table6[[#This Row],[Affected WTG]],'Basic Data'!$A:$A,'Basic Data'!$E:$E),"")</f>
        <v>3.846153846153845E-2</v>
      </c>
      <c r="K464" s="102">
        <v>1700</v>
      </c>
      <c r="L464" s="35" t="str">
        <f>IFERROR(_xlfn.XLOOKUP(Table6[[#This Row],[Error Code]],'Basic Data'!$AA:$AA,'Basic Data'!$AB:$AB),"Incorrect Error Code")</f>
        <v>High temp. gear bearing 1</v>
      </c>
      <c r="M464" s="35" t="s">
        <v>291</v>
      </c>
      <c r="N464" s="475"/>
      <c r="O464" s="476">
        <v>0.83958333333333335</v>
      </c>
      <c r="P464" s="476">
        <v>0.83958333333333335</v>
      </c>
      <c r="Q464" s="477">
        <v>0.85624999999999996</v>
      </c>
      <c r="R464" s="472">
        <f>IF(Table6[[#This Row],[Work Start TimeStamp]]="","",(Table6[[#This Row],[Work Start TimeStamp]]-Table6[[#This Row],[Fault Start TimeStamp]])*24)</f>
        <v>0</v>
      </c>
      <c r="S464" s="472">
        <f>(Table6[[#This Row],[Fault Clearance time]]-Table6[[#This Row],[Work Start TimeStamp]])*24</f>
        <v>0.39999999999999858</v>
      </c>
      <c r="T464" s="472">
        <f>(Table6[[#This Row],[Fault Clearance time]]-Table6[[#This Row],[Fault Start TimeStamp]])*24</f>
        <v>0.39999999999999858</v>
      </c>
      <c r="U464" s="35" t="s">
        <v>382</v>
      </c>
      <c r="V464" s="102" t="s">
        <v>293</v>
      </c>
      <c r="W464" s="478">
        <f>IFERROR(Table6[[#This Row],[Breakdown Time]]*Table6[[#This Row],[Plant Equivalent Weightage]],"")</f>
        <v>1.5384615384615325E-2</v>
      </c>
      <c r="X464" s="473" t="s">
        <v>294</v>
      </c>
      <c r="Y464" s="474" t="s">
        <v>319</v>
      </c>
      <c r="Z464" s="102">
        <v>30203</v>
      </c>
      <c r="AA464" s="468">
        <f>(Table6[[#This Row],[Paired WTG Generation for loss calculation]]/24)*Table6[[#This Row],[Breakdown Time]]</f>
        <v>503.38333333333151</v>
      </c>
      <c r="AB464" s="102"/>
      <c r="AC464" s="35"/>
      <c r="AD464" s="35"/>
    </row>
    <row r="465" spans="1:30">
      <c r="A465" s="102">
        <f t="shared" si="8"/>
        <v>464</v>
      </c>
      <c r="B465" s="468">
        <f>YEAR(Table6[[#This Row],[Date]])+IF(MONTH(Table6[[#This Row],[Date]])&gt;=4,1,0)</f>
        <v>2026</v>
      </c>
      <c r="C465" s="102">
        <f>YEAR(Table6[[#This Row],[Date]])</f>
        <v>2025</v>
      </c>
      <c r="D465" s="102" t="s">
        <v>1992</v>
      </c>
      <c r="E465" s="469">
        <f>Table6[[#This Row],[Date]]-DAY(Table6[[#This Row],[Date]])+1</f>
        <v>45748</v>
      </c>
      <c r="F465" s="470">
        <v>45776</v>
      </c>
      <c r="G465" s="35" t="s">
        <v>96</v>
      </c>
      <c r="H465" s="35" t="str">
        <f>IFERROR(_xlfn.XLOOKUP(Table6[[#This Row],[Affected WTG]],'Basic Data'!$A:$A,'Basic Data'!$B:$B),"")</f>
        <v>TQGXIIPL</v>
      </c>
      <c r="I465" s="35" t="str">
        <f>IFERROR(_xlfn.XLOOKUP(Table6[[#This Row],[Affected WTG]],'Basic Data'!$A:$A,'Basic Data'!$C:$C),"")</f>
        <v>GEDA</v>
      </c>
      <c r="J465" s="471">
        <f>IFERROR(_xlfn.XLOOKUP(Table6[[#This Row],[Affected WTG]],'Basic Data'!$A:$A,'Basic Data'!$E:$E),"")</f>
        <v>3.846153846153845E-2</v>
      </c>
      <c r="K465" s="102">
        <v>1700</v>
      </c>
      <c r="L465" s="35" t="str">
        <f>IFERROR(_xlfn.XLOOKUP(Table6[[#This Row],[Error Code]],'Basic Data'!$AA:$AA,'Basic Data'!$AB:$AB),"Incorrect Error Code")</f>
        <v>High temp. gear bearing 1</v>
      </c>
      <c r="M465" s="35" t="s">
        <v>291</v>
      </c>
      <c r="N465" s="475"/>
      <c r="O465" s="476">
        <v>0.76944444444444449</v>
      </c>
      <c r="P465" s="476">
        <v>0.76944444444444449</v>
      </c>
      <c r="Q465" s="477">
        <v>0.78611111111111109</v>
      </c>
      <c r="R465" s="472">
        <f>IF(Table6[[#This Row],[Work Start TimeStamp]]="","",(Table6[[#This Row],[Work Start TimeStamp]]-Table6[[#This Row],[Fault Start TimeStamp]])*24)</f>
        <v>0</v>
      </c>
      <c r="S465" s="472">
        <f>(Table6[[#This Row],[Fault Clearance time]]-Table6[[#This Row],[Work Start TimeStamp]])*24</f>
        <v>0.39999999999999858</v>
      </c>
      <c r="T465" s="472">
        <f>(Table6[[#This Row],[Fault Clearance time]]-Table6[[#This Row],[Fault Start TimeStamp]])*24</f>
        <v>0.39999999999999858</v>
      </c>
      <c r="U465" s="35" t="s">
        <v>382</v>
      </c>
      <c r="V465" s="102" t="s">
        <v>293</v>
      </c>
      <c r="W465" s="478">
        <f>IFERROR(Table6[[#This Row],[Breakdown Time]]*Table6[[#This Row],[Plant Equivalent Weightage]],"")</f>
        <v>1.5384615384615325E-2</v>
      </c>
      <c r="X465" s="473" t="s">
        <v>294</v>
      </c>
      <c r="Y465" s="474" t="s">
        <v>313</v>
      </c>
      <c r="Z465" s="102">
        <v>38381</v>
      </c>
      <c r="AA465" s="468">
        <f>(Table6[[#This Row],[Paired WTG Generation for loss calculation]]/24)*Table6[[#This Row],[Breakdown Time]]</f>
        <v>639.68333333333101</v>
      </c>
      <c r="AB465" s="102"/>
      <c r="AC465" s="35"/>
      <c r="AD465" s="35"/>
    </row>
    <row r="466" spans="1:30">
      <c r="A466" s="102">
        <f t="shared" si="8"/>
        <v>465</v>
      </c>
      <c r="B466" s="468">
        <f>YEAR(Table6[[#This Row],[Date]])+IF(MONTH(Table6[[#This Row],[Date]])&gt;=4,1,0)</f>
        <v>2026</v>
      </c>
      <c r="C466" s="102">
        <f>YEAR(Table6[[#This Row],[Date]])</f>
        <v>2025</v>
      </c>
      <c r="D466" s="102" t="s">
        <v>1992</v>
      </c>
      <c r="E466" s="469">
        <f>Table6[[#This Row],[Date]]-DAY(Table6[[#This Row],[Date]])+1</f>
        <v>45748</v>
      </c>
      <c r="F466" s="470">
        <v>45776</v>
      </c>
      <c r="G466" s="35" t="s">
        <v>97</v>
      </c>
      <c r="H466" s="35" t="str">
        <f>IFERROR(_xlfn.XLOOKUP(Table6[[#This Row],[Affected WTG]],'Basic Data'!$A:$A,'Basic Data'!$B:$B),"")</f>
        <v>TQGXIIPL</v>
      </c>
      <c r="I466" s="35" t="str">
        <f>IFERROR(_xlfn.XLOOKUP(Table6[[#This Row],[Affected WTG]],'Basic Data'!$A:$A,'Basic Data'!$C:$C),"")</f>
        <v>GEDA</v>
      </c>
      <c r="J466" s="471">
        <f>IFERROR(_xlfn.XLOOKUP(Table6[[#This Row],[Affected WTG]],'Basic Data'!$A:$A,'Basic Data'!$E:$E),"")</f>
        <v>3.846153846153845E-2</v>
      </c>
      <c r="K466" s="102">
        <v>6056</v>
      </c>
      <c r="L466" s="35" t="str">
        <f>IFERROR(_xlfn.XLOOKUP(Table6[[#This Row],[Error Code]],'Basic Data'!$AA:$AA,'Basic Data'!$AB:$AB),"Incorrect Error Code")</f>
        <v>High yaw load</v>
      </c>
      <c r="M466" s="35" t="s">
        <v>291</v>
      </c>
      <c r="N466" s="475"/>
      <c r="O466" s="476">
        <v>0.5708333333333333</v>
      </c>
      <c r="P466" s="476">
        <v>0.5708333333333333</v>
      </c>
      <c r="Q466" s="477">
        <v>0.57291666666666663</v>
      </c>
      <c r="R466" s="472">
        <f>IF(Table6[[#This Row],[Work Start TimeStamp]]="","",(Table6[[#This Row],[Work Start TimeStamp]]-Table6[[#This Row],[Fault Start TimeStamp]])*24)</f>
        <v>0</v>
      </c>
      <c r="S466" s="472">
        <f>(Table6[[#This Row],[Fault Clearance time]]-Table6[[#This Row],[Work Start TimeStamp]])*24</f>
        <v>4.9999999999999822E-2</v>
      </c>
      <c r="T466" s="472">
        <f>(Table6[[#This Row],[Fault Clearance time]]-Table6[[#This Row],[Fault Start TimeStamp]])*24</f>
        <v>4.9999999999999822E-2</v>
      </c>
      <c r="U466" s="35" t="s">
        <v>349</v>
      </c>
      <c r="V466" s="102" t="s">
        <v>293</v>
      </c>
      <c r="W466" s="478">
        <f>IFERROR(Table6[[#This Row],[Breakdown Time]]*Table6[[#This Row],[Plant Equivalent Weightage]],"")</f>
        <v>1.9230769230769156E-3</v>
      </c>
      <c r="X466" s="473" t="s">
        <v>294</v>
      </c>
      <c r="Y466" s="474" t="s">
        <v>320</v>
      </c>
      <c r="Z466" s="102">
        <v>41925</v>
      </c>
      <c r="AA466" s="468">
        <f>(Table6[[#This Row],[Paired WTG Generation for loss calculation]]/24)*Table6[[#This Row],[Breakdown Time]]</f>
        <v>87.343749999999687</v>
      </c>
      <c r="AB466" s="102"/>
      <c r="AC466" s="35"/>
      <c r="AD466" s="35"/>
    </row>
    <row r="467" spans="1:30">
      <c r="A467" s="102">
        <f t="shared" si="8"/>
        <v>466</v>
      </c>
      <c r="B467" s="468">
        <f>YEAR(Table6[[#This Row],[Date]])+IF(MONTH(Table6[[#This Row],[Date]])&gt;=4,1,0)</f>
        <v>2026</v>
      </c>
      <c r="C467" s="102">
        <f>YEAR(Table6[[#This Row],[Date]])</f>
        <v>2025</v>
      </c>
      <c r="D467" s="102" t="s">
        <v>1992</v>
      </c>
      <c r="E467" s="469">
        <f>Table6[[#This Row],[Date]]-DAY(Table6[[#This Row],[Date]])+1</f>
        <v>45748</v>
      </c>
      <c r="F467" s="470">
        <v>45776</v>
      </c>
      <c r="G467" s="35" t="s">
        <v>98</v>
      </c>
      <c r="H467" s="35" t="str">
        <f>IFERROR(_xlfn.XLOOKUP(Table6[[#This Row],[Affected WTG]],'Basic Data'!$A:$A,'Basic Data'!$B:$B),"")</f>
        <v>TQGXIIPL</v>
      </c>
      <c r="I467" s="35" t="str">
        <f>IFERROR(_xlfn.XLOOKUP(Table6[[#This Row],[Affected WTG]],'Basic Data'!$A:$A,'Basic Data'!$C:$C),"")</f>
        <v>GEDA</v>
      </c>
      <c r="J467" s="471">
        <f>IFERROR(_xlfn.XLOOKUP(Table6[[#This Row],[Affected WTG]],'Basic Data'!$A:$A,'Basic Data'!$E:$E),"")</f>
        <v>3.846153846153845E-2</v>
      </c>
      <c r="K467" s="102">
        <v>55</v>
      </c>
      <c r="L467" s="35" t="str">
        <f>IFERROR(_xlfn.XLOOKUP(Table6[[#This Row],[Error Code]],'Basic Data'!$AA:$AA,'Basic Data'!$AB:$AB),"Incorrect Error Code")</f>
        <v>WTG shut down</v>
      </c>
      <c r="M467" s="35" t="s">
        <v>330</v>
      </c>
      <c r="N467" s="475"/>
      <c r="O467" s="476">
        <v>0.75694444444444442</v>
      </c>
      <c r="P467" s="476">
        <v>0.75694444444444442</v>
      </c>
      <c r="Q467" s="477">
        <v>1</v>
      </c>
      <c r="R467" s="472">
        <f>IF(Table6[[#This Row],[Work Start TimeStamp]]="","",(Table6[[#This Row],[Work Start TimeStamp]]-Table6[[#This Row],[Fault Start TimeStamp]])*24)</f>
        <v>0</v>
      </c>
      <c r="S467" s="472">
        <f>(Table6[[#This Row],[Fault Clearance time]]-Table6[[#This Row],[Work Start TimeStamp]])*24</f>
        <v>5.8333333333333339</v>
      </c>
      <c r="T467" s="472">
        <f>(Table6[[#This Row],[Fault Clearance time]]-Table6[[#This Row],[Fault Start TimeStamp]])*24</f>
        <v>5.8333333333333339</v>
      </c>
      <c r="U467" s="35" t="s">
        <v>1737</v>
      </c>
      <c r="V467" s="102" t="s">
        <v>293</v>
      </c>
      <c r="W467" s="478">
        <f>IFERROR(Table6[[#This Row],[Breakdown Time]]*Table6[[#This Row],[Plant Equivalent Weightage]],"")</f>
        <v>0.22435897435897431</v>
      </c>
      <c r="X467" s="473" t="s">
        <v>290</v>
      </c>
      <c r="Y467" s="474" t="s">
        <v>315</v>
      </c>
      <c r="Z467" s="102">
        <v>39002</v>
      </c>
      <c r="AA467" s="468">
        <f>(Table6[[#This Row],[Paired WTG Generation for loss calculation]]/24)*Table6[[#This Row],[Breakdown Time]]</f>
        <v>9479.6527777777792</v>
      </c>
      <c r="AB467" s="102"/>
      <c r="AC467" s="35"/>
      <c r="AD467" s="35"/>
    </row>
    <row r="468" spans="1:30">
      <c r="A468" s="102">
        <f t="shared" si="8"/>
        <v>467</v>
      </c>
      <c r="B468" s="468">
        <f>YEAR(Table6[[#This Row],[Date]])+IF(MONTH(Table6[[#This Row],[Date]])&gt;=4,1,0)</f>
        <v>2026</v>
      </c>
      <c r="C468" s="102">
        <f>YEAR(Table6[[#This Row],[Date]])</f>
        <v>2025</v>
      </c>
      <c r="D468" s="102" t="s">
        <v>1992</v>
      </c>
      <c r="E468" s="469">
        <f>Table6[[#This Row],[Date]]-DAY(Table6[[#This Row],[Date]])+1</f>
        <v>45748</v>
      </c>
      <c r="F468" s="470">
        <v>45776</v>
      </c>
      <c r="G468" s="35" t="s">
        <v>99</v>
      </c>
      <c r="H468" s="35" t="str">
        <f>IFERROR(_xlfn.XLOOKUP(Table6[[#This Row],[Affected WTG]],'Basic Data'!$A:$A,'Basic Data'!$B:$B),"")</f>
        <v>TQGXIIPL</v>
      </c>
      <c r="I468" s="35" t="str">
        <f>IFERROR(_xlfn.XLOOKUP(Table6[[#This Row],[Affected WTG]],'Basic Data'!$A:$A,'Basic Data'!$C:$C),"")</f>
        <v>GEDA</v>
      </c>
      <c r="J468" s="471">
        <f>IFERROR(_xlfn.XLOOKUP(Table6[[#This Row],[Affected WTG]],'Basic Data'!$A:$A,'Basic Data'!$E:$E),"")</f>
        <v>3.846153846153845E-2</v>
      </c>
      <c r="K468" s="102">
        <v>5700</v>
      </c>
      <c r="L468" s="35" t="str">
        <f>IFERROR(_xlfn.XLOOKUP(Table6[[#This Row],[Error Code]],'Basic Data'!$AA:$AA,'Basic Data'!$AB:$AB),"Incorrect Error Code")</f>
        <v>Max. operation time hydraulic</v>
      </c>
      <c r="M468" s="35" t="s">
        <v>291</v>
      </c>
      <c r="N468" s="475"/>
      <c r="O468" s="476">
        <v>0.65138888888888891</v>
      </c>
      <c r="P468" s="476">
        <v>0.65138888888888891</v>
      </c>
      <c r="Q468" s="477">
        <v>0.66736111111111107</v>
      </c>
      <c r="R468" s="472">
        <f>IF(Table6[[#This Row],[Work Start TimeStamp]]="","",(Table6[[#This Row],[Work Start TimeStamp]]-Table6[[#This Row],[Fault Start TimeStamp]])*24)</f>
        <v>0</v>
      </c>
      <c r="S468" s="472">
        <f>(Table6[[#This Row],[Fault Clearance time]]-Table6[[#This Row],[Work Start TimeStamp]])*24</f>
        <v>0.38333333333333197</v>
      </c>
      <c r="T468" s="472">
        <f>(Table6[[#This Row],[Fault Clearance time]]-Table6[[#This Row],[Fault Start TimeStamp]])*24</f>
        <v>0.38333333333333197</v>
      </c>
      <c r="U468" s="35" t="s">
        <v>396</v>
      </c>
      <c r="V468" s="102" t="s">
        <v>293</v>
      </c>
      <c r="W468" s="478">
        <f>IFERROR(Table6[[#This Row],[Breakdown Time]]*Table6[[#This Row],[Plant Equivalent Weightage]],"")</f>
        <v>1.4743589743589686E-2</v>
      </c>
      <c r="X468" s="473" t="s">
        <v>294</v>
      </c>
      <c r="Y468" s="474" t="s">
        <v>315</v>
      </c>
      <c r="Z468" s="102">
        <v>39002</v>
      </c>
      <c r="AA468" s="468">
        <f>(Table6[[#This Row],[Paired WTG Generation for loss calculation]]/24)*Table6[[#This Row],[Breakdown Time]]</f>
        <v>622.9486111111089</v>
      </c>
      <c r="AB468" s="102"/>
      <c r="AC468" s="35"/>
      <c r="AD468" s="35"/>
    </row>
    <row r="469" spans="1:30">
      <c r="A469" s="102">
        <f t="shared" si="8"/>
        <v>468</v>
      </c>
      <c r="B469" s="468">
        <f>YEAR(Table6[[#This Row],[Date]])+IF(MONTH(Table6[[#This Row],[Date]])&gt;=4,1,0)</f>
        <v>2026</v>
      </c>
      <c r="C469" s="102">
        <f>YEAR(Table6[[#This Row],[Date]])</f>
        <v>2025</v>
      </c>
      <c r="D469" s="102" t="s">
        <v>1992</v>
      </c>
      <c r="E469" s="469">
        <f>Table6[[#This Row],[Date]]-DAY(Table6[[#This Row],[Date]])+1</f>
        <v>45748</v>
      </c>
      <c r="F469" s="470">
        <v>45776</v>
      </c>
      <c r="G469" s="35" t="s">
        <v>99</v>
      </c>
      <c r="H469" s="35" t="str">
        <f>IFERROR(_xlfn.XLOOKUP(Table6[[#This Row],[Affected WTG]],'Basic Data'!$A:$A,'Basic Data'!$B:$B),"")</f>
        <v>TQGXIIPL</v>
      </c>
      <c r="I469" s="35" t="str">
        <f>IFERROR(_xlfn.XLOOKUP(Table6[[#This Row],[Affected WTG]],'Basic Data'!$A:$A,'Basic Data'!$C:$C),"")</f>
        <v>GEDA</v>
      </c>
      <c r="J469" s="471">
        <f>IFERROR(_xlfn.XLOOKUP(Table6[[#This Row],[Affected WTG]],'Basic Data'!$A:$A,'Basic Data'!$E:$E),"")</f>
        <v>3.846153846153845E-2</v>
      </c>
      <c r="K469" s="102">
        <v>6130</v>
      </c>
      <c r="L469" s="35" t="str">
        <f>IFERROR(_xlfn.XLOOKUP(Table6[[#This Row],[Error Code]],'Basic Data'!$AA:$AA,'Basic Data'!$AB:$AB),"Incorrect Error Code")</f>
        <v>Yaw speed high</v>
      </c>
      <c r="M469" s="35" t="s">
        <v>292</v>
      </c>
      <c r="N469" s="475"/>
      <c r="O469" s="476">
        <v>0.67500000000000004</v>
      </c>
      <c r="P469" s="476">
        <v>0.67500000000000004</v>
      </c>
      <c r="Q469" s="477">
        <v>0.6791666666666667</v>
      </c>
      <c r="R469" s="472">
        <f>IF(Table6[[#This Row],[Work Start TimeStamp]]="","",(Table6[[#This Row],[Work Start TimeStamp]]-Table6[[#This Row],[Fault Start TimeStamp]])*24)</f>
        <v>0</v>
      </c>
      <c r="S469" s="472">
        <f>(Table6[[#This Row],[Fault Clearance time]]-Table6[[#This Row],[Work Start TimeStamp]])*24</f>
        <v>9.9999999999999645E-2</v>
      </c>
      <c r="T469" s="472">
        <f>(Table6[[#This Row],[Fault Clearance time]]-Table6[[#This Row],[Fault Start TimeStamp]])*24</f>
        <v>9.9999999999999645E-2</v>
      </c>
      <c r="U469" s="35" t="s">
        <v>336</v>
      </c>
      <c r="V469" s="102" t="s">
        <v>293</v>
      </c>
      <c r="W469" s="478">
        <f>IFERROR(Table6[[#This Row],[Breakdown Time]]*Table6[[#This Row],[Plant Equivalent Weightage]],"")</f>
        <v>3.8461538461538312E-3</v>
      </c>
      <c r="X469" s="473" t="s">
        <v>294</v>
      </c>
      <c r="Y469" s="474" t="s">
        <v>315</v>
      </c>
      <c r="Z469" s="102">
        <v>39002</v>
      </c>
      <c r="AA469" s="468">
        <f>(Table6[[#This Row],[Paired WTG Generation for loss calculation]]/24)*Table6[[#This Row],[Breakdown Time]]</f>
        <v>162.50833333333276</v>
      </c>
      <c r="AB469" s="102"/>
      <c r="AC469" s="35"/>
      <c r="AD469" s="35"/>
    </row>
    <row r="470" spans="1:30">
      <c r="A470" s="102">
        <f t="shared" si="8"/>
        <v>469</v>
      </c>
      <c r="B470" s="468">
        <f>YEAR(Table6[[#This Row],[Date]])+IF(MONTH(Table6[[#This Row],[Date]])&gt;=4,1,0)</f>
        <v>2026</v>
      </c>
      <c r="C470" s="102">
        <f>YEAR(Table6[[#This Row],[Date]])</f>
        <v>2025</v>
      </c>
      <c r="D470" s="102" t="s">
        <v>1992</v>
      </c>
      <c r="E470" s="469">
        <f>Table6[[#This Row],[Date]]-DAY(Table6[[#This Row],[Date]])+1</f>
        <v>45748</v>
      </c>
      <c r="F470" s="470">
        <v>45777</v>
      </c>
      <c r="G470" s="35" t="s">
        <v>74</v>
      </c>
      <c r="H470" s="35" t="str">
        <f>IFERROR(_xlfn.XLOOKUP(Table6[[#This Row],[Affected WTG]],'Basic Data'!$A:$A,'Basic Data'!$B:$B),"")</f>
        <v>TQGXIIPL</v>
      </c>
      <c r="I470" s="35" t="str">
        <f>IFERROR(_xlfn.XLOOKUP(Table6[[#This Row],[Affected WTG]],'Basic Data'!$A:$A,'Basic Data'!$C:$C),"")</f>
        <v>GEDA</v>
      </c>
      <c r="J470" s="471">
        <f>IFERROR(_xlfn.XLOOKUP(Table6[[#This Row],[Affected WTG]],'Basic Data'!$A:$A,'Basic Data'!$E:$E),"")</f>
        <v>3.846153846153845E-2</v>
      </c>
      <c r="K470" s="102">
        <v>159</v>
      </c>
      <c r="L470" s="35" t="str">
        <f>IFERROR(_xlfn.XLOOKUP(Table6[[#This Row],[Error Code]],'Basic Data'!$AA:$AA,'Basic Data'!$AB:$AB),"Incorrect Error Code")</f>
        <v>SLC SF emergency stop</v>
      </c>
      <c r="M470" s="35" t="s">
        <v>291</v>
      </c>
      <c r="N470" s="475"/>
      <c r="O470" s="476">
        <v>0</v>
      </c>
      <c r="P470" s="476">
        <v>0</v>
      </c>
      <c r="Q470" s="477">
        <v>0.1111111111111111</v>
      </c>
      <c r="R470" s="472">
        <f>IF(Table6[[#This Row],[Work Start TimeStamp]]="","",(Table6[[#This Row],[Work Start TimeStamp]]-Table6[[#This Row],[Fault Start TimeStamp]])*24)</f>
        <v>0</v>
      </c>
      <c r="S470" s="472">
        <f>(Table6[[#This Row],[Fault Clearance time]]-Table6[[#This Row],[Work Start TimeStamp]])*24</f>
        <v>2.6666666666666665</v>
      </c>
      <c r="T470" s="472">
        <f>(Table6[[#This Row],[Fault Clearance time]]-Table6[[#This Row],[Fault Start TimeStamp]])*24</f>
        <v>2.6666666666666665</v>
      </c>
      <c r="U470" s="35" t="s">
        <v>1742</v>
      </c>
      <c r="V470" s="102" t="s">
        <v>293</v>
      </c>
      <c r="W470" s="478">
        <f>IFERROR(Table6[[#This Row],[Breakdown Time]]*Table6[[#This Row],[Plant Equivalent Weightage]],"")</f>
        <v>0.10256410256410253</v>
      </c>
      <c r="X470" s="473" t="s">
        <v>294</v>
      </c>
      <c r="Y470" s="474" t="s">
        <v>321</v>
      </c>
      <c r="Z470" s="102">
        <v>38333</v>
      </c>
      <c r="AA470" s="468">
        <f>(Table6[[#This Row],[Paired WTG Generation for loss calculation]]/24)*Table6[[#This Row],[Breakdown Time]]</f>
        <v>4259.2222222222217</v>
      </c>
      <c r="AB470" s="102"/>
      <c r="AC470" s="35"/>
      <c r="AD470" s="35"/>
    </row>
    <row r="471" spans="1:30">
      <c r="A471" s="102">
        <f t="shared" si="8"/>
        <v>470</v>
      </c>
      <c r="B471" s="468">
        <f>YEAR(Table6[[#This Row],[Date]])+IF(MONTH(Table6[[#This Row],[Date]])&gt;=4,1,0)</f>
        <v>2026</v>
      </c>
      <c r="C471" s="102">
        <f>YEAR(Table6[[#This Row],[Date]])</f>
        <v>2025</v>
      </c>
      <c r="D471" s="102" t="s">
        <v>1992</v>
      </c>
      <c r="E471" s="469">
        <f>Table6[[#This Row],[Date]]-DAY(Table6[[#This Row],[Date]])+1</f>
        <v>45748</v>
      </c>
      <c r="F471" s="470">
        <v>45777</v>
      </c>
      <c r="G471" s="35" t="s">
        <v>74</v>
      </c>
      <c r="H471" s="35" t="str">
        <f>IFERROR(_xlfn.XLOOKUP(Table6[[#This Row],[Affected WTG]],'Basic Data'!$A:$A,'Basic Data'!$B:$B),"")</f>
        <v>TQGXIIPL</v>
      </c>
      <c r="I471" s="35" t="str">
        <f>IFERROR(_xlfn.XLOOKUP(Table6[[#This Row],[Affected WTG]],'Basic Data'!$A:$A,'Basic Data'!$C:$C),"")</f>
        <v>GEDA</v>
      </c>
      <c r="J471" s="471">
        <f>IFERROR(_xlfn.XLOOKUP(Table6[[#This Row],[Affected WTG]],'Basic Data'!$A:$A,'Basic Data'!$E:$E),"")</f>
        <v>3.846153846153845E-2</v>
      </c>
      <c r="K471" s="102">
        <v>159</v>
      </c>
      <c r="L471" s="35" t="str">
        <f>IFERROR(_xlfn.XLOOKUP(Table6[[#This Row],[Error Code]],'Basic Data'!$AA:$AA,'Basic Data'!$AB:$AB),"Incorrect Error Code")</f>
        <v>SLC SF emergency stop</v>
      </c>
      <c r="M471" s="35" t="s">
        <v>291</v>
      </c>
      <c r="N471" s="475"/>
      <c r="O471" s="476">
        <v>0.14583333333333334</v>
      </c>
      <c r="P471" s="476">
        <v>0.14583333333333334</v>
      </c>
      <c r="Q471" s="477">
        <v>0.1875</v>
      </c>
      <c r="R471" s="472">
        <f>IF(Table6[[#This Row],[Work Start TimeStamp]]="","",(Table6[[#This Row],[Work Start TimeStamp]]-Table6[[#This Row],[Fault Start TimeStamp]])*24)</f>
        <v>0</v>
      </c>
      <c r="S471" s="472">
        <f>(Table6[[#This Row],[Fault Clearance time]]-Table6[[#This Row],[Work Start TimeStamp]])*24</f>
        <v>0.99999999999999978</v>
      </c>
      <c r="T471" s="472">
        <f>(Table6[[#This Row],[Fault Clearance time]]-Table6[[#This Row],[Fault Start TimeStamp]])*24</f>
        <v>0.99999999999999978</v>
      </c>
      <c r="U471" s="35" t="s">
        <v>1742</v>
      </c>
      <c r="V471" s="102" t="s">
        <v>293</v>
      </c>
      <c r="W471" s="478">
        <f>IFERROR(Table6[[#This Row],[Breakdown Time]]*Table6[[#This Row],[Plant Equivalent Weightage]],"")</f>
        <v>3.8461538461538443E-2</v>
      </c>
      <c r="X471" s="473" t="s">
        <v>294</v>
      </c>
      <c r="Y471" s="474" t="s">
        <v>321</v>
      </c>
      <c r="Z471" s="102">
        <v>38333</v>
      </c>
      <c r="AA471" s="468">
        <f>(Table6[[#This Row],[Paired WTG Generation for loss calculation]]/24)*Table6[[#This Row],[Breakdown Time]]</f>
        <v>1597.2083333333328</v>
      </c>
      <c r="AB471" s="102"/>
      <c r="AC471" s="35"/>
      <c r="AD471" s="35"/>
    </row>
    <row r="472" spans="1:30">
      <c r="A472" s="102">
        <f t="shared" si="8"/>
        <v>471</v>
      </c>
      <c r="B472" s="468">
        <f>YEAR(Table6[[#This Row],[Date]])+IF(MONTH(Table6[[#This Row],[Date]])&gt;=4,1,0)</f>
        <v>2026</v>
      </c>
      <c r="C472" s="102">
        <f>YEAR(Table6[[#This Row],[Date]])</f>
        <v>2025</v>
      </c>
      <c r="D472" s="102" t="s">
        <v>1992</v>
      </c>
      <c r="E472" s="469">
        <f>Table6[[#This Row],[Date]]-DAY(Table6[[#This Row],[Date]])+1</f>
        <v>45748</v>
      </c>
      <c r="F472" s="470">
        <v>45777</v>
      </c>
      <c r="G472" s="35" t="s">
        <v>74</v>
      </c>
      <c r="H472" s="35" t="str">
        <f>IFERROR(_xlfn.XLOOKUP(Table6[[#This Row],[Affected WTG]],'Basic Data'!$A:$A,'Basic Data'!$B:$B),"")</f>
        <v>TQGXIIPL</v>
      </c>
      <c r="I472" s="35" t="str">
        <f>IFERROR(_xlfn.XLOOKUP(Table6[[#This Row],[Affected WTG]],'Basic Data'!$A:$A,'Basic Data'!$C:$C),"")</f>
        <v>GEDA</v>
      </c>
      <c r="J472" s="471">
        <f>IFERROR(_xlfn.XLOOKUP(Table6[[#This Row],[Affected WTG]],'Basic Data'!$A:$A,'Basic Data'!$E:$E),"")</f>
        <v>3.846153846153845E-2</v>
      </c>
      <c r="K472" s="102">
        <v>55</v>
      </c>
      <c r="L472" s="35" t="str">
        <f>IFERROR(_xlfn.XLOOKUP(Table6[[#This Row],[Error Code]],'Basic Data'!$AA:$AA,'Basic Data'!$AB:$AB),"Incorrect Error Code")</f>
        <v>WTG shut down</v>
      </c>
      <c r="M472" s="35" t="s">
        <v>330</v>
      </c>
      <c r="N472" s="475"/>
      <c r="O472" s="476">
        <v>0.9</v>
      </c>
      <c r="P472" s="476">
        <v>0.9</v>
      </c>
      <c r="Q472" s="477">
        <v>0.95138888888888884</v>
      </c>
      <c r="R472" s="472">
        <f>IF(Table6[[#This Row],[Work Start TimeStamp]]="","",(Table6[[#This Row],[Work Start TimeStamp]]-Table6[[#This Row],[Fault Start TimeStamp]])*24)</f>
        <v>0</v>
      </c>
      <c r="S472" s="472">
        <f>(Table6[[#This Row],[Fault Clearance time]]-Table6[[#This Row],[Work Start TimeStamp]])*24</f>
        <v>1.2333333333333316</v>
      </c>
      <c r="T472" s="472">
        <f>(Table6[[#This Row],[Fault Clearance time]]-Table6[[#This Row],[Fault Start TimeStamp]])*24</f>
        <v>1.2333333333333316</v>
      </c>
      <c r="U472" s="35" t="s">
        <v>1744</v>
      </c>
      <c r="V472" s="102" t="s">
        <v>293</v>
      </c>
      <c r="W472" s="478">
        <f>IFERROR(Table6[[#This Row],[Breakdown Time]]*Table6[[#This Row],[Plant Equivalent Weightage]],"")</f>
        <v>4.7435897435897358E-2</v>
      </c>
      <c r="X472" s="473" t="s">
        <v>290</v>
      </c>
      <c r="Y472" s="474" t="s">
        <v>321</v>
      </c>
      <c r="Z472" s="102">
        <v>38333</v>
      </c>
      <c r="AA472" s="468">
        <f>(Table6[[#This Row],[Paired WTG Generation for loss calculation]]/24)*Table6[[#This Row],[Breakdown Time]]</f>
        <v>1969.8902777777751</v>
      </c>
      <c r="AB472" s="102"/>
      <c r="AC472" s="35"/>
      <c r="AD472" s="35"/>
    </row>
    <row r="473" spans="1:30">
      <c r="A473" s="102">
        <f t="shared" si="8"/>
        <v>472</v>
      </c>
      <c r="B473" s="468">
        <f>YEAR(Table6[[#This Row],[Date]])+IF(MONTH(Table6[[#This Row],[Date]])&gt;=4,1,0)</f>
        <v>2026</v>
      </c>
      <c r="C473" s="102">
        <f>YEAR(Table6[[#This Row],[Date]])</f>
        <v>2025</v>
      </c>
      <c r="D473" s="102" t="s">
        <v>1992</v>
      </c>
      <c r="E473" s="469">
        <f>Table6[[#This Row],[Date]]-DAY(Table6[[#This Row],[Date]])+1</f>
        <v>45748</v>
      </c>
      <c r="F473" s="470">
        <v>45777</v>
      </c>
      <c r="G473" s="35" t="s">
        <v>75</v>
      </c>
      <c r="H473" s="35" t="str">
        <f>IFERROR(_xlfn.XLOOKUP(Table6[[#This Row],[Affected WTG]],'Basic Data'!$A:$A,'Basic Data'!$B:$B),"")</f>
        <v>TQGXIIPL</v>
      </c>
      <c r="I473" s="35" t="str">
        <f>IFERROR(_xlfn.XLOOKUP(Table6[[#This Row],[Affected WTG]],'Basic Data'!$A:$A,'Basic Data'!$C:$C),"")</f>
        <v>GEDA</v>
      </c>
      <c r="J473" s="471">
        <f>IFERROR(_xlfn.XLOOKUP(Table6[[#This Row],[Affected WTG]],'Basic Data'!$A:$A,'Basic Data'!$E:$E),"")</f>
        <v>3.846153846153845E-2</v>
      </c>
      <c r="K473" s="102">
        <v>6605</v>
      </c>
      <c r="L473" s="35" t="str">
        <f>IFERROR(_xlfn.XLOOKUP(Table6[[#This Row],[Error Code]],'Basic Data'!$AA:$AA,'Basic Data'!$AB:$AB),"Incorrect Error Code")</f>
        <v>Wind.dir. diff. level 2</v>
      </c>
      <c r="M473" s="35" t="s">
        <v>291</v>
      </c>
      <c r="N473" s="475"/>
      <c r="O473" s="476">
        <v>0.57499999999999996</v>
      </c>
      <c r="P473" s="476">
        <v>0.57499999999999996</v>
      </c>
      <c r="Q473" s="477">
        <v>0.57638888888888884</v>
      </c>
      <c r="R473" s="472">
        <f>IF(Table6[[#This Row],[Work Start TimeStamp]]="","",(Table6[[#This Row],[Work Start TimeStamp]]-Table6[[#This Row],[Fault Start TimeStamp]])*24)</f>
        <v>0</v>
      </c>
      <c r="S473" s="472">
        <f>(Table6[[#This Row],[Fault Clearance time]]-Table6[[#This Row],[Work Start TimeStamp]])*24</f>
        <v>3.3333333333333215E-2</v>
      </c>
      <c r="T473" s="472">
        <f>(Table6[[#This Row],[Fault Clearance time]]-Table6[[#This Row],[Fault Start TimeStamp]])*24</f>
        <v>3.3333333333333215E-2</v>
      </c>
      <c r="U473" s="35" t="s">
        <v>349</v>
      </c>
      <c r="V473" s="102" t="s">
        <v>293</v>
      </c>
      <c r="W473" s="478">
        <f>IFERROR(Table6[[#This Row],[Breakdown Time]]*Table6[[#This Row],[Plant Equivalent Weightage]],"")</f>
        <v>1.2820512820512771E-3</v>
      </c>
      <c r="X473" s="473" t="s">
        <v>294</v>
      </c>
      <c r="Y473" s="474" t="s">
        <v>318</v>
      </c>
      <c r="Z473" s="102">
        <v>37428</v>
      </c>
      <c r="AA473" s="468">
        <f>(Table6[[#This Row],[Paired WTG Generation for loss calculation]]/24)*Table6[[#This Row],[Breakdown Time]]</f>
        <v>51.98333333333315</v>
      </c>
      <c r="AB473" s="102"/>
      <c r="AC473" s="35"/>
      <c r="AD473" s="35"/>
    </row>
    <row r="474" spans="1:30">
      <c r="A474" s="102">
        <f t="shared" si="8"/>
        <v>473</v>
      </c>
      <c r="B474" s="468">
        <f>YEAR(Table6[[#This Row],[Date]])+IF(MONTH(Table6[[#This Row],[Date]])&gt;=4,1,0)</f>
        <v>2026</v>
      </c>
      <c r="C474" s="102">
        <f>YEAR(Table6[[#This Row],[Date]])</f>
        <v>2025</v>
      </c>
      <c r="D474" s="102" t="s">
        <v>1992</v>
      </c>
      <c r="E474" s="469">
        <f>Table6[[#This Row],[Date]]-DAY(Table6[[#This Row],[Date]])+1</f>
        <v>45748</v>
      </c>
      <c r="F474" s="470">
        <v>45777</v>
      </c>
      <c r="G474" s="35" t="s">
        <v>77</v>
      </c>
      <c r="H474" s="35" t="str">
        <f>IFERROR(_xlfn.XLOOKUP(Table6[[#This Row],[Affected WTG]],'Basic Data'!$A:$A,'Basic Data'!$B:$B),"")</f>
        <v>TQGXIIPL</v>
      </c>
      <c r="I474" s="35" t="str">
        <f>IFERROR(_xlfn.XLOOKUP(Table6[[#This Row],[Affected WTG]],'Basic Data'!$A:$A,'Basic Data'!$C:$C),"")</f>
        <v>GEDA</v>
      </c>
      <c r="J474" s="471">
        <f>IFERROR(_xlfn.XLOOKUP(Table6[[#This Row],[Affected WTG]],'Basic Data'!$A:$A,'Basic Data'!$E:$E),"")</f>
        <v>3.846153846153845E-2</v>
      </c>
      <c r="K474" s="102">
        <v>6130</v>
      </c>
      <c r="L474" s="35" t="str">
        <f>IFERROR(_xlfn.XLOOKUP(Table6[[#This Row],[Error Code]],'Basic Data'!$AA:$AA,'Basic Data'!$AB:$AB),"Incorrect Error Code")</f>
        <v>Yaw speed high</v>
      </c>
      <c r="M474" s="35" t="s">
        <v>292</v>
      </c>
      <c r="N474" s="475"/>
      <c r="O474" s="476">
        <v>0.34861111111111109</v>
      </c>
      <c r="P474" s="476">
        <v>0.34861111111111109</v>
      </c>
      <c r="Q474" s="477">
        <v>0.3527777777777778</v>
      </c>
      <c r="R474" s="472">
        <f>IF(Table6[[#This Row],[Work Start TimeStamp]]="","",(Table6[[#This Row],[Work Start TimeStamp]]-Table6[[#This Row],[Fault Start TimeStamp]])*24)</f>
        <v>0</v>
      </c>
      <c r="S474" s="472">
        <f>(Table6[[#This Row],[Fault Clearance time]]-Table6[[#This Row],[Work Start TimeStamp]])*24</f>
        <v>0.10000000000000098</v>
      </c>
      <c r="T474" s="472">
        <f>(Table6[[#This Row],[Fault Clearance time]]-Table6[[#This Row],[Fault Start TimeStamp]])*24</f>
        <v>0.10000000000000098</v>
      </c>
      <c r="U474" s="35" t="s">
        <v>336</v>
      </c>
      <c r="V474" s="102" t="s">
        <v>293</v>
      </c>
      <c r="W474" s="478">
        <f>IFERROR(Table6[[#This Row],[Breakdown Time]]*Table6[[#This Row],[Plant Equivalent Weightage]],"")</f>
        <v>3.8461538461538824E-3</v>
      </c>
      <c r="X474" s="473" t="s">
        <v>294</v>
      </c>
      <c r="Y474" s="474" t="s">
        <v>310</v>
      </c>
      <c r="Z474" s="102">
        <v>43595</v>
      </c>
      <c r="AA474" s="468">
        <f>(Table6[[#This Row],[Paired WTG Generation for loss calculation]]/24)*Table6[[#This Row],[Breakdown Time]]</f>
        <v>181.6458333333351</v>
      </c>
      <c r="AB474" s="102"/>
      <c r="AC474" s="35"/>
      <c r="AD474" s="35"/>
    </row>
    <row r="475" spans="1:30">
      <c r="A475" s="102">
        <f t="shared" si="8"/>
        <v>474</v>
      </c>
      <c r="B475" s="468">
        <f>YEAR(Table6[[#This Row],[Date]])+IF(MONTH(Table6[[#This Row],[Date]])&gt;=4,1,0)</f>
        <v>2026</v>
      </c>
      <c r="C475" s="102">
        <f>YEAR(Table6[[#This Row],[Date]])</f>
        <v>2025</v>
      </c>
      <c r="D475" s="102" t="s">
        <v>1992</v>
      </c>
      <c r="E475" s="469">
        <f>Table6[[#This Row],[Date]]-DAY(Table6[[#This Row],[Date]])+1</f>
        <v>45748</v>
      </c>
      <c r="F475" s="470">
        <v>45777</v>
      </c>
      <c r="G475" s="35" t="s">
        <v>77</v>
      </c>
      <c r="H475" s="35" t="str">
        <f>IFERROR(_xlfn.XLOOKUP(Table6[[#This Row],[Affected WTG]],'Basic Data'!$A:$A,'Basic Data'!$B:$B),"")</f>
        <v>TQGXIIPL</v>
      </c>
      <c r="I475" s="35" t="str">
        <f>IFERROR(_xlfn.XLOOKUP(Table6[[#This Row],[Affected WTG]],'Basic Data'!$A:$A,'Basic Data'!$C:$C),"")</f>
        <v>GEDA</v>
      </c>
      <c r="J475" s="471">
        <f>IFERROR(_xlfn.XLOOKUP(Table6[[#This Row],[Affected WTG]],'Basic Data'!$A:$A,'Basic Data'!$E:$E),"")</f>
        <v>3.846153846153845E-2</v>
      </c>
      <c r="K475" s="102">
        <v>6130</v>
      </c>
      <c r="L475" s="35" t="str">
        <f>IFERROR(_xlfn.XLOOKUP(Table6[[#This Row],[Error Code]],'Basic Data'!$AA:$AA,'Basic Data'!$AB:$AB),"Incorrect Error Code")</f>
        <v>Yaw speed high</v>
      </c>
      <c r="M475" s="35" t="s">
        <v>291</v>
      </c>
      <c r="N475" s="475"/>
      <c r="O475" s="476">
        <v>0.38124999999999998</v>
      </c>
      <c r="P475" s="476">
        <v>0.38124999999999998</v>
      </c>
      <c r="Q475" s="477">
        <v>0.38263888888888886</v>
      </c>
      <c r="R475" s="472">
        <f>IF(Table6[[#This Row],[Work Start TimeStamp]]="","",(Table6[[#This Row],[Work Start TimeStamp]]-Table6[[#This Row],[Fault Start TimeStamp]])*24)</f>
        <v>0</v>
      </c>
      <c r="S475" s="472">
        <f>(Table6[[#This Row],[Fault Clearance time]]-Table6[[#This Row],[Work Start TimeStamp]])*24</f>
        <v>3.3333333333333215E-2</v>
      </c>
      <c r="T475" s="472">
        <f>(Table6[[#This Row],[Fault Clearance time]]-Table6[[#This Row],[Fault Start TimeStamp]])*24</f>
        <v>3.3333333333333215E-2</v>
      </c>
      <c r="U475" s="35" t="s">
        <v>349</v>
      </c>
      <c r="V475" s="102" t="s">
        <v>293</v>
      </c>
      <c r="W475" s="478">
        <f>IFERROR(Table6[[#This Row],[Breakdown Time]]*Table6[[#This Row],[Plant Equivalent Weightage]],"")</f>
        <v>1.2820512820512771E-3</v>
      </c>
      <c r="X475" s="473" t="s">
        <v>294</v>
      </c>
      <c r="Y475" s="474" t="s">
        <v>310</v>
      </c>
      <c r="Z475" s="102">
        <v>43595</v>
      </c>
      <c r="AA475" s="468">
        <f>(Table6[[#This Row],[Paired WTG Generation for loss calculation]]/24)*Table6[[#This Row],[Breakdown Time]]</f>
        <v>60.548611111110894</v>
      </c>
      <c r="AB475" s="102"/>
      <c r="AC475" s="35"/>
      <c r="AD475" s="35"/>
    </row>
    <row r="476" spans="1:30">
      <c r="A476" s="102">
        <f t="shared" si="8"/>
        <v>475</v>
      </c>
      <c r="B476" s="468">
        <f>YEAR(Table6[[#This Row],[Date]])+IF(MONTH(Table6[[#This Row],[Date]])&gt;=4,1,0)</f>
        <v>2026</v>
      </c>
      <c r="C476" s="102">
        <f>YEAR(Table6[[#This Row],[Date]])</f>
        <v>2025</v>
      </c>
      <c r="D476" s="102" t="s">
        <v>1992</v>
      </c>
      <c r="E476" s="469">
        <f>Table6[[#This Row],[Date]]-DAY(Table6[[#This Row],[Date]])+1</f>
        <v>45748</v>
      </c>
      <c r="F476" s="470">
        <v>45777</v>
      </c>
      <c r="G476" s="35" t="s">
        <v>77</v>
      </c>
      <c r="H476" s="35" t="str">
        <f>IFERROR(_xlfn.XLOOKUP(Table6[[#This Row],[Affected WTG]],'Basic Data'!$A:$A,'Basic Data'!$B:$B),"")</f>
        <v>TQGXIIPL</v>
      </c>
      <c r="I476" s="35" t="str">
        <f>IFERROR(_xlfn.XLOOKUP(Table6[[#This Row],[Affected WTG]],'Basic Data'!$A:$A,'Basic Data'!$C:$C),"")</f>
        <v>GEDA</v>
      </c>
      <c r="J476" s="471">
        <f>IFERROR(_xlfn.XLOOKUP(Table6[[#This Row],[Affected WTG]],'Basic Data'!$A:$A,'Basic Data'!$E:$E),"")</f>
        <v>3.846153846153845E-2</v>
      </c>
      <c r="K476" s="102">
        <v>6130</v>
      </c>
      <c r="L476" s="35" t="str">
        <f>IFERROR(_xlfn.XLOOKUP(Table6[[#This Row],[Error Code]],'Basic Data'!$AA:$AA,'Basic Data'!$AB:$AB),"Incorrect Error Code")</f>
        <v>Yaw speed high</v>
      </c>
      <c r="M476" s="35" t="s">
        <v>292</v>
      </c>
      <c r="N476" s="475"/>
      <c r="O476" s="476">
        <v>0.49722222222222223</v>
      </c>
      <c r="P476" s="476">
        <v>0.49722222222222223</v>
      </c>
      <c r="Q476" s="477">
        <v>0.50138888888888888</v>
      </c>
      <c r="R476" s="472">
        <f>IF(Table6[[#This Row],[Work Start TimeStamp]]="","",(Table6[[#This Row],[Work Start TimeStamp]]-Table6[[#This Row],[Fault Start TimeStamp]])*24)</f>
        <v>0</v>
      </c>
      <c r="S476" s="472">
        <f>(Table6[[#This Row],[Fault Clearance time]]-Table6[[#This Row],[Work Start TimeStamp]])*24</f>
        <v>9.9999999999999645E-2</v>
      </c>
      <c r="T476" s="472">
        <f>(Table6[[#This Row],[Fault Clearance time]]-Table6[[#This Row],[Fault Start TimeStamp]])*24</f>
        <v>9.9999999999999645E-2</v>
      </c>
      <c r="U476" s="35" t="s">
        <v>336</v>
      </c>
      <c r="V476" s="102" t="s">
        <v>293</v>
      </c>
      <c r="W476" s="478">
        <f>IFERROR(Table6[[#This Row],[Breakdown Time]]*Table6[[#This Row],[Plant Equivalent Weightage]],"")</f>
        <v>3.8461538461538312E-3</v>
      </c>
      <c r="X476" s="473" t="s">
        <v>294</v>
      </c>
      <c r="Y476" s="474" t="s">
        <v>310</v>
      </c>
      <c r="Z476" s="102">
        <v>43595</v>
      </c>
      <c r="AA476" s="468">
        <f>(Table6[[#This Row],[Paired WTG Generation for loss calculation]]/24)*Table6[[#This Row],[Breakdown Time]]</f>
        <v>181.64583333333269</v>
      </c>
      <c r="AB476" s="102"/>
      <c r="AC476" s="35"/>
      <c r="AD476" s="35"/>
    </row>
    <row r="477" spans="1:30">
      <c r="A477" s="102">
        <f t="shared" si="8"/>
        <v>476</v>
      </c>
      <c r="B477" s="468">
        <f>YEAR(Table6[[#This Row],[Date]])+IF(MONTH(Table6[[#This Row],[Date]])&gt;=4,1,0)</f>
        <v>2026</v>
      </c>
      <c r="C477" s="102">
        <f>YEAR(Table6[[#This Row],[Date]])</f>
        <v>2025</v>
      </c>
      <c r="D477" s="102" t="s">
        <v>1992</v>
      </c>
      <c r="E477" s="469">
        <f>Table6[[#This Row],[Date]]-DAY(Table6[[#This Row],[Date]])+1</f>
        <v>45748</v>
      </c>
      <c r="F477" s="470">
        <v>45777</v>
      </c>
      <c r="G477" s="35" t="s">
        <v>77</v>
      </c>
      <c r="H477" s="35" t="str">
        <f>IFERROR(_xlfn.XLOOKUP(Table6[[#This Row],[Affected WTG]],'Basic Data'!$A:$A,'Basic Data'!$B:$B),"")</f>
        <v>TQGXIIPL</v>
      </c>
      <c r="I477" s="35" t="str">
        <f>IFERROR(_xlfn.XLOOKUP(Table6[[#This Row],[Affected WTG]],'Basic Data'!$A:$A,'Basic Data'!$C:$C),"")</f>
        <v>GEDA</v>
      </c>
      <c r="J477" s="471">
        <f>IFERROR(_xlfn.XLOOKUP(Table6[[#This Row],[Affected WTG]],'Basic Data'!$A:$A,'Basic Data'!$E:$E),"")</f>
        <v>3.846153846153845E-2</v>
      </c>
      <c r="K477" s="102">
        <v>1700</v>
      </c>
      <c r="L477" s="35" t="str">
        <f>IFERROR(_xlfn.XLOOKUP(Table6[[#This Row],[Error Code]],'Basic Data'!$AA:$AA,'Basic Data'!$AB:$AB),"Incorrect Error Code")</f>
        <v>High temp. gear bearing 1</v>
      </c>
      <c r="M477" s="35" t="s">
        <v>291</v>
      </c>
      <c r="N477" s="475"/>
      <c r="O477" s="476">
        <v>0.76249999999999996</v>
      </c>
      <c r="P477" s="476">
        <v>0.76249999999999996</v>
      </c>
      <c r="Q477" s="477">
        <v>0.78055555555555556</v>
      </c>
      <c r="R477" s="472">
        <f>IF(Table6[[#This Row],[Work Start TimeStamp]]="","",(Table6[[#This Row],[Work Start TimeStamp]]-Table6[[#This Row],[Fault Start TimeStamp]])*24)</f>
        <v>0</v>
      </c>
      <c r="S477" s="472">
        <f>(Table6[[#This Row],[Fault Clearance time]]-Table6[[#This Row],[Work Start TimeStamp]])*24</f>
        <v>0.43333333333333446</v>
      </c>
      <c r="T477" s="472">
        <f>(Table6[[#This Row],[Fault Clearance time]]-Table6[[#This Row],[Fault Start TimeStamp]])*24</f>
        <v>0.43333333333333446</v>
      </c>
      <c r="U477" s="35" t="s">
        <v>382</v>
      </c>
      <c r="V477" s="102" t="s">
        <v>293</v>
      </c>
      <c r="W477" s="478">
        <f>IFERROR(Table6[[#This Row],[Breakdown Time]]*Table6[[#This Row],[Plant Equivalent Weightage]],"")</f>
        <v>1.6666666666666705E-2</v>
      </c>
      <c r="X477" s="473" t="s">
        <v>294</v>
      </c>
      <c r="Y477" s="474" t="s">
        <v>310</v>
      </c>
      <c r="Z477" s="102">
        <v>43595</v>
      </c>
      <c r="AA477" s="468">
        <f>(Table6[[#This Row],[Paired WTG Generation for loss calculation]]/24)*Table6[[#This Row],[Breakdown Time]]</f>
        <v>787.1319444444465</v>
      </c>
      <c r="AB477" s="102"/>
      <c r="AC477" s="35"/>
      <c r="AD477" s="35"/>
    </row>
    <row r="478" spans="1:30">
      <c r="A478" s="102">
        <f t="shared" si="8"/>
        <v>477</v>
      </c>
      <c r="B478" s="468">
        <f>YEAR(Table6[[#This Row],[Date]])+IF(MONTH(Table6[[#This Row],[Date]])&gt;=4,1,0)</f>
        <v>2026</v>
      </c>
      <c r="C478" s="102">
        <f>YEAR(Table6[[#This Row],[Date]])</f>
        <v>2025</v>
      </c>
      <c r="D478" s="102" t="s">
        <v>1992</v>
      </c>
      <c r="E478" s="469">
        <f>Table6[[#This Row],[Date]]-DAY(Table6[[#This Row],[Date]])+1</f>
        <v>45748</v>
      </c>
      <c r="F478" s="470">
        <v>45777</v>
      </c>
      <c r="G478" s="35" t="s">
        <v>78</v>
      </c>
      <c r="H478" s="35" t="str">
        <f>IFERROR(_xlfn.XLOOKUP(Table6[[#This Row],[Affected WTG]],'Basic Data'!$A:$A,'Basic Data'!$B:$B),"")</f>
        <v>TQGXIIPL</v>
      </c>
      <c r="I478" s="35" t="str">
        <f>IFERROR(_xlfn.XLOOKUP(Table6[[#This Row],[Affected WTG]],'Basic Data'!$A:$A,'Basic Data'!$C:$C),"")</f>
        <v>GEDA</v>
      </c>
      <c r="J478" s="471">
        <f>IFERROR(_xlfn.XLOOKUP(Table6[[#This Row],[Affected WTG]],'Basic Data'!$A:$A,'Basic Data'!$E:$E),"")</f>
        <v>3.846153846153845E-2</v>
      </c>
      <c r="K478" s="102">
        <v>55</v>
      </c>
      <c r="L478" s="35" t="str">
        <f>IFERROR(_xlfn.XLOOKUP(Table6[[#This Row],[Error Code]],'Basic Data'!$AA:$AA,'Basic Data'!$AB:$AB),"Incorrect Error Code")</f>
        <v>WTG shut down</v>
      </c>
      <c r="M478" s="35" t="s">
        <v>330</v>
      </c>
      <c r="N478" s="475"/>
      <c r="O478" s="476">
        <v>0</v>
      </c>
      <c r="P478" s="476">
        <v>0</v>
      </c>
      <c r="Q478" s="477">
        <v>3.8194444444444448E-2</v>
      </c>
      <c r="R478" s="472">
        <f>IF(Table6[[#This Row],[Work Start TimeStamp]]="","",(Table6[[#This Row],[Work Start TimeStamp]]-Table6[[#This Row],[Fault Start TimeStamp]])*24)</f>
        <v>0</v>
      </c>
      <c r="S478" s="472">
        <f>(Table6[[#This Row],[Fault Clearance time]]-Table6[[#This Row],[Work Start TimeStamp]])*24</f>
        <v>0.91666666666666674</v>
      </c>
      <c r="T478" s="472">
        <f>(Table6[[#This Row],[Fault Clearance time]]-Table6[[#This Row],[Fault Start TimeStamp]])*24</f>
        <v>0.91666666666666674</v>
      </c>
      <c r="U478" s="35" t="s">
        <v>1744</v>
      </c>
      <c r="V478" s="102" t="s">
        <v>293</v>
      </c>
      <c r="W478" s="478">
        <f>IFERROR(Table6[[#This Row],[Breakdown Time]]*Table6[[#This Row],[Plant Equivalent Weightage]],"")</f>
        <v>3.5256410256410249E-2</v>
      </c>
      <c r="X478" s="473" t="s">
        <v>290</v>
      </c>
      <c r="Y478" s="474" t="s">
        <v>333</v>
      </c>
      <c r="Z478" s="102">
        <v>46976</v>
      </c>
      <c r="AA478" s="468">
        <f>(Table6[[#This Row],[Paired WTG Generation for loss calculation]]/24)*Table6[[#This Row],[Breakdown Time]]</f>
        <v>1794.2222222222224</v>
      </c>
      <c r="AB478" s="102"/>
      <c r="AC478" s="35"/>
      <c r="AD478" s="35"/>
    </row>
    <row r="479" spans="1:30">
      <c r="A479" s="102">
        <f t="shared" si="8"/>
        <v>478</v>
      </c>
      <c r="B479" s="468">
        <f>YEAR(Table6[[#This Row],[Date]])+IF(MONTH(Table6[[#This Row],[Date]])&gt;=4,1,0)</f>
        <v>2026</v>
      </c>
      <c r="C479" s="102">
        <f>YEAR(Table6[[#This Row],[Date]])</f>
        <v>2025</v>
      </c>
      <c r="D479" s="102" t="s">
        <v>1992</v>
      </c>
      <c r="E479" s="469">
        <f>Table6[[#This Row],[Date]]-DAY(Table6[[#This Row],[Date]])+1</f>
        <v>45748</v>
      </c>
      <c r="F479" s="470">
        <v>45777</v>
      </c>
      <c r="G479" s="35" t="s">
        <v>78</v>
      </c>
      <c r="H479" s="35" t="str">
        <f>IFERROR(_xlfn.XLOOKUP(Table6[[#This Row],[Affected WTG]],'Basic Data'!$A:$A,'Basic Data'!$B:$B),"")</f>
        <v>TQGXIIPL</v>
      </c>
      <c r="I479" s="35" t="str">
        <f>IFERROR(_xlfn.XLOOKUP(Table6[[#This Row],[Affected WTG]],'Basic Data'!$A:$A,'Basic Data'!$C:$C),"")</f>
        <v>GEDA</v>
      </c>
      <c r="J479" s="471">
        <f>IFERROR(_xlfn.XLOOKUP(Table6[[#This Row],[Affected WTG]],'Basic Data'!$A:$A,'Basic Data'!$E:$E),"")</f>
        <v>3.846153846153845E-2</v>
      </c>
      <c r="K479" s="102">
        <v>6130</v>
      </c>
      <c r="L479" s="35" t="str">
        <f>IFERROR(_xlfn.XLOOKUP(Table6[[#This Row],[Error Code]],'Basic Data'!$AA:$AA,'Basic Data'!$AB:$AB),"Incorrect Error Code")</f>
        <v>Yaw speed high</v>
      </c>
      <c r="M479" s="35" t="s">
        <v>292</v>
      </c>
      <c r="N479" s="475"/>
      <c r="O479" s="476">
        <v>0.77986111111111112</v>
      </c>
      <c r="P479" s="476">
        <v>0.77986111111111112</v>
      </c>
      <c r="Q479" s="477">
        <v>0.78402777777777777</v>
      </c>
      <c r="R479" s="472">
        <f>IF(Table6[[#This Row],[Work Start TimeStamp]]="","",(Table6[[#This Row],[Work Start TimeStamp]]-Table6[[#This Row],[Fault Start TimeStamp]])*24)</f>
        <v>0</v>
      </c>
      <c r="S479" s="472">
        <f>(Table6[[#This Row],[Fault Clearance time]]-Table6[[#This Row],[Work Start TimeStamp]])*24</f>
        <v>9.9999999999999645E-2</v>
      </c>
      <c r="T479" s="472">
        <f>(Table6[[#This Row],[Fault Clearance time]]-Table6[[#This Row],[Fault Start TimeStamp]])*24</f>
        <v>9.9999999999999645E-2</v>
      </c>
      <c r="U479" s="35" t="s">
        <v>336</v>
      </c>
      <c r="V479" s="102" t="s">
        <v>293</v>
      </c>
      <c r="W479" s="478">
        <f>IFERROR(Table6[[#This Row],[Breakdown Time]]*Table6[[#This Row],[Plant Equivalent Weightage]],"")</f>
        <v>3.8461538461538312E-3</v>
      </c>
      <c r="X479" s="473" t="s">
        <v>294</v>
      </c>
      <c r="Y479" s="474" t="s">
        <v>333</v>
      </c>
      <c r="Z479" s="102">
        <v>46976</v>
      </c>
      <c r="AA479" s="468">
        <f>(Table6[[#This Row],[Paired WTG Generation for loss calculation]]/24)*Table6[[#This Row],[Breakdown Time]]</f>
        <v>195.73333333333264</v>
      </c>
      <c r="AB479" s="102"/>
      <c r="AC479" s="35"/>
      <c r="AD479" s="35"/>
    </row>
    <row r="480" spans="1:30">
      <c r="A480" s="102">
        <f t="shared" si="8"/>
        <v>479</v>
      </c>
      <c r="B480" s="468">
        <f>YEAR(Table6[[#This Row],[Date]])+IF(MONTH(Table6[[#This Row],[Date]])&gt;=4,1,0)</f>
        <v>2026</v>
      </c>
      <c r="C480" s="102">
        <f>YEAR(Table6[[#This Row],[Date]])</f>
        <v>2025</v>
      </c>
      <c r="D480" s="102" t="s">
        <v>1992</v>
      </c>
      <c r="E480" s="469">
        <f>Table6[[#This Row],[Date]]-DAY(Table6[[#This Row],[Date]])+1</f>
        <v>45748</v>
      </c>
      <c r="F480" s="470">
        <v>45777</v>
      </c>
      <c r="G480" s="35" t="s">
        <v>78</v>
      </c>
      <c r="H480" s="35" t="str">
        <f>IFERROR(_xlfn.XLOOKUP(Table6[[#This Row],[Affected WTG]],'Basic Data'!$A:$A,'Basic Data'!$B:$B),"")</f>
        <v>TQGXIIPL</v>
      </c>
      <c r="I480" s="35" t="str">
        <f>IFERROR(_xlfn.XLOOKUP(Table6[[#This Row],[Affected WTG]],'Basic Data'!$A:$A,'Basic Data'!$C:$C),"")</f>
        <v>GEDA</v>
      </c>
      <c r="J480" s="471">
        <f>IFERROR(_xlfn.XLOOKUP(Table6[[#This Row],[Affected WTG]],'Basic Data'!$A:$A,'Basic Data'!$E:$E),"")</f>
        <v>3.846153846153845E-2</v>
      </c>
      <c r="K480" s="102">
        <v>55</v>
      </c>
      <c r="L480" s="35" t="str">
        <f>IFERROR(_xlfn.XLOOKUP(Table6[[#This Row],[Error Code]],'Basic Data'!$AA:$AA,'Basic Data'!$AB:$AB),"Incorrect Error Code")</f>
        <v>WTG shut down</v>
      </c>
      <c r="M480" s="35" t="s">
        <v>330</v>
      </c>
      <c r="N480" s="475"/>
      <c r="O480" s="476">
        <v>0.89444444444444449</v>
      </c>
      <c r="P480" s="476">
        <v>0.89444444444444449</v>
      </c>
      <c r="Q480" s="477">
        <v>0.97222222222222221</v>
      </c>
      <c r="R480" s="472">
        <f>IF(Table6[[#This Row],[Work Start TimeStamp]]="","",(Table6[[#This Row],[Work Start TimeStamp]]-Table6[[#This Row],[Fault Start TimeStamp]])*24)</f>
        <v>0</v>
      </c>
      <c r="S480" s="472">
        <f>(Table6[[#This Row],[Fault Clearance time]]-Table6[[#This Row],[Work Start TimeStamp]])*24</f>
        <v>1.8666666666666654</v>
      </c>
      <c r="T480" s="472">
        <f>(Table6[[#This Row],[Fault Clearance time]]-Table6[[#This Row],[Fault Start TimeStamp]])*24</f>
        <v>1.8666666666666654</v>
      </c>
      <c r="U480" s="35" t="s">
        <v>1744</v>
      </c>
      <c r="V480" s="102" t="s">
        <v>293</v>
      </c>
      <c r="W480" s="478">
        <f>IFERROR(Table6[[#This Row],[Breakdown Time]]*Table6[[#This Row],[Plant Equivalent Weightage]],"")</f>
        <v>7.179487179487172E-2</v>
      </c>
      <c r="X480" s="473" t="s">
        <v>290</v>
      </c>
      <c r="Y480" s="474" t="s">
        <v>333</v>
      </c>
      <c r="Z480" s="102">
        <v>46976</v>
      </c>
      <c r="AA480" s="468">
        <f>(Table6[[#This Row],[Paired WTG Generation for loss calculation]]/24)*Table6[[#This Row],[Breakdown Time]]</f>
        <v>3653.6888888888861</v>
      </c>
      <c r="AB480" s="102"/>
      <c r="AC480" s="35"/>
      <c r="AD480" s="35"/>
    </row>
    <row r="481" spans="1:30">
      <c r="A481" s="102">
        <f t="shared" si="8"/>
        <v>480</v>
      </c>
      <c r="B481" s="468">
        <f>YEAR(Table6[[#This Row],[Date]])+IF(MONTH(Table6[[#This Row],[Date]])&gt;=4,1,0)</f>
        <v>2026</v>
      </c>
      <c r="C481" s="102">
        <f>YEAR(Table6[[#This Row],[Date]])</f>
        <v>2025</v>
      </c>
      <c r="D481" s="102" t="s">
        <v>1992</v>
      </c>
      <c r="E481" s="469">
        <f>Table6[[#This Row],[Date]]-DAY(Table6[[#This Row],[Date]])+1</f>
        <v>45748</v>
      </c>
      <c r="F481" s="470">
        <v>45777</v>
      </c>
      <c r="G481" s="35" t="s">
        <v>79</v>
      </c>
      <c r="H481" s="35" t="str">
        <f>IFERROR(_xlfn.XLOOKUP(Table6[[#This Row],[Affected WTG]],'Basic Data'!$A:$A,'Basic Data'!$B:$B),"")</f>
        <v>TQGXIIPL</v>
      </c>
      <c r="I481" s="35" t="str">
        <f>IFERROR(_xlfn.XLOOKUP(Table6[[#This Row],[Affected WTG]],'Basic Data'!$A:$A,'Basic Data'!$C:$C),"")</f>
        <v>GEDA</v>
      </c>
      <c r="J481" s="471">
        <f>IFERROR(_xlfn.XLOOKUP(Table6[[#This Row],[Affected WTG]],'Basic Data'!$A:$A,'Basic Data'!$E:$E),"")</f>
        <v>3.846153846153845E-2</v>
      </c>
      <c r="K481" s="102">
        <v>6056</v>
      </c>
      <c r="L481" s="35" t="str">
        <f>IFERROR(_xlfn.XLOOKUP(Table6[[#This Row],[Error Code]],'Basic Data'!$AA:$AA,'Basic Data'!$AB:$AB),"Incorrect Error Code")</f>
        <v>High yaw load</v>
      </c>
      <c r="M481" s="35" t="s">
        <v>291</v>
      </c>
      <c r="N481" s="475"/>
      <c r="O481" s="476">
        <v>0.60902777777777772</v>
      </c>
      <c r="P481" s="476">
        <v>0.60902777777777772</v>
      </c>
      <c r="Q481" s="477">
        <v>0.61111111111111116</v>
      </c>
      <c r="R481" s="472">
        <f>IF(Table6[[#This Row],[Work Start TimeStamp]]="","",(Table6[[#This Row],[Work Start TimeStamp]]-Table6[[#This Row],[Fault Start TimeStamp]])*24)</f>
        <v>0</v>
      </c>
      <c r="S481" s="472">
        <f>(Table6[[#This Row],[Fault Clearance time]]-Table6[[#This Row],[Work Start TimeStamp]])*24</f>
        <v>5.0000000000002487E-2</v>
      </c>
      <c r="T481" s="472">
        <f>(Table6[[#This Row],[Fault Clearance time]]-Table6[[#This Row],[Fault Start TimeStamp]])*24</f>
        <v>5.0000000000002487E-2</v>
      </c>
      <c r="U481" s="35" t="s">
        <v>349</v>
      </c>
      <c r="V481" s="102" t="s">
        <v>293</v>
      </c>
      <c r="W481" s="478">
        <f>IFERROR(Table6[[#This Row],[Breakdown Time]]*Table6[[#This Row],[Plant Equivalent Weightage]],"")</f>
        <v>1.9230769230770182E-3</v>
      </c>
      <c r="X481" s="473" t="s">
        <v>294</v>
      </c>
      <c r="Y481" s="474" t="s">
        <v>325</v>
      </c>
      <c r="Z481" s="102">
        <v>34897</v>
      </c>
      <c r="AA481" s="468">
        <f>(Table6[[#This Row],[Paired WTG Generation for loss calculation]]/24)*Table6[[#This Row],[Breakdown Time]]</f>
        <v>72.702083333336958</v>
      </c>
      <c r="AB481" s="102"/>
      <c r="AC481" s="35"/>
      <c r="AD481" s="35"/>
    </row>
    <row r="482" spans="1:30">
      <c r="A482" s="102">
        <f t="shared" si="8"/>
        <v>481</v>
      </c>
      <c r="B482" s="468">
        <f>YEAR(Table6[[#This Row],[Date]])+IF(MONTH(Table6[[#This Row],[Date]])&gt;=4,1,0)</f>
        <v>2026</v>
      </c>
      <c r="C482" s="102">
        <f>YEAR(Table6[[#This Row],[Date]])</f>
        <v>2025</v>
      </c>
      <c r="D482" s="102" t="s">
        <v>1992</v>
      </c>
      <c r="E482" s="469">
        <f>Table6[[#This Row],[Date]]-DAY(Table6[[#This Row],[Date]])+1</f>
        <v>45748</v>
      </c>
      <c r="F482" s="470">
        <v>45777</v>
      </c>
      <c r="G482" s="35" t="s">
        <v>81</v>
      </c>
      <c r="H482" s="35" t="str">
        <f>IFERROR(_xlfn.XLOOKUP(Table6[[#This Row],[Affected WTG]],'Basic Data'!$A:$A,'Basic Data'!$B:$B),"")</f>
        <v>TQGXIIPL</v>
      </c>
      <c r="I482" s="35" t="str">
        <f>IFERROR(_xlfn.XLOOKUP(Table6[[#This Row],[Affected WTG]],'Basic Data'!$A:$A,'Basic Data'!$C:$C),"")</f>
        <v>GEDA</v>
      </c>
      <c r="J482" s="471">
        <f>IFERROR(_xlfn.XLOOKUP(Table6[[#This Row],[Affected WTG]],'Basic Data'!$A:$A,'Basic Data'!$E:$E),"")</f>
        <v>3.846153846153845E-2</v>
      </c>
      <c r="K482" s="102">
        <v>55</v>
      </c>
      <c r="L482" s="35" t="str">
        <f>IFERROR(_xlfn.XLOOKUP(Table6[[#This Row],[Error Code]],'Basic Data'!$AA:$AA,'Basic Data'!$AB:$AB),"Incorrect Error Code")</f>
        <v>WTG shut down</v>
      </c>
      <c r="M482" s="35" t="s">
        <v>291</v>
      </c>
      <c r="N482" s="475"/>
      <c r="O482" s="476">
        <v>0.44444444444444442</v>
      </c>
      <c r="P482" s="476">
        <v>0.44444444444444442</v>
      </c>
      <c r="Q482" s="477">
        <v>0.47569444444444442</v>
      </c>
      <c r="R482" s="472">
        <f>IF(Table6[[#This Row],[Work Start TimeStamp]]="","",(Table6[[#This Row],[Work Start TimeStamp]]-Table6[[#This Row],[Fault Start TimeStamp]])*24)</f>
        <v>0</v>
      </c>
      <c r="S482" s="472">
        <f>(Table6[[#This Row],[Fault Clearance time]]-Table6[[#This Row],[Work Start TimeStamp]])*24</f>
        <v>0.75</v>
      </c>
      <c r="T482" s="472">
        <f>(Table6[[#This Row],[Fault Clearance time]]-Table6[[#This Row],[Fault Start TimeStamp]])*24</f>
        <v>0.75</v>
      </c>
      <c r="U482" s="35" t="s">
        <v>1719</v>
      </c>
      <c r="V482" s="102" t="s">
        <v>293</v>
      </c>
      <c r="W482" s="478">
        <f>IFERROR(Table6[[#This Row],[Breakdown Time]]*Table6[[#This Row],[Plant Equivalent Weightage]],"")</f>
        <v>2.8846153846153837E-2</v>
      </c>
      <c r="X482" s="473" t="s">
        <v>290</v>
      </c>
      <c r="Y482" s="474" t="s">
        <v>321</v>
      </c>
      <c r="Z482" s="102">
        <v>38333</v>
      </c>
      <c r="AA482" s="468">
        <f>(Table6[[#This Row],[Paired WTG Generation for loss calculation]]/24)*Table6[[#This Row],[Breakdown Time]]</f>
        <v>1197.90625</v>
      </c>
      <c r="AB482" s="102"/>
      <c r="AC482" s="35"/>
      <c r="AD482" s="35"/>
    </row>
    <row r="483" spans="1:30">
      <c r="A483" s="102">
        <f t="shared" si="8"/>
        <v>482</v>
      </c>
      <c r="B483" s="468">
        <f>YEAR(Table6[[#This Row],[Date]])+IF(MONTH(Table6[[#This Row],[Date]])&gt;=4,1,0)</f>
        <v>2026</v>
      </c>
      <c r="C483" s="102">
        <f>YEAR(Table6[[#This Row],[Date]])</f>
        <v>2025</v>
      </c>
      <c r="D483" s="102" t="s">
        <v>1992</v>
      </c>
      <c r="E483" s="469">
        <f>Table6[[#This Row],[Date]]-DAY(Table6[[#This Row],[Date]])+1</f>
        <v>45748</v>
      </c>
      <c r="F483" s="470">
        <v>45777</v>
      </c>
      <c r="G483" s="35" t="s">
        <v>81</v>
      </c>
      <c r="H483" s="35" t="str">
        <f>IFERROR(_xlfn.XLOOKUP(Table6[[#This Row],[Affected WTG]],'Basic Data'!$A:$A,'Basic Data'!$B:$B),"")</f>
        <v>TQGXIIPL</v>
      </c>
      <c r="I483" s="35" t="str">
        <f>IFERROR(_xlfn.XLOOKUP(Table6[[#This Row],[Affected WTG]],'Basic Data'!$A:$A,'Basic Data'!$C:$C),"")</f>
        <v>GEDA</v>
      </c>
      <c r="J483" s="471">
        <f>IFERROR(_xlfn.XLOOKUP(Table6[[#This Row],[Affected WTG]],'Basic Data'!$A:$A,'Basic Data'!$E:$E),"")</f>
        <v>3.846153846153845E-2</v>
      </c>
      <c r="K483" s="102">
        <v>6130</v>
      </c>
      <c r="L483" s="35" t="str">
        <f>IFERROR(_xlfn.XLOOKUP(Table6[[#This Row],[Error Code]],'Basic Data'!$AA:$AA,'Basic Data'!$AB:$AB),"Incorrect Error Code")</f>
        <v>Yaw speed high</v>
      </c>
      <c r="M483" s="35" t="s">
        <v>292</v>
      </c>
      <c r="N483" s="475"/>
      <c r="O483" s="476">
        <v>0.68333333333333335</v>
      </c>
      <c r="P483" s="476">
        <v>0.68333333333333335</v>
      </c>
      <c r="Q483" s="477">
        <v>0.6875</v>
      </c>
      <c r="R483" s="472">
        <f>IF(Table6[[#This Row],[Work Start TimeStamp]]="","",(Table6[[#This Row],[Work Start TimeStamp]]-Table6[[#This Row],[Fault Start TimeStamp]])*24)</f>
        <v>0</v>
      </c>
      <c r="S483" s="472">
        <f>(Table6[[#This Row],[Fault Clearance time]]-Table6[[#This Row],[Work Start TimeStamp]])*24</f>
        <v>9.9999999999999645E-2</v>
      </c>
      <c r="T483" s="472">
        <f>(Table6[[#This Row],[Fault Clearance time]]-Table6[[#This Row],[Fault Start TimeStamp]])*24</f>
        <v>9.9999999999999645E-2</v>
      </c>
      <c r="U483" s="35" t="s">
        <v>336</v>
      </c>
      <c r="V483" s="102" t="s">
        <v>293</v>
      </c>
      <c r="W483" s="478">
        <f>IFERROR(Table6[[#This Row],[Breakdown Time]]*Table6[[#This Row],[Plant Equivalent Weightage]],"")</f>
        <v>3.8461538461538312E-3</v>
      </c>
      <c r="X483" s="473" t="s">
        <v>294</v>
      </c>
      <c r="Y483" s="474" t="s">
        <v>321</v>
      </c>
      <c r="Z483" s="102">
        <v>38333</v>
      </c>
      <c r="AA483" s="468">
        <f>(Table6[[#This Row],[Paired WTG Generation for loss calculation]]/24)*Table6[[#This Row],[Breakdown Time]]</f>
        <v>159.72083333333276</v>
      </c>
      <c r="AB483" s="102"/>
      <c r="AC483" s="35"/>
      <c r="AD483" s="35"/>
    </row>
    <row r="484" spans="1:30">
      <c r="A484" s="102">
        <f t="shared" si="8"/>
        <v>483</v>
      </c>
      <c r="B484" s="468">
        <f>YEAR(Table6[[#This Row],[Date]])+IF(MONTH(Table6[[#This Row],[Date]])&gt;=4,1,0)</f>
        <v>2026</v>
      </c>
      <c r="C484" s="102">
        <f>YEAR(Table6[[#This Row],[Date]])</f>
        <v>2025</v>
      </c>
      <c r="D484" s="102" t="s">
        <v>1992</v>
      </c>
      <c r="E484" s="469">
        <f>Table6[[#This Row],[Date]]-DAY(Table6[[#This Row],[Date]])+1</f>
        <v>45748</v>
      </c>
      <c r="F484" s="470">
        <v>45777</v>
      </c>
      <c r="G484" s="35" t="s">
        <v>81</v>
      </c>
      <c r="H484" s="35" t="str">
        <f>IFERROR(_xlfn.XLOOKUP(Table6[[#This Row],[Affected WTG]],'Basic Data'!$A:$A,'Basic Data'!$B:$B),"")</f>
        <v>TQGXIIPL</v>
      </c>
      <c r="I484" s="35" t="str">
        <f>IFERROR(_xlfn.XLOOKUP(Table6[[#This Row],[Affected WTG]],'Basic Data'!$A:$A,'Basic Data'!$C:$C),"")</f>
        <v>GEDA</v>
      </c>
      <c r="J484" s="471">
        <f>IFERROR(_xlfn.XLOOKUP(Table6[[#This Row],[Affected WTG]],'Basic Data'!$A:$A,'Basic Data'!$E:$E),"")</f>
        <v>3.846153846153845E-2</v>
      </c>
      <c r="K484" s="102">
        <v>55</v>
      </c>
      <c r="L484" s="35" t="str">
        <f>IFERROR(_xlfn.XLOOKUP(Table6[[#This Row],[Error Code]],'Basic Data'!$AA:$AA,'Basic Data'!$AB:$AB),"Incorrect Error Code")</f>
        <v>WTG shut down</v>
      </c>
      <c r="M484" s="35" t="s">
        <v>330</v>
      </c>
      <c r="N484" s="475"/>
      <c r="O484" s="476">
        <v>0.75694444444444442</v>
      </c>
      <c r="P484" s="476">
        <v>0.75694444444444442</v>
      </c>
      <c r="Q484" s="477">
        <v>0.84930555555555554</v>
      </c>
      <c r="R484" s="472">
        <f>IF(Table6[[#This Row],[Work Start TimeStamp]]="","",(Table6[[#This Row],[Work Start TimeStamp]]-Table6[[#This Row],[Fault Start TimeStamp]])*24)</f>
        <v>0</v>
      </c>
      <c r="S484" s="472">
        <f>(Table6[[#This Row],[Fault Clearance time]]-Table6[[#This Row],[Work Start TimeStamp]])*24</f>
        <v>2.2166666666666668</v>
      </c>
      <c r="T484" s="472">
        <f>(Table6[[#This Row],[Fault Clearance time]]-Table6[[#This Row],[Fault Start TimeStamp]])*24</f>
        <v>2.2166666666666668</v>
      </c>
      <c r="U484" s="35" t="s">
        <v>1744</v>
      </c>
      <c r="V484" s="102" t="s">
        <v>293</v>
      </c>
      <c r="W484" s="478">
        <f>IFERROR(Table6[[#This Row],[Breakdown Time]]*Table6[[#This Row],[Plant Equivalent Weightage]],"")</f>
        <v>8.5256410256410231E-2</v>
      </c>
      <c r="X484" s="473" t="s">
        <v>294</v>
      </c>
      <c r="Y484" s="474" t="s">
        <v>321</v>
      </c>
      <c r="Z484" s="102">
        <v>38333</v>
      </c>
      <c r="AA484" s="468">
        <f>(Table6[[#This Row],[Paired WTG Generation for loss calculation]]/24)*Table6[[#This Row],[Breakdown Time]]</f>
        <v>3540.4784722222221</v>
      </c>
      <c r="AB484" s="102"/>
      <c r="AC484" s="35"/>
      <c r="AD484" s="35"/>
    </row>
    <row r="485" spans="1:30">
      <c r="A485" s="102">
        <f t="shared" si="8"/>
        <v>484</v>
      </c>
      <c r="B485" s="468">
        <f>YEAR(Table6[[#This Row],[Date]])+IF(MONTH(Table6[[#This Row],[Date]])&gt;=4,1,0)</f>
        <v>2026</v>
      </c>
      <c r="C485" s="102">
        <f>YEAR(Table6[[#This Row],[Date]])</f>
        <v>2025</v>
      </c>
      <c r="D485" s="102" t="s">
        <v>1992</v>
      </c>
      <c r="E485" s="469">
        <f>Table6[[#This Row],[Date]]-DAY(Table6[[#This Row],[Date]])+1</f>
        <v>45748</v>
      </c>
      <c r="F485" s="470">
        <v>45777</v>
      </c>
      <c r="G485" s="35" t="s">
        <v>82</v>
      </c>
      <c r="H485" s="35" t="str">
        <f>IFERROR(_xlfn.XLOOKUP(Table6[[#This Row],[Affected WTG]],'Basic Data'!$A:$A,'Basic Data'!$B:$B),"")</f>
        <v>TQGXIIPL</v>
      </c>
      <c r="I485" s="35" t="str">
        <f>IFERROR(_xlfn.XLOOKUP(Table6[[#This Row],[Affected WTG]],'Basic Data'!$A:$A,'Basic Data'!$C:$C),"")</f>
        <v>GEDA</v>
      </c>
      <c r="J485" s="471">
        <f>IFERROR(_xlfn.XLOOKUP(Table6[[#This Row],[Affected WTG]],'Basic Data'!$A:$A,'Basic Data'!$E:$E),"")</f>
        <v>3.846153846153845E-2</v>
      </c>
      <c r="K485" s="102">
        <v>55</v>
      </c>
      <c r="L485" s="35" t="str">
        <f>IFERROR(_xlfn.XLOOKUP(Table6[[#This Row],[Error Code]],'Basic Data'!$AA:$AA,'Basic Data'!$AB:$AB),"Incorrect Error Code")</f>
        <v>WTG shut down</v>
      </c>
      <c r="M485" s="35" t="s">
        <v>291</v>
      </c>
      <c r="N485" s="475"/>
      <c r="O485" s="476">
        <v>0.69305555555555554</v>
      </c>
      <c r="P485" s="476">
        <v>0.69305555555555554</v>
      </c>
      <c r="Q485" s="477">
        <v>0.72152777777777777</v>
      </c>
      <c r="R485" s="472">
        <f>IF(Table6[[#This Row],[Work Start TimeStamp]]="","",(Table6[[#This Row],[Work Start TimeStamp]]-Table6[[#This Row],[Fault Start TimeStamp]])*24)</f>
        <v>0</v>
      </c>
      <c r="S485" s="472">
        <f>(Table6[[#This Row],[Fault Clearance time]]-Table6[[#This Row],[Work Start TimeStamp]])*24</f>
        <v>0.68333333333333357</v>
      </c>
      <c r="T485" s="472">
        <f>(Table6[[#This Row],[Fault Clearance time]]-Table6[[#This Row],[Fault Start TimeStamp]])*24</f>
        <v>0.68333333333333357</v>
      </c>
      <c r="U485" s="35" t="s">
        <v>1719</v>
      </c>
      <c r="V485" s="102" t="s">
        <v>293</v>
      </c>
      <c r="W485" s="478">
        <f>IFERROR(Table6[[#This Row],[Breakdown Time]]*Table6[[#This Row],[Plant Equivalent Weightage]],"")</f>
        <v>2.6282051282051282E-2</v>
      </c>
      <c r="X485" s="473" t="s">
        <v>290</v>
      </c>
      <c r="Y485" s="474" t="s">
        <v>332</v>
      </c>
      <c r="Z485" s="102">
        <v>35656</v>
      </c>
      <c r="AA485" s="468">
        <f>(Table6[[#This Row],[Paired WTG Generation for loss calculation]]/24)*Table6[[#This Row],[Breakdown Time]]</f>
        <v>1015.205555555556</v>
      </c>
      <c r="AB485" s="102"/>
      <c r="AC485" s="35"/>
      <c r="AD485" s="35"/>
    </row>
    <row r="486" spans="1:30">
      <c r="A486" s="102">
        <f t="shared" si="8"/>
        <v>485</v>
      </c>
      <c r="B486" s="468">
        <f>YEAR(Table6[[#This Row],[Date]])+IF(MONTH(Table6[[#This Row],[Date]])&gt;=4,1,0)</f>
        <v>2026</v>
      </c>
      <c r="C486" s="102">
        <f>YEAR(Table6[[#This Row],[Date]])</f>
        <v>2025</v>
      </c>
      <c r="D486" s="102" t="s">
        <v>1992</v>
      </c>
      <c r="E486" s="469">
        <f>Table6[[#This Row],[Date]]-DAY(Table6[[#This Row],[Date]])+1</f>
        <v>45748</v>
      </c>
      <c r="F486" s="470">
        <v>45777</v>
      </c>
      <c r="G486" s="35" t="s">
        <v>83</v>
      </c>
      <c r="H486" s="35" t="str">
        <f>IFERROR(_xlfn.XLOOKUP(Table6[[#This Row],[Affected WTG]],'Basic Data'!$A:$A,'Basic Data'!$B:$B),"")</f>
        <v>TQGXIIPL</v>
      </c>
      <c r="I486" s="35" t="str">
        <f>IFERROR(_xlfn.XLOOKUP(Table6[[#This Row],[Affected WTG]],'Basic Data'!$A:$A,'Basic Data'!$C:$C),"")</f>
        <v>GEDA</v>
      </c>
      <c r="J486" s="471">
        <f>IFERROR(_xlfn.XLOOKUP(Table6[[#This Row],[Affected WTG]],'Basic Data'!$A:$A,'Basic Data'!$E:$E),"")</f>
        <v>3.846153846153845E-2</v>
      </c>
      <c r="K486" s="102">
        <v>6130</v>
      </c>
      <c r="L486" s="35" t="str">
        <f>IFERROR(_xlfn.XLOOKUP(Table6[[#This Row],[Error Code]],'Basic Data'!$AA:$AA,'Basic Data'!$AB:$AB),"Incorrect Error Code")</f>
        <v>Yaw speed high</v>
      </c>
      <c r="M486" s="35" t="s">
        <v>292</v>
      </c>
      <c r="N486" s="475"/>
      <c r="O486" s="476">
        <v>0.70625000000000004</v>
      </c>
      <c r="P486" s="476">
        <v>0.70625000000000004</v>
      </c>
      <c r="Q486" s="477">
        <v>0.7104166666666667</v>
      </c>
      <c r="R486" s="472">
        <f>IF(Table6[[#This Row],[Work Start TimeStamp]]="","",(Table6[[#This Row],[Work Start TimeStamp]]-Table6[[#This Row],[Fault Start TimeStamp]])*24)</f>
        <v>0</v>
      </c>
      <c r="S486" s="472">
        <f>(Table6[[#This Row],[Fault Clearance time]]-Table6[[#This Row],[Work Start TimeStamp]])*24</f>
        <v>9.9999999999999645E-2</v>
      </c>
      <c r="T486" s="472">
        <f>(Table6[[#This Row],[Fault Clearance time]]-Table6[[#This Row],[Fault Start TimeStamp]])*24</f>
        <v>9.9999999999999645E-2</v>
      </c>
      <c r="U486" s="35" t="s">
        <v>336</v>
      </c>
      <c r="V486" s="102" t="s">
        <v>293</v>
      </c>
      <c r="W486" s="478">
        <f>IFERROR(Table6[[#This Row],[Breakdown Time]]*Table6[[#This Row],[Plant Equivalent Weightage]],"")</f>
        <v>3.8461538461538312E-3</v>
      </c>
      <c r="X486" s="473" t="s">
        <v>294</v>
      </c>
      <c r="Y486" s="474" t="s">
        <v>312</v>
      </c>
      <c r="Z486" s="102">
        <v>39028</v>
      </c>
      <c r="AA486" s="468">
        <f>(Table6[[#This Row],[Paired WTG Generation for loss calculation]]/24)*Table6[[#This Row],[Breakdown Time]]</f>
        <v>162.61666666666611</v>
      </c>
      <c r="AB486" s="102"/>
      <c r="AC486" s="35"/>
      <c r="AD486" s="35"/>
    </row>
    <row r="487" spans="1:30">
      <c r="A487" s="102">
        <f t="shared" si="8"/>
        <v>486</v>
      </c>
      <c r="B487" s="468">
        <f>YEAR(Table6[[#This Row],[Date]])+IF(MONTH(Table6[[#This Row],[Date]])&gt;=4,1,0)</f>
        <v>2026</v>
      </c>
      <c r="C487" s="102">
        <f>YEAR(Table6[[#This Row],[Date]])</f>
        <v>2025</v>
      </c>
      <c r="D487" s="102" t="s">
        <v>1992</v>
      </c>
      <c r="E487" s="469">
        <f>Table6[[#This Row],[Date]]-DAY(Table6[[#This Row],[Date]])+1</f>
        <v>45748</v>
      </c>
      <c r="F487" s="470">
        <v>45777</v>
      </c>
      <c r="G487" s="35" t="s">
        <v>85</v>
      </c>
      <c r="H487" s="35" t="str">
        <f>IFERROR(_xlfn.XLOOKUP(Table6[[#This Row],[Affected WTG]],'Basic Data'!$A:$A,'Basic Data'!$B:$B),"")</f>
        <v>TQGXIIPL</v>
      </c>
      <c r="I487" s="35" t="str">
        <f>IFERROR(_xlfn.XLOOKUP(Table6[[#This Row],[Affected WTG]],'Basic Data'!$A:$A,'Basic Data'!$C:$C),"")</f>
        <v>GEDA</v>
      </c>
      <c r="J487" s="471">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291</v>
      </c>
      <c r="N487" s="475"/>
      <c r="O487" s="476">
        <v>0.45555555555555555</v>
      </c>
      <c r="P487" s="476">
        <v>0.45555555555555555</v>
      </c>
      <c r="Q487" s="477">
        <v>0.57291666666666663</v>
      </c>
      <c r="R487" s="472">
        <f>IF(Table6[[#This Row],[Work Start TimeStamp]]="","",(Table6[[#This Row],[Work Start TimeStamp]]-Table6[[#This Row],[Fault Start TimeStamp]])*24)</f>
        <v>0</v>
      </c>
      <c r="S487" s="472">
        <f>(Table6[[#This Row],[Fault Clearance time]]-Table6[[#This Row],[Work Start TimeStamp]])*24</f>
        <v>2.816666666666666</v>
      </c>
      <c r="T487" s="472">
        <f>(Table6[[#This Row],[Fault Clearance time]]-Table6[[#This Row],[Fault Start TimeStamp]])*24</f>
        <v>2.816666666666666</v>
      </c>
      <c r="U487" s="35" t="s">
        <v>1743</v>
      </c>
      <c r="V487" s="102" t="s">
        <v>293</v>
      </c>
      <c r="W487" s="478">
        <f>IFERROR(Table6[[#This Row],[Breakdown Time]]*Table6[[#This Row],[Plant Equivalent Weightage]],"")</f>
        <v>0.10833333333333327</v>
      </c>
      <c r="X487" s="473" t="s">
        <v>290</v>
      </c>
      <c r="Y487" s="474" t="s">
        <v>322</v>
      </c>
      <c r="Z487" s="102">
        <v>35100</v>
      </c>
      <c r="AA487" s="468">
        <f>(Table6[[#This Row],[Paired WTG Generation for loss calculation]]/24)*Table6[[#This Row],[Breakdown Time]]</f>
        <v>4119.3749999999991</v>
      </c>
      <c r="AB487" s="102"/>
      <c r="AC487" s="35"/>
      <c r="AD487" s="35"/>
    </row>
    <row r="488" spans="1:30">
      <c r="A488" s="102">
        <f t="shared" si="8"/>
        <v>487</v>
      </c>
      <c r="B488" s="468">
        <f>YEAR(Table6[[#This Row],[Date]])+IF(MONTH(Table6[[#This Row],[Date]])&gt;=4,1,0)</f>
        <v>2026</v>
      </c>
      <c r="C488" s="102">
        <f>YEAR(Table6[[#This Row],[Date]])</f>
        <v>2025</v>
      </c>
      <c r="D488" s="102" t="s">
        <v>1992</v>
      </c>
      <c r="E488" s="469">
        <f>Table6[[#This Row],[Date]]-DAY(Table6[[#This Row],[Date]])+1</f>
        <v>45748</v>
      </c>
      <c r="F488" s="470">
        <v>45777</v>
      </c>
      <c r="G488" s="35" t="s">
        <v>88</v>
      </c>
      <c r="H488" s="35" t="str">
        <f>IFERROR(_xlfn.XLOOKUP(Table6[[#This Row],[Affected WTG]],'Basic Data'!$A:$A,'Basic Data'!$B:$B),"")</f>
        <v>TQGXIIPL</v>
      </c>
      <c r="I488" s="35" t="str">
        <f>IFERROR(_xlfn.XLOOKUP(Table6[[#This Row],[Affected WTG]],'Basic Data'!$A:$A,'Basic Data'!$C:$C),"")</f>
        <v>GEDA</v>
      </c>
      <c r="J488" s="471">
        <f>IFERROR(_xlfn.XLOOKUP(Table6[[#This Row],[Affected WTG]],'Basic Data'!$A:$A,'Basic Data'!$E:$E),"")</f>
        <v>3.846153846153845E-2</v>
      </c>
      <c r="K488" s="102">
        <v>55</v>
      </c>
      <c r="L488" s="35" t="str">
        <f>IFERROR(_xlfn.XLOOKUP(Table6[[#This Row],[Error Code]],'Basic Data'!$AA:$AA,'Basic Data'!$AB:$AB),"Incorrect Error Code")</f>
        <v>WTG shut down</v>
      </c>
      <c r="M488" s="35" t="s">
        <v>291</v>
      </c>
      <c r="N488" s="475"/>
      <c r="O488" s="476">
        <v>0.6020833333333333</v>
      </c>
      <c r="P488" s="476">
        <v>0.6020833333333333</v>
      </c>
      <c r="Q488" s="477">
        <v>0.625</v>
      </c>
      <c r="R488" s="472">
        <f>IF(Table6[[#This Row],[Work Start TimeStamp]]="","",(Table6[[#This Row],[Work Start TimeStamp]]-Table6[[#This Row],[Fault Start TimeStamp]])*24)</f>
        <v>0</v>
      </c>
      <c r="S488" s="472">
        <f>(Table6[[#This Row],[Fault Clearance time]]-Table6[[#This Row],[Work Start TimeStamp]])*24</f>
        <v>0.55000000000000071</v>
      </c>
      <c r="T488" s="472">
        <f>(Table6[[#This Row],[Fault Clearance time]]-Table6[[#This Row],[Fault Start TimeStamp]])*24</f>
        <v>0.55000000000000071</v>
      </c>
      <c r="U488" s="35" t="s">
        <v>1719</v>
      </c>
      <c r="V488" s="102" t="s">
        <v>293</v>
      </c>
      <c r="W488" s="478">
        <f>IFERROR(Table6[[#This Row],[Breakdown Time]]*Table6[[#This Row],[Plant Equivalent Weightage]],"")</f>
        <v>2.1153846153846176E-2</v>
      </c>
      <c r="X488" s="473" t="s">
        <v>290</v>
      </c>
      <c r="Y488" s="474" t="s">
        <v>323</v>
      </c>
      <c r="Z488" s="102">
        <v>33815</v>
      </c>
      <c r="AA488" s="468">
        <f>(Table6[[#This Row],[Paired WTG Generation for loss calculation]]/24)*Table6[[#This Row],[Breakdown Time]]</f>
        <v>774.92708333333428</v>
      </c>
      <c r="AB488" s="102"/>
      <c r="AC488" s="35"/>
      <c r="AD488" s="35"/>
    </row>
    <row r="489" spans="1:30">
      <c r="A489" s="102">
        <f t="shared" si="8"/>
        <v>488</v>
      </c>
      <c r="B489" s="468">
        <f>YEAR(Table6[[#This Row],[Date]])+IF(MONTH(Table6[[#This Row],[Date]])&gt;=4,1,0)</f>
        <v>2026</v>
      </c>
      <c r="C489" s="102">
        <f>YEAR(Table6[[#This Row],[Date]])</f>
        <v>2025</v>
      </c>
      <c r="D489" s="102" t="s">
        <v>1992</v>
      </c>
      <c r="E489" s="469">
        <f>Table6[[#This Row],[Date]]-DAY(Table6[[#This Row],[Date]])+1</f>
        <v>45748</v>
      </c>
      <c r="F489" s="470">
        <v>45777</v>
      </c>
      <c r="G489" s="35" t="s">
        <v>90</v>
      </c>
      <c r="H489" s="35" t="str">
        <f>IFERROR(_xlfn.XLOOKUP(Table6[[#This Row],[Affected WTG]],'Basic Data'!$A:$A,'Basic Data'!$B:$B),"")</f>
        <v>TQGXIIPL</v>
      </c>
      <c r="I489" s="35" t="str">
        <f>IFERROR(_xlfn.XLOOKUP(Table6[[#This Row],[Affected WTG]],'Basic Data'!$A:$A,'Basic Data'!$C:$C),"")</f>
        <v>GEDA</v>
      </c>
      <c r="J489" s="471">
        <f>IFERROR(_xlfn.XLOOKUP(Table6[[#This Row],[Affected WTG]],'Basic Data'!$A:$A,'Basic Data'!$E:$E),"")</f>
        <v>3.846153846153845E-2</v>
      </c>
      <c r="K489" s="102">
        <v>6605</v>
      </c>
      <c r="L489" s="35" t="str">
        <f>IFERROR(_xlfn.XLOOKUP(Table6[[#This Row],[Error Code]],'Basic Data'!$AA:$AA,'Basic Data'!$AB:$AB),"Incorrect Error Code")</f>
        <v>Wind.dir. diff. level 2</v>
      </c>
      <c r="M489" s="35" t="s">
        <v>291</v>
      </c>
      <c r="N489" s="475"/>
      <c r="O489" s="476">
        <v>0.64930555555555558</v>
      </c>
      <c r="P489" s="476">
        <v>0.64930555555555558</v>
      </c>
      <c r="Q489" s="477">
        <v>0.65625</v>
      </c>
      <c r="R489" s="472">
        <f>IF(Table6[[#This Row],[Work Start TimeStamp]]="","",(Table6[[#This Row],[Work Start TimeStamp]]-Table6[[#This Row],[Fault Start TimeStamp]])*24)</f>
        <v>0</v>
      </c>
      <c r="S489" s="472">
        <f>(Table6[[#This Row],[Fault Clearance time]]-Table6[[#This Row],[Work Start TimeStamp]])*24</f>
        <v>0.16666666666666607</v>
      </c>
      <c r="T489" s="472">
        <f>(Table6[[#This Row],[Fault Clearance time]]-Table6[[#This Row],[Fault Start TimeStamp]])*24</f>
        <v>0.16666666666666607</v>
      </c>
      <c r="U489" s="35" t="s">
        <v>349</v>
      </c>
      <c r="V489" s="102" t="s">
        <v>293</v>
      </c>
      <c r="W489" s="478">
        <f>IFERROR(Table6[[#This Row],[Breakdown Time]]*Table6[[#This Row],[Plant Equivalent Weightage]],"")</f>
        <v>6.4102564102563857E-3</v>
      </c>
      <c r="X489" s="473" t="s">
        <v>294</v>
      </c>
      <c r="Y489" s="474" t="s">
        <v>339</v>
      </c>
      <c r="Z489" s="102">
        <v>40527</v>
      </c>
      <c r="AA489" s="468">
        <f>(Table6[[#This Row],[Paired WTG Generation for loss calculation]]/24)*Table6[[#This Row],[Breakdown Time]]</f>
        <v>281.43749999999898</v>
      </c>
      <c r="AB489" s="102"/>
      <c r="AC489" s="35"/>
      <c r="AD489" s="35"/>
    </row>
    <row r="490" spans="1:30">
      <c r="A490" s="102">
        <f t="shared" si="8"/>
        <v>489</v>
      </c>
      <c r="B490" s="468">
        <f>YEAR(Table6[[#This Row],[Date]])+IF(MONTH(Table6[[#This Row],[Date]])&gt;=4,1,0)</f>
        <v>2026</v>
      </c>
      <c r="C490" s="102">
        <f>YEAR(Table6[[#This Row],[Date]])</f>
        <v>2025</v>
      </c>
      <c r="D490" s="102" t="s">
        <v>1992</v>
      </c>
      <c r="E490" s="469">
        <f>Table6[[#This Row],[Date]]-DAY(Table6[[#This Row],[Date]])+1</f>
        <v>45748</v>
      </c>
      <c r="F490" s="470">
        <v>45777</v>
      </c>
      <c r="G490" s="35" t="s">
        <v>90</v>
      </c>
      <c r="H490" s="35" t="str">
        <f>IFERROR(_xlfn.XLOOKUP(Table6[[#This Row],[Affected WTG]],'Basic Data'!$A:$A,'Basic Data'!$B:$B),"")</f>
        <v>TQGXIIPL</v>
      </c>
      <c r="I490" s="35" t="str">
        <f>IFERROR(_xlfn.XLOOKUP(Table6[[#This Row],[Affected WTG]],'Basic Data'!$A:$A,'Basic Data'!$C:$C),"")</f>
        <v>GEDA</v>
      </c>
      <c r="J490" s="471">
        <f>IFERROR(_xlfn.XLOOKUP(Table6[[#This Row],[Affected WTG]],'Basic Data'!$A:$A,'Basic Data'!$E:$E),"")</f>
        <v>3.846153846153845E-2</v>
      </c>
      <c r="K490" s="102">
        <v>6605</v>
      </c>
      <c r="L490" s="35" t="str">
        <f>IFERROR(_xlfn.XLOOKUP(Table6[[#This Row],[Error Code]],'Basic Data'!$AA:$AA,'Basic Data'!$AB:$AB),"Incorrect Error Code")</f>
        <v>Wind.dir. diff. level 2</v>
      </c>
      <c r="M490" s="35" t="s">
        <v>291</v>
      </c>
      <c r="N490" s="475"/>
      <c r="O490" s="476">
        <v>0.73333333333333328</v>
      </c>
      <c r="P490" s="476">
        <v>0.73333333333333328</v>
      </c>
      <c r="Q490" s="477">
        <v>0.73541666666666672</v>
      </c>
      <c r="R490" s="472">
        <f>IF(Table6[[#This Row],[Work Start TimeStamp]]="","",(Table6[[#This Row],[Work Start TimeStamp]]-Table6[[#This Row],[Fault Start TimeStamp]])*24)</f>
        <v>0</v>
      </c>
      <c r="S490" s="472">
        <f>(Table6[[#This Row],[Fault Clearance time]]-Table6[[#This Row],[Work Start TimeStamp]])*24</f>
        <v>5.0000000000002487E-2</v>
      </c>
      <c r="T490" s="472">
        <f>(Table6[[#This Row],[Fault Clearance time]]-Table6[[#This Row],[Fault Start TimeStamp]])*24</f>
        <v>5.0000000000002487E-2</v>
      </c>
      <c r="U490" s="35" t="s">
        <v>349</v>
      </c>
      <c r="V490" s="102" t="s">
        <v>293</v>
      </c>
      <c r="W490" s="478">
        <f>IFERROR(Table6[[#This Row],[Breakdown Time]]*Table6[[#This Row],[Plant Equivalent Weightage]],"")</f>
        <v>1.9230769230770182E-3</v>
      </c>
      <c r="X490" s="473" t="s">
        <v>294</v>
      </c>
      <c r="Y490" s="474" t="s">
        <v>339</v>
      </c>
      <c r="Z490" s="102">
        <v>40527</v>
      </c>
      <c r="AA490" s="468">
        <f>(Table6[[#This Row],[Paired WTG Generation for loss calculation]]/24)*Table6[[#This Row],[Breakdown Time]]</f>
        <v>84.431250000004198</v>
      </c>
      <c r="AB490" s="102"/>
      <c r="AC490" s="35"/>
      <c r="AD490" s="35"/>
    </row>
    <row r="491" spans="1:30">
      <c r="A491" s="102">
        <f t="shared" si="8"/>
        <v>490</v>
      </c>
      <c r="B491" s="468">
        <f>YEAR(Table6[[#This Row],[Date]])+IF(MONTH(Table6[[#This Row],[Date]])&gt;=4,1,0)</f>
        <v>2026</v>
      </c>
      <c r="C491" s="102">
        <f>YEAR(Table6[[#This Row],[Date]])</f>
        <v>2025</v>
      </c>
      <c r="D491" s="102" t="s">
        <v>1992</v>
      </c>
      <c r="E491" s="469">
        <f>Table6[[#This Row],[Date]]-DAY(Table6[[#This Row],[Date]])+1</f>
        <v>45748</v>
      </c>
      <c r="F491" s="470">
        <v>45777</v>
      </c>
      <c r="G491" s="35" t="s">
        <v>91</v>
      </c>
      <c r="H491" s="35" t="str">
        <f>IFERROR(_xlfn.XLOOKUP(Table6[[#This Row],[Affected WTG]],'Basic Data'!$A:$A,'Basic Data'!$B:$B),"")</f>
        <v>TQGXIIPL</v>
      </c>
      <c r="I491" s="35" t="str">
        <f>IFERROR(_xlfn.XLOOKUP(Table6[[#This Row],[Affected WTG]],'Basic Data'!$A:$A,'Basic Data'!$C:$C),"")</f>
        <v>GEDA</v>
      </c>
      <c r="J491" s="471">
        <f>IFERROR(_xlfn.XLOOKUP(Table6[[#This Row],[Affected WTG]],'Basic Data'!$A:$A,'Basic Data'!$E:$E),"")</f>
        <v>3.846153846153845E-2</v>
      </c>
      <c r="K491" s="102">
        <v>2355</v>
      </c>
      <c r="L491" s="35" t="str">
        <f>IFERROR(_xlfn.XLOOKUP(Table6[[#This Row],[Error Code]],'Basic Data'!$AA:$AA,'Basic Data'!$AB:$AB),"Incorrect Error Code")</f>
        <v>Temp. rot.br.pad high</v>
      </c>
      <c r="M491" s="35" t="s">
        <v>291</v>
      </c>
      <c r="N491" s="475"/>
      <c r="O491" s="476">
        <v>7.2222222222222215E-2</v>
      </c>
      <c r="P491" s="476">
        <v>7.2222222222222215E-2</v>
      </c>
      <c r="Q491" s="477">
        <v>7.6388888888888895E-2</v>
      </c>
      <c r="R491" s="472">
        <f>IF(Table6[[#This Row],[Work Start TimeStamp]]="","",(Table6[[#This Row],[Work Start TimeStamp]]-Table6[[#This Row],[Fault Start TimeStamp]])*24)</f>
        <v>0</v>
      </c>
      <c r="S491" s="472">
        <f>(Table6[[#This Row],[Fault Clearance time]]-Table6[[#This Row],[Work Start TimeStamp]])*24</f>
        <v>0.10000000000000031</v>
      </c>
      <c r="T491" s="472">
        <f>(Table6[[#This Row],[Fault Clearance time]]-Table6[[#This Row],[Fault Start TimeStamp]])*24</f>
        <v>0.10000000000000031</v>
      </c>
      <c r="U491" s="35" t="s">
        <v>349</v>
      </c>
      <c r="V491" s="102" t="s">
        <v>293</v>
      </c>
      <c r="W491" s="478">
        <f>IFERROR(Table6[[#This Row],[Breakdown Time]]*Table6[[#This Row],[Plant Equivalent Weightage]],"")</f>
        <v>3.8461538461538568E-3</v>
      </c>
      <c r="X491" s="473" t="s">
        <v>294</v>
      </c>
      <c r="Y491" s="474" t="s">
        <v>319</v>
      </c>
      <c r="Z491" s="102">
        <v>40195</v>
      </c>
      <c r="AA491" s="468">
        <f>(Table6[[#This Row],[Paired WTG Generation for loss calculation]]/24)*Table6[[#This Row],[Breakdown Time]]</f>
        <v>167.4791666666672</v>
      </c>
      <c r="AB491" s="102"/>
      <c r="AC491" s="35"/>
      <c r="AD491" s="35"/>
    </row>
    <row r="492" spans="1:30">
      <c r="A492" s="102">
        <f t="shared" si="8"/>
        <v>491</v>
      </c>
      <c r="B492" s="468">
        <f>YEAR(Table6[[#This Row],[Date]])+IF(MONTH(Table6[[#This Row],[Date]])&gt;=4,1,0)</f>
        <v>2026</v>
      </c>
      <c r="C492" s="102">
        <f>YEAR(Table6[[#This Row],[Date]])</f>
        <v>2025</v>
      </c>
      <c r="D492" s="102" t="s">
        <v>1992</v>
      </c>
      <c r="E492" s="469">
        <f>Table6[[#This Row],[Date]]-DAY(Table6[[#This Row],[Date]])+1</f>
        <v>45748</v>
      </c>
      <c r="F492" s="470">
        <v>45777</v>
      </c>
      <c r="G492" s="35" t="s">
        <v>91</v>
      </c>
      <c r="H492" s="35" t="str">
        <f>IFERROR(_xlfn.XLOOKUP(Table6[[#This Row],[Affected WTG]],'Basic Data'!$A:$A,'Basic Data'!$B:$B),"")</f>
        <v>TQGXIIPL</v>
      </c>
      <c r="I492" s="35" t="str">
        <f>IFERROR(_xlfn.XLOOKUP(Table6[[#This Row],[Affected WTG]],'Basic Data'!$A:$A,'Basic Data'!$C:$C),"")</f>
        <v>GEDA</v>
      </c>
      <c r="J492" s="471">
        <f>IFERROR(_xlfn.XLOOKUP(Table6[[#This Row],[Affected WTG]],'Basic Data'!$A:$A,'Basic Data'!$E:$E),"")</f>
        <v>3.846153846153845E-2</v>
      </c>
      <c r="K492" s="102">
        <v>2355</v>
      </c>
      <c r="L492" s="35" t="str">
        <f>IFERROR(_xlfn.XLOOKUP(Table6[[#This Row],[Error Code]],'Basic Data'!$AA:$AA,'Basic Data'!$AB:$AB),"Incorrect Error Code")</f>
        <v>Temp. rot.br.pad high</v>
      </c>
      <c r="M492" s="35" t="s">
        <v>291</v>
      </c>
      <c r="N492" s="475"/>
      <c r="O492" s="476">
        <v>0.94513888888888886</v>
      </c>
      <c r="P492" s="476">
        <v>0.94513888888888886</v>
      </c>
      <c r="Q492" s="477">
        <v>0.95416666666666672</v>
      </c>
      <c r="R492" s="472">
        <f>IF(Table6[[#This Row],[Work Start TimeStamp]]="","",(Table6[[#This Row],[Work Start TimeStamp]]-Table6[[#This Row],[Fault Start TimeStamp]])*24)</f>
        <v>0</v>
      </c>
      <c r="S492" s="472">
        <f>(Table6[[#This Row],[Fault Clearance time]]-Table6[[#This Row],[Work Start TimeStamp]])*24</f>
        <v>0.21666666666666856</v>
      </c>
      <c r="T492" s="472">
        <f>(Table6[[#This Row],[Fault Clearance time]]-Table6[[#This Row],[Fault Start TimeStamp]])*24</f>
        <v>0.21666666666666856</v>
      </c>
      <c r="U492" s="35" t="s">
        <v>382</v>
      </c>
      <c r="V492" s="102" t="s">
        <v>293</v>
      </c>
      <c r="W492" s="478">
        <f>IFERROR(Table6[[#This Row],[Breakdown Time]]*Table6[[#This Row],[Plant Equivalent Weightage]],"")</f>
        <v>8.3333333333334043E-3</v>
      </c>
      <c r="X492" s="473" t="s">
        <v>294</v>
      </c>
      <c r="Y492" s="474" t="s">
        <v>319</v>
      </c>
      <c r="Z492" s="102">
        <v>40195</v>
      </c>
      <c r="AA492" s="468">
        <f>(Table6[[#This Row],[Paired WTG Generation for loss calculation]]/24)*Table6[[#This Row],[Breakdown Time]]</f>
        <v>362.87152777778095</v>
      </c>
      <c r="AB492" s="102"/>
      <c r="AC492" s="35"/>
      <c r="AD492" s="35"/>
    </row>
    <row r="493" spans="1:30">
      <c r="A493" s="102">
        <f t="shared" si="8"/>
        <v>492</v>
      </c>
      <c r="B493" s="468">
        <f>YEAR(Table6[[#This Row],[Date]])+IF(MONTH(Table6[[#This Row],[Date]])&gt;=4,1,0)</f>
        <v>2026</v>
      </c>
      <c r="C493" s="102">
        <f>YEAR(Table6[[#This Row],[Date]])</f>
        <v>2025</v>
      </c>
      <c r="D493" s="102" t="s">
        <v>1992</v>
      </c>
      <c r="E493" s="469">
        <f>Table6[[#This Row],[Date]]-DAY(Table6[[#This Row],[Date]])+1</f>
        <v>45748</v>
      </c>
      <c r="F493" s="470">
        <v>45777</v>
      </c>
      <c r="G493" s="35" t="s">
        <v>94</v>
      </c>
      <c r="H493" s="35" t="str">
        <f>IFERROR(_xlfn.XLOOKUP(Table6[[#This Row],[Affected WTG]],'Basic Data'!$A:$A,'Basic Data'!$B:$B),"")</f>
        <v>TQGXIIPL</v>
      </c>
      <c r="I493" s="35" t="str">
        <f>IFERROR(_xlfn.XLOOKUP(Table6[[#This Row],[Affected WTG]],'Basic Data'!$A:$A,'Basic Data'!$C:$C),"")</f>
        <v>GEDA</v>
      </c>
      <c r="J493" s="471">
        <f>IFERROR(_xlfn.XLOOKUP(Table6[[#This Row],[Affected WTG]],'Basic Data'!$A:$A,'Basic Data'!$E:$E),"")</f>
        <v>3.846153846153845E-2</v>
      </c>
      <c r="K493" s="102">
        <v>6130</v>
      </c>
      <c r="L493" s="35" t="str">
        <f>IFERROR(_xlfn.XLOOKUP(Table6[[#This Row],[Error Code]],'Basic Data'!$AA:$AA,'Basic Data'!$AB:$AB),"Incorrect Error Code")</f>
        <v>Yaw speed high</v>
      </c>
      <c r="M493" s="35" t="s">
        <v>292</v>
      </c>
      <c r="N493" s="475"/>
      <c r="O493" s="476">
        <v>0.6645833333333333</v>
      </c>
      <c r="P493" s="476">
        <v>0.6645833333333333</v>
      </c>
      <c r="Q493" s="477">
        <v>0.66874999999999996</v>
      </c>
      <c r="R493" s="472">
        <f>IF(Table6[[#This Row],[Work Start TimeStamp]]="","",(Table6[[#This Row],[Work Start TimeStamp]]-Table6[[#This Row],[Fault Start TimeStamp]])*24)</f>
        <v>0</v>
      </c>
      <c r="S493" s="472">
        <f>(Table6[[#This Row],[Fault Clearance time]]-Table6[[#This Row],[Work Start TimeStamp]])*24</f>
        <v>9.9999999999999645E-2</v>
      </c>
      <c r="T493" s="472">
        <f>(Table6[[#This Row],[Fault Clearance time]]-Table6[[#This Row],[Fault Start TimeStamp]])*24</f>
        <v>9.9999999999999645E-2</v>
      </c>
      <c r="U493" s="35" t="s">
        <v>336</v>
      </c>
      <c r="V493" s="102" t="s">
        <v>293</v>
      </c>
      <c r="W493" s="478">
        <f>IFERROR(Table6[[#This Row],[Breakdown Time]]*Table6[[#This Row],[Plant Equivalent Weightage]],"")</f>
        <v>3.8461538461538312E-3</v>
      </c>
      <c r="X493" s="473" t="s">
        <v>294</v>
      </c>
      <c r="Y493" s="474" t="s">
        <v>319</v>
      </c>
      <c r="Z493" s="102">
        <v>40195</v>
      </c>
      <c r="AA493" s="468">
        <f>(Table6[[#This Row],[Paired WTG Generation for loss calculation]]/24)*Table6[[#This Row],[Breakdown Time]]</f>
        <v>167.47916666666609</v>
      </c>
      <c r="AB493" s="102"/>
      <c r="AC493" s="35"/>
      <c r="AD493" s="35"/>
    </row>
    <row r="494" spans="1:30">
      <c r="A494" s="102">
        <f t="shared" si="8"/>
        <v>493</v>
      </c>
      <c r="B494" s="468">
        <f>YEAR(Table6[[#This Row],[Date]])+IF(MONTH(Table6[[#This Row],[Date]])&gt;=4,1,0)</f>
        <v>2026</v>
      </c>
      <c r="C494" s="102">
        <f>YEAR(Table6[[#This Row],[Date]])</f>
        <v>2025</v>
      </c>
      <c r="D494" s="102" t="s">
        <v>1992</v>
      </c>
      <c r="E494" s="469">
        <f>Table6[[#This Row],[Date]]-DAY(Table6[[#This Row],[Date]])+1</f>
        <v>45748</v>
      </c>
      <c r="F494" s="470">
        <v>45777</v>
      </c>
      <c r="G494" s="35" t="s">
        <v>95</v>
      </c>
      <c r="H494" s="35" t="str">
        <f>IFERROR(_xlfn.XLOOKUP(Table6[[#This Row],[Affected WTG]],'Basic Data'!$A:$A,'Basic Data'!$B:$B),"")</f>
        <v>TQGXIIPL</v>
      </c>
      <c r="I494" s="35" t="str">
        <f>IFERROR(_xlfn.XLOOKUP(Table6[[#This Row],[Affected WTG]],'Basic Data'!$A:$A,'Basic Data'!$C:$C),"")</f>
        <v>GEDA</v>
      </c>
      <c r="J494" s="471">
        <f>IFERROR(_xlfn.XLOOKUP(Table6[[#This Row],[Affected WTG]],'Basic Data'!$A:$A,'Basic Data'!$E:$E),"")</f>
        <v>3.846153846153845E-2</v>
      </c>
      <c r="K494" s="102">
        <v>6130</v>
      </c>
      <c r="L494" s="35" t="str">
        <f>IFERROR(_xlfn.XLOOKUP(Table6[[#This Row],[Error Code]],'Basic Data'!$AA:$AA,'Basic Data'!$AB:$AB),"Incorrect Error Code")</f>
        <v>Yaw speed high</v>
      </c>
      <c r="M494" s="35" t="s">
        <v>292</v>
      </c>
      <c r="N494" s="475"/>
      <c r="O494" s="476">
        <v>0.53055555555555556</v>
      </c>
      <c r="P494" s="476">
        <v>0.53055555555555556</v>
      </c>
      <c r="Q494" s="477">
        <v>0.53472222222222221</v>
      </c>
      <c r="R494" s="472">
        <f>IF(Table6[[#This Row],[Work Start TimeStamp]]="","",(Table6[[#This Row],[Work Start TimeStamp]]-Table6[[#This Row],[Fault Start TimeStamp]])*24)</f>
        <v>0</v>
      </c>
      <c r="S494" s="472">
        <f>(Table6[[#This Row],[Fault Clearance time]]-Table6[[#This Row],[Work Start TimeStamp]])*24</f>
        <v>9.9999999999999645E-2</v>
      </c>
      <c r="T494" s="472">
        <f>(Table6[[#This Row],[Fault Clearance time]]-Table6[[#This Row],[Fault Start TimeStamp]])*24</f>
        <v>9.9999999999999645E-2</v>
      </c>
      <c r="U494" s="35" t="s">
        <v>336</v>
      </c>
      <c r="V494" s="102" t="s">
        <v>293</v>
      </c>
      <c r="W494" s="478">
        <f>IFERROR(Table6[[#This Row],[Breakdown Time]]*Table6[[#This Row],[Plant Equivalent Weightage]],"")</f>
        <v>3.8461538461538312E-3</v>
      </c>
      <c r="X494" s="473" t="s">
        <v>294</v>
      </c>
      <c r="Y494" s="474" t="s">
        <v>319</v>
      </c>
      <c r="Z494" s="102">
        <v>40195</v>
      </c>
      <c r="AA494" s="468">
        <f>(Table6[[#This Row],[Paired WTG Generation for loss calculation]]/24)*Table6[[#This Row],[Breakdown Time]]</f>
        <v>167.47916666666609</v>
      </c>
      <c r="AB494" s="102"/>
      <c r="AC494" s="35"/>
      <c r="AD494" s="35"/>
    </row>
    <row r="495" spans="1:30">
      <c r="A495" s="102">
        <f t="shared" si="8"/>
        <v>494</v>
      </c>
      <c r="B495" s="468">
        <f>YEAR(Table6[[#This Row],[Date]])+IF(MONTH(Table6[[#This Row],[Date]])&gt;=4,1,0)</f>
        <v>2026</v>
      </c>
      <c r="C495" s="102">
        <f>YEAR(Table6[[#This Row],[Date]])</f>
        <v>2025</v>
      </c>
      <c r="D495" s="102" t="s">
        <v>1992</v>
      </c>
      <c r="E495" s="469">
        <f>Table6[[#This Row],[Date]]-DAY(Table6[[#This Row],[Date]])+1</f>
        <v>45748</v>
      </c>
      <c r="F495" s="470">
        <v>45777</v>
      </c>
      <c r="G495" s="35" t="s">
        <v>95</v>
      </c>
      <c r="H495" s="35" t="str">
        <f>IFERROR(_xlfn.XLOOKUP(Table6[[#This Row],[Affected WTG]],'Basic Data'!$A:$A,'Basic Data'!$B:$B),"")</f>
        <v>TQGXIIPL</v>
      </c>
      <c r="I495" s="35" t="str">
        <f>IFERROR(_xlfn.XLOOKUP(Table6[[#This Row],[Affected WTG]],'Basic Data'!$A:$A,'Basic Data'!$C:$C),"")</f>
        <v>GEDA</v>
      </c>
      <c r="J495" s="471">
        <f>IFERROR(_xlfn.XLOOKUP(Table6[[#This Row],[Affected WTG]],'Basic Data'!$A:$A,'Basic Data'!$E:$E),"")</f>
        <v>3.846153846153845E-2</v>
      </c>
      <c r="K495" s="102">
        <v>6130</v>
      </c>
      <c r="L495" s="35" t="str">
        <f>IFERROR(_xlfn.XLOOKUP(Table6[[#This Row],[Error Code]],'Basic Data'!$AA:$AA,'Basic Data'!$AB:$AB),"Incorrect Error Code")</f>
        <v>Yaw speed high</v>
      </c>
      <c r="M495" s="35" t="s">
        <v>291</v>
      </c>
      <c r="N495" s="475"/>
      <c r="O495" s="476">
        <v>0.61527777777777781</v>
      </c>
      <c r="P495" s="476">
        <v>0.61527777777777781</v>
      </c>
      <c r="Q495" s="477">
        <v>0.61736111111111114</v>
      </c>
      <c r="R495" s="472">
        <f>IF(Table6[[#This Row],[Work Start TimeStamp]]="","",(Table6[[#This Row],[Work Start TimeStamp]]-Table6[[#This Row],[Fault Start TimeStamp]])*24)</f>
        <v>0</v>
      </c>
      <c r="S495" s="472">
        <f>(Table6[[#This Row],[Fault Clearance time]]-Table6[[#This Row],[Work Start TimeStamp]])*24</f>
        <v>4.9999999999999822E-2</v>
      </c>
      <c r="T495" s="472">
        <f>(Table6[[#This Row],[Fault Clearance time]]-Table6[[#This Row],[Fault Start TimeStamp]])*24</f>
        <v>4.9999999999999822E-2</v>
      </c>
      <c r="U495" s="35" t="s">
        <v>349</v>
      </c>
      <c r="V495" s="102" t="s">
        <v>293</v>
      </c>
      <c r="W495" s="478">
        <f>IFERROR(Table6[[#This Row],[Breakdown Time]]*Table6[[#This Row],[Plant Equivalent Weightage]],"")</f>
        <v>1.9230769230769156E-3</v>
      </c>
      <c r="X495" s="473" t="s">
        <v>294</v>
      </c>
      <c r="Y495" s="474" t="s">
        <v>319</v>
      </c>
      <c r="Z495" s="102">
        <v>40195</v>
      </c>
      <c r="AA495" s="468">
        <f>(Table6[[#This Row],[Paired WTG Generation for loss calculation]]/24)*Table6[[#This Row],[Breakdown Time]]</f>
        <v>83.739583333333044</v>
      </c>
      <c r="AB495" s="102"/>
      <c r="AC495" s="35"/>
      <c r="AD495" s="35"/>
    </row>
    <row r="496" spans="1:30">
      <c r="A496" s="102">
        <f t="shared" si="8"/>
        <v>495</v>
      </c>
      <c r="B496" s="468">
        <f>YEAR(Table6[[#This Row],[Date]])+IF(MONTH(Table6[[#This Row],[Date]])&gt;=4,1,0)</f>
        <v>2026</v>
      </c>
      <c r="C496" s="102">
        <f>YEAR(Table6[[#This Row],[Date]])</f>
        <v>2025</v>
      </c>
      <c r="D496" s="102" t="s">
        <v>1992</v>
      </c>
      <c r="E496" s="469">
        <f>Table6[[#This Row],[Date]]-DAY(Table6[[#This Row],[Date]])+1</f>
        <v>45748</v>
      </c>
      <c r="F496" s="470">
        <v>45777</v>
      </c>
      <c r="G496" s="35" t="s">
        <v>96</v>
      </c>
      <c r="H496" s="35" t="str">
        <f>IFERROR(_xlfn.XLOOKUP(Table6[[#This Row],[Affected WTG]],'Basic Data'!$A:$A,'Basic Data'!$B:$B),"")</f>
        <v>TQGXIIPL</v>
      </c>
      <c r="I496" s="35" t="str">
        <f>IFERROR(_xlfn.XLOOKUP(Table6[[#This Row],[Affected WTG]],'Basic Data'!$A:$A,'Basic Data'!$C:$C),"")</f>
        <v>GEDA</v>
      </c>
      <c r="J496" s="471">
        <f>IFERROR(_xlfn.XLOOKUP(Table6[[#This Row],[Affected WTG]],'Basic Data'!$A:$A,'Basic Data'!$E:$E),"")</f>
        <v>3.846153846153845E-2</v>
      </c>
      <c r="K496" s="102">
        <v>55</v>
      </c>
      <c r="L496" s="35" t="str">
        <f>IFERROR(_xlfn.XLOOKUP(Table6[[#This Row],[Error Code]],'Basic Data'!$AA:$AA,'Basic Data'!$AB:$AB),"Incorrect Error Code")</f>
        <v>WTG shut down</v>
      </c>
      <c r="M496" s="35" t="s">
        <v>291</v>
      </c>
      <c r="N496" s="475"/>
      <c r="O496" s="476">
        <v>0.65208333333333335</v>
      </c>
      <c r="P496" s="476">
        <v>0.65208333333333335</v>
      </c>
      <c r="Q496" s="477">
        <v>0.67708333333333337</v>
      </c>
      <c r="R496" s="472">
        <f>IF(Table6[[#This Row],[Work Start TimeStamp]]="","",(Table6[[#This Row],[Work Start TimeStamp]]-Table6[[#This Row],[Fault Start TimeStamp]])*24)</f>
        <v>0</v>
      </c>
      <c r="S496" s="472">
        <f>(Table6[[#This Row],[Fault Clearance time]]-Table6[[#This Row],[Work Start TimeStamp]])*24</f>
        <v>0.60000000000000053</v>
      </c>
      <c r="T496" s="472">
        <f>(Table6[[#This Row],[Fault Clearance time]]-Table6[[#This Row],[Fault Start TimeStamp]])*24</f>
        <v>0.60000000000000053</v>
      </c>
      <c r="U496" s="35" t="s">
        <v>1719</v>
      </c>
      <c r="V496" s="102" t="s">
        <v>293</v>
      </c>
      <c r="W496" s="478">
        <f>IFERROR(Table6[[#This Row],[Breakdown Time]]*Table6[[#This Row],[Plant Equivalent Weightage]],"")</f>
        <v>2.3076923076923092E-2</v>
      </c>
      <c r="X496" s="473" t="s">
        <v>290</v>
      </c>
      <c r="Y496" s="474" t="s">
        <v>313</v>
      </c>
      <c r="Z496" s="102">
        <v>39981</v>
      </c>
      <c r="AA496" s="468">
        <f>(Table6[[#This Row],[Paired WTG Generation for loss calculation]]/24)*Table6[[#This Row],[Breakdown Time]]</f>
        <v>999.52500000000089</v>
      </c>
      <c r="AB496" s="102"/>
      <c r="AC496" s="35"/>
      <c r="AD496" s="35"/>
    </row>
    <row r="497" spans="1:30">
      <c r="A497" s="102">
        <f t="shared" si="8"/>
        <v>496</v>
      </c>
      <c r="B497" s="468">
        <f>YEAR(Table6[[#This Row],[Date]])+IF(MONTH(Table6[[#This Row],[Date]])&gt;=4,1,0)</f>
        <v>2026</v>
      </c>
      <c r="C497" s="102">
        <f>YEAR(Table6[[#This Row],[Date]])</f>
        <v>2025</v>
      </c>
      <c r="D497" s="102" t="s">
        <v>1992</v>
      </c>
      <c r="E497" s="469">
        <f>Table6[[#This Row],[Date]]-DAY(Table6[[#This Row],[Date]])+1</f>
        <v>45748</v>
      </c>
      <c r="F497" s="470">
        <v>45777</v>
      </c>
      <c r="G497" s="35" t="s">
        <v>98</v>
      </c>
      <c r="H497" s="35" t="str">
        <f>IFERROR(_xlfn.XLOOKUP(Table6[[#This Row],[Affected WTG]],'Basic Data'!$A:$A,'Basic Data'!$B:$B),"")</f>
        <v>TQGXIIPL</v>
      </c>
      <c r="I497" s="35" t="str">
        <f>IFERROR(_xlfn.XLOOKUP(Table6[[#This Row],[Affected WTG]],'Basic Data'!$A:$A,'Basic Data'!$C:$C),"")</f>
        <v>GEDA</v>
      </c>
      <c r="J497" s="471">
        <f>IFERROR(_xlfn.XLOOKUP(Table6[[#This Row],[Affected WTG]],'Basic Data'!$A:$A,'Basic Data'!$E:$E),"")</f>
        <v>3.846153846153845E-2</v>
      </c>
      <c r="K497" s="102">
        <v>55</v>
      </c>
      <c r="L497" s="35" t="str">
        <f>IFERROR(_xlfn.XLOOKUP(Table6[[#This Row],[Error Code]],'Basic Data'!$AA:$AA,'Basic Data'!$AB:$AB),"Incorrect Error Code")</f>
        <v>WTG shut down</v>
      </c>
      <c r="M497" s="35" t="s">
        <v>330</v>
      </c>
      <c r="N497" s="475"/>
      <c r="O497" s="476">
        <v>0</v>
      </c>
      <c r="P497" s="476">
        <v>0</v>
      </c>
      <c r="Q497" s="477">
        <v>1.6666666666666666E-2</v>
      </c>
      <c r="R497" s="472">
        <f>IF(Table6[[#This Row],[Work Start TimeStamp]]="","",(Table6[[#This Row],[Work Start TimeStamp]]-Table6[[#This Row],[Fault Start TimeStamp]])*24)</f>
        <v>0</v>
      </c>
      <c r="S497" s="472">
        <f>(Table6[[#This Row],[Fault Clearance time]]-Table6[[#This Row],[Work Start TimeStamp]])*24</f>
        <v>0.4</v>
      </c>
      <c r="T497" s="472">
        <f>(Table6[[#This Row],[Fault Clearance time]]-Table6[[#This Row],[Fault Start TimeStamp]])*24</f>
        <v>0.4</v>
      </c>
      <c r="U497" s="35" t="s">
        <v>1744</v>
      </c>
      <c r="V497" s="102" t="s">
        <v>293</v>
      </c>
      <c r="W497" s="478">
        <f>IFERROR(Table6[[#This Row],[Breakdown Time]]*Table6[[#This Row],[Plant Equivalent Weightage]],"")</f>
        <v>1.538461538461538E-2</v>
      </c>
      <c r="X497" s="473" t="s">
        <v>290</v>
      </c>
      <c r="Y497" s="474" t="s">
        <v>315</v>
      </c>
      <c r="Z497" s="102">
        <v>30766</v>
      </c>
      <c r="AA497" s="468">
        <f>(Table6[[#This Row],[Paired WTG Generation for loss calculation]]/24)*Table6[[#This Row],[Breakdown Time]]</f>
        <v>512.76666666666677</v>
      </c>
      <c r="AB497" s="102"/>
      <c r="AC497" s="35"/>
      <c r="AD497" s="35"/>
    </row>
    <row r="498" spans="1:30">
      <c r="A498" s="102">
        <f t="shared" si="8"/>
        <v>497</v>
      </c>
      <c r="B498" s="468">
        <f>YEAR(Table6[[#This Row],[Date]])+IF(MONTH(Table6[[#This Row],[Date]])&gt;=4,1,0)</f>
        <v>2026</v>
      </c>
      <c r="C498" s="102">
        <f>YEAR(Table6[[#This Row],[Date]])</f>
        <v>2025</v>
      </c>
      <c r="D498" s="102" t="s">
        <v>1992</v>
      </c>
      <c r="E498" s="469">
        <f>Table6[[#This Row],[Date]]-DAY(Table6[[#This Row],[Date]])+1</f>
        <v>45748</v>
      </c>
      <c r="F498" s="470">
        <v>45777</v>
      </c>
      <c r="G498" s="35" t="s">
        <v>98</v>
      </c>
      <c r="H498" s="35" t="str">
        <f>IFERROR(_xlfn.XLOOKUP(Table6[[#This Row],[Affected WTG]],'Basic Data'!$A:$A,'Basic Data'!$B:$B),"")</f>
        <v>TQGXIIPL</v>
      </c>
      <c r="I498" s="35" t="str">
        <f>IFERROR(_xlfn.XLOOKUP(Table6[[#This Row],[Affected WTG]],'Basic Data'!$A:$A,'Basic Data'!$C:$C),"")</f>
        <v>GEDA</v>
      </c>
      <c r="J498" s="471">
        <f>IFERROR(_xlfn.XLOOKUP(Table6[[#This Row],[Affected WTG]],'Basic Data'!$A:$A,'Basic Data'!$E:$E),"")</f>
        <v>3.846153846153845E-2</v>
      </c>
      <c r="K498" s="102">
        <v>55</v>
      </c>
      <c r="L498" s="35" t="str">
        <f>IFERROR(_xlfn.XLOOKUP(Table6[[#This Row],[Error Code]],'Basic Data'!$AA:$AA,'Basic Data'!$AB:$AB),"Incorrect Error Code")</f>
        <v>WTG shut down</v>
      </c>
      <c r="M498" s="35" t="s">
        <v>330</v>
      </c>
      <c r="N498" s="475"/>
      <c r="O498" s="476">
        <v>0.74444444444444446</v>
      </c>
      <c r="P498" s="476">
        <v>0.74444444444444446</v>
      </c>
      <c r="Q498" s="477">
        <v>0.81319444444444444</v>
      </c>
      <c r="R498" s="472">
        <f>IF(Table6[[#This Row],[Work Start TimeStamp]]="","",(Table6[[#This Row],[Work Start TimeStamp]]-Table6[[#This Row],[Fault Start TimeStamp]])*24)</f>
        <v>0</v>
      </c>
      <c r="S498" s="472">
        <f>(Table6[[#This Row],[Fault Clearance time]]-Table6[[#This Row],[Work Start TimeStamp]])*24</f>
        <v>1.6499999999999995</v>
      </c>
      <c r="T498" s="472">
        <f>(Table6[[#This Row],[Fault Clearance time]]-Table6[[#This Row],[Fault Start TimeStamp]])*24</f>
        <v>1.6499999999999995</v>
      </c>
      <c r="U498" s="35" t="s">
        <v>1744</v>
      </c>
      <c r="V498" s="102" t="s">
        <v>293</v>
      </c>
      <c r="W498" s="478">
        <f>IFERROR(Table6[[#This Row],[Breakdown Time]]*Table6[[#This Row],[Plant Equivalent Weightage]],"")</f>
        <v>6.3461538461538416E-2</v>
      </c>
      <c r="X498" s="473" t="s">
        <v>290</v>
      </c>
      <c r="Y498" s="474" t="s">
        <v>315</v>
      </c>
      <c r="Z498" s="102">
        <v>30766</v>
      </c>
      <c r="AA498" s="468">
        <f>(Table6[[#This Row],[Paired WTG Generation for loss calculation]]/24)*Table6[[#This Row],[Breakdown Time]]</f>
        <v>2115.1624999999995</v>
      </c>
      <c r="AB498" s="102"/>
      <c r="AC498" s="35"/>
      <c r="AD498" s="35"/>
    </row>
    <row r="499" spans="1:30">
      <c r="A499" s="102">
        <f t="shared" si="8"/>
        <v>498</v>
      </c>
      <c r="B499" s="468">
        <f>YEAR(Table6[[#This Row],[Date]])+IF(MONTH(Table6[[#This Row],[Date]])&gt;=4,1,0)</f>
        <v>2026</v>
      </c>
      <c r="C499" s="102">
        <f>YEAR(Table6[[#This Row],[Date]])</f>
        <v>2025</v>
      </c>
      <c r="D499" s="102" t="s">
        <v>1992</v>
      </c>
      <c r="E499" s="469">
        <f>Table6[[#This Row],[Date]]-DAY(Table6[[#This Row],[Date]])+1</f>
        <v>45748</v>
      </c>
      <c r="F499" s="470">
        <v>45777</v>
      </c>
      <c r="G499" s="35" t="s">
        <v>99</v>
      </c>
      <c r="H499" s="35" t="str">
        <f>IFERROR(_xlfn.XLOOKUP(Table6[[#This Row],[Affected WTG]],'Basic Data'!$A:$A,'Basic Data'!$B:$B),"")</f>
        <v>TQGXIIPL</v>
      </c>
      <c r="I499" s="35" t="str">
        <f>IFERROR(_xlfn.XLOOKUP(Table6[[#This Row],[Affected WTG]],'Basic Data'!$A:$A,'Basic Data'!$C:$C),"")</f>
        <v>GEDA</v>
      </c>
      <c r="J499" s="471">
        <f>IFERROR(_xlfn.XLOOKUP(Table6[[#This Row],[Affected WTG]],'Basic Data'!$A:$A,'Basic Data'!$E:$E),"")</f>
        <v>3.846153846153845E-2</v>
      </c>
      <c r="K499" s="102">
        <v>55</v>
      </c>
      <c r="L499" s="35" t="str">
        <f>IFERROR(_xlfn.XLOOKUP(Table6[[#This Row],[Error Code]],'Basic Data'!$AA:$AA,'Basic Data'!$AB:$AB),"Incorrect Error Code")</f>
        <v>WTG shut down</v>
      </c>
      <c r="M499" s="35" t="s">
        <v>291</v>
      </c>
      <c r="N499" s="475"/>
      <c r="O499" s="476">
        <v>0.49791666666666667</v>
      </c>
      <c r="P499" s="476">
        <v>0.49791666666666667</v>
      </c>
      <c r="Q499" s="477">
        <v>0.51180555555555551</v>
      </c>
      <c r="R499" s="472">
        <f>IF(Table6[[#This Row],[Work Start TimeStamp]]="","",(Table6[[#This Row],[Work Start TimeStamp]]-Table6[[#This Row],[Fault Start TimeStamp]])*24)</f>
        <v>0</v>
      </c>
      <c r="S499" s="472">
        <f>(Table6[[#This Row],[Fault Clearance time]]-Table6[[#This Row],[Work Start TimeStamp]])*24</f>
        <v>0.33333333333333215</v>
      </c>
      <c r="T499" s="472">
        <f>(Table6[[#This Row],[Fault Clearance time]]-Table6[[#This Row],[Fault Start TimeStamp]])*24</f>
        <v>0.33333333333333215</v>
      </c>
      <c r="U499" s="35" t="s">
        <v>1719</v>
      </c>
      <c r="V499" s="102" t="s">
        <v>293</v>
      </c>
      <c r="W499" s="478">
        <f>IFERROR(Table6[[#This Row],[Breakdown Time]]*Table6[[#This Row],[Plant Equivalent Weightage]],"")</f>
        <v>1.2820512820512771E-2</v>
      </c>
      <c r="X499" s="473" t="s">
        <v>290</v>
      </c>
      <c r="Y499" s="474" t="s">
        <v>315</v>
      </c>
      <c r="Z499" s="102">
        <v>30766</v>
      </c>
      <c r="AA499" s="468">
        <f>(Table6[[#This Row],[Paired WTG Generation for loss calculation]]/24)*Table6[[#This Row],[Breakdown Time]]</f>
        <v>427.30555555555406</v>
      </c>
      <c r="AB499" s="102"/>
      <c r="AC499" s="35"/>
      <c r="AD499" s="35"/>
    </row>
    <row r="500" spans="1:30">
      <c r="A500" s="102">
        <f t="shared" si="8"/>
        <v>499</v>
      </c>
      <c r="B500" s="468">
        <f>YEAR(Table6[[#This Row],[Date]])+IF(MONTH(Table6[[#This Row],[Date]])&gt;=4,1,0)</f>
        <v>2026</v>
      </c>
      <c r="C500" s="102">
        <f>YEAR(Table6[[#This Row],[Date]])</f>
        <v>2025</v>
      </c>
      <c r="D500" s="102" t="s">
        <v>1992</v>
      </c>
      <c r="E500" s="469">
        <f>Table6[[#This Row],[Date]]-DAY(Table6[[#This Row],[Date]])+1</f>
        <v>45748</v>
      </c>
      <c r="F500" s="470">
        <v>45777</v>
      </c>
      <c r="G500" s="35" t="s">
        <v>99</v>
      </c>
      <c r="H500" s="35" t="str">
        <f>IFERROR(_xlfn.XLOOKUP(Table6[[#This Row],[Affected WTG]],'Basic Data'!$A:$A,'Basic Data'!$B:$B),"")</f>
        <v>TQGXIIPL</v>
      </c>
      <c r="I500" s="35" t="str">
        <f>IFERROR(_xlfn.XLOOKUP(Table6[[#This Row],[Affected WTG]],'Basic Data'!$A:$A,'Basic Data'!$C:$C),"")</f>
        <v>GEDA</v>
      </c>
      <c r="J500" s="471">
        <f>IFERROR(_xlfn.XLOOKUP(Table6[[#This Row],[Affected WTG]],'Basic Data'!$A:$A,'Basic Data'!$E:$E),"")</f>
        <v>3.846153846153845E-2</v>
      </c>
      <c r="K500" s="102">
        <v>6130</v>
      </c>
      <c r="L500" s="35" t="str">
        <f>IFERROR(_xlfn.XLOOKUP(Table6[[#This Row],[Error Code]],'Basic Data'!$AA:$AA,'Basic Data'!$AB:$AB),"Incorrect Error Code")</f>
        <v>Yaw speed high</v>
      </c>
      <c r="M500" s="35" t="s">
        <v>291</v>
      </c>
      <c r="N500" s="475"/>
      <c r="O500" s="476">
        <v>0.56527777777777777</v>
      </c>
      <c r="P500" s="476">
        <v>0.56527777777777777</v>
      </c>
      <c r="Q500" s="477">
        <v>0.57361111111111107</v>
      </c>
      <c r="R500" s="472">
        <f>IF(Table6[[#This Row],[Work Start TimeStamp]]="","",(Table6[[#This Row],[Work Start TimeStamp]]-Table6[[#This Row],[Fault Start TimeStamp]])*24)</f>
        <v>0</v>
      </c>
      <c r="S500" s="472">
        <f>(Table6[[#This Row],[Fault Clearance time]]-Table6[[#This Row],[Work Start TimeStamp]])*24</f>
        <v>0.19999999999999929</v>
      </c>
      <c r="T500" s="472">
        <f>(Table6[[#This Row],[Fault Clearance time]]-Table6[[#This Row],[Fault Start TimeStamp]])*24</f>
        <v>0.19999999999999929</v>
      </c>
      <c r="U500" s="35" t="s">
        <v>349</v>
      </c>
      <c r="V500" s="102" t="s">
        <v>293</v>
      </c>
      <c r="W500" s="478">
        <f>IFERROR(Table6[[#This Row],[Breakdown Time]]*Table6[[#This Row],[Plant Equivalent Weightage]],"")</f>
        <v>7.6923076923076624E-3</v>
      </c>
      <c r="X500" s="473" t="s">
        <v>294</v>
      </c>
      <c r="Y500" s="474" t="s">
        <v>315</v>
      </c>
      <c r="Z500" s="102">
        <v>30766</v>
      </c>
      <c r="AA500" s="468">
        <f>(Table6[[#This Row],[Paired WTG Generation for loss calculation]]/24)*Table6[[#This Row],[Breakdown Time]]</f>
        <v>256.38333333333242</v>
      </c>
      <c r="AB500" s="102"/>
      <c r="AC500" s="35"/>
      <c r="AD500" s="35"/>
    </row>
    <row r="501" spans="1:30">
      <c r="A501" s="102">
        <f t="shared" si="8"/>
        <v>500</v>
      </c>
      <c r="B501" s="468">
        <f>YEAR(Table6[[#This Row],[Date]])+IF(MONTH(Table6[[#This Row],[Date]])&gt;=4,1,0)</f>
        <v>2026</v>
      </c>
      <c r="C501" s="102">
        <f>YEAR(Table6[[#This Row],[Date]])</f>
        <v>2025</v>
      </c>
      <c r="D501" s="102" t="s">
        <v>1992</v>
      </c>
      <c r="E501" s="469">
        <f>Table6[[#This Row],[Date]]-DAY(Table6[[#This Row],[Date]])+1</f>
        <v>45778</v>
      </c>
      <c r="F501" s="470">
        <v>45778</v>
      </c>
      <c r="G501" s="35" t="s">
        <v>77</v>
      </c>
      <c r="H501" s="35" t="str">
        <f>IFERROR(_xlfn.XLOOKUP(Table6[[#This Row],[Affected WTG]],'Basic Data'!$A:$A,'Basic Data'!$B:$B),"")</f>
        <v>TQGXIIPL</v>
      </c>
      <c r="I501" s="35" t="str">
        <f>IFERROR(_xlfn.XLOOKUP(Table6[[#This Row],[Affected WTG]],'Basic Data'!$A:$A,'Basic Data'!$C:$C),"")</f>
        <v>GEDA</v>
      </c>
      <c r="J501" s="471">
        <f>IFERROR(_xlfn.XLOOKUP(Table6[[#This Row],[Affected WTG]],'Basic Data'!$A:$A,'Basic Data'!$E:$E),"")</f>
        <v>3.846153846153845E-2</v>
      </c>
      <c r="K501" s="102">
        <v>6130</v>
      </c>
      <c r="L501" s="35" t="str">
        <f>IFERROR(_xlfn.XLOOKUP(Table6[[#This Row],[Error Code]],'Basic Data'!$AA:$AA,'Basic Data'!$AB:$AB),"Incorrect Error Code")</f>
        <v>Yaw speed high</v>
      </c>
      <c r="M501" s="35" t="s">
        <v>292</v>
      </c>
      <c r="N501" s="475"/>
      <c r="O501" s="476">
        <v>0.60833333333333328</v>
      </c>
      <c r="P501" s="476">
        <v>0.60833333333333328</v>
      </c>
      <c r="Q501" s="477">
        <v>0.61250000000000004</v>
      </c>
      <c r="R501" s="472">
        <f>IF(Table6[[#This Row],[Work Start TimeStamp]]="","",(Table6[[#This Row],[Work Start TimeStamp]]-Table6[[#This Row],[Fault Start TimeStamp]])*24)</f>
        <v>0</v>
      </c>
      <c r="S501" s="472">
        <f>(Table6[[#This Row],[Fault Clearance time]]-Table6[[#This Row],[Work Start TimeStamp]])*24</f>
        <v>0.10000000000000231</v>
      </c>
      <c r="T501" s="472">
        <f>(Table6[[#This Row],[Fault Clearance time]]-Table6[[#This Row],[Fault Start TimeStamp]])*24</f>
        <v>0.10000000000000231</v>
      </c>
      <c r="U501" s="35" t="s">
        <v>336</v>
      </c>
      <c r="V501" s="102" t="s">
        <v>293</v>
      </c>
      <c r="W501" s="478">
        <f>IFERROR(Table6[[#This Row],[Breakdown Time]]*Table6[[#This Row],[Plant Equivalent Weightage]],"")</f>
        <v>3.846153846153934E-3</v>
      </c>
      <c r="X501" s="473" t="s">
        <v>294</v>
      </c>
      <c r="Y501" s="474" t="s">
        <v>310</v>
      </c>
      <c r="Z501" s="102">
        <v>45834</v>
      </c>
      <c r="AA501" s="468">
        <f>(Table6[[#This Row],[Paired WTG Generation for loss calculation]]/24)*Table6[[#This Row],[Breakdown Time]]</f>
        <v>190.9750000000044</v>
      </c>
      <c r="AB501" s="102"/>
      <c r="AC501" s="35"/>
      <c r="AD501" s="35"/>
    </row>
    <row r="502" spans="1:30">
      <c r="A502" s="102">
        <f t="shared" si="8"/>
        <v>501</v>
      </c>
      <c r="B502" s="468">
        <f>YEAR(Table6[[#This Row],[Date]])+IF(MONTH(Table6[[#This Row],[Date]])&gt;=4,1,0)</f>
        <v>2026</v>
      </c>
      <c r="C502" s="102">
        <f>YEAR(Table6[[#This Row],[Date]])</f>
        <v>2025</v>
      </c>
      <c r="D502" s="102" t="s">
        <v>1992</v>
      </c>
      <c r="E502" s="469">
        <f>Table6[[#This Row],[Date]]-DAY(Table6[[#This Row],[Date]])+1</f>
        <v>45778</v>
      </c>
      <c r="F502" s="470">
        <v>45778</v>
      </c>
      <c r="G502" s="35" t="s">
        <v>78</v>
      </c>
      <c r="H502" s="35" t="str">
        <f>IFERROR(_xlfn.XLOOKUP(Table6[[#This Row],[Affected WTG]],'Basic Data'!$A:$A,'Basic Data'!$B:$B),"")</f>
        <v>TQGXIIPL</v>
      </c>
      <c r="I502" s="35" t="str">
        <f>IFERROR(_xlfn.XLOOKUP(Table6[[#This Row],[Affected WTG]],'Basic Data'!$A:$A,'Basic Data'!$C:$C),"")</f>
        <v>GEDA</v>
      </c>
      <c r="J502" s="471">
        <f>IFERROR(_xlfn.XLOOKUP(Table6[[#This Row],[Affected WTG]],'Basic Data'!$A:$A,'Basic Data'!$E:$E),"")</f>
        <v>3.846153846153845E-2</v>
      </c>
      <c r="K502" s="102">
        <v>55</v>
      </c>
      <c r="L502" s="35" t="str">
        <f>IFERROR(_xlfn.XLOOKUP(Table6[[#This Row],[Error Code]],'Basic Data'!$AA:$AA,'Basic Data'!$AB:$AB),"Incorrect Error Code")</f>
        <v>WTG shut down</v>
      </c>
      <c r="M502" s="35" t="s">
        <v>291</v>
      </c>
      <c r="N502" s="475"/>
      <c r="O502" s="476">
        <v>0.44513888888888886</v>
      </c>
      <c r="P502" s="476">
        <v>0.44513888888888886</v>
      </c>
      <c r="Q502" s="477">
        <v>0.47569444444444442</v>
      </c>
      <c r="R502" s="472">
        <f>IF(Table6[[#This Row],[Work Start TimeStamp]]="","",(Table6[[#This Row],[Work Start TimeStamp]]-Table6[[#This Row],[Fault Start TimeStamp]])*24)</f>
        <v>0</v>
      </c>
      <c r="S502" s="472">
        <f>(Table6[[#This Row],[Fault Clearance time]]-Table6[[#This Row],[Work Start TimeStamp]])*24</f>
        <v>0.73333333333333339</v>
      </c>
      <c r="T502" s="472">
        <f>(Table6[[#This Row],[Fault Clearance time]]-Table6[[#This Row],[Fault Start TimeStamp]])*24</f>
        <v>0.73333333333333339</v>
      </c>
      <c r="U502" s="35" t="s">
        <v>1719</v>
      </c>
      <c r="V502" s="102" t="s">
        <v>293</v>
      </c>
      <c r="W502" s="478">
        <f>IFERROR(Table6[[#This Row],[Breakdown Time]]*Table6[[#This Row],[Plant Equivalent Weightage]],"")</f>
        <v>2.8205128205128199E-2</v>
      </c>
      <c r="X502" s="473" t="s">
        <v>290</v>
      </c>
      <c r="Y502" s="474" t="s">
        <v>333</v>
      </c>
      <c r="Z502" s="102">
        <v>49670</v>
      </c>
      <c r="AA502" s="468">
        <f>(Table6[[#This Row],[Paired WTG Generation for loss calculation]]/24)*Table6[[#This Row],[Breakdown Time]]</f>
        <v>1517.6944444444446</v>
      </c>
      <c r="AB502" s="102"/>
      <c r="AC502" s="35"/>
      <c r="AD502" s="35"/>
    </row>
    <row r="503" spans="1:30">
      <c r="A503" s="102">
        <f t="shared" si="8"/>
        <v>502</v>
      </c>
      <c r="B503" s="468">
        <f>YEAR(Table6[[#This Row],[Date]])+IF(MONTH(Table6[[#This Row],[Date]])&gt;=4,1,0)</f>
        <v>2026</v>
      </c>
      <c r="C503" s="102">
        <f>YEAR(Table6[[#This Row],[Date]])</f>
        <v>2025</v>
      </c>
      <c r="D503" s="102" t="s">
        <v>1992</v>
      </c>
      <c r="E503" s="469">
        <f>Table6[[#This Row],[Date]]-DAY(Table6[[#This Row],[Date]])+1</f>
        <v>45778</v>
      </c>
      <c r="F503" s="470">
        <v>45778</v>
      </c>
      <c r="G503" s="35" t="s">
        <v>78</v>
      </c>
      <c r="H503" s="35" t="str">
        <f>IFERROR(_xlfn.XLOOKUP(Table6[[#This Row],[Affected WTG]],'Basic Data'!$A:$A,'Basic Data'!$B:$B),"")</f>
        <v>TQGXIIPL</v>
      </c>
      <c r="I503" s="35" t="str">
        <f>IFERROR(_xlfn.XLOOKUP(Table6[[#This Row],[Affected WTG]],'Basic Data'!$A:$A,'Basic Data'!$C:$C),"")</f>
        <v>GEDA</v>
      </c>
      <c r="J503" s="471">
        <f>IFERROR(_xlfn.XLOOKUP(Table6[[#This Row],[Affected WTG]],'Basic Data'!$A:$A,'Basic Data'!$E:$E),"")</f>
        <v>3.846153846153845E-2</v>
      </c>
      <c r="K503" s="102">
        <v>6130</v>
      </c>
      <c r="L503" s="35" t="str">
        <f>IFERROR(_xlfn.XLOOKUP(Table6[[#This Row],[Error Code]],'Basic Data'!$AA:$AA,'Basic Data'!$AB:$AB),"Incorrect Error Code")</f>
        <v>Yaw speed high</v>
      </c>
      <c r="M503" s="35" t="s">
        <v>291</v>
      </c>
      <c r="N503" s="475"/>
      <c r="O503" s="476">
        <v>0.61944444444444446</v>
      </c>
      <c r="P503" s="476">
        <v>0.61944444444444446</v>
      </c>
      <c r="Q503" s="477">
        <v>0.62083333333333335</v>
      </c>
      <c r="R503" s="472">
        <f>IF(Table6[[#This Row],[Work Start TimeStamp]]="","",(Table6[[#This Row],[Work Start TimeStamp]]-Table6[[#This Row],[Fault Start TimeStamp]])*24)</f>
        <v>0</v>
      </c>
      <c r="S503" s="472">
        <f>(Table6[[#This Row],[Fault Clearance time]]-Table6[[#This Row],[Work Start TimeStamp]])*24</f>
        <v>3.3333333333333215E-2</v>
      </c>
      <c r="T503" s="472">
        <f>(Table6[[#This Row],[Fault Clearance time]]-Table6[[#This Row],[Fault Start TimeStamp]])*24</f>
        <v>3.3333333333333215E-2</v>
      </c>
      <c r="U503" s="35" t="s">
        <v>349</v>
      </c>
      <c r="V503" s="102" t="s">
        <v>293</v>
      </c>
      <c r="W503" s="478">
        <f>IFERROR(Table6[[#This Row],[Breakdown Time]]*Table6[[#This Row],[Plant Equivalent Weightage]],"")</f>
        <v>1.2820512820512771E-3</v>
      </c>
      <c r="X503" s="473" t="s">
        <v>294</v>
      </c>
      <c r="Y503" s="474" t="s">
        <v>333</v>
      </c>
      <c r="Z503" s="102">
        <v>49670</v>
      </c>
      <c r="AA503" s="468">
        <f>(Table6[[#This Row],[Paired WTG Generation for loss calculation]]/24)*Table6[[#This Row],[Breakdown Time]]</f>
        <v>68.986111111110873</v>
      </c>
      <c r="AB503" s="102"/>
      <c r="AC503" s="35"/>
      <c r="AD503" s="35"/>
    </row>
    <row r="504" spans="1:30">
      <c r="A504" s="102">
        <f t="shared" si="8"/>
        <v>503</v>
      </c>
      <c r="B504" s="468">
        <f>YEAR(Table6[[#This Row],[Date]])+IF(MONTH(Table6[[#This Row],[Date]])&gt;=4,1,0)</f>
        <v>2026</v>
      </c>
      <c r="C504" s="102">
        <f>YEAR(Table6[[#This Row],[Date]])</f>
        <v>2025</v>
      </c>
      <c r="D504" s="102" t="s">
        <v>1992</v>
      </c>
      <c r="E504" s="469">
        <f>Table6[[#This Row],[Date]]-DAY(Table6[[#This Row],[Date]])+1</f>
        <v>45778</v>
      </c>
      <c r="F504" s="470">
        <v>45778</v>
      </c>
      <c r="G504" s="35" t="s">
        <v>81</v>
      </c>
      <c r="H504" s="35" t="str">
        <f>IFERROR(_xlfn.XLOOKUP(Table6[[#This Row],[Affected WTG]],'Basic Data'!$A:$A,'Basic Data'!$B:$B),"")</f>
        <v>TQGXIIPL</v>
      </c>
      <c r="I504" s="35" t="str">
        <f>IFERROR(_xlfn.XLOOKUP(Table6[[#This Row],[Affected WTG]],'Basic Data'!$A:$A,'Basic Data'!$C:$C),"")</f>
        <v>GEDA</v>
      </c>
      <c r="J504" s="471">
        <f>IFERROR(_xlfn.XLOOKUP(Table6[[#This Row],[Affected WTG]],'Basic Data'!$A:$A,'Basic Data'!$E:$E),"")</f>
        <v>3.846153846153845E-2</v>
      </c>
      <c r="K504" s="102">
        <v>6130</v>
      </c>
      <c r="L504" s="35" t="str">
        <f>IFERROR(_xlfn.XLOOKUP(Table6[[#This Row],[Error Code]],'Basic Data'!$AA:$AA,'Basic Data'!$AB:$AB),"Incorrect Error Code")</f>
        <v>Yaw speed high</v>
      </c>
      <c r="M504" s="35" t="s">
        <v>292</v>
      </c>
      <c r="N504" s="475"/>
      <c r="O504" s="476">
        <v>0.60069444444444442</v>
      </c>
      <c r="P504" s="476">
        <v>0.60069444444444442</v>
      </c>
      <c r="Q504" s="477">
        <v>0.60486111111111107</v>
      </c>
      <c r="R504" s="472">
        <f>IF(Table6[[#This Row],[Work Start TimeStamp]]="","",(Table6[[#This Row],[Work Start TimeStamp]]-Table6[[#This Row],[Fault Start TimeStamp]])*24)</f>
        <v>0</v>
      </c>
      <c r="S504" s="472">
        <f>(Table6[[#This Row],[Fault Clearance time]]-Table6[[#This Row],[Work Start TimeStamp]])*24</f>
        <v>9.9999999999999645E-2</v>
      </c>
      <c r="T504" s="472">
        <f>(Table6[[#This Row],[Fault Clearance time]]-Table6[[#This Row],[Fault Start TimeStamp]])*24</f>
        <v>9.9999999999999645E-2</v>
      </c>
      <c r="U504" s="35" t="s">
        <v>336</v>
      </c>
      <c r="V504" s="102" t="s">
        <v>293</v>
      </c>
      <c r="W504" s="478">
        <f>IFERROR(Table6[[#This Row],[Breakdown Time]]*Table6[[#This Row],[Plant Equivalent Weightage]],"")</f>
        <v>3.8461538461538312E-3</v>
      </c>
      <c r="X504" s="473" t="s">
        <v>294</v>
      </c>
      <c r="Y504" s="474" t="s">
        <v>321</v>
      </c>
      <c r="Z504" s="102">
        <v>44674</v>
      </c>
      <c r="AA504" s="468">
        <f>(Table6[[#This Row],[Paired WTG Generation for loss calculation]]/24)*Table6[[#This Row],[Breakdown Time]]</f>
        <v>186.14166666666603</v>
      </c>
      <c r="AB504" s="102"/>
      <c r="AC504" s="35"/>
      <c r="AD504" s="35"/>
    </row>
    <row r="505" spans="1:30">
      <c r="A505" s="102">
        <f t="shared" si="8"/>
        <v>504</v>
      </c>
      <c r="B505" s="468">
        <f>YEAR(Table6[[#This Row],[Date]])+IF(MONTH(Table6[[#This Row],[Date]])&gt;=4,1,0)</f>
        <v>2026</v>
      </c>
      <c r="C505" s="102">
        <f>YEAR(Table6[[#This Row],[Date]])</f>
        <v>2025</v>
      </c>
      <c r="D505" s="102" t="s">
        <v>1992</v>
      </c>
      <c r="E505" s="469">
        <f>Table6[[#This Row],[Date]]-DAY(Table6[[#This Row],[Date]])+1</f>
        <v>45778</v>
      </c>
      <c r="F505" s="470">
        <v>45778</v>
      </c>
      <c r="G505" s="35" t="s">
        <v>81</v>
      </c>
      <c r="H505" s="35" t="str">
        <f>IFERROR(_xlfn.XLOOKUP(Table6[[#This Row],[Affected WTG]],'Basic Data'!$A:$A,'Basic Data'!$B:$B),"")</f>
        <v>TQGXIIPL</v>
      </c>
      <c r="I505" s="35" t="str">
        <f>IFERROR(_xlfn.XLOOKUP(Table6[[#This Row],[Affected WTG]],'Basic Data'!$A:$A,'Basic Data'!$C:$C),"")</f>
        <v>GEDA</v>
      </c>
      <c r="J505" s="471">
        <f>IFERROR(_xlfn.XLOOKUP(Table6[[#This Row],[Affected WTG]],'Basic Data'!$A:$A,'Basic Data'!$E:$E),"")</f>
        <v>3.846153846153845E-2</v>
      </c>
      <c r="K505" s="102">
        <v>6605</v>
      </c>
      <c r="L505" s="35" t="str">
        <f>IFERROR(_xlfn.XLOOKUP(Table6[[#This Row],[Error Code]],'Basic Data'!$AA:$AA,'Basic Data'!$AB:$AB),"Incorrect Error Code")</f>
        <v>Wind.dir. diff. level 2</v>
      </c>
      <c r="M505" s="35" t="s">
        <v>291</v>
      </c>
      <c r="N505" s="475"/>
      <c r="O505" s="476">
        <v>0.61111111111111116</v>
      </c>
      <c r="P505" s="476">
        <v>0.61111111111111116</v>
      </c>
      <c r="Q505" s="477">
        <v>0.61319444444444449</v>
      </c>
      <c r="R505" s="472">
        <f>IF(Table6[[#This Row],[Work Start TimeStamp]]="","",(Table6[[#This Row],[Work Start TimeStamp]]-Table6[[#This Row],[Fault Start TimeStamp]])*24)</f>
        <v>0</v>
      </c>
      <c r="S505" s="472">
        <f>(Table6[[#This Row],[Fault Clearance time]]-Table6[[#This Row],[Work Start TimeStamp]])*24</f>
        <v>4.9999999999999822E-2</v>
      </c>
      <c r="T505" s="472">
        <f>(Table6[[#This Row],[Fault Clearance time]]-Table6[[#This Row],[Fault Start TimeStamp]])*24</f>
        <v>4.9999999999999822E-2</v>
      </c>
      <c r="U505" s="35" t="s">
        <v>349</v>
      </c>
      <c r="V505" s="102" t="s">
        <v>293</v>
      </c>
      <c r="W505" s="478">
        <f>IFERROR(Table6[[#This Row],[Breakdown Time]]*Table6[[#This Row],[Plant Equivalent Weightage]],"")</f>
        <v>1.9230769230769156E-3</v>
      </c>
      <c r="X505" s="473" t="s">
        <v>294</v>
      </c>
      <c r="Y505" s="474" t="s">
        <v>321</v>
      </c>
      <c r="Z505" s="102">
        <v>44674</v>
      </c>
      <c r="AA505" s="468">
        <f>(Table6[[#This Row],[Paired WTG Generation for loss calculation]]/24)*Table6[[#This Row],[Breakdown Time]]</f>
        <v>93.070833333333013</v>
      </c>
      <c r="AB505" s="102"/>
      <c r="AC505" s="35"/>
      <c r="AD505" s="35"/>
    </row>
    <row r="506" spans="1:30">
      <c r="A506" s="102">
        <f t="shared" si="8"/>
        <v>505</v>
      </c>
      <c r="B506" s="468">
        <f>YEAR(Table6[[#This Row],[Date]])+IF(MONTH(Table6[[#This Row],[Date]])&gt;=4,1,0)</f>
        <v>2026</v>
      </c>
      <c r="C506" s="102">
        <f>YEAR(Table6[[#This Row],[Date]])</f>
        <v>2025</v>
      </c>
      <c r="D506" s="102" t="s">
        <v>1992</v>
      </c>
      <c r="E506" s="469">
        <f>Table6[[#This Row],[Date]]-DAY(Table6[[#This Row],[Date]])+1</f>
        <v>45778</v>
      </c>
      <c r="F506" s="470">
        <v>45778</v>
      </c>
      <c r="G506" s="35" t="s">
        <v>85</v>
      </c>
      <c r="H506" s="35" t="str">
        <f>IFERROR(_xlfn.XLOOKUP(Table6[[#This Row],[Affected WTG]],'Basic Data'!$A:$A,'Basic Data'!$B:$B),"")</f>
        <v>TQGXIIPL</v>
      </c>
      <c r="I506" s="35" t="str">
        <f>IFERROR(_xlfn.XLOOKUP(Table6[[#This Row],[Affected WTG]],'Basic Data'!$A:$A,'Basic Data'!$C:$C),"")</f>
        <v>GEDA</v>
      </c>
      <c r="J506" s="471">
        <f>IFERROR(_xlfn.XLOOKUP(Table6[[#This Row],[Affected WTG]],'Basic Data'!$A:$A,'Basic Data'!$E:$E),"")</f>
        <v>3.846153846153845E-2</v>
      </c>
      <c r="K506" s="102">
        <v>6605</v>
      </c>
      <c r="L506" s="35" t="str">
        <f>IFERROR(_xlfn.XLOOKUP(Table6[[#This Row],[Error Code]],'Basic Data'!$AA:$AA,'Basic Data'!$AB:$AB),"Incorrect Error Code")</f>
        <v>Wind.dir. diff. level 2</v>
      </c>
      <c r="M506" s="35" t="s">
        <v>291</v>
      </c>
      <c r="N506" s="475"/>
      <c r="O506" s="476">
        <v>0.63541666666666663</v>
      </c>
      <c r="P506" s="476">
        <v>0.63541666666666663</v>
      </c>
      <c r="Q506" s="477">
        <v>0.63680555555555551</v>
      </c>
      <c r="R506" s="472">
        <f>IF(Table6[[#This Row],[Work Start TimeStamp]]="","",(Table6[[#This Row],[Work Start TimeStamp]]-Table6[[#This Row],[Fault Start TimeStamp]])*24)</f>
        <v>0</v>
      </c>
      <c r="S506" s="472">
        <f>(Table6[[#This Row],[Fault Clearance time]]-Table6[[#This Row],[Work Start TimeStamp]])*24</f>
        <v>3.3333333333333215E-2</v>
      </c>
      <c r="T506" s="472">
        <f>(Table6[[#This Row],[Fault Clearance time]]-Table6[[#This Row],[Fault Start TimeStamp]])*24</f>
        <v>3.3333333333333215E-2</v>
      </c>
      <c r="U506" s="35" t="s">
        <v>349</v>
      </c>
      <c r="V506" s="102" t="s">
        <v>293</v>
      </c>
      <c r="W506" s="478">
        <f>IFERROR(Table6[[#This Row],[Breakdown Time]]*Table6[[#This Row],[Plant Equivalent Weightage]],"")</f>
        <v>1.2820512820512771E-3</v>
      </c>
      <c r="X506" s="473" t="s">
        <v>294</v>
      </c>
      <c r="Y506" s="474" t="s">
        <v>322</v>
      </c>
      <c r="Z506" s="102">
        <v>38537</v>
      </c>
      <c r="AA506" s="468">
        <f>(Table6[[#This Row],[Paired WTG Generation for loss calculation]]/24)*Table6[[#This Row],[Breakdown Time]]</f>
        <v>53.523611111110917</v>
      </c>
      <c r="AB506" s="102"/>
      <c r="AC506" s="35"/>
      <c r="AD506" s="35"/>
    </row>
    <row r="507" spans="1:30">
      <c r="A507" s="102">
        <f t="shared" si="8"/>
        <v>506</v>
      </c>
      <c r="B507" s="468">
        <f>YEAR(Table6[[#This Row],[Date]])+IF(MONTH(Table6[[#This Row],[Date]])&gt;=4,1,0)</f>
        <v>2026</v>
      </c>
      <c r="C507" s="102">
        <f>YEAR(Table6[[#This Row],[Date]])</f>
        <v>2025</v>
      </c>
      <c r="D507" s="102" t="s">
        <v>1992</v>
      </c>
      <c r="E507" s="469">
        <f>Table6[[#This Row],[Date]]-DAY(Table6[[#This Row],[Date]])+1</f>
        <v>45778</v>
      </c>
      <c r="F507" s="470">
        <v>45778</v>
      </c>
      <c r="G507" s="35" t="s">
        <v>85</v>
      </c>
      <c r="H507" s="35" t="str">
        <f>IFERROR(_xlfn.XLOOKUP(Table6[[#This Row],[Affected WTG]],'Basic Data'!$A:$A,'Basic Data'!$B:$B),"")</f>
        <v>TQGXIIPL</v>
      </c>
      <c r="I507" s="35" t="str">
        <f>IFERROR(_xlfn.XLOOKUP(Table6[[#This Row],[Affected WTG]],'Basic Data'!$A:$A,'Basic Data'!$C:$C),"")</f>
        <v>GEDA</v>
      </c>
      <c r="J507" s="471">
        <f>IFERROR(_xlfn.XLOOKUP(Table6[[#This Row],[Affected WTG]],'Basic Data'!$A:$A,'Basic Data'!$E:$E),"")</f>
        <v>3.846153846153845E-2</v>
      </c>
      <c r="K507" s="102">
        <v>1700</v>
      </c>
      <c r="L507" s="35" t="str">
        <f>IFERROR(_xlfn.XLOOKUP(Table6[[#This Row],[Error Code]],'Basic Data'!$AA:$AA,'Basic Data'!$AB:$AB),"Incorrect Error Code")</f>
        <v>High temp. gear bearing 1</v>
      </c>
      <c r="M507" s="35" t="s">
        <v>291</v>
      </c>
      <c r="N507" s="475"/>
      <c r="O507" s="476">
        <v>0.78333333333333333</v>
      </c>
      <c r="P507" s="476">
        <v>0.78333333333333333</v>
      </c>
      <c r="Q507" s="477">
        <v>0.79861111111111116</v>
      </c>
      <c r="R507" s="472">
        <f>IF(Table6[[#This Row],[Work Start TimeStamp]]="","",(Table6[[#This Row],[Work Start TimeStamp]]-Table6[[#This Row],[Fault Start TimeStamp]])*24)</f>
        <v>0</v>
      </c>
      <c r="S507" s="472">
        <f>(Table6[[#This Row],[Fault Clearance time]]-Table6[[#This Row],[Work Start TimeStamp]])*24</f>
        <v>0.36666666666666803</v>
      </c>
      <c r="T507" s="472">
        <f>(Table6[[#This Row],[Fault Clearance time]]-Table6[[#This Row],[Fault Start TimeStamp]])*24</f>
        <v>0.36666666666666803</v>
      </c>
      <c r="U507" s="35" t="s">
        <v>382</v>
      </c>
      <c r="V507" s="102" t="s">
        <v>293</v>
      </c>
      <c r="W507" s="478">
        <f>IFERROR(Table6[[#This Row],[Breakdown Time]]*Table6[[#This Row],[Plant Equivalent Weightage]],"")</f>
        <v>1.4102564102564151E-2</v>
      </c>
      <c r="X507" s="473" t="s">
        <v>294</v>
      </c>
      <c r="Y507" s="474" t="s">
        <v>322</v>
      </c>
      <c r="Z507" s="102">
        <v>38537</v>
      </c>
      <c r="AA507" s="468">
        <f>(Table6[[#This Row],[Paired WTG Generation for loss calculation]]/24)*Table6[[#This Row],[Breakdown Time]]</f>
        <v>588.75972222222435</v>
      </c>
      <c r="AB507" s="102"/>
      <c r="AC507" s="35"/>
      <c r="AD507" s="35"/>
    </row>
    <row r="508" spans="1:30">
      <c r="A508" s="102">
        <f t="shared" si="8"/>
        <v>507</v>
      </c>
      <c r="B508" s="468">
        <f>YEAR(Table6[[#This Row],[Date]])+IF(MONTH(Table6[[#This Row],[Date]])&gt;=4,1,0)</f>
        <v>2026</v>
      </c>
      <c r="C508" s="102">
        <f>YEAR(Table6[[#This Row],[Date]])</f>
        <v>2025</v>
      </c>
      <c r="D508" s="102" t="s">
        <v>1992</v>
      </c>
      <c r="E508" s="469">
        <f>Table6[[#This Row],[Date]]-DAY(Table6[[#This Row],[Date]])+1</f>
        <v>45778</v>
      </c>
      <c r="F508" s="470">
        <v>45778</v>
      </c>
      <c r="G508" s="35" t="s">
        <v>90</v>
      </c>
      <c r="H508" s="35" t="str">
        <f>IFERROR(_xlfn.XLOOKUP(Table6[[#This Row],[Affected WTG]],'Basic Data'!$A:$A,'Basic Data'!$B:$B),"")</f>
        <v>TQGXIIPL</v>
      </c>
      <c r="I508" s="35" t="str">
        <f>IFERROR(_xlfn.XLOOKUP(Table6[[#This Row],[Affected WTG]],'Basic Data'!$A:$A,'Basic Data'!$C:$C),"")</f>
        <v>GEDA</v>
      </c>
      <c r="J508" s="471">
        <f>IFERROR(_xlfn.XLOOKUP(Table6[[#This Row],[Affected WTG]],'Basic Data'!$A:$A,'Basic Data'!$E:$E),"")</f>
        <v>3.846153846153845E-2</v>
      </c>
      <c r="K508" s="102">
        <v>55</v>
      </c>
      <c r="L508" s="35" t="str">
        <f>IFERROR(_xlfn.XLOOKUP(Table6[[#This Row],[Error Code]],'Basic Data'!$AA:$AA,'Basic Data'!$AB:$AB),"Incorrect Error Code")</f>
        <v>WTG shut down</v>
      </c>
      <c r="M508" s="35" t="s">
        <v>291</v>
      </c>
      <c r="N508" s="475"/>
      <c r="O508" s="476">
        <v>0.42430555555555555</v>
      </c>
      <c r="P508" s="476">
        <v>0.42430555555555555</v>
      </c>
      <c r="Q508" s="477">
        <v>0.57291666666666663</v>
      </c>
      <c r="R508" s="472">
        <f>IF(Table6[[#This Row],[Work Start TimeStamp]]="","",(Table6[[#This Row],[Work Start TimeStamp]]-Table6[[#This Row],[Fault Start TimeStamp]])*24)</f>
        <v>0</v>
      </c>
      <c r="S508" s="472">
        <f>(Table6[[#This Row],[Fault Clearance time]]-Table6[[#This Row],[Work Start TimeStamp]])*24</f>
        <v>3.566666666666666</v>
      </c>
      <c r="T508" s="472">
        <f>(Table6[[#This Row],[Fault Clearance time]]-Table6[[#This Row],[Fault Start TimeStamp]])*24</f>
        <v>3.566666666666666</v>
      </c>
      <c r="U508" s="35" t="s">
        <v>1746</v>
      </c>
      <c r="V508" s="102" t="s">
        <v>293</v>
      </c>
      <c r="W508" s="478">
        <f>IFERROR(Table6[[#This Row],[Breakdown Time]]*Table6[[#This Row],[Plant Equivalent Weightage]],"")</f>
        <v>0.13717948717948711</v>
      </c>
      <c r="X508" s="473" t="s">
        <v>290</v>
      </c>
      <c r="Y508" s="474" t="s">
        <v>339</v>
      </c>
      <c r="Z508" s="102">
        <v>47524</v>
      </c>
      <c r="AA508" s="468">
        <f>(Table6[[#This Row],[Paired WTG Generation for loss calculation]]/24)*Table6[[#This Row],[Breakdown Time]]</f>
        <v>7062.5944444444431</v>
      </c>
      <c r="AB508" s="102"/>
      <c r="AC508" s="35"/>
      <c r="AD508" s="35"/>
    </row>
    <row r="509" spans="1:30">
      <c r="A509" s="102">
        <f t="shared" si="8"/>
        <v>508</v>
      </c>
      <c r="B509" s="468">
        <f>YEAR(Table6[[#This Row],[Date]])+IF(MONTH(Table6[[#This Row],[Date]])&gt;=4,1,0)</f>
        <v>2026</v>
      </c>
      <c r="C509" s="102">
        <f>YEAR(Table6[[#This Row],[Date]])</f>
        <v>2025</v>
      </c>
      <c r="D509" s="102" t="s">
        <v>1992</v>
      </c>
      <c r="E509" s="469">
        <f>Table6[[#This Row],[Date]]-DAY(Table6[[#This Row],[Date]])+1</f>
        <v>45778</v>
      </c>
      <c r="F509" s="470">
        <v>45778</v>
      </c>
      <c r="G509" s="35" t="s">
        <v>91</v>
      </c>
      <c r="H509" s="35" t="str">
        <f>IFERROR(_xlfn.XLOOKUP(Table6[[#This Row],[Affected WTG]],'Basic Data'!$A:$A,'Basic Data'!$B:$B),"")</f>
        <v>TQGXIIPL</v>
      </c>
      <c r="I509" s="35" t="str">
        <f>IFERROR(_xlfn.XLOOKUP(Table6[[#This Row],[Affected WTG]],'Basic Data'!$A:$A,'Basic Data'!$C:$C),"")</f>
        <v>GEDA</v>
      </c>
      <c r="J509" s="471">
        <f>IFERROR(_xlfn.XLOOKUP(Table6[[#This Row],[Affected WTG]],'Basic Data'!$A:$A,'Basic Data'!$E:$E),"")</f>
        <v>3.846153846153845E-2</v>
      </c>
      <c r="K509" s="102">
        <v>2355</v>
      </c>
      <c r="L509" s="35" t="str">
        <f>IFERROR(_xlfn.XLOOKUP(Table6[[#This Row],[Error Code]],'Basic Data'!$AA:$AA,'Basic Data'!$AB:$AB),"Incorrect Error Code")</f>
        <v>Temp. rot.br.pad high</v>
      </c>
      <c r="M509" s="35" t="s">
        <v>291</v>
      </c>
      <c r="N509" s="475"/>
      <c r="O509" s="476">
        <v>0.14444444444444443</v>
      </c>
      <c r="P509" s="476">
        <v>0.14444444444444443</v>
      </c>
      <c r="Q509" s="477">
        <v>0.16805555555555557</v>
      </c>
      <c r="R509" s="472">
        <f>IF(Table6[[#This Row],[Work Start TimeStamp]]="","",(Table6[[#This Row],[Work Start TimeStamp]]-Table6[[#This Row],[Fault Start TimeStamp]])*24)</f>
        <v>0</v>
      </c>
      <c r="S509" s="472">
        <f>(Table6[[#This Row],[Fault Clearance time]]-Table6[[#This Row],[Work Start TimeStamp]])*24</f>
        <v>0.56666666666666732</v>
      </c>
      <c r="T509" s="472">
        <f>(Table6[[#This Row],[Fault Clearance time]]-Table6[[#This Row],[Fault Start TimeStamp]])*24</f>
        <v>0.56666666666666732</v>
      </c>
      <c r="U509" s="35" t="s">
        <v>382</v>
      </c>
      <c r="V509" s="102" t="s">
        <v>293</v>
      </c>
      <c r="W509" s="478">
        <f>IFERROR(Table6[[#This Row],[Breakdown Time]]*Table6[[#This Row],[Plant Equivalent Weightage]],"")</f>
        <v>2.1794871794871815E-2</v>
      </c>
      <c r="X509" s="473" t="s">
        <v>294</v>
      </c>
      <c r="Y509" s="474" t="s">
        <v>319</v>
      </c>
      <c r="Z509" s="102">
        <v>46547</v>
      </c>
      <c r="AA509" s="468">
        <f>(Table6[[#This Row],[Paired WTG Generation for loss calculation]]/24)*Table6[[#This Row],[Breakdown Time]]</f>
        <v>1099.0263888888901</v>
      </c>
      <c r="AB509" s="102"/>
      <c r="AC509" s="35"/>
      <c r="AD509" s="35"/>
    </row>
    <row r="510" spans="1:30">
      <c r="A510" s="102">
        <f t="shared" si="8"/>
        <v>509</v>
      </c>
      <c r="B510" s="468">
        <f>YEAR(Table6[[#This Row],[Date]])+IF(MONTH(Table6[[#This Row],[Date]])&gt;=4,1,0)</f>
        <v>2026</v>
      </c>
      <c r="C510" s="102">
        <f>YEAR(Table6[[#This Row],[Date]])</f>
        <v>2025</v>
      </c>
      <c r="D510" s="102" t="s">
        <v>1992</v>
      </c>
      <c r="E510" s="469">
        <f>Table6[[#This Row],[Date]]-DAY(Table6[[#This Row],[Date]])+1</f>
        <v>45778</v>
      </c>
      <c r="F510" s="470">
        <v>45778</v>
      </c>
      <c r="G510" s="35" t="s">
        <v>92</v>
      </c>
      <c r="H510" s="35" t="str">
        <f>IFERROR(_xlfn.XLOOKUP(Table6[[#This Row],[Affected WTG]],'Basic Data'!$A:$A,'Basic Data'!$B:$B),"")</f>
        <v>TQGXIIPL</v>
      </c>
      <c r="I510" s="35" t="str">
        <f>IFERROR(_xlfn.XLOOKUP(Table6[[#This Row],[Affected WTG]],'Basic Data'!$A:$A,'Basic Data'!$C:$C),"")</f>
        <v>GEDA</v>
      </c>
      <c r="J510" s="471">
        <f>IFERROR(_xlfn.XLOOKUP(Table6[[#This Row],[Affected WTG]],'Basic Data'!$A:$A,'Basic Data'!$E:$E),"")</f>
        <v>3.846153846153845E-2</v>
      </c>
      <c r="K510" s="102">
        <v>6605</v>
      </c>
      <c r="L510" s="35" t="str">
        <f>IFERROR(_xlfn.XLOOKUP(Table6[[#This Row],[Error Code]],'Basic Data'!$AA:$AA,'Basic Data'!$AB:$AB),"Incorrect Error Code")</f>
        <v>Wind.dir. diff. level 2</v>
      </c>
      <c r="M510" s="35" t="s">
        <v>291</v>
      </c>
      <c r="N510" s="475"/>
      <c r="O510" s="476">
        <v>0.57222222222222219</v>
      </c>
      <c r="P510" s="476">
        <v>0.57222222222222219</v>
      </c>
      <c r="Q510" s="477">
        <v>0.5756944444444444</v>
      </c>
      <c r="R510" s="472">
        <f>IF(Table6[[#This Row],[Work Start TimeStamp]]="","",(Table6[[#This Row],[Work Start TimeStamp]]-Table6[[#This Row],[Fault Start TimeStamp]])*24)</f>
        <v>0</v>
      </c>
      <c r="S510" s="472">
        <f>(Table6[[#This Row],[Fault Clearance time]]-Table6[[#This Row],[Work Start TimeStamp]])*24</f>
        <v>8.3333333333333037E-2</v>
      </c>
      <c r="T510" s="472">
        <f>(Table6[[#This Row],[Fault Clearance time]]-Table6[[#This Row],[Fault Start TimeStamp]])*24</f>
        <v>8.3333333333333037E-2</v>
      </c>
      <c r="U510" s="35" t="s">
        <v>349</v>
      </c>
      <c r="V510" s="102" t="s">
        <v>293</v>
      </c>
      <c r="W510" s="478">
        <f>IFERROR(Table6[[#This Row],[Breakdown Time]]*Table6[[#This Row],[Plant Equivalent Weightage]],"")</f>
        <v>3.2051282051281929E-3</v>
      </c>
      <c r="X510" s="473" t="s">
        <v>294</v>
      </c>
      <c r="Y510" s="474" t="s">
        <v>310</v>
      </c>
      <c r="Z510" s="102">
        <v>45834</v>
      </c>
      <c r="AA510" s="468">
        <f>(Table6[[#This Row],[Paired WTG Generation for loss calculation]]/24)*Table6[[#This Row],[Breakdown Time]]</f>
        <v>159.14583333333277</v>
      </c>
      <c r="AB510" s="102"/>
      <c r="AC510" s="35"/>
      <c r="AD510" s="35"/>
    </row>
    <row r="511" spans="1:30">
      <c r="A511" s="102">
        <f t="shared" si="8"/>
        <v>510</v>
      </c>
      <c r="B511" s="468">
        <f>YEAR(Table6[[#This Row],[Date]])+IF(MONTH(Table6[[#This Row],[Date]])&gt;=4,1,0)</f>
        <v>2026</v>
      </c>
      <c r="C511" s="102">
        <f>YEAR(Table6[[#This Row],[Date]])</f>
        <v>2025</v>
      </c>
      <c r="D511" s="102" t="s">
        <v>1992</v>
      </c>
      <c r="E511" s="469">
        <f>Table6[[#This Row],[Date]]-DAY(Table6[[#This Row],[Date]])+1</f>
        <v>45778</v>
      </c>
      <c r="F511" s="470">
        <v>45778</v>
      </c>
      <c r="G511" s="35" t="s">
        <v>92</v>
      </c>
      <c r="H511" s="35" t="str">
        <f>IFERROR(_xlfn.XLOOKUP(Table6[[#This Row],[Affected WTG]],'Basic Data'!$A:$A,'Basic Data'!$B:$B),"")</f>
        <v>TQGXIIPL</v>
      </c>
      <c r="I511" s="35" t="str">
        <f>IFERROR(_xlfn.XLOOKUP(Table6[[#This Row],[Affected WTG]],'Basic Data'!$A:$A,'Basic Data'!$C:$C),"")</f>
        <v>GEDA</v>
      </c>
      <c r="J511" s="471">
        <f>IFERROR(_xlfn.XLOOKUP(Table6[[#This Row],[Affected WTG]],'Basic Data'!$A:$A,'Basic Data'!$E:$E),"")</f>
        <v>3.846153846153845E-2</v>
      </c>
      <c r="K511" s="102">
        <v>1700</v>
      </c>
      <c r="L511" s="35" t="str">
        <f>IFERROR(_xlfn.XLOOKUP(Table6[[#This Row],[Error Code]],'Basic Data'!$AA:$AA,'Basic Data'!$AB:$AB),"Incorrect Error Code")</f>
        <v>High temp. gear bearing 1</v>
      </c>
      <c r="M511" s="35" t="s">
        <v>291</v>
      </c>
      <c r="N511" s="475"/>
      <c r="O511" s="476">
        <v>0.71319444444444446</v>
      </c>
      <c r="P511" s="476">
        <v>0.71319444444444446</v>
      </c>
      <c r="Q511" s="477">
        <v>0.72916666666666663</v>
      </c>
      <c r="R511" s="472">
        <f>IF(Table6[[#This Row],[Work Start TimeStamp]]="","",(Table6[[#This Row],[Work Start TimeStamp]]-Table6[[#This Row],[Fault Start TimeStamp]])*24)</f>
        <v>0</v>
      </c>
      <c r="S511" s="472">
        <f>(Table6[[#This Row],[Fault Clearance time]]-Table6[[#This Row],[Work Start TimeStamp]])*24</f>
        <v>0.38333333333333197</v>
      </c>
      <c r="T511" s="472">
        <f>(Table6[[#This Row],[Fault Clearance time]]-Table6[[#This Row],[Fault Start TimeStamp]])*24</f>
        <v>0.38333333333333197</v>
      </c>
      <c r="U511" s="35" t="s">
        <v>382</v>
      </c>
      <c r="V511" s="102" t="s">
        <v>293</v>
      </c>
      <c r="W511" s="478">
        <f>IFERROR(Table6[[#This Row],[Breakdown Time]]*Table6[[#This Row],[Plant Equivalent Weightage]],"")</f>
        <v>1.4743589743589686E-2</v>
      </c>
      <c r="X511" s="473" t="s">
        <v>294</v>
      </c>
      <c r="Y511" s="474" t="s">
        <v>310</v>
      </c>
      <c r="Z511" s="102">
        <v>45834</v>
      </c>
      <c r="AA511" s="468">
        <f>(Table6[[#This Row],[Paired WTG Generation for loss calculation]]/24)*Table6[[#This Row],[Breakdown Time]]</f>
        <v>732.07083333333071</v>
      </c>
      <c r="AB511" s="102"/>
      <c r="AC511" s="35"/>
      <c r="AD511" s="35"/>
    </row>
    <row r="512" spans="1:30">
      <c r="A512" s="102">
        <f t="shared" si="8"/>
        <v>511</v>
      </c>
      <c r="B512" s="468">
        <f>YEAR(Table6[[#This Row],[Date]])+IF(MONTH(Table6[[#This Row],[Date]])&gt;=4,1,0)</f>
        <v>2026</v>
      </c>
      <c r="C512" s="102">
        <f>YEAR(Table6[[#This Row],[Date]])</f>
        <v>2025</v>
      </c>
      <c r="D512" s="102" t="s">
        <v>1992</v>
      </c>
      <c r="E512" s="469">
        <f>Table6[[#This Row],[Date]]-DAY(Table6[[#This Row],[Date]])+1</f>
        <v>45778</v>
      </c>
      <c r="F512" s="470">
        <v>45778</v>
      </c>
      <c r="G512" s="35" t="s">
        <v>92</v>
      </c>
      <c r="H512" s="35" t="str">
        <f>IFERROR(_xlfn.XLOOKUP(Table6[[#This Row],[Affected WTG]],'Basic Data'!$A:$A,'Basic Data'!$B:$B),"")</f>
        <v>TQGXIIPL</v>
      </c>
      <c r="I512" s="35" t="str">
        <f>IFERROR(_xlfn.XLOOKUP(Table6[[#This Row],[Affected WTG]],'Basic Data'!$A:$A,'Basic Data'!$C:$C),"")</f>
        <v>GEDA</v>
      </c>
      <c r="J512" s="471">
        <f>IFERROR(_xlfn.XLOOKUP(Table6[[#This Row],[Affected WTG]],'Basic Data'!$A:$A,'Basic Data'!$E:$E),"")</f>
        <v>3.846153846153845E-2</v>
      </c>
      <c r="K512" s="102">
        <v>1700</v>
      </c>
      <c r="L512" s="35" t="str">
        <f>IFERROR(_xlfn.XLOOKUP(Table6[[#This Row],[Error Code]],'Basic Data'!$AA:$AA,'Basic Data'!$AB:$AB),"Incorrect Error Code")</f>
        <v>High temp. gear bearing 1</v>
      </c>
      <c r="M512" s="35" t="s">
        <v>291</v>
      </c>
      <c r="N512" s="475"/>
      <c r="O512" s="476">
        <v>0.82430555555555551</v>
      </c>
      <c r="P512" s="476">
        <v>0.82430555555555551</v>
      </c>
      <c r="Q512" s="477">
        <v>0.84444444444444444</v>
      </c>
      <c r="R512" s="472">
        <f>IF(Table6[[#This Row],[Work Start TimeStamp]]="","",(Table6[[#This Row],[Work Start TimeStamp]]-Table6[[#This Row],[Fault Start TimeStamp]])*24)</f>
        <v>0</v>
      </c>
      <c r="S512" s="472">
        <f>(Table6[[#This Row],[Fault Clearance time]]-Table6[[#This Row],[Work Start TimeStamp]])*24</f>
        <v>0.48333333333333428</v>
      </c>
      <c r="T512" s="472">
        <f>(Table6[[#This Row],[Fault Clearance time]]-Table6[[#This Row],[Fault Start TimeStamp]])*24</f>
        <v>0.48333333333333428</v>
      </c>
      <c r="U512" s="35" t="s">
        <v>382</v>
      </c>
      <c r="V512" s="102" t="s">
        <v>293</v>
      </c>
      <c r="W512" s="478">
        <f>IFERROR(Table6[[#This Row],[Breakdown Time]]*Table6[[#This Row],[Plant Equivalent Weightage]],"")</f>
        <v>1.8589743589743621E-2</v>
      </c>
      <c r="X512" s="473" t="s">
        <v>294</v>
      </c>
      <c r="Y512" s="474" t="s">
        <v>310</v>
      </c>
      <c r="Z512" s="102">
        <v>45834</v>
      </c>
      <c r="AA512" s="468">
        <f>(Table6[[#This Row],[Paired WTG Generation for loss calculation]]/24)*Table6[[#This Row],[Breakdown Time]]</f>
        <v>923.04583333333517</v>
      </c>
      <c r="AB512" s="102"/>
      <c r="AC512" s="35"/>
      <c r="AD512" s="35"/>
    </row>
    <row r="513" spans="1:30">
      <c r="A513" s="102">
        <f t="shared" si="8"/>
        <v>512</v>
      </c>
      <c r="B513" s="468">
        <f>YEAR(Table6[[#This Row],[Date]])+IF(MONTH(Table6[[#This Row],[Date]])&gt;=4,1,0)</f>
        <v>2026</v>
      </c>
      <c r="C513" s="102">
        <f>YEAR(Table6[[#This Row],[Date]])</f>
        <v>2025</v>
      </c>
      <c r="D513" s="102" t="s">
        <v>1992</v>
      </c>
      <c r="E513" s="469">
        <f>Table6[[#This Row],[Date]]-DAY(Table6[[#This Row],[Date]])+1</f>
        <v>45778</v>
      </c>
      <c r="F513" s="470">
        <v>45778</v>
      </c>
      <c r="G513" s="35" t="s">
        <v>93</v>
      </c>
      <c r="H513" s="35" t="str">
        <f>IFERROR(_xlfn.XLOOKUP(Table6[[#This Row],[Affected WTG]],'Basic Data'!$A:$A,'Basic Data'!$B:$B),"")</f>
        <v>TQGXIIPL</v>
      </c>
      <c r="I513" s="35" t="str">
        <f>IFERROR(_xlfn.XLOOKUP(Table6[[#This Row],[Affected WTG]],'Basic Data'!$A:$A,'Basic Data'!$C:$C),"")</f>
        <v>GEDA</v>
      </c>
      <c r="J513" s="471">
        <f>IFERROR(_xlfn.XLOOKUP(Table6[[#This Row],[Affected WTG]],'Basic Data'!$A:$A,'Basic Data'!$E:$E),"")</f>
        <v>3.846153846153845E-2</v>
      </c>
      <c r="K513" s="102">
        <v>6130</v>
      </c>
      <c r="L513" s="35" t="str">
        <f>IFERROR(_xlfn.XLOOKUP(Table6[[#This Row],[Error Code]],'Basic Data'!$AA:$AA,'Basic Data'!$AB:$AB),"Incorrect Error Code")</f>
        <v>Yaw speed high</v>
      </c>
      <c r="M513" s="35" t="s">
        <v>292</v>
      </c>
      <c r="N513" s="475"/>
      <c r="O513" s="476">
        <v>0.53402777777777777</v>
      </c>
      <c r="P513" s="476">
        <v>0.53402777777777777</v>
      </c>
      <c r="Q513" s="477">
        <v>0.53819444444444442</v>
      </c>
      <c r="R513" s="472">
        <f>IF(Table6[[#This Row],[Work Start TimeStamp]]="","",(Table6[[#This Row],[Work Start TimeStamp]]-Table6[[#This Row],[Fault Start TimeStamp]])*24)</f>
        <v>0</v>
      </c>
      <c r="S513" s="472">
        <f>(Table6[[#This Row],[Fault Clearance time]]-Table6[[#This Row],[Work Start TimeStamp]])*24</f>
        <v>9.9999999999999645E-2</v>
      </c>
      <c r="T513" s="472">
        <f>(Table6[[#This Row],[Fault Clearance time]]-Table6[[#This Row],[Fault Start TimeStamp]])*24</f>
        <v>9.9999999999999645E-2</v>
      </c>
      <c r="U513" s="35" t="s">
        <v>336</v>
      </c>
      <c r="V513" s="102" t="s">
        <v>293</v>
      </c>
      <c r="W513" s="478">
        <f>IFERROR(Table6[[#This Row],[Breakdown Time]]*Table6[[#This Row],[Plant Equivalent Weightage]],"")</f>
        <v>3.8461538461538312E-3</v>
      </c>
      <c r="X513" s="473" t="s">
        <v>294</v>
      </c>
      <c r="Y513" s="474" t="s">
        <v>314</v>
      </c>
      <c r="Z513" s="102">
        <v>41385</v>
      </c>
      <c r="AA513" s="468">
        <f>(Table6[[#This Row],[Paired WTG Generation for loss calculation]]/24)*Table6[[#This Row],[Breakdown Time]]</f>
        <v>172.43749999999937</v>
      </c>
      <c r="AB513" s="102"/>
      <c r="AC513" s="35"/>
      <c r="AD513" s="35"/>
    </row>
    <row r="514" spans="1:30">
      <c r="A514" s="102">
        <f t="shared" si="8"/>
        <v>513</v>
      </c>
      <c r="B514" s="468">
        <f>YEAR(Table6[[#This Row],[Date]])+IF(MONTH(Table6[[#This Row],[Date]])&gt;=4,1,0)</f>
        <v>2026</v>
      </c>
      <c r="C514" s="102">
        <f>YEAR(Table6[[#This Row],[Date]])</f>
        <v>2025</v>
      </c>
      <c r="D514" s="102" t="s">
        <v>1992</v>
      </c>
      <c r="E514" s="469">
        <f>Table6[[#This Row],[Date]]-DAY(Table6[[#This Row],[Date]])+1</f>
        <v>45778</v>
      </c>
      <c r="F514" s="470">
        <v>45778</v>
      </c>
      <c r="G514" s="35" t="s">
        <v>93</v>
      </c>
      <c r="H514" s="35" t="str">
        <f>IFERROR(_xlfn.XLOOKUP(Table6[[#This Row],[Affected WTG]],'Basic Data'!$A:$A,'Basic Data'!$B:$B),"")</f>
        <v>TQGXIIPL</v>
      </c>
      <c r="I514" s="35" t="str">
        <f>IFERROR(_xlfn.XLOOKUP(Table6[[#This Row],[Affected WTG]],'Basic Data'!$A:$A,'Basic Data'!$C:$C),"")</f>
        <v>GEDA</v>
      </c>
      <c r="J514" s="471">
        <f>IFERROR(_xlfn.XLOOKUP(Table6[[#This Row],[Affected WTG]],'Basic Data'!$A:$A,'Basic Data'!$E:$E),"")</f>
        <v>3.846153846153845E-2</v>
      </c>
      <c r="K514" s="102">
        <v>6130</v>
      </c>
      <c r="L514" s="35" t="str">
        <f>IFERROR(_xlfn.XLOOKUP(Table6[[#This Row],[Error Code]],'Basic Data'!$AA:$AA,'Basic Data'!$AB:$AB),"Incorrect Error Code")</f>
        <v>Yaw speed high</v>
      </c>
      <c r="M514" s="35" t="s">
        <v>291</v>
      </c>
      <c r="N514" s="475"/>
      <c r="O514" s="476">
        <v>0.58888888888888891</v>
      </c>
      <c r="P514" s="476">
        <v>0.58888888888888891</v>
      </c>
      <c r="Q514" s="477">
        <v>0.59791666666666665</v>
      </c>
      <c r="R514" s="472">
        <f>IF(Table6[[#This Row],[Work Start TimeStamp]]="","",(Table6[[#This Row],[Work Start TimeStamp]]-Table6[[#This Row],[Fault Start TimeStamp]])*24)</f>
        <v>0</v>
      </c>
      <c r="S514" s="472">
        <f>(Table6[[#This Row],[Fault Clearance time]]-Table6[[#This Row],[Work Start TimeStamp]])*24</f>
        <v>0.2166666666666659</v>
      </c>
      <c r="T514" s="472">
        <f>(Table6[[#This Row],[Fault Clearance time]]-Table6[[#This Row],[Fault Start TimeStamp]])*24</f>
        <v>0.2166666666666659</v>
      </c>
      <c r="U514" s="35" t="s">
        <v>349</v>
      </c>
      <c r="V514" s="102" t="s">
        <v>293</v>
      </c>
      <c r="W514" s="478">
        <f>IFERROR(Table6[[#This Row],[Breakdown Time]]*Table6[[#This Row],[Plant Equivalent Weightage]],"")</f>
        <v>8.333333333333302E-3</v>
      </c>
      <c r="X514" s="473" t="s">
        <v>294</v>
      </c>
      <c r="Y514" s="474" t="s">
        <v>314</v>
      </c>
      <c r="Z514" s="102">
        <v>41385</v>
      </c>
      <c r="AA514" s="468">
        <f>(Table6[[#This Row],[Paired WTG Generation for loss calculation]]/24)*Table6[[#This Row],[Breakdown Time]]</f>
        <v>373.61458333333201</v>
      </c>
      <c r="AB514" s="102"/>
      <c r="AC514" s="35"/>
      <c r="AD514" s="35"/>
    </row>
    <row r="515" spans="1:30">
      <c r="A515" s="102">
        <f t="shared" si="8"/>
        <v>514</v>
      </c>
      <c r="B515" s="468">
        <f>YEAR(Table6[[#This Row],[Date]])+IF(MONTH(Table6[[#This Row],[Date]])&gt;=4,1,0)</f>
        <v>2026</v>
      </c>
      <c r="C515" s="102">
        <f>YEAR(Table6[[#This Row],[Date]])</f>
        <v>2025</v>
      </c>
      <c r="D515" s="102" t="s">
        <v>1992</v>
      </c>
      <c r="E515" s="469">
        <f>Table6[[#This Row],[Date]]-DAY(Table6[[#This Row],[Date]])+1</f>
        <v>45778</v>
      </c>
      <c r="F515" s="470">
        <v>45778</v>
      </c>
      <c r="G515" s="35" t="s">
        <v>94</v>
      </c>
      <c r="H515" s="35" t="str">
        <f>IFERROR(_xlfn.XLOOKUP(Table6[[#This Row],[Affected WTG]],'Basic Data'!$A:$A,'Basic Data'!$B:$B),"")</f>
        <v>TQGXIIPL</v>
      </c>
      <c r="I515" s="35" t="str">
        <f>IFERROR(_xlfn.XLOOKUP(Table6[[#This Row],[Affected WTG]],'Basic Data'!$A:$A,'Basic Data'!$C:$C),"")</f>
        <v>GEDA</v>
      </c>
      <c r="J515" s="471">
        <f>IFERROR(_xlfn.XLOOKUP(Table6[[#This Row],[Affected WTG]],'Basic Data'!$A:$A,'Basic Data'!$E:$E),"")</f>
        <v>3.846153846153845E-2</v>
      </c>
      <c r="K515" s="102">
        <v>6130</v>
      </c>
      <c r="L515" s="35" t="str">
        <f>IFERROR(_xlfn.XLOOKUP(Table6[[#This Row],[Error Code]],'Basic Data'!$AA:$AA,'Basic Data'!$AB:$AB),"Incorrect Error Code")</f>
        <v>Yaw speed high</v>
      </c>
      <c r="M515" s="35" t="s">
        <v>292</v>
      </c>
      <c r="N515" s="475"/>
      <c r="O515" s="476">
        <v>0.31319444444444444</v>
      </c>
      <c r="P515" s="476">
        <v>0.31319444444444444</v>
      </c>
      <c r="Q515" s="477">
        <v>0.31736111111111109</v>
      </c>
      <c r="R515" s="472">
        <f>IF(Table6[[#This Row],[Work Start TimeStamp]]="","",(Table6[[#This Row],[Work Start TimeStamp]]-Table6[[#This Row],[Fault Start TimeStamp]])*24)</f>
        <v>0</v>
      </c>
      <c r="S515" s="472">
        <f>(Table6[[#This Row],[Fault Clearance time]]-Table6[[#This Row],[Work Start TimeStamp]])*24</f>
        <v>9.9999999999999645E-2</v>
      </c>
      <c r="T515" s="472">
        <f>(Table6[[#This Row],[Fault Clearance time]]-Table6[[#This Row],[Fault Start TimeStamp]])*24</f>
        <v>9.9999999999999645E-2</v>
      </c>
      <c r="U515" s="35" t="s">
        <v>336</v>
      </c>
      <c r="V515" s="102" t="s">
        <v>293</v>
      </c>
      <c r="W515" s="478">
        <f>IFERROR(Table6[[#This Row],[Breakdown Time]]*Table6[[#This Row],[Plant Equivalent Weightage]],"")</f>
        <v>3.8461538461538312E-3</v>
      </c>
      <c r="X515" s="473" t="s">
        <v>294</v>
      </c>
      <c r="Y515" s="474" t="s">
        <v>319</v>
      </c>
      <c r="Z515" s="102">
        <v>46547</v>
      </c>
      <c r="AA515" s="468">
        <f>(Table6[[#This Row],[Paired WTG Generation for loss calculation]]/24)*Table6[[#This Row],[Breakdown Time]]</f>
        <v>193.94583333333264</v>
      </c>
      <c r="AB515" s="102"/>
      <c r="AC515" s="35"/>
      <c r="AD515" s="35"/>
    </row>
    <row r="516" spans="1:30">
      <c r="A516" s="102">
        <f t="shared" si="8"/>
        <v>515</v>
      </c>
      <c r="B516" s="468">
        <f>YEAR(Table6[[#This Row],[Date]])+IF(MONTH(Table6[[#This Row],[Date]])&gt;=4,1,0)</f>
        <v>2026</v>
      </c>
      <c r="C516" s="102">
        <f>YEAR(Table6[[#This Row],[Date]])</f>
        <v>2025</v>
      </c>
      <c r="D516" s="102" t="s">
        <v>1992</v>
      </c>
      <c r="E516" s="469">
        <f>Table6[[#This Row],[Date]]-DAY(Table6[[#This Row],[Date]])+1</f>
        <v>45778</v>
      </c>
      <c r="F516" s="470">
        <v>45778</v>
      </c>
      <c r="G516" s="35" t="s">
        <v>96</v>
      </c>
      <c r="H516" s="35" t="str">
        <f>IFERROR(_xlfn.XLOOKUP(Table6[[#This Row],[Affected WTG]],'Basic Data'!$A:$A,'Basic Data'!$B:$B),"")</f>
        <v>TQGXIIPL</v>
      </c>
      <c r="I516" s="35" t="str">
        <f>IFERROR(_xlfn.XLOOKUP(Table6[[#This Row],[Affected WTG]],'Basic Data'!$A:$A,'Basic Data'!$C:$C),"")</f>
        <v>GEDA</v>
      </c>
      <c r="J516" s="471">
        <f>IFERROR(_xlfn.XLOOKUP(Table6[[#This Row],[Affected WTG]],'Basic Data'!$A:$A,'Basic Data'!$E:$E),"")</f>
        <v>3.846153846153845E-2</v>
      </c>
      <c r="K516" s="102">
        <v>6130</v>
      </c>
      <c r="L516" s="35" t="str">
        <f>IFERROR(_xlfn.XLOOKUP(Table6[[#This Row],[Error Code]],'Basic Data'!$AA:$AA,'Basic Data'!$AB:$AB),"Incorrect Error Code")</f>
        <v>Yaw speed high</v>
      </c>
      <c r="M516" s="35" t="s">
        <v>292</v>
      </c>
      <c r="N516" s="475"/>
      <c r="O516" s="476">
        <v>0.44236111111111109</v>
      </c>
      <c r="P516" s="476">
        <v>0.44236111111111109</v>
      </c>
      <c r="Q516" s="477">
        <v>0.4465277777777778</v>
      </c>
      <c r="R516" s="472">
        <f>IF(Table6[[#This Row],[Work Start TimeStamp]]="","",(Table6[[#This Row],[Work Start TimeStamp]]-Table6[[#This Row],[Fault Start TimeStamp]])*24)</f>
        <v>0</v>
      </c>
      <c r="S516" s="472">
        <f>(Table6[[#This Row],[Fault Clearance time]]-Table6[[#This Row],[Work Start TimeStamp]])*24</f>
        <v>0.10000000000000098</v>
      </c>
      <c r="T516" s="472">
        <f>(Table6[[#This Row],[Fault Clearance time]]-Table6[[#This Row],[Fault Start TimeStamp]])*24</f>
        <v>0.10000000000000098</v>
      </c>
      <c r="U516" s="35" t="s">
        <v>336</v>
      </c>
      <c r="V516" s="102" t="s">
        <v>293</v>
      </c>
      <c r="W516" s="478">
        <f>IFERROR(Table6[[#This Row],[Breakdown Time]]*Table6[[#This Row],[Plant Equivalent Weightage]],"")</f>
        <v>3.8461538461538824E-3</v>
      </c>
      <c r="X516" s="473" t="s">
        <v>294</v>
      </c>
      <c r="Y516" s="474" t="s">
        <v>313</v>
      </c>
      <c r="Z516" s="102">
        <v>40516</v>
      </c>
      <c r="AA516" s="468">
        <f>(Table6[[#This Row],[Paired WTG Generation for loss calculation]]/24)*Table6[[#This Row],[Breakdown Time]]</f>
        <v>168.81666666666831</v>
      </c>
      <c r="AB516" s="102"/>
      <c r="AC516" s="35"/>
      <c r="AD516" s="35"/>
    </row>
    <row r="517" spans="1:30">
      <c r="A517" s="102">
        <f t="shared" si="8"/>
        <v>516</v>
      </c>
      <c r="B517" s="468">
        <f>YEAR(Table6[[#This Row],[Date]])+IF(MONTH(Table6[[#This Row],[Date]])&gt;=4,1,0)</f>
        <v>2026</v>
      </c>
      <c r="C517" s="102">
        <f>YEAR(Table6[[#This Row],[Date]])</f>
        <v>2025</v>
      </c>
      <c r="D517" s="102" t="s">
        <v>1992</v>
      </c>
      <c r="E517" s="469">
        <f>Table6[[#This Row],[Date]]-DAY(Table6[[#This Row],[Date]])+1</f>
        <v>45778</v>
      </c>
      <c r="F517" s="470">
        <v>45778</v>
      </c>
      <c r="G517" s="35" t="s">
        <v>97</v>
      </c>
      <c r="H517" s="35" t="str">
        <f>IFERROR(_xlfn.XLOOKUP(Table6[[#This Row],[Affected WTG]],'Basic Data'!$A:$A,'Basic Data'!$B:$B),"")</f>
        <v>TQGXIIPL</v>
      </c>
      <c r="I517" s="35" t="str">
        <f>IFERROR(_xlfn.XLOOKUP(Table6[[#This Row],[Affected WTG]],'Basic Data'!$A:$A,'Basic Data'!$C:$C),"")</f>
        <v>GEDA</v>
      </c>
      <c r="J517" s="471">
        <f>IFERROR(_xlfn.XLOOKUP(Table6[[#This Row],[Affected WTG]],'Basic Data'!$A:$A,'Basic Data'!$E:$E),"")</f>
        <v>3.846153846153845E-2</v>
      </c>
      <c r="K517" s="102">
        <v>55</v>
      </c>
      <c r="L517" s="35" t="str">
        <f>IFERROR(_xlfn.XLOOKUP(Table6[[#This Row],[Error Code]],'Basic Data'!$AA:$AA,'Basic Data'!$AB:$AB),"Incorrect Error Code")</f>
        <v>WTG shut down</v>
      </c>
      <c r="M517" s="35" t="s">
        <v>291</v>
      </c>
      <c r="N517" s="475"/>
      <c r="O517" s="476">
        <v>0.64722222222222225</v>
      </c>
      <c r="P517" s="476">
        <v>0.64722222222222225</v>
      </c>
      <c r="Q517" s="477">
        <v>0.68611111111111112</v>
      </c>
      <c r="R517" s="472">
        <f>IF(Table6[[#This Row],[Work Start TimeStamp]]="","",(Table6[[#This Row],[Work Start TimeStamp]]-Table6[[#This Row],[Fault Start TimeStamp]])*24)</f>
        <v>0</v>
      </c>
      <c r="S517" s="472">
        <f>(Table6[[#This Row],[Fault Clearance time]]-Table6[[#This Row],[Work Start TimeStamp]])*24</f>
        <v>0.93333333333333268</v>
      </c>
      <c r="T517" s="472">
        <f>(Table6[[#This Row],[Fault Clearance time]]-Table6[[#This Row],[Fault Start TimeStamp]])*24</f>
        <v>0.93333333333333268</v>
      </c>
      <c r="U517" s="35" t="s">
        <v>1719</v>
      </c>
      <c r="V517" s="102" t="s">
        <v>293</v>
      </c>
      <c r="W517" s="478">
        <f>IFERROR(Table6[[#This Row],[Breakdown Time]]*Table6[[#This Row],[Plant Equivalent Weightage]],"")</f>
        <v>3.589743589743586E-2</v>
      </c>
      <c r="X517" s="473" t="s">
        <v>290</v>
      </c>
      <c r="Y517" s="474" t="s">
        <v>320</v>
      </c>
      <c r="Z517" s="102">
        <v>43931</v>
      </c>
      <c r="AA517" s="468">
        <f>(Table6[[#This Row],[Paired WTG Generation for loss calculation]]/24)*Table6[[#This Row],[Breakdown Time]]</f>
        <v>1708.4277777777766</v>
      </c>
      <c r="AB517" s="102"/>
      <c r="AC517" s="35"/>
      <c r="AD517" s="35"/>
    </row>
    <row r="518" spans="1:30">
      <c r="A518" s="102">
        <f t="shared" si="8"/>
        <v>517</v>
      </c>
      <c r="B518" s="468">
        <f>YEAR(Table6[[#This Row],[Date]])+IF(MONTH(Table6[[#This Row],[Date]])&gt;=4,1,0)</f>
        <v>2026</v>
      </c>
      <c r="C518" s="102">
        <f>YEAR(Table6[[#This Row],[Date]])</f>
        <v>2025</v>
      </c>
      <c r="D518" s="102" t="s">
        <v>1992</v>
      </c>
      <c r="E518" s="469">
        <f>Table6[[#This Row],[Date]]-DAY(Table6[[#This Row],[Date]])+1</f>
        <v>45778</v>
      </c>
      <c r="F518" s="470">
        <v>45779</v>
      </c>
      <c r="G518" s="35" t="s">
        <v>77</v>
      </c>
      <c r="H518" s="35" t="str">
        <f>IFERROR(_xlfn.XLOOKUP(Table6[[#This Row],[Affected WTG]],'Basic Data'!$A:$A,'Basic Data'!$B:$B),"")</f>
        <v>TQGXIIPL</v>
      </c>
      <c r="I518" s="35" t="str">
        <f>IFERROR(_xlfn.XLOOKUP(Table6[[#This Row],[Affected WTG]],'Basic Data'!$A:$A,'Basic Data'!$C:$C),"")</f>
        <v>GEDA</v>
      </c>
      <c r="J518" s="471">
        <f>IFERROR(_xlfn.XLOOKUP(Table6[[#This Row],[Affected WTG]],'Basic Data'!$A:$A,'Basic Data'!$E:$E),"")</f>
        <v>3.846153846153845E-2</v>
      </c>
      <c r="K518" s="102">
        <v>6130</v>
      </c>
      <c r="L518" s="35" t="str">
        <f>IFERROR(_xlfn.XLOOKUP(Table6[[#This Row],[Error Code]],'Basic Data'!$AA:$AA,'Basic Data'!$AB:$AB),"Incorrect Error Code")</f>
        <v>Yaw speed high</v>
      </c>
      <c r="M518" s="35" t="s">
        <v>292</v>
      </c>
      <c r="N518" s="475"/>
      <c r="O518" s="476">
        <v>0.68055555555555558</v>
      </c>
      <c r="P518" s="476">
        <v>0.68055555555555558</v>
      </c>
      <c r="Q518" s="477">
        <v>0.68472222222222223</v>
      </c>
      <c r="R518" s="472">
        <f>IF(Table6[[#This Row],[Work Start TimeStamp]]="","",(Table6[[#This Row],[Work Start TimeStamp]]-Table6[[#This Row],[Fault Start TimeStamp]])*24)</f>
        <v>0</v>
      </c>
      <c r="S518" s="472">
        <f>(Table6[[#This Row],[Fault Clearance time]]-Table6[[#This Row],[Work Start TimeStamp]])*24</f>
        <v>9.9999999999999645E-2</v>
      </c>
      <c r="T518" s="472">
        <f>(Table6[[#This Row],[Fault Clearance time]]-Table6[[#This Row],[Fault Start TimeStamp]])*24</f>
        <v>9.9999999999999645E-2</v>
      </c>
      <c r="U518" s="35" t="s">
        <v>336</v>
      </c>
      <c r="V518" s="102" t="s">
        <v>293</v>
      </c>
      <c r="W518" s="478">
        <f>IFERROR(Table6[[#This Row],[Breakdown Time]]*Table6[[#This Row],[Plant Equivalent Weightage]],"")</f>
        <v>3.8461538461538312E-3</v>
      </c>
      <c r="X518" s="473" t="s">
        <v>294</v>
      </c>
      <c r="Y518" s="474" t="s">
        <v>310</v>
      </c>
      <c r="Z518" s="102">
        <v>26581</v>
      </c>
      <c r="AA518" s="468">
        <f>(Table6[[#This Row],[Paired WTG Generation for loss calculation]]/24)*Table6[[#This Row],[Breakdown Time]]</f>
        <v>110.75416666666628</v>
      </c>
      <c r="AB518" s="102"/>
      <c r="AC518" s="35"/>
      <c r="AD518" s="35"/>
    </row>
    <row r="519" spans="1:30">
      <c r="A519" s="102">
        <f t="shared" si="8"/>
        <v>518</v>
      </c>
      <c r="B519" s="468">
        <f>YEAR(Table6[[#This Row],[Date]])+IF(MONTH(Table6[[#This Row],[Date]])&gt;=4,1,0)</f>
        <v>2026</v>
      </c>
      <c r="C519" s="102">
        <f>YEAR(Table6[[#This Row],[Date]])</f>
        <v>2025</v>
      </c>
      <c r="D519" s="102" t="s">
        <v>1992</v>
      </c>
      <c r="E519" s="469">
        <f>Table6[[#This Row],[Date]]-DAY(Table6[[#This Row],[Date]])+1</f>
        <v>45778</v>
      </c>
      <c r="F519" s="470">
        <v>45779</v>
      </c>
      <c r="G519" s="35" t="s">
        <v>81</v>
      </c>
      <c r="H519" s="35" t="str">
        <f>IFERROR(_xlfn.XLOOKUP(Table6[[#This Row],[Affected WTG]],'Basic Data'!$A:$A,'Basic Data'!$B:$B),"")</f>
        <v>TQGXIIPL</v>
      </c>
      <c r="I519" s="35" t="str">
        <f>IFERROR(_xlfn.XLOOKUP(Table6[[#This Row],[Affected WTG]],'Basic Data'!$A:$A,'Basic Data'!$C:$C),"")</f>
        <v>GEDA</v>
      </c>
      <c r="J519" s="471">
        <f>IFERROR(_xlfn.XLOOKUP(Table6[[#This Row],[Affected WTG]],'Basic Data'!$A:$A,'Basic Data'!$E:$E),"")</f>
        <v>3.846153846153845E-2</v>
      </c>
      <c r="K519" s="102">
        <v>58</v>
      </c>
      <c r="L519" s="35" t="str">
        <f>IFERROR(_xlfn.XLOOKUP(Table6[[#This Row],[Error Code]],'Basic Data'!$AA:$AA,'Basic Data'!$AB:$AB),"Incorrect Error Code")</f>
        <v>Wind dir.dev. level 2</v>
      </c>
      <c r="M519" s="35" t="s">
        <v>291</v>
      </c>
      <c r="N519" s="475"/>
      <c r="O519" s="476">
        <v>0.58680555555555558</v>
      </c>
      <c r="P519" s="476">
        <v>0.58680555555555558</v>
      </c>
      <c r="Q519" s="477">
        <v>0.58888888888888891</v>
      </c>
      <c r="R519" s="472">
        <f>IF(Table6[[#This Row],[Work Start TimeStamp]]="","",(Table6[[#This Row],[Work Start TimeStamp]]-Table6[[#This Row],[Fault Start TimeStamp]])*24)</f>
        <v>0</v>
      </c>
      <c r="S519" s="472">
        <f>(Table6[[#This Row],[Fault Clearance time]]-Table6[[#This Row],[Work Start TimeStamp]])*24</f>
        <v>4.9999999999999822E-2</v>
      </c>
      <c r="T519" s="472">
        <f>(Table6[[#This Row],[Fault Clearance time]]-Table6[[#This Row],[Fault Start TimeStamp]])*24</f>
        <v>4.9999999999999822E-2</v>
      </c>
      <c r="U519" s="35" t="s">
        <v>349</v>
      </c>
      <c r="V519" s="102" t="s">
        <v>293</v>
      </c>
      <c r="W519" s="478">
        <f>IFERROR(Table6[[#This Row],[Breakdown Time]]*Table6[[#This Row],[Plant Equivalent Weightage]],"")</f>
        <v>1.9230769230769156E-3</v>
      </c>
      <c r="X519" s="473" t="s">
        <v>294</v>
      </c>
      <c r="Y519" s="474" t="s">
        <v>321</v>
      </c>
      <c r="Z519" s="102">
        <v>25628</v>
      </c>
      <c r="AA519" s="468">
        <f>(Table6[[#This Row],[Paired WTG Generation for loss calculation]]/24)*Table6[[#This Row],[Breakdown Time]]</f>
        <v>53.391666666666474</v>
      </c>
      <c r="AB519" s="102"/>
      <c r="AC519" s="35"/>
      <c r="AD519" s="35"/>
    </row>
    <row r="520" spans="1:30">
      <c r="A520" s="102">
        <f t="shared" si="8"/>
        <v>519</v>
      </c>
      <c r="B520" s="468">
        <f>YEAR(Table6[[#This Row],[Date]])+IF(MONTH(Table6[[#This Row],[Date]])&gt;=4,1,0)</f>
        <v>2026</v>
      </c>
      <c r="C520" s="102">
        <f>YEAR(Table6[[#This Row],[Date]])</f>
        <v>2025</v>
      </c>
      <c r="D520" s="102" t="s">
        <v>1992</v>
      </c>
      <c r="E520" s="469">
        <f>Table6[[#This Row],[Date]]-DAY(Table6[[#This Row],[Date]])+1</f>
        <v>45778</v>
      </c>
      <c r="F520" s="470">
        <v>45779</v>
      </c>
      <c r="G520" s="35" t="s">
        <v>81</v>
      </c>
      <c r="H520" s="35" t="str">
        <f>IFERROR(_xlfn.XLOOKUP(Table6[[#This Row],[Affected WTG]],'Basic Data'!$A:$A,'Basic Data'!$B:$B),"")</f>
        <v>TQGXIIPL</v>
      </c>
      <c r="I520" s="35" t="str">
        <f>IFERROR(_xlfn.XLOOKUP(Table6[[#This Row],[Affected WTG]],'Basic Data'!$A:$A,'Basic Data'!$C:$C),"")</f>
        <v>GEDA</v>
      </c>
      <c r="J520" s="471">
        <f>IFERROR(_xlfn.XLOOKUP(Table6[[#This Row],[Affected WTG]],'Basic Data'!$A:$A,'Basic Data'!$E:$E),"")</f>
        <v>3.846153846153845E-2</v>
      </c>
      <c r="K520" s="102">
        <v>6130</v>
      </c>
      <c r="L520" s="35" t="str">
        <f>IFERROR(_xlfn.XLOOKUP(Table6[[#This Row],[Error Code]],'Basic Data'!$AA:$AA,'Basic Data'!$AB:$AB),"Incorrect Error Code")</f>
        <v>Yaw speed high</v>
      </c>
      <c r="M520" s="35" t="s">
        <v>292</v>
      </c>
      <c r="N520" s="475"/>
      <c r="O520" s="476">
        <v>0.56319444444444444</v>
      </c>
      <c r="P520" s="476">
        <v>0.56319444444444444</v>
      </c>
      <c r="Q520" s="477">
        <v>0.56736111111111109</v>
      </c>
      <c r="R520" s="472">
        <f>IF(Table6[[#This Row],[Work Start TimeStamp]]="","",(Table6[[#This Row],[Work Start TimeStamp]]-Table6[[#This Row],[Fault Start TimeStamp]])*24)</f>
        <v>0</v>
      </c>
      <c r="S520" s="472">
        <f>(Table6[[#This Row],[Fault Clearance time]]-Table6[[#This Row],[Work Start TimeStamp]])*24</f>
        <v>9.9999999999999645E-2</v>
      </c>
      <c r="T520" s="472">
        <f>(Table6[[#This Row],[Fault Clearance time]]-Table6[[#This Row],[Fault Start TimeStamp]])*24</f>
        <v>9.9999999999999645E-2</v>
      </c>
      <c r="U520" s="35" t="s">
        <v>336</v>
      </c>
      <c r="V520" s="102" t="s">
        <v>293</v>
      </c>
      <c r="W520" s="478">
        <f>IFERROR(Table6[[#This Row],[Breakdown Time]]*Table6[[#This Row],[Plant Equivalent Weightage]],"")</f>
        <v>3.8461538461538312E-3</v>
      </c>
      <c r="X520" s="473" t="s">
        <v>294</v>
      </c>
      <c r="Y520" s="474" t="s">
        <v>321</v>
      </c>
      <c r="Z520" s="102">
        <v>25628</v>
      </c>
      <c r="AA520" s="468">
        <f>(Table6[[#This Row],[Paired WTG Generation for loss calculation]]/24)*Table6[[#This Row],[Breakdown Time]]</f>
        <v>106.78333333333295</v>
      </c>
      <c r="AB520" s="102"/>
      <c r="AC520" s="35"/>
      <c r="AD520" s="35"/>
    </row>
    <row r="521" spans="1:30">
      <c r="A521" s="102">
        <f t="shared" si="8"/>
        <v>520</v>
      </c>
      <c r="B521" s="468">
        <f>YEAR(Table6[[#This Row],[Date]])+IF(MONTH(Table6[[#This Row],[Date]])&gt;=4,1,0)</f>
        <v>2026</v>
      </c>
      <c r="C521" s="102">
        <f>YEAR(Table6[[#This Row],[Date]])</f>
        <v>2025</v>
      </c>
      <c r="D521" s="102" t="s">
        <v>1992</v>
      </c>
      <c r="E521" s="469">
        <f>Table6[[#This Row],[Date]]-DAY(Table6[[#This Row],[Date]])+1</f>
        <v>45778</v>
      </c>
      <c r="F521" s="470">
        <v>45779</v>
      </c>
      <c r="G521" s="35" t="s">
        <v>81</v>
      </c>
      <c r="H521" s="35" t="str">
        <f>IFERROR(_xlfn.XLOOKUP(Table6[[#This Row],[Affected WTG]],'Basic Data'!$A:$A,'Basic Data'!$B:$B),"")</f>
        <v>TQGXIIPL</v>
      </c>
      <c r="I521" s="35" t="str">
        <f>IFERROR(_xlfn.XLOOKUP(Table6[[#This Row],[Affected WTG]],'Basic Data'!$A:$A,'Basic Data'!$C:$C),"")</f>
        <v>GEDA</v>
      </c>
      <c r="J521" s="471">
        <f>IFERROR(_xlfn.XLOOKUP(Table6[[#This Row],[Affected WTG]],'Basic Data'!$A:$A,'Basic Data'!$E:$E),"")</f>
        <v>3.846153846153845E-2</v>
      </c>
      <c r="K521" s="102">
        <v>175</v>
      </c>
      <c r="L521" s="35" t="str">
        <f>IFERROR(_xlfn.XLOOKUP(Table6[[#This Row],[Error Code]],'Basic Data'!$AA:$AA,'Basic Data'!$AB:$AB),"Incorrect Error Code")</f>
        <v>SLC error</v>
      </c>
      <c r="M521" s="35" t="s">
        <v>291</v>
      </c>
      <c r="N521" s="475"/>
      <c r="O521" s="476">
        <v>0.61250000000000004</v>
      </c>
      <c r="P521" s="476">
        <v>0.61250000000000004</v>
      </c>
      <c r="Q521" s="477">
        <v>0.62777777777777777</v>
      </c>
      <c r="R521" s="472">
        <f>IF(Table6[[#This Row],[Work Start TimeStamp]]="","",(Table6[[#This Row],[Work Start TimeStamp]]-Table6[[#This Row],[Fault Start TimeStamp]])*24)</f>
        <v>0</v>
      </c>
      <c r="S521" s="472">
        <f>(Table6[[#This Row],[Fault Clearance time]]-Table6[[#This Row],[Work Start TimeStamp]])*24</f>
        <v>0.36666666666666536</v>
      </c>
      <c r="T521" s="472">
        <f>(Table6[[#This Row],[Fault Clearance time]]-Table6[[#This Row],[Fault Start TimeStamp]])*24</f>
        <v>0.36666666666666536</v>
      </c>
      <c r="U521" s="35" t="s">
        <v>1749</v>
      </c>
      <c r="V521" s="102" t="s">
        <v>293</v>
      </c>
      <c r="W521" s="478">
        <f>IFERROR(Table6[[#This Row],[Breakdown Time]]*Table6[[#This Row],[Plant Equivalent Weightage]],"")</f>
        <v>1.4102564102564049E-2</v>
      </c>
      <c r="X521" s="473" t="s">
        <v>294</v>
      </c>
      <c r="Y521" s="474" t="s">
        <v>321</v>
      </c>
      <c r="Z521" s="102">
        <v>25628</v>
      </c>
      <c r="AA521" s="468">
        <f>(Table6[[#This Row],[Paired WTG Generation for loss calculation]]/24)*Table6[[#This Row],[Breakdown Time]]</f>
        <v>391.53888888888747</v>
      </c>
      <c r="AB521" s="102"/>
      <c r="AC521" s="35"/>
      <c r="AD521" s="35"/>
    </row>
    <row r="522" spans="1:30">
      <c r="A522" s="102">
        <f t="shared" si="8"/>
        <v>521</v>
      </c>
      <c r="B522" s="468">
        <f>YEAR(Table6[[#This Row],[Date]])+IF(MONTH(Table6[[#This Row],[Date]])&gt;=4,1,0)</f>
        <v>2026</v>
      </c>
      <c r="C522" s="102">
        <f>YEAR(Table6[[#This Row],[Date]])</f>
        <v>2025</v>
      </c>
      <c r="D522" s="102" t="s">
        <v>1992</v>
      </c>
      <c r="E522" s="469">
        <f>Table6[[#This Row],[Date]]-DAY(Table6[[#This Row],[Date]])+1</f>
        <v>45778</v>
      </c>
      <c r="F522" s="470">
        <v>45779</v>
      </c>
      <c r="G522" s="35" t="s">
        <v>84</v>
      </c>
      <c r="H522" s="35" t="str">
        <f>IFERROR(_xlfn.XLOOKUP(Table6[[#This Row],[Affected WTG]],'Basic Data'!$A:$A,'Basic Data'!$B:$B),"")</f>
        <v>TQGXIIPL</v>
      </c>
      <c r="I522" s="35" t="str">
        <f>IFERROR(_xlfn.XLOOKUP(Table6[[#This Row],[Affected WTG]],'Basic Data'!$A:$A,'Basic Data'!$C:$C),"")</f>
        <v>GEDA</v>
      </c>
      <c r="J522" s="471">
        <f>IFERROR(_xlfn.XLOOKUP(Table6[[#This Row],[Affected WTG]],'Basic Data'!$A:$A,'Basic Data'!$E:$E),"")</f>
        <v>3.846153846153845E-2</v>
      </c>
      <c r="K522" s="102">
        <v>6130</v>
      </c>
      <c r="L522" s="35" t="str">
        <f>IFERROR(_xlfn.XLOOKUP(Table6[[#This Row],[Error Code]],'Basic Data'!$AA:$AA,'Basic Data'!$AB:$AB),"Incorrect Error Code")</f>
        <v>Yaw speed high</v>
      </c>
      <c r="M522" s="35" t="s">
        <v>292</v>
      </c>
      <c r="N522" s="475"/>
      <c r="O522" s="476">
        <v>0.52361111111111114</v>
      </c>
      <c r="P522" s="476">
        <v>0.52361111111111114</v>
      </c>
      <c r="Q522" s="477">
        <v>0.52777777777777779</v>
      </c>
      <c r="R522" s="472">
        <f>IF(Table6[[#This Row],[Work Start TimeStamp]]="","",(Table6[[#This Row],[Work Start TimeStamp]]-Table6[[#This Row],[Fault Start TimeStamp]])*24)</f>
        <v>0</v>
      </c>
      <c r="S522" s="472">
        <f>(Table6[[#This Row],[Fault Clearance time]]-Table6[[#This Row],[Work Start TimeStamp]])*24</f>
        <v>9.9999999999999645E-2</v>
      </c>
      <c r="T522" s="472">
        <f>(Table6[[#This Row],[Fault Clearance time]]-Table6[[#This Row],[Fault Start TimeStamp]])*24</f>
        <v>9.9999999999999645E-2</v>
      </c>
      <c r="U522" s="35" t="s">
        <v>336</v>
      </c>
      <c r="V522" s="102" t="s">
        <v>293</v>
      </c>
      <c r="W522" s="478">
        <f>IFERROR(Table6[[#This Row],[Breakdown Time]]*Table6[[#This Row],[Plant Equivalent Weightage]],"")</f>
        <v>3.8461538461538312E-3</v>
      </c>
      <c r="X522" s="473" t="s">
        <v>294</v>
      </c>
      <c r="Y522" s="474" t="s">
        <v>327</v>
      </c>
      <c r="Z522" s="102">
        <v>25954</v>
      </c>
      <c r="AA522" s="468">
        <f>(Table6[[#This Row],[Paired WTG Generation for loss calculation]]/24)*Table6[[#This Row],[Breakdown Time]]</f>
        <v>108.1416666666663</v>
      </c>
      <c r="AB522" s="102"/>
      <c r="AC522" s="35"/>
      <c r="AD522" s="35"/>
    </row>
    <row r="523" spans="1:30">
      <c r="A523" s="102">
        <f t="shared" si="8"/>
        <v>522</v>
      </c>
      <c r="B523" s="468">
        <f>YEAR(Table6[[#This Row],[Date]])+IF(MONTH(Table6[[#This Row],[Date]])&gt;=4,1,0)</f>
        <v>2026</v>
      </c>
      <c r="C523" s="102">
        <f>YEAR(Table6[[#This Row],[Date]])</f>
        <v>2025</v>
      </c>
      <c r="D523" s="102" t="s">
        <v>1992</v>
      </c>
      <c r="E523" s="469">
        <f>Table6[[#This Row],[Date]]-DAY(Table6[[#This Row],[Date]])+1</f>
        <v>45778</v>
      </c>
      <c r="F523" s="470">
        <v>45779</v>
      </c>
      <c r="G523" s="35" t="s">
        <v>86</v>
      </c>
      <c r="H523" s="35" t="str">
        <f>IFERROR(_xlfn.XLOOKUP(Table6[[#This Row],[Affected WTG]],'Basic Data'!$A:$A,'Basic Data'!$B:$B),"")</f>
        <v>TQGXIIPL</v>
      </c>
      <c r="I523" s="35" t="str">
        <f>IFERROR(_xlfn.XLOOKUP(Table6[[#This Row],[Affected WTG]],'Basic Data'!$A:$A,'Basic Data'!$C:$C),"")</f>
        <v>GEDA</v>
      </c>
      <c r="J523" s="471">
        <f>IFERROR(_xlfn.XLOOKUP(Table6[[#This Row],[Affected WTG]],'Basic Data'!$A:$A,'Basic Data'!$E:$E),"")</f>
        <v>3.846153846153845E-2</v>
      </c>
      <c r="K523" s="102">
        <v>6056</v>
      </c>
      <c r="L523" s="35" t="str">
        <f>IFERROR(_xlfn.XLOOKUP(Table6[[#This Row],[Error Code]],'Basic Data'!$AA:$AA,'Basic Data'!$AB:$AB),"Incorrect Error Code")</f>
        <v>High yaw load</v>
      </c>
      <c r="M523" s="35" t="s">
        <v>291</v>
      </c>
      <c r="N523" s="475"/>
      <c r="O523" s="476">
        <v>0.66111111111111109</v>
      </c>
      <c r="P523" s="476">
        <v>0.66111111111111109</v>
      </c>
      <c r="Q523" s="477">
        <v>0.66319444444444442</v>
      </c>
      <c r="R523" s="472">
        <f>IF(Table6[[#This Row],[Work Start TimeStamp]]="","",(Table6[[#This Row],[Work Start TimeStamp]]-Table6[[#This Row],[Fault Start TimeStamp]])*24)</f>
        <v>0</v>
      </c>
      <c r="S523" s="472">
        <f>(Table6[[#This Row],[Fault Clearance time]]-Table6[[#This Row],[Work Start TimeStamp]])*24</f>
        <v>4.9999999999999822E-2</v>
      </c>
      <c r="T523" s="472">
        <f>(Table6[[#This Row],[Fault Clearance time]]-Table6[[#This Row],[Fault Start TimeStamp]])*24</f>
        <v>4.9999999999999822E-2</v>
      </c>
      <c r="U523" s="35" t="s">
        <v>349</v>
      </c>
      <c r="V523" s="102" t="s">
        <v>293</v>
      </c>
      <c r="W523" s="478">
        <f>IFERROR(Table6[[#This Row],[Breakdown Time]]*Table6[[#This Row],[Plant Equivalent Weightage]],"")</f>
        <v>1.9230769230769156E-3</v>
      </c>
      <c r="X523" s="473" t="s">
        <v>294</v>
      </c>
      <c r="Y523" s="474" t="s">
        <v>313</v>
      </c>
      <c r="Z523" s="102">
        <v>26607</v>
      </c>
      <c r="AA523" s="468">
        <f>(Table6[[#This Row],[Paired WTG Generation for loss calculation]]/24)*Table6[[#This Row],[Breakdown Time]]</f>
        <v>55.4312499999998</v>
      </c>
      <c r="AB523" s="102"/>
      <c r="AC523" s="35"/>
      <c r="AD523" s="35"/>
    </row>
    <row r="524" spans="1:30">
      <c r="A524" s="102">
        <f t="shared" si="8"/>
        <v>523</v>
      </c>
      <c r="B524" s="468">
        <f>YEAR(Table6[[#This Row],[Date]])+IF(MONTH(Table6[[#This Row],[Date]])&gt;=4,1,0)</f>
        <v>2026</v>
      </c>
      <c r="C524" s="102">
        <f>YEAR(Table6[[#This Row],[Date]])</f>
        <v>2025</v>
      </c>
      <c r="D524" s="102" t="s">
        <v>1992</v>
      </c>
      <c r="E524" s="469">
        <f>Table6[[#This Row],[Date]]-DAY(Table6[[#This Row],[Date]])+1</f>
        <v>45778</v>
      </c>
      <c r="F524" s="470">
        <v>45779</v>
      </c>
      <c r="G524" s="35" t="s">
        <v>90</v>
      </c>
      <c r="H524" s="35" t="str">
        <f>IFERROR(_xlfn.XLOOKUP(Table6[[#This Row],[Affected WTG]],'Basic Data'!$A:$A,'Basic Data'!$B:$B),"")</f>
        <v>TQGXIIPL</v>
      </c>
      <c r="I524" s="35" t="str">
        <f>IFERROR(_xlfn.XLOOKUP(Table6[[#This Row],[Affected WTG]],'Basic Data'!$A:$A,'Basic Data'!$C:$C),"")</f>
        <v>GEDA</v>
      </c>
      <c r="J524" s="471">
        <f>IFERROR(_xlfn.XLOOKUP(Table6[[#This Row],[Affected WTG]],'Basic Data'!$A:$A,'Basic Data'!$E:$E),"")</f>
        <v>3.846153846153845E-2</v>
      </c>
      <c r="K524" s="102">
        <v>55</v>
      </c>
      <c r="L524" s="35" t="str">
        <f>IFERROR(_xlfn.XLOOKUP(Table6[[#This Row],[Error Code]],'Basic Data'!$AA:$AA,'Basic Data'!$AB:$AB),"Incorrect Error Code")</f>
        <v>WTG shut down</v>
      </c>
      <c r="M524" s="35" t="s">
        <v>291</v>
      </c>
      <c r="N524" s="475"/>
      <c r="O524" s="476">
        <v>0.48472222222222222</v>
      </c>
      <c r="P524" s="476">
        <v>0.48472222222222222</v>
      </c>
      <c r="Q524" s="477">
        <v>0.4861111111111111</v>
      </c>
      <c r="R524" s="472">
        <f>IF(Table6[[#This Row],[Work Start TimeStamp]]="","",(Table6[[#This Row],[Work Start TimeStamp]]-Table6[[#This Row],[Fault Start TimeStamp]])*24)</f>
        <v>0</v>
      </c>
      <c r="S524" s="472">
        <f>(Table6[[#This Row],[Fault Clearance time]]-Table6[[#This Row],[Work Start TimeStamp]])*24</f>
        <v>3.3333333333333215E-2</v>
      </c>
      <c r="T524" s="472">
        <f>(Table6[[#This Row],[Fault Clearance time]]-Table6[[#This Row],[Fault Start TimeStamp]])*24</f>
        <v>3.3333333333333215E-2</v>
      </c>
      <c r="U524" s="35" t="s">
        <v>1747</v>
      </c>
      <c r="V524" s="102" t="s">
        <v>293</v>
      </c>
      <c r="W524" s="478">
        <f>IFERROR(Table6[[#This Row],[Breakdown Time]]*Table6[[#This Row],[Plant Equivalent Weightage]],"")</f>
        <v>1.2820512820512771E-3</v>
      </c>
      <c r="X524" s="473" t="s">
        <v>294</v>
      </c>
      <c r="Y524" s="474" t="s">
        <v>339</v>
      </c>
      <c r="Z524" s="102">
        <v>28813</v>
      </c>
      <c r="AA524" s="468">
        <f>(Table6[[#This Row],[Paired WTG Generation for loss calculation]]/24)*Table6[[#This Row],[Breakdown Time]]</f>
        <v>40.018055555555414</v>
      </c>
      <c r="AB524" s="102"/>
      <c r="AC524" s="35"/>
      <c r="AD524" s="35"/>
    </row>
    <row r="525" spans="1:30">
      <c r="A525" s="102">
        <f t="shared" si="8"/>
        <v>524</v>
      </c>
      <c r="B525" s="468">
        <f>YEAR(Table6[[#This Row],[Date]])+IF(MONTH(Table6[[#This Row],[Date]])&gt;=4,1,0)</f>
        <v>2026</v>
      </c>
      <c r="C525" s="102">
        <f>YEAR(Table6[[#This Row],[Date]])</f>
        <v>2025</v>
      </c>
      <c r="D525" s="102" t="s">
        <v>1992</v>
      </c>
      <c r="E525" s="469">
        <f>Table6[[#This Row],[Date]]-DAY(Table6[[#This Row],[Date]])+1</f>
        <v>45778</v>
      </c>
      <c r="F525" s="470">
        <v>45779</v>
      </c>
      <c r="G525" s="35" t="s">
        <v>91</v>
      </c>
      <c r="H525" s="35" t="str">
        <f>IFERROR(_xlfn.XLOOKUP(Table6[[#This Row],[Affected WTG]],'Basic Data'!$A:$A,'Basic Data'!$B:$B),"")</f>
        <v>TQGXIIPL</v>
      </c>
      <c r="I525" s="35" t="str">
        <f>IFERROR(_xlfn.XLOOKUP(Table6[[#This Row],[Affected WTG]],'Basic Data'!$A:$A,'Basic Data'!$C:$C),"")</f>
        <v>GEDA</v>
      </c>
      <c r="J525" s="471">
        <f>IFERROR(_xlfn.XLOOKUP(Table6[[#This Row],[Affected WTG]],'Basic Data'!$A:$A,'Basic Data'!$E:$E),"")</f>
        <v>3.846153846153845E-2</v>
      </c>
      <c r="K525" s="102">
        <v>172</v>
      </c>
      <c r="L525" s="35" t="str">
        <f>IFERROR(_xlfn.XLOOKUP(Table6[[#This Row],[Error Code]],'Basic Data'!$AA:$AA,'Basic Data'!$AB:$AB),"Incorrect Error Code")</f>
        <v>SLC MF torque protection</v>
      </c>
      <c r="M525" s="35" t="s">
        <v>291</v>
      </c>
      <c r="N525" s="475"/>
      <c r="O525" s="476">
        <v>7.1527777777777773E-2</v>
      </c>
      <c r="P525" s="476">
        <v>7.1527777777777773E-2</v>
      </c>
      <c r="Q525" s="477">
        <v>8.7499999999999994E-2</v>
      </c>
      <c r="R525" s="472">
        <f>IF(Table6[[#This Row],[Work Start TimeStamp]]="","",(Table6[[#This Row],[Work Start TimeStamp]]-Table6[[#This Row],[Fault Start TimeStamp]])*24)</f>
        <v>0</v>
      </c>
      <c r="S525" s="472">
        <f>(Table6[[#This Row],[Fault Clearance time]]-Table6[[#This Row],[Work Start TimeStamp]])*24</f>
        <v>0.3833333333333333</v>
      </c>
      <c r="T525" s="472">
        <f>(Table6[[#This Row],[Fault Clearance time]]-Table6[[#This Row],[Fault Start TimeStamp]])*24</f>
        <v>0.3833333333333333</v>
      </c>
      <c r="U525" s="35" t="s">
        <v>396</v>
      </c>
      <c r="V525" s="102" t="s">
        <v>293</v>
      </c>
      <c r="W525" s="478">
        <f>IFERROR(Table6[[#This Row],[Breakdown Time]]*Table6[[#This Row],[Plant Equivalent Weightage]],"")</f>
        <v>1.4743589743589738E-2</v>
      </c>
      <c r="X525" s="473" t="s">
        <v>294</v>
      </c>
      <c r="Y525" s="474" t="s">
        <v>319</v>
      </c>
      <c r="Z525" s="102">
        <v>29048</v>
      </c>
      <c r="AA525" s="468">
        <f>(Table6[[#This Row],[Paired WTG Generation for loss calculation]]/24)*Table6[[#This Row],[Breakdown Time]]</f>
        <v>463.96111111111105</v>
      </c>
      <c r="AB525" s="102"/>
      <c r="AC525" s="35"/>
      <c r="AD525" s="35"/>
    </row>
    <row r="526" spans="1:30">
      <c r="A526" s="102">
        <f t="shared" ref="A526:A589" si="9">A525+1</f>
        <v>525</v>
      </c>
      <c r="B526" s="468">
        <f>YEAR(Table6[[#This Row],[Date]])+IF(MONTH(Table6[[#This Row],[Date]])&gt;=4,1,0)</f>
        <v>2026</v>
      </c>
      <c r="C526" s="102">
        <f>YEAR(Table6[[#This Row],[Date]])</f>
        <v>2025</v>
      </c>
      <c r="D526" s="102" t="s">
        <v>1992</v>
      </c>
      <c r="E526" s="469">
        <f>Table6[[#This Row],[Date]]-DAY(Table6[[#This Row],[Date]])+1</f>
        <v>45778</v>
      </c>
      <c r="F526" s="470">
        <v>45779</v>
      </c>
      <c r="G526" s="35" t="s">
        <v>91</v>
      </c>
      <c r="H526" s="35" t="str">
        <f>IFERROR(_xlfn.XLOOKUP(Table6[[#This Row],[Affected WTG]],'Basic Data'!$A:$A,'Basic Data'!$B:$B),"")</f>
        <v>TQGXIIPL</v>
      </c>
      <c r="I526" s="35" t="str">
        <f>IFERROR(_xlfn.XLOOKUP(Table6[[#This Row],[Affected WTG]],'Basic Data'!$A:$A,'Basic Data'!$C:$C),"")</f>
        <v>GEDA</v>
      </c>
      <c r="J526" s="471">
        <f>IFERROR(_xlfn.XLOOKUP(Table6[[#This Row],[Affected WTG]],'Basic Data'!$A:$A,'Basic Data'!$E:$E),"")</f>
        <v>3.846153846153845E-2</v>
      </c>
      <c r="K526" s="102">
        <v>55</v>
      </c>
      <c r="L526" s="35" t="str">
        <f>IFERROR(_xlfn.XLOOKUP(Table6[[#This Row],[Error Code]],'Basic Data'!$AA:$AA,'Basic Data'!$AB:$AB),"Incorrect Error Code")</f>
        <v>WTG shut down</v>
      </c>
      <c r="M526" s="35" t="s">
        <v>291</v>
      </c>
      <c r="N526" s="475"/>
      <c r="O526" s="476">
        <v>0.48749999999999999</v>
      </c>
      <c r="P526" s="476">
        <v>0.48749999999999999</v>
      </c>
      <c r="Q526" s="477">
        <v>0.48958333333333331</v>
      </c>
      <c r="R526" s="472">
        <f>IF(Table6[[#This Row],[Work Start TimeStamp]]="","",(Table6[[#This Row],[Work Start TimeStamp]]-Table6[[#This Row],[Fault Start TimeStamp]])*24)</f>
        <v>0</v>
      </c>
      <c r="S526" s="472">
        <f>(Table6[[#This Row],[Fault Clearance time]]-Table6[[#This Row],[Work Start TimeStamp]])*24</f>
        <v>4.9999999999999822E-2</v>
      </c>
      <c r="T526" s="472">
        <f>(Table6[[#This Row],[Fault Clearance time]]-Table6[[#This Row],[Fault Start TimeStamp]])*24</f>
        <v>4.9999999999999822E-2</v>
      </c>
      <c r="U526" s="35" t="s">
        <v>1747</v>
      </c>
      <c r="V526" s="102" t="s">
        <v>293</v>
      </c>
      <c r="W526" s="478">
        <f>IFERROR(Table6[[#This Row],[Breakdown Time]]*Table6[[#This Row],[Plant Equivalent Weightage]],"")</f>
        <v>1.9230769230769156E-3</v>
      </c>
      <c r="X526" s="473" t="s">
        <v>290</v>
      </c>
      <c r="Y526" s="474" t="s">
        <v>319</v>
      </c>
      <c r="Z526" s="102">
        <v>29048</v>
      </c>
      <c r="AA526" s="468">
        <f>(Table6[[#This Row],[Paired WTG Generation for loss calculation]]/24)*Table6[[#This Row],[Breakdown Time]]</f>
        <v>60.516666666666445</v>
      </c>
      <c r="AB526" s="102"/>
      <c r="AC526" s="35"/>
      <c r="AD526" s="35"/>
    </row>
    <row r="527" spans="1:30">
      <c r="A527" s="102">
        <f t="shared" si="9"/>
        <v>526</v>
      </c>
      <c r="B527" s="468">
        <f>YEAR(Table6[[#This Row],[Date]])+IF(MONTH(Table6[[#This Row],[Date]])&gt;=4,1,0)</f>
        <v>2026</v>
      </c>
      <c r="C527" s="102">
        <f>YEAR(Table6[[#This Row],[Date]])</f>
        <v>2025</v>
      </c>
      <c r="D527" s="102" t="s">
        <v>1992</v>
      </c>
      <c r="E527" s="469">
        <f>Table6[[#This Row],[Date]]-DAY(Table6[[#This Row],[Date]])+1</f>
        <v>45778</v>
      </c>
      <c r="F527" s="470">
        <v>45779</v>
      </c>
      <c r="G527" s="35" t="s">
        <v>94</v>
      </c>
      <c r="H527" s="35" t="str">
        <f>IFERROR(_xlfn.XLOOKUP(Table6[[#This Row],[Affected WTG]],'Basic Data'!$A:$A,'Basic Data'!$B:$B),"")</f>
        <v>TQGXIIPL</v>
      </c>
      <c r="I527" s="35" t="str">
        <f>IFERROR(_xlfn.XLOOKUP(Table6[[#This Row],[Affected WTG]],'Basic Data'!$A:$A,'Basic Data'!$C:$C),"")</f>
        <v>GEDA</v>
      </c>
      <c r="J527" s="471">
        <f>IFERROR(_xlfn.XLOOKUP(Table6[[#This Row],[Affected WTG]],'Basic Data'!$A:$A,'Basic Data'!$E:$E),"")</f>
        <v>3.846153846153845E-2</v>
      </c>
      <c r="K527" s="102">
        <v>55</v>
      </c>
      <c r="L527" s="35" t="str">
        <f>IFERROR(_xlfn.XLOOKUP(Table6[[#This Row],[Error Code]],'Basic Data'!$AA:$AA,'Basic Data'!$AB:$AB),"Incorrect Error Code")</f>
        <v>WTG shut down</v>
      </c>
      <c r="M527" s="35" t="s">
        <v>304</v>
      </c>
      <c r="N527" s="475"/>
      <c r="O527" s="476">
        <v>0.30972222222222223</v>
      </c>
      <c r="P527" s="476">
        <v>0.30972222222222223</v>
      </c>
      <c r="Q527" s="477">
        <v>0.6875</v>
      </c>
      <c r="R527" s="472">
        <f>IF(Table6[[#This Row],[Work Start TimeStamp]]="","",(Table6[[#This Row],[Work Start TimeStamp]]-Table6[[#This Row],[Fault Start TimeStamp]])*24)</f>
        <v>0</v>
      </c>
      <c r="S527" s="472">
        <f>(Table6[[#This Row],[Fault Clearance time]]-Table6[[#This Row],[Work Start TimeStamp]])*24</f>
        <v>9.0666666666666664</v>
      </c>
      <c r="T527" s="472">
        <f>(Table6[[#This Row],[Fault Clearance time]]-Table6[[#This Row],[Fault Start TimeStamp]])*24</f>
        <v>9.0666666666666664</v>
      </c>
      <c r="U527" s="35" t="s">
        <v>1850</v>
      </c>
      <c r="V527" s="102" t="s">
        <v>293</v>
      </c>
      <c r="W527" s="478">
        <f>IFERROR(Table6[[#This Row],[Breakdown Time]]*Table6[[#This Row],[Plant Equivalent Weightage]],"")</f>
        <v>0.34871794871794859</v>
      </c>
      <c r="X527" s="473" t="s">
        <v>305</v>
      </c>
      <c r="Y527" s="474" t="s">
        <v>319</v>
      </c>
      <c r="Z527" s="102">
        <v>29048</v>
      </c>
      <c r="AA527" s="468">
        <f>(Table6[[#This Row],[Paired WTG Generation for loss calculation]]/24)*Table6[[#This Row],[Breakdown Time]]</f>
        <v>10973.688888888888</v>
      </c>
      <c r="AB527" s="102"/>
      <c r="AC527" s="35"/>
      <c r="AD527" s="35"/>
    </row>
    <row r="528" spans="1:30">
      <c r="A528" s="102">
        <f t="shared" si="9"/>
        <v>527</v>
      </c>
      <c r="B528" s="468">
        <f>YEAR(Table6[[#This Row],[Date]])+IF(MONTH(Table6[[#This Row],[Date]])&gt;=4,1,0)</f>
        <v>2026</v>
      </c>
      <c r="C528" s="102">
        <f>YEAR(Table6[[#This Row],[Date]])</f>
        <v>2025</v>
      </c>
      <c r="D528" s="102" t="s">
        <v>1992</v>
      </c>
      <c r="E528" s="469">
        <f>Table6[[#This Row],[Date]]-DAY(Table6[[#This Row],[Date]])+1</f>
        <v>45778</v>
      </c>
      <c r="F528" s="470">
        <v>45779</v>
      </c>
      <c r="G528" s="35" t="s">
        <v>99</v>
      </c>
      <c r="H528" s="35" t="str">
        <f>IFERROR(_xlfn.XLOOKUP(Table6[[#This Row],[Affected WTG]],'Basic Data'!$A:$A,'Basic Data'!$B:$B),"")</f>
        <v>TQGXIIPL</v>
      </c>
      <c r="I528" s="35" t="str">
        <f>IFERROR(_xlfn.XLOOKUP(Table6[[#This Row],[Affected WTG]],'Basic Data'!$A:$A,'Basic Data'!$C:$C),"")</f>
        <v>GEDA</v>
      </c>
      <c r="J528" s="471">
        <f>IFERROR(_xlfn.XLOOKUP(Table6[[#This Row],[Affected WTG]],'Basic Data'!$A:$A,'Basic Data'!$E:$E),"")</f>
        <v>3.846153846153845E-2</v>
      </c>
      <c r="K528" s="102">
        <v>6130</v>
      </c>
      <c r="L528" s="35" t="str">
        <f>IFERROR(_xlfn.XLOOKUP(Table6[[#This Row],[Error Code]],'Basic Data'!$AA:$AA,'Basic Data'!$AB:$AB),"Incorrect Error Code")</f>
        <v>Yaw speed high</v>
      </c>
      <c r="M528" s="35" t="s">
        <v>291</v>
      </c>
      <c r="N528" s="475"/>
      <c r="O528" s="476">
        <v>0.625</v>
      </c>
      <c r="P528" s="476">
        <v>0.625</v>
      </c>
      <c r="Q528" s="477">
        <v>0.62916666666666665</v>
      </c>
      <c r="R528" s="472">
        <f>IF(Table6[[#This Row],[Work Start TimeStamp]]="","",(Table6[[#This Row],[Work Start TimeStamp]]-Table6[[#This Row],[Fault Start TimeStamp]])*24)</f>
        <v>0</v>
      </c>
      <c r="S528" s="472">
        <f>(Table6[[#This Row],[Fault Clearance time]]-Table6[[#This Row],[Work Start TimeStamp]])*24</f>
        <v>9.9999999999999645E-2</v>
      </c>
      <c r="T528" s="472">
        <f>(Table6[[#This Row],[Fault Clearance time]]-Table6[[#This Row],[Fault Start TimeStamp]])*24</f>
        <v>9.9999999999999645E-2</v>
      </c>
      <c r="U528" s="35" t="s">
        <v>349</v>
      </c>
      <c r="V528" s="102" t="s">
        <v>293</v>
      </c>
      <c r="W528" s="478">
        <f>IFERROR(Table6[[#This Row],[Breakdown Time]]*Table6[[#This Row],[Plant Equivalent Weightage]],"")</f>
        <v>3.8461538461538312E-3</v>
      </c>
      <c r="X528" s="473" t="s">
        <v>294</v>
      </c>
      <c r="Y528" s="474" t="s">
        <v>315</v>
      </c>
      <c r="Z528" s="102">
        <v>29702</v>
      </c>
      <c r="AA528" s="468">
        <f>(Table6[[#This Row],[Paired WTG Generation for loss calculation]]/24)*Table6[[#This Row],[Breakdown Time]]</f>
        <v>123.75833333333289</v>
      </c>
      <c r="AB528" s="102"/>
      <c r="AC528" s="35"/>
      <c r="AD528" s="35"/>
    </row>
    <row r="529" spans="1:30">
      <c r="A529" s="102">
        <f t="shared" si="9"/>
        <v>528</v>
      </c>
      <c r="B529" s="468">
        <f>YEAR(Table6[[#This Row],[Date]])+IF(MONTH(Table6[[#This Row],[Date]])&gt;=4,1,0)</f>
        <v>2026</v>
      </c>
      <c r="C529" s="102">
        <f>YEAR(Table6[[#This Row],[Date]])</f>
        <v>2025</v>
      </c>
      <c r="D529" s="102" t="s">
        <v>1992</v>
      </c>
      <c r="E529" s="469">
        <f>Table6[[#This Row],[Date]]-DAY(Table6[[#This Row],[Date]])+1</f>
        <v>45778</v>
      </c>
      <c r="F529" s="470">
        <v>45779</v>
      </c>
      <c r="G529" s="35" t="s">
        <v>99</v>
      </c>
      <c r="H529" s="35" t="str">
        <f>IFERROR(_xlfn.XLOOKUP(Table6[[#This Row],[Affected WTG]],'Basic Data'!$A:$A,'Basic Data'!$B:$B),"")</f>
        <v>TQGXIIPL</v>
      </c>
      <c r="I529" s="35" t="str">
        <f>IFERROR(_xlfn.XLOOKUP(Table6[[#This Row],[Affected WTG]],'Basic Data'!$A:$A,'Basic Data'!$C:$C),"")</f>
        <v>GEDA</v>
      </c>
      <c r="J529" s="471">
        <f>IFERROR(_xlfn.XLOOKUP(Table6[[#This Row],[Affected WTG]],'Basic Data'!$A:$A,'Basic Data'!$E:$E),"")</f>
        <v>3.846153846153845E-2</v>
      </c>
      <c r="K529" s="102">
        <v>6130</v>
      </c>
      <c r="L529" s="35" t="str">
        <f>IFERROR(_xlfn.XLOOKUP(Table6[[#This Row],[Error Code]],'Basic Data'!$AA:$AA,'Basic Data'!$AB:$AB),"Incorrect Error Code")</f>
        <v>Yaw speed high</v>
      </c>
      <c r="M529" s="35" t="s">
        <v>291</v>
      </c>
      <c r="N529" s="475"/>
      <c r="O529" s="476">
        <v>0.73472222222222228</v>
      </c>
      <c r="P529" s="476">
        <v>0.73472222222222228</v>
      </c>
      <c r="Q529" s="477">
        <v>0.74444444444444446</v>
      </c>
      <c r="R529" s="472">
        <f>IF(Table6[[#This Row],[Work Start TimeStamp]]="","",(Table6[[#This Row],[Work Start TimeStamp]]-Table6[[#This Row],[Fault Start TimeStamp]])*24)</f>
        <v>0</v>
      </c>
      <c r="S529" s="472">
        <f>(Table6[[#This Row],[Fault Clearance time]]-Table6[[#This Row],[Work Start TimeStamp]])*24</f>
        <v>0.2333333333333325</v>
      </c>
      <c r="T529" s="472">
        <f>(Table6[[#This Row],[Fault Clearance time]]-Table6[[#This Row],[Fault Start TimeStamp]])*24</f>
        <v>0.2333333333333325</v>
      </c>
      <c r="U529" s="35" t="s">
        <v>349</v>
      </c>
      <c r="V529" s="102" t="s">
        <v>293</v>
      </c>
      <c r="W529" s="478">
        <f>IFERROR(Table6[[#This Row],[Breakdown Time]]*Table6[[#This Row],[Plant Equivalent Weightage]],"")</f>
        <v>8.974358974358939E-3</v>
      </c>
      <c r="X529" s="473" t="s">
        <v>294</v>
      </c>
      <c r="Y529" s="474" t="s">
        <v>315</v>
      </c>
      <c r="Z529" s="102">
        <v>29702</v>
      </c>
      <c r="AA529" s="468">
        <f>(Table6[[#This Row],[Paired WTG Generation for loss calculation]]/24)*Table6[[#This Row],[Breakdown Time]]</f>
        <v>288.76944444444342</v>
      </c>
      <c r="AB529" s="102"/>
      <c r="AC529" s="35"/>
      <c r="AD529" s="35"/>
    </row>
    <row r="530" spans="1:30">
      <c r="A530" s="102">
        <f t="shared" si="9"/>
        <v>529</v>
      </c>
      <c r="B530" s="468">
        <f>YEAR(Table6[[#This Row],[Date]])+IF(MONTH(Table6[[#This Row],[Date]])&gt;=4,1,0)</f>
        <v>2026</v>
      </c>
      <c r="C530" s="102">
        <f>YEAR(Table6[[#This Row],[Date]])</f>
        <v>2025</v>
      </c>
      <c r="D530" s="102" t="s">
        <v>1992</v>
      </c>
      <c r="E530" s="469">
        <f>Table6[[#This Row],[Date]]-DAY(Table6[[#This Row],[Date]])+1</f>
        <v>45778</v>
      </c>
      <c r="F530" s="470">
        <v>45780</v>
      </c>
      <c r="G530" s="35" t="s">
        <v>74</v>
      </c>
      <c r="H530" s="35" t="str">
        <f>IFERROR(_xlfn.XLOOKUP(Table6[[#This Row],[Affected WTG]],'Basic Data'!$A:$A,'Basic Data'!$B:$B),"")</f>
        <v>TQGXIIPL</v>
      </c>
      <c r="I530" s="35" t="str">
        <f>IFERROR(_xlfn.XLOOKUP(Table6[[#This Row],[Affected WTG]],'Basic Data'!$A:$A,'Basic Data'!$C:$C),"")</f>
        <v>GEDA</v>
      </c>
      <c r="J530" s="471">
        <f>IFERROR(_xlfn.XLOOKUP(Table6[[#This Row],[Affected WTG]],'Basic Data'!$A:$A,'Basic Data'!$E:$E),"")</f>
        <v>3.846153846153845E-2</v>
      </c>
      <c r="K530" s="102">
        <v>7002</v>
      </c>
      <c r="L530" s="35" t="str">
        <f>IFERROR(_xlfn.XLOOKUP(Table6[[#This Row],[Error Code]],'Basic Data'!$AA:$AA,'Basic Data'!$AB:$AB),"Incorrect Error Code")</f>
        <v>Task runtime failure 5ms</v>
      </c>
      <c r="M530" s="35" t="s">
        <v>291</v>
      </c>
      <c r="N530" s="475"/>
      <c r="O530" s="476">
        <v>0.16666666666666666</v>
      </c>
      <c r="P530" s="476">
        <v>0.16666666666666666</v>
      </c>
      <c r="Q530" s="477">
        <v>0.17152777777777778</v>
      </c>
      <c r="R530" s="472">
        <f>IF(Table6[[#This Row],[Work Start TimeStamp]]="","",(Table6[[#This Row],[Work Start TimeStamp]]-Table6[[#This Row],[Fault Start TimeStamp]])*24)</f>
        <v>0</v>
      </c>
      <c r="S530" s="472">
        <f>(Table6[[#This Row],[Fault Clearance time]]-Table6[[#This Row],[Work Start TimeStamp]])*24</f>
        <v>0.11666666666666692</v>
      </c>
      <c r="T530" s="472">
        <f>(Table6[[#This Row],[Fault Clearance time]]-Table6[[#This Row],[Fault Start TimeStamp]])*24</f>
        <v>0.11666666666666692</v>
      </c>
      <c r="U530" s="35" t="s">
        <v>349</v>
      </c>
      <c r="V530" s="102" t="s">
        <v>293</v>
      </c>
      <c r="W530" s="478">
        <f>IFERROR(Table6[[#This Row],[Breakdown Time]]*Table6[[#This Row],[Plant Equivalent Weightage]],"")</f>
        <v>4.4871794871794955E-3</v>
      </c>
      <c r="X530" s="473" t="s">
        <v>294</v>
      </c>
      <c r="Y530" s="474" t="s">
        <v>321</v>
      </c>
      <c r="Z530" s="102">
        <v>43445</v>
      </c>
      <c r="AA530" s="468">
        <f>(Table6[[#This Row],[Paired WTG Generation for loss calculation]]/24)*Table6[[#This Row],[Breakdown Time]]</f>
        <v>211.19097222222265</v>
      </c>
      <c r="AB530" s="102"/>
      <c r="AC530" s="35"/>
      <c r="AD530" s="35"/>
    </row>
    <row r="531" spans="1:30">
      <c r="A531" s="102">
        <f t="shared" si="9"/>
        <v>530</v>
      </c>
      <c r="B531" s="468">
        <f>YEAR(Table6[[#This Row],[Date]])+IF(MONTH(Table6[[#This Row],[Date]])&gt;=4,1,0)</f>
        <v>2026</v>
      </c>
      <c r="C531" s="102">
        <f>YEAR(Table6[[#This Row],[Date]])</f>
        <v>2025</v>
      </c>
      <c r="D531" s="102" t="s">
        <v>1992</v>
      </c>
      <c r="E531" s="469">
        <f>Table6[[#This Row],[Date]]-DAY(Table6[[#This Row],[Date]])+1</f>
        <v>45778</v>
      </c>
      <c r="F531" s="470">
        <v>45780</v>
      </c>
      <c r="G531" s="35" t="s">
        <v>74</v>
      </c>
      <c r="H531" s="35" t="str">
        <f>IFERROR(_xlfn.XLOOKUP(Table6[[#This Row],[Affected WTG]],'Basic Data'!$A:$A,'Basic Data'!$B:$B),"")</f>
        <v>TQGXIIPL</v>
      </c>
      <c r="I531" s="35" t="str">
        <f>IFERROR(_xlfn.XLOOKUP(Table6[[#This Row],[Affected WTG]],'Basic Data'!$A:$A,'Basic Data'!$C:$C),"")</f>
        <v>GEDA</v>
      </c>
      <c r="J531" s="471">
        <f>IFERROR(_xlfn.XLOOKUP(Table6[[#This Row],[Affected WTG]],'Basic Data'!$A:$A,'Basic Data'!$E:$E),"")</f>
        <v>3.846153846153845E-2</v>
      </c>
      <c r="K531" s="102">
        <v>55</v>
      </c>
      <c r="L531" s="35" t="str">
        <f>IFERROR(_xlfn.XLOOKUP(Table6[[#This Row],[Error Code]],'Basic Data'!$AA:$AA,'Basic Data'!$AB:$AB),"Incorrect Error Code")</f>
        <v>WTG shut down</v>
      </c>
      <c r="M531" s="35" t="s">
        <v>330</v>
      </c>
      <c r="N531" s="475"/>
      <c r="O531" s="476">
        <v>0.75069444444444444</v>
      </c>
      <c r="P531" s="476">
        <v>0.75069444444444444</v>
      </c>
      <c r="Q531" s="477">
        <v>0.91666666666666663</v>
      </c>
      <c r="R531" s="472">
        <f>IF(Table6[[#This Row],[Work Start TimeStamp]]="","",(Table6[[#This Row],[Work Start TimeStamp]]-Table6[[#This Row],[Fault Start TimeStamp]])*24)</f>
        <v>0</v>
      </c>
      <c r="S531" s="472">
        <f>(Table6[[#This Row],[Fault Clearance time]]-Table6[[#This Row],[Work Start TimeStamp]])*24</f>
        <v>3.9833333333333325</v>
      </c>
      <c r="T531" s="472">
        <f>(Table6[[#This Row],[Fault Clearance time]]-Table6[[#This Row],[Fault Start TimeStamp]])*24</f>
        <v>3.9833333333333325</v>
      </c>
      <c r="U531" s="35" t="s">
        <v>1744</v>
      </c>
      <c r="V531" s="102" t="s">
        <v>293</v>
      </c>
      <c r="W531" s="478">
        <f>IFERROR(Table6[[#This Row],[Breakdown Time]]*Table6[[#This Row],[Plant Equivalent Weightage]],"")</f>
        <v>0.15320512820512813</v>
      </c>
      <c r="X531" s="473" t="s">
        <v>290</v>
      </c>
      <c r="Y531" s="474" t="s">
        <v>321</v>
      </c>
      <c r="Z531" s="102">
        <v>43445</v>
      </c>
      <c r="AA531" s="468">
        <f>(Table6[[#This Row],[Paired WTG Generation for loss calculation]]/24)*Table6[[#This Row],[Breakdown Time]]</f>
        <v>7210.6631944444425</v>
      </c>
      <c r="AB531" s="102"/>
      <c r="AC531" s="35"/>
      <c r="AD531" s="35"/>
    </row>
    <row r="532" spans="1:30">
      <c r="A532" s="102">
        <f t="shared" si="9"/>
        <v>531</v>
      </c>
      <c r="B532" s="468">
        <f>YEAR(Table6[[#This Row],[Date]])+IF(MONTH(Table6[[#This Row],[Date]])&gt;=4,1,0)</f>
        <v>2026</v>
      </c>
      <c r="C532" s="102">
        <f>YEAR(Table6[[#This Row],[Date]])</f>
        <v>2025</v>
      </c>
      <c r="D532" s="102" t="s">
        <v>1992</v>
      </c>
      <c r="E532" s="469">
        <f>Table6[[#This Row],[Date]]-DAY(Table6[[#This Row],[Date]])+1</f>
        <v>45778</v>
      </c>
      <c r="F532" s="470">
        <v>45780</v>
      </c>
      <c r="G532" s="35" t="s">
        <v>75</v>
      </c>
      <c r="H532" s="35" t="str">
        <f>IFERROR(_xlfn.XLOOKUP(Table6[[#This Row],[Affected WTG]],'Basic Data'!$A:$A,'Basic Data'!$B:$B),"")</f>
        <v>TQGXIIPL</v>
      </c>
      <c r="I532" s="35" t="str">
        <f>IFERROR(_xlfn.XLOOKUP(Table6[[#This Row],[Affected WTG]],'Basic Data'!$A:$A,'Basic Data'!$C:$C),"")</f>
        <v>GEDA</v>
      </c>
      <c r="J532" s="471">
        <f>IFERROR(_xlfn.XLOOKUP(Table6[[#This Row],[Affected WTG]],'Basic Data'!$A:$A,'Basic Data'!$E:$E),"")</f>
        <v>3.846153846153845E-2</v>
      </c>
      <c r="K532" s="102">
        <v>550</v>
      </c>
      <c r="L532" s="35" t="str">
        <f>IFERROR(_xlfn.XLOOKUP(Table6[[#This Row],[Error Code]],'Basic Data'!$AA:$AA,'Basic Data'!$AB:$AB),"Incorrect Error Code")</f>
        <v>Pitch current asymmetry</v>
      </c>
      <c r="M532" s="35" t="s">
        <v>292</v>
      </c>
      <c r="N532" s="475"/>
      <c r="O532" s="476">
        <v>0.17569444444444443</v>
      </c>
      <c r="P532" s="476">
        <v>0.17569444444444443</v>
      </c>
      <c r="Q532" s="477">
        <v>0.17777777777777778</v>
      </c>
      <c r="R532" s="472">
        <f>IF(Table6[[#This Row],[Work Start TimeStamp]]="","",(Table6[[#This Row],[Work Start TimeStamp]]-Table6[[#This Row],[Fault Start TimeStamp]])*24)</f>
        <v>0</v>
      </c>
      <c r="S532" s="472">
        <f>(Table6[[#This Row],[Fault Clearance time]]-Table6[[#This Row],[Work Start TimeStamp]])*24</f>
        <v>5.0000000000000488E-2</v>
      </c>
      <c r="T532" s="472">
        <f>(Table6[[#This Row],[Fault Clearance time]]-Table6[[#This Row],[Fault Start TimeStamp]])*24</f>
        <v>5.0000000000000488E-2</v>
      </c>
      <c r="U532" s="35" t="s">
        <v>336</v>
      </c>
      <c r="V532" s="102" t="s">
        <v>293</v>
      </c>
      <c r="W532" s="478">
        <f>IFERROR(Table6[[#This Row],[Breakdown Time]]*Table6[[#This Row],[Plant Equivalent Weightage]],"")</f>
        <v>1.9230769230769412E-3</v>
      </c>
      <c r="X532" s="473" t="s">
        <v>294</v>
      </c>
      <c r="Y532" s="474" t="s">
        <v>318</v>
      </c>
      <c r="Z532" s="102">
        <v>50589</v>
      </c>
      <c r="AA532" s="468">
        <f>(Table6[[#This Row],[Paired WTG Generation for loss calculation]]/24)*Table6[[#This Row],[Breakdown Time]]</f>
        <v>105.39375000000103</v>
      </c>
      <c r="AB532" s="102"/>
      <c r="AC532" s="35"/>
      <c r="AD532" s="35"/>
    </row>
    <row r="533" spans="1:30">
      <c r="A533" s="102">
        <f t="shared" si="9"/>
        <v>532</v>
      </c>
      <c r="B533" s="468">
        <f>YEAR(Table6[[#This Row],[Date]])+IF(MONTH(Table6[[#This Row],[Date]])&gt;=4,1,0)</f>
        <v>2026</v>
      </c>
      <c r="C533" s="102">
        <f>YEAR(Table6[[#This Row],[Date]])</f>
        <v>2025</v>
      </c>
      <c r="D533" s="102" t="s">
        <v>1992</v>
      </c>
      <c r="E533" s="469">
        <f>Table6[[#This Row],[Date]]-DAY(Table6[[#This Row],[Date]])+1</f>
        <v>45778</v>
      </c>
      <c r="F533" s="470">
        <v>45780</v>
      </c>
      <c r="G533" s="35" t="s">
        <v>79</v>
      </c>
      <c r="H533" s="35" t="str">
        <f>IFERROR(_xlfn.XLOOKUP(Table6[[#This Row],[Affected WTG]],'Basic Data'!$A:$A,'Basic Data'!$B:$B),"")</f>
        <v>TQGXIIPL</v>
      </c>
      <c r="I533" s="35" t="str">
        <f>IFERROR(_xlfn.XLOOKUP(Table6[[#This Row],[Affected WTG]],'Basic Data'!$A:$A,'Basic Data'!$C:$C),"")</f>
        <v>GEDA</v>
      </c>
      <c r="J533" s="471">
        <f>IFERROR(_xlfn.XLOOKUP(Table6[[#This Row],[Affected WTG]],'Basic Data'!$A:$A,'Basic Data'!$E:$E),"")</f>
        <v>3.846153846153845E-2</v>
      </c>
      <c r="K533" s="102">
        <v>175</v>
      </c>
      <c r="L533" s="35" t="str">
        <f>IFERROR(_xlfn.XLOOKUP(Table6[[#This Row],[Error Code]],'Basic Data'!$AA:$AA,'Basic Data'!$AB:$AB),"Incorrect Error Code")</f>
        <v>SLC error</v>
      </c>
      <c r="M533" s="35" t="s">
        <v>291</v>
      </c>
      <c r="N533" s="475"/>
      <c r="O533" s="476">
        <v>0.60833333333333328</v>
      </c>
      <c r="P533" s="476">
        <v>0.60833333333333328</v>
      </c>
      <c r="Q533" s="477">
        <v>0.62083333333333335</v>
      </c>
      <c r="R533" s="472">
        <f>IF(Table6[[#This Row],[Work Start TimeStamp]]="","",(Table6[[#This Row],[Work Start TimeStamp]]-Table6[[#This Row],[Fault Start TimeStamp]])*24)</f>
        <v>0</v>
      </c>
      <c r="S533" s="472">
        <f>(Table6[[#This Row],[Fault Clearance time]]-Table6[[#This Row],[Work Start TimeStamp]])*24</f>
        <v>0.3000000000000016</v>
      </c>
      <c r="T533" s="472">
        <f>(Table6[[#This Row],[Fault Clearance time]]-Table6[[#This Row],[Fault Start TimeStamp]])*24</f>
        <v>0.3000000000000016</v>
      </c>
      <c r="U533" s="35" t="s">
        <v>382</v>
      </c>
      <c r="V533" s="102" t="s">
        <v>293</v>
      </c>
      <c r="W533" s="478">
        <f>IFERROR(Table6[[#This Row],[Breakdown Time]]*Table6[[#This Row],[Plant Equivalent Weightage]],"")</f>
        <v>1.1538461538461596E-2</v>
      </c>
      <c r="X533" s="473" t="s">
        <v>294</v>
      </c>
      <c r="Y533" s="474" t="s">
        <v>325</v>
      </c>
      <c r="Z533" s="102">
        <v>47180</v>
      </c>
      <c r="AA533" s="468">
        <f>(Table6[[#This Row],[Paired WTG Generation for loss calculation]]/24)*Table6[[#This Row],[Breakdown Time]]</f>
        <v>589.75000000000307</v>
      </c>
      <c r="AB533" s="102"/>
      <c r="AC533" s="35"/>
      <c r="AD533" s="35"/>
    </row>
    <row r="534" spans="1:30">
      <c r="A534" s="102">
        <f t="shared" si="9"/>
        <v>533</v>
      </c>
      <c r="B534" s="468">
        <f>YEAR(Table6[[#This Row],[Date]])+IF(MONTH(Table6[[#This Row],[Date]])&gt;=4,1,0)</f>
        <v>2026</v>
      </c>
      <c r="C534" s="102">
        <f>YEAR(Table6[[#This Row],[Date]])</f>
        <v>2025</v>
      </c>
      <c r="D534" s="102" t="s">
        <v>1992</v>
      </c>
      <c r="E534" s="469">
        <f>Table6[[#This Row],[Date]]-DAY(Table6[[#This Row],[Date]])+1</f>
        <v>45778</v>
      </c>
      <c r="F534" s="470">
        <v>45780</v>
      </c>
      <c r="G534" s="35" t="s">
        <v>79</v>
      </c>
      <c r="H534" s="35" t="str">
        <f>IFERROR(_xlfn.XLOOKUP(Table6[[#This Row],[Affected WTG]],'Basic Data'!$A:$A,'Basic Data'!$B:$B),"")</f>
        <v>TQGXIIPL</v>
      </c>
      <c r="I534" s="35" t="str">
        <f>IFERROR(_xlfn.XLOOKUP(Table6[[#This Row],[Affected WTG]],'Basic Data'!$A:$A,'Basic Data'!$C:$C),"")</f>
        <v>GEDA</v>
      </c>
      <c r="J534" s="471">
        <f>IFERROR(_xlfn.XLOOKUP(Table6[[#This Row],[Affected WTG]],'Basic Data'!$A:$A,'Basic Data'!$E:$E),"")</f>
        <v>3.846153846153845E-2</v>
      </c>
      <c r="K534" s="102">
        <v>175</v>
      </c>
      <c r="L534" s="35" t="str">
        <f>IFERROR(_xlfn.XLOOKUP(Table6[[#This Row],[Error Code]],'Basic Data'!$AA:$AA,'Basic Data'!$AB:$AB),"Incorrect Error Code")</f>
        <v>SLC error</v>
      </c>
      <c r="M534" s="35" t="s">
        <v>291</v>
      </c>
      <c r="N534" s="475"/>
      <c r="O534" s="476">
        <v>0.67638888888888893</v>
      </c>
      <c r="P534" s="476">
        <v>0.69027777777777777</v>
      </c>
      <c r="Q534" s="477">
        <v>0.71527777777777779</v>
      </c>
      <c r="R534" s="472">
        <f>IF(Table6[[#This Row],[Work Start TimeStamp]]="","",(Table6[[#This Row],[Work Start TimeStamp]]-Table6[[#This Row],[Fault Start TimeStamp]])*24)</f>
        <v>0.33333333333333215</v>
      </c>
      <c r="S534" s="472">
        <f>(Table6[[#This Row],[Fault Clearance time]]-Table6[[#This Row],[Work Start TimeStamp]])*24</f>
        <v>0.60000000000000053</v>
      </c>
      <c r="T534" s="472">
        <f>(Table6[[#This Row],[Fault Clearance time]]-Table6[[#This Row],[Fault Start TimeStamp]])*24</f>
        <v>0.93333333333333268</v>
      </c>
      <c r="U534" s="35" t="s">
        <v>1750</v>
      </c>
      <c r="V534" s="102" t="s">
        <v>293</v>
      </c>
      <c r="W534" s="478">
        <f>IFERROR(Table6[[#This Row],[Breakdown Time]]*Table6[[#This Row],[Plant Equivalent Weightage]],"")</f>
        <v>3.589743589743586E-2</v>
      </c>
      <c r="X534" s="473" t="s">
        <v>290</v>
      </c>
      <c r="Y534" s="474" t="s">
        <v>325</v>
      </c>
      <c r="Z534" s="102">
        <v>47180</v>
      </c>
      <c r="AA534" s="468">
        <f>(Table6[[#This Row],[Paired WTG Generation for loss calculation]]/24)*Table6[[#This Row],[Breakdown Time]]</f>
        <v>1834.7777777777765</v>
      </c>
      <c r="AB534" s="102"/>
      <c r="AC534" s="35"/>
      <c r="AD534" s="35"/>
    </row>
    <row r="535" spans="1:30">
      <c r="A535" s="102">
        <f t="shared" si="9"/>
        <v>534</v>
      </c>
      <c r="B535" s="468">
        <f>YEAR(Table6[[#This Row],[Date]])+IF(MONTH(Table6[[#This Row],[Date]])&gt;=4,1,0)</f>
        <v>2026</v>
      </c>
      <c r="C535" s="102">
        <f>YEAR(Table6[[#This Row],[Date]])</f>
        <v>2025</v>
      </c>
      <c r="D535" s="102" t="s">
        <v>1992</v>
      </c>
      <c r="E535" s="469">
        <f>Table6[[#This Row],[Date]]-DAY(Table6[[#This Row],[Date]])+1</f>
        <v>45778</v>
      </c>
      <c r="F535" s="470">
        <v>45780</v>
      </c>
      <c r="G535" s="35" t="s">
        <v>81</v>
      </c>
      <c r="H535" s="35" t="str">
        <f>IFERROR(_xlfn.XLOOKUP(Table6[[#This Row],[Affected WTG]],'Basic Data'!$A:$A,'Basic Data'!$B:$B),"")</f>
        <v>TQGXIIPL</v>
      </c>
      <c r="I535" s="35" t="str">
        <f>IFERROR(_xlfn.XLOOKUP(Table6[[#This Row],[Affected WTG]],'Basic Data'!$A:$A,'Basic Data'!$C:$C),"")</f>
        <v>GEDA</v>
      </c>
      <c r="J535" s="471">
        <f>IFERROR(_xlfn.XLOOKUP(Table6[[#This Row],[Affected WTG]],'Basic Data'!$A:$A,'Basic Data'!$E:$E),"")</f>
        <v>3.846153846153845E-2</v>
      </c>
      <c r="K535" s="102">
        <v>6605</v>
      </c>
      <c r="L535" s="35" t="str">
        <f>IFERROR(_xlfn.XLOOKUP(Table6[[#This Row],[Error Code]],'Basic Data'!$AA:$AA,'Basic Data'!$AB:$AB),"Incorrect Error Code")</f>
        <v>Wind.dir. diff. level 2</v>
      </c>
      <c r="M535" s="35" t="s">
        <v>291</v>
      </c>
      <c r="N535" s="475"/>
      <c r="O535" s="476">
        <v>0.35902777777777778</v>
      </c>
      <c r="P535" s="476">
        <v>0.35902777777777778</v>
      </c>
      <c r="Q535" s="477">
        <v>0.36249999999999999</v>
      </c>
      <c r="R535" s="472">
        <f>IF(Table6[[#This Row],[Work Start TimeStamp]]="","",(Table6[[#This Row],[Work Start TimeStamp]]-Table6[[#This Row],[Fault Start TimeStamp]])*24)</f>
        <v>0</v>
      </c>
      <c r="S535" s="472">
        <f>(Table6[[#This Row],[Fault Clearance time]]-Table6[[#This Row],[Work Start TimeStamp]])*24</f>
        <v>8.3333333333333037E-2</v>
      </c>
      <c r="T535" s="472">
        <f>(Table6[[#This Row],[Fault Clearance time]]-Table6[[#This Row],[Fault Start TimeStamp]])*24</f>
        <v>8.3333333333333037E-2</v>
      </c>
      <c r="U535" s="35" t="s">
        <v>349</v>
      </c>
      <c r="V535" s="102" t="s">
        <v>293</v>
      </c>
      <c r="W535" s="478">
        <f>IFERROR(Table6[[#This Row],[Breakdown Time]]*Table6[[#This Row],[Plant Equivalent Weightage]],"")</f>
        <v>3.2051282051281929E-3</v>
      </c>
      <c r="X535" s="473" t="s">
        <v>294</v>
      </c>
      <c r="Y535" s="474" t="s">
        <v>321</v>
      </c>
      <c r="Z535" s="102">
        <v>43445</v>
      </c>
      <c r="AA535" s="468">
        <f>(Table6[[#This Row],[Paired WTG Generation for loss calculation]]/24)*Table6[[#This Row],[Breakdown Time]]</f>
        <v>150.85069444444389</v>
      </c>
      <c r="AB535" s="102"/>
      <c r="AC535" s="35"/>
      <c r="AD535" s="35"/>
    </row>
    <row r="536" spans="1:30">
      <c r="A536" s="102">
        <f t="shared" si="9"/>
        <v>535</v>
      </c>
      <c r="B536" s="468">
        <f>YEAR(Table6[[#This Row],[Date]])+IF(MONTH(Table6[[#This Row],[Date]])&gt;=4,1,0)</f>
        <v>2026</v>
      </c>
      <c r="C536" s="102">
        <f>YEAR(Table6[[#This Row],[Date]])</f>
        <v>2025</v>
      </c>
      <c r="D536" s="102" t="s">
        <v>1992</v>
      </c>
      <c r="E536" s="469">
        <f>Table6[[#This Row],[Date]]-DAY(Table6[[#This Row],[Date]])+1</f>
        <v>45778</v>
      </c>
      <c r="F536" s="470">
        <v>45780</v>
      </c>
      <c r="G536" s="35" t="s">
        <v>81</v>
      </c>
      <c r="H536" s="35" t="str">
        <f>IFERROR(_xlfn.XLOOKUP(Table6[[#This Row],[Affected WTG]],'Basic Data'!$A:$A,'Basic Data'!$B:$B),"")</f>
        <v>TQGXIIPL</v>
      </c>
      <c r="I536" s="35" t="str">
        <f>IFERROR(_xlfn.XLOOKUP(Table6[[#This Row],[Affected WTG]],'Basic Data'!$A:$A,'Basic Data'!$C:$C),"")</f>
        <v>GEDA</v>
      </c>
      <c r="J536" s="471">
        <f>IFERROR(_xlfn.XLOOKUP(Table6[[#This Row],[Affected WTG]],'Basic Data'!$A:$A,'Basic Data'!$E:$E),"")</f>
        <v>3.846153846153845E-2</v>
      </c>
      <c r="K536" s="102">
        <v>6605</v>
      </c>
      <c r="L536" s="35" t="str">
        <f>IFERROR(_xlfn.XLOOKUP(Table6[[#This Row],[Error Code]],'Basic Data'!$AA:$AA,'Basic Data'!$AB:$AB),"Incorrect Error Code")</f>
        <v>Wind.dir. diff. level 2</v>
      </c>
      <c r="M536" s="35" t="s">
        <v>291</v>
      </c>
      <c r="N536" s="475"/>
      <c r="O536" s="476">
        <v>0.67638888888888893</v>
      </c>
      <c r="P536" s="476">
        <v>0.67638888888888893</v>
      </c>
      <c r="Q536" s="477">
        <v>0.68125000000000002</v>
      </c>
      <c r="R536" s="472">
        <f>IF(Table6[[#This Row],[Work Start TimeStamp]]="","",(Table6[[#This Row],[Work Start TimeStamp]]-Table6[[#This Row],[Fault Start TimeStamp]])*24)</f>
        <v>0</v>
      </c>
      <c r="S536" s="472">
        <f>(Table6[[#This Row],[Fault Clearance time]]-Table6[[#This Row],[Work Start TimeStamp]])*24</f>
        <v>0.11666666666666625</v>
      </c>
      <c r="T536" s="472">
        <f>(Table6[[#This Row],[Fault Clearance time]]-Table6[[#This Row],[Fault Start TimeStamp]])*24</f>
        <v>0.11666666666666625</v>
      </c>
      <c r="U536" s="35" t="s">
        <v>349</v>
      </c>
      <c r="V536" s="102" t="s">
        <v>293</v>
      </c>
      <c r="W536" s="478">
        <f>IFERROR(Table6[[#This Row],[Breakdown Time]]*Table6[[#This Row],[Plant Equivalent Weightage]],"")</f>
        <v>4.4871794871794695E-3</v>
      </c>
      <c r="X536" s="473" t="s">
        <v>294</v>
      </c>
      <c r="Y536" s="474" t="s">
        <v>321</v>
      </c>
      <c r="Z536" s="102">
        <v>43445</v>
      </c>
      <c r="AA536" s="468">
        <f>(Table6[[#This Row],[Paired WTG Generation for loss calculation]]/24)*Table6[[#This Row],[Breakdown Time]]</f>
        <v>211.19097222222146</v>
      </c>
      <c r="AB536" s="102"/>
      <c r="AC536" s="35"/>
      <c r="AD536" s="35"/>
    </row>
    <row r="537" spans="1:30">
      <c r="A537" s="102">
        <f t="shared" si="9"/>
        <v>536</v>
      </c>
      <c r="B537" s="468">
        <f>YEAR(Table6[[#This Row],[Date]])+IF(MONTH(Table6[[#This Row],[Date]])&gt;=4,1,0)</f>
        <v>2026</v>
      </c>
      <c r="C537" s="102">
        <f>YEAR(Table6[[#This Row],[Date]])</f>
        <v>2025</v>
      </c>
      <c r="D537" s="102" t="s">
        <v>1992</v>
      </c>
      <c r="E537" s="469">
        <f>Table6[[#This Row],[Date]]-DAY(Table6[[#This Row],[Date]])+1</f>
        <v>45778</v>
      </c>
      <c r="F537" s="470">
        <v>45780</v>
      </c>
      <c r="G537" s="35" t="s">
        <v>81</v>
      </c>
      <c r="H537" s="35" t="str">
        <f>IFERROR(_xlfn.XLOOKUP(Table6[[#This Row],[Affected WTG]],'Basic Data'!$A:$A,'Basic Data'!$B:$B),"")</f>
        <v>TQGXIIPL</v>
      </c>
      <c r="I537" s="35" t="str">
        <f>IFERROR(_xlfn.XLOOKUP(Table6[[#This Row],[Affected WTG]],'Basic Data'!$A:$A,'Basic Data'!$C:$C),"")</f>
        <v>GEDA</v>
      </c>
      <c r="J537" s="471">
        <f>IFERROR(_xlfn.XLOOKUP(Table6[[#This Row],[Affected WTG]],'Basic Data'!$A:$A,'Basic Data'!$E:$E),"")</f>
        <v>3.846153846153845E-2</v>
      </c>
      <c r="K537" s="102">
        <v>6130</v>
      </c>
      <c r="L537" s="35" t="str">
        <f>IFERROR(_xlfn.XLOOKUP(Table6[[#This Row],[Error Code]],'Basic Data'!$AA:$AA,'Basic Data'!$AB:$AB),"Incorrect Error Code")</f>
        <v>Yaw speed high</v>
      </c>
      <c r="M537" s="35" t="s">
        <v>292</v>
      </c>
      <c r="N537" s="475"/>
      <c r="O537" s="476">
        <v>0.99444444444444446</v>
      </c>
      <c r="P537" s="476">
        <v>0.99444444444444446</v>
      </c>
      <c r="Q537" s="477">
        <v>0.99791666666666667</v>
      </c>
      <c r="R537" s="472">
        <f>IF(Table6[[#This Row],[Work Start TimeStamp]]="","",(Table6[[#This Row],[Work Start TimeStamp]]-Table6[[#This Row],[Fault Start TimeStamp]])*24)</f>
        <v>0</v>
      </c>
      <c r="S537" s="472">
        <f>(Table6[[#This Row],[Fault Clearance time]]-Table6[[#This Row],[Work Start TimeStamp]])*24</f>
        <v>8.3333333333333037E-2</v>
      </c>
      <c r="T537" s="472">
        <f>(Table6[[#This Row],[Fault Clearance time]]-Table6[[#This Row],[Fault Start TimeStamp]])*24</f>
        <v>8.3333333333333037E-2</v>
      </c>
      <c r="U537" s="35" t="s">
        <v>336</v>
      </c>
      <c r="V537" s="102" t="s">
        <v>293</v>
      </c>
      <c r="W537" s="478">
        <f>IFERROR(Table6[[#This Row],[Breakdown Time]]*Table6[[#This Row],[Plant Equivalent Weightage]],"")</f>
        <v>3.2051282051281929E-3</v>
      </c>
      <c r="X537" s="473" t="s">
        <v>294</v>
      </c>
      <c r="Y537" s="474" t="s">
        <v>321</v>
      </c>
      <c r="Z537" s="102">
        <v>43445</v>
      </c>
      <c r="AA537" s="468">
        <f>(Table6[[#This Row],[Paired WTG Generation for loss calculation]]/24)*Table6[[#This Row],[Breakdown Time]]</f>
        <v>150.85069444444389</v>
      </c>
      <c r="AB537" s="102"/>
      <c r="AC537" s="35"/>
      <c r="AD537" s="35"/>
    </row>
    <row r="538" spans="1:30">
      <c r="A538" s="102">
        <f t="shared" si="9"/>
        <v>537</v>
      </c>
      <c r="B538" s="468">
        <f>YEAR(Table6[[#This Row],[Date]])+IF(MONTH(Table6[[#This Row],[Date]])&gt;=4,1,0)</f>
        <v>2026</v>
      </c>
      <c r="C538" s="102">
        <f>YEAR(Table6[[#This Row],[Date]])</f>
        <v>2025</v>
      </c>
      <c r="D538" s="102" t="s">
        <v>1992</v>
      </c>
      <c r="E538" s="469">
        <f>Table6[[#This Row],[Date]]-DAY(Table6[[#This Row],[Date]])+1</f>
        <v>45778</v>
      </c>
      <c r="F538" s="470">
        <v>45780</v>
      </c>
      <c r="G538" s="35" t="s">
        <v>84</v>
      </c>
      <c r="H538" s="35" t="str">
        <f>IFERROR(_xlfn.XLOOKUP(Table6[[#This Row],[Affected WTG]],'Basic Data'!$A:$A,'Basic Data'!$B:$B),"")</f>
        <v>TQGXIIPL</v>
      </c>
      <c r="I538" s="35" t="str">
        <f>IFERROR(_xlfn.XLOOKUP(Table6[[#This Row],[Affected WTG]],'Basic Data'!$A:$A,'Basic Data'!$C:$C),"")</f>
        <v>GEDA</v>
      </c>
      <c r="J538" s="471">
        <f>IFERROR(_xlfn.XLOOKUP(Table6[[#This Row],[Affected WTG]],'Basic Data'!$A:$A,'Basic Data'!$E:$E),"")</f>
        <v>3.846153846153845E-2</v>
      </c>
      <c r="K538" s="102">
        <v>6130</v>
      </c>
      <c r="L538" s="35" t="str">
        <f>IFERROR(_xlfn.XLOOKUP(Table6[[#This Row],[Error Code]],'Basic Data'!$AA:$AA,'Basic Data'!$AB:$AB),"Incorrect Error Code")</f>
        <v>Yaw speed high</v>
      </c>
      <c r="M538" s="35" t="s">
        <v>292</v>
      </c>
      <c r="N538" s="475"/>
      <c r="O538" s="476">
        <v>0.625</v>
      </c>
      <c r="P538" s="476">
        <v>0.625</v>
      </c>
      <c r="Q538" s="477">
        <v>0.62916666666666665</v>
      </c>
      <c r="R538" s="472">
        <f>IF(Table6[[#This Row],[Work Start TimeStamp]]="","",(Table6[[#This Row],[Work Start TimeStamp]]-Table6[[#This Row],[Fault Start TimeStamp]])*24)</f>
        <v>0</v>
      </c>
      <c r="S538" s="472">
        <f>(Table6[[#This Row],[Fault Clearance time]]-Table6[[#This Row],[Work Start TimeStamp]])*24</f>
        <v>9.9999999999999645E-2</v>
      </c>
      <c r="T538" s="472">
        <f>(Table6[[#This Row],[Fault Clearance time]]-Table6[[#This Row],[Fault Start TimeStamp]])*24</f>
        <v>9.9999999999999645E-2</v>
      </c>
      <c r="U538" s="35" t="s">
        <v>336</v>
      </c>
      <c r="V538" s="102" t="s">
        <v>293</v>
      </c>
      <c r="W538" s="478">
        <f>IFERROR(Table6[[#This Row],[Breakdown Time]]*Table6[[#This Row],[Plant Equivalent Weightage]],"")</f>
        <v>3.8461538461538312E-3</v>
      </c>
      <c r="X538" s="473" t="s">
        <v>294</v>
      </c>
      <c r="Y538" s="474" t="s">
        <v>327</v>
      </c>
      <c r="Z538" s="102">
        <v>43049</v>
      </c>
      <c r="AA538" s="468">
        <f>(Table6[[#This Row],[Paired WTG Generation for loss calculation]]/24)*Table6[[#This Row],[Breakdown Time]]</f>
        <v>179.37083333333268</v>
      </c>
      <c r="AB538" s="102"/>
      <c r="AC538" s="35"/>
      <c r="AD538" s="35"/>
    </row>
    <row r="539" spans="1:30">
      <c r="A539" s="102">
        <f t="shared" si="9"/>
        <v>538</v>
      </c>
      <c r="B539" s="468">
        <f>YEAR(Table6[[#This Row],[Date]])+IF(MONTH(Table6[[#This Row],[Date]])&gt;=4,1,0)</f>
        <v>2026</v>
      </c>
      <c r="C539" s="102">
        <f>YEAR(Table6[[#This Row],[Date]])</f>
        <v>2025</v>
      </c>
      <c r="D539" s="102" t="s">
        <v>1992</v>
      </c>
      <c r="E539" s="469">
        <f>Table6[[#This Row],[Date]]-DAY(Table6[[#This Row],[Date]])+1</f>
        <v>45778</v>
      </c>
      <c r="F539" s="470">
        <v>45780</v>
      </c>
      <c r="G539" s="35" t="s">
        <v>86</v>
      </c>
      <c r="H539" s="35" t="str">
        <f>IFERROR(_xlfn.XLOOKUP(Table6[[#This Row],[Affected WTG]],'Basic Data'!$A:$A,'Basic Data'!$B:$B),"")</f>
        <v>TQGXIIPL</v>
      </c>
      <c r="I539" s="35" t="str">
        <f>IFERROR(_xlfn.XLOOKUP(Table6[[#This Row],[Affected WTG]],'Basic Data'!$A:$A,'Basic Data'!$C:$C),"")</f>
        <v>GEDA</v>
      </c>
      <c r="J539" s="471">
        <f>IFERROR(_xlfn.XLOOKUP(Table6[[#This Row],[Affected WTG]],'Basic Data'!$A:$A,'Basic Data'!$E:$E),"")</f>
        <v>3.846153846153845E-2</v>
      </c>
      <c r="K539" s="102">
        <v>6130</v>
      </c>
      <c r="L539" s="35" t="str">
        <f>IFERROR(_xlfn.XLOOKUP(Table6[[#This Row],[Error Code]],'Basic Data'!$AA:$AA,'Basic Data'!$AB:$AB),"Incorrect Error Code")</f>
        <v>Yaw speed high</v>
      </c>
      <c r="M539" s="35" t="s">
        <v>292</v>
      </c>
      <c r="N539" s="475"/>
      <c r="O539" s="476">
        <v>0.66736111111111107</v>
      </c>
      <c r="P539" s="476">
        <v>0.66736111111111107</v>
      </c>
      <c r="Q539" s="477">
        <v>0.67013888888888884</v>
      </c>
      <c r="R539" s="472">
        <f>IF(Table6[[#This Row],[Work Start TimeStamp]]="","",(Table6[[#This Row],[Work Start TimeStamp]]-Table6[[#This Row],[Fault Start TimeStamp]])*24)</f>
        <v>0</v>
      </c>
      <c r="S539" s="472">
        <f>(Table6[[#This Row],[Fault Clearance time]]-Table6[[#This Row],[Work Start TimeStamp]])*24</f>
        <v>6.666666666666643E-2</v>
      </c>
      <c r="T539" s="472">
        <f>(Table6[[#This Row],[Fault Clearance time]]-Table6[[#This Row],[Fault Start TimeStamp]])*24</f>
        <v>6.666666666666643E-2</v>
      </c>
      <c r="U539" s="35" t="s">
        <v>336</v>
      </c>
      <c r="V539" s="102" t="s">
        <v>293</v>
      </c>
      <c r="W539" s="478">
        <f>IFERROR(Table6[[#This Row],[Breakdown Time]]*Table6[[#This Row],[Plant Equivalent Weightage]],"")</f>
        <v>2.5641025641025541E-3</v>
      </c>
      <c r="X539" s="473" t="s">
        <v>294</v>
      </c>
      <c r="Y539" s="474" t="s">
        <v>313</v>
      </c>
      <c r="Z539" s="102">
        <v>41617</v>
      </c>
      <c r="AA539" s="468">
        <f>(Table6[[#This Row],[Paired WTG Generation for loss calculation]]/24)*Table6[[#This Row],[Breakdown Time]]</f>
        <v>115.60277777777738</v>
      </c>
      <c r="AB539" s="102"/>
      <c r="AC539" s="35"/>
      <c r="AD539" s="35"/>
    </row>
    <row r="540" spans="1:30">
      <c r="A540" s="102">
        <f t="shared" si="9"/>
        <v>539</v>
      </c>
      <c r="B540" s="468">
        <f>YEAR(Table6[[#This Row],[Date]])+IF(MONTH(Table6[[#This Row],[Date]])&gt;=4,1,0)</f>
        <v>2026</v>
      </c>
      <c r="C540" s="102">
        <f>YEAR(Table6[[#This Row],[Date]])</f>
        <v>2025</v>
      </c>
      <c r="D540" s="102" t="s">
        <v>1992</v>
      </c>
      <c r="E540" s="469">
        <f>Table6[[#This Row],[Date]]-DAY(Table6[[#This Row],[Date]])+1</f>
        <v>45778</v>
      </c>
      <c r="F540" s="470">
        <v>45780</v>
      </c>
      <c r="G540" s="35" t="s">
        <v>91</v>
      </c>
      <c r="H540" s="35" t="str">
        <f>IFERROR(_xlfn.XLOOKUP(Table6[[#This Row],[Affected WTG]],'Basic Data'!$A:$A,'Basic Data'!$B:$B),"")</f>
        <v>TQGXIIPL</v>
      </c>
      <c r="I540" s="35" t="str">
        <f>IFERROR(_xlfn.XLOOKUP(Table6[[#This Row],[Affected WTG]],'Basic Data'!$A:$A,'Basic Data'!$C:$C),"")</f>
        <v>GEDA</v>
      </c>
      <c r="J540" s="471">
        <f>IFERROR(_xlfn.XLOOKUP(Table6[[#This Row],[Affected WTG]],'Basic Data'!$A:$A,'Basic Data'!$E:$E),"")</f>
        <v>3.846153846153845E-2</v>
      </c>
      <c r="K540" s="102">
        <v>175</v>
      </c>
      <c r="L540" s="35" t="str">
        <f>IFERROR(_xlfn.XLOOKUP(Table6[[#This Row],[Error Code]],'Basic Data'!$AA:$AA,'Basic Data'!$AB:$AB),"Incorrect Error Code")</f>
        <v>SLC error</v>
      </c>
      <c r="M540" s="35" t="s">
        <v>292</v>
      </c>
      <c r="N540" s="475"/>
      <c r="O540" s="476">
        <v>0.63194444444444442</v>
      </c>
      <c r="P540" s="476">
        <v>0.63194444444444442</v>
      </c>
      <c r="Q540" s="477">
        <v>0.64027777777777772</v>
      </c>
      <c r="R540" s="472">
        <f>IF(Table6[[#This Row],[Work Start TimeStamp]]="","",(Table6[[#This Row],[Work Start TimeStamp]]-Table6[[#This Row],[Fault Start TimeStamp]])*24)</f>
        <v>0</v>
      </c>
      <c r="S540" s="472">
        <f>(Table6[[#This Row],[Fault Clearance time]]-Table6[[#This Row],[Work Start TimeStamp]])*24</f>
        <v>0.19999999999999929</v>
      </c>
      <c r="T540" s="472">
        <f>(Table6[[#This Row],[Fault Clearance time]]-Table6[[#This Row],[Fault Start TimeStamp]])*24</f>
        <v>0.19999999999999929</v>
      </c>
      <c r="U540" s="35" t="s">
        <v>336</v>
      </c>
      <c r="V540" s="102" t="s">
        <v>293</v>
      </c>
      <c r="W540" s="478">
        <f>IFERROR(Table6[[#This Row],[Breakdown Time]]*Table6[[#This Row],[Plant Equivalent Weightage]],"")</f>
        <v>7.6923076923076624E-3</v>
      </c>
      <c r="X540" s="473" t="s">
        <v>294</v>
      </c>
      <c r="Y540" s="474" t="s">
        <v>319</v>
      </c>
      <c r="Z540" s="102">
        <v>39457</v>
      </c>
      <c r="AA540" s="468">
        <f>(Table6[[#This Row],[Paired WTG Generation for loss calculation]]/24)*Table6[[#This Row],[Breakdown Time]]</f>
        <v>328.8083333333322</v>
      </c>
      <c r="AB540" s="102"/>
      <c r="AC540" s="35"/>
      <c r="AD540" s="35"/>
    </row>
    <row r="541" spans="1:30">
      <c r="A541" s="102">
        <f t="shared" si="9"/>
        <v>540</v>
      </c>
      <c r="B541" s="468">
        <f>YEAR(Table6[[#This Row],[Date]])+IF(MONTH(Table6[[#This Row],[Date]])&gt;=4,1,0)</f>
        <v>2026</v>
      </c>
      <c r="C541" s="102">
        <f>YEAR(Table6[[#This Row],[Date]])</f>
        <v>2025</v>
      </c>
      <c r="D541" s="102" t="s">
        <v>1992</v>
      </c>
      <c r="E541" s="469">
        <f>Table6[[#This Row],[Date]]-DAY(Table6[[#This Row],[Date]])+1</f>
        <v>45778</v>
      </c>
      <c r="F541" s="470">
        <v>45780</v>
      </c>
      <c r="G541" s="35" t="s">
        <v>91</v>
      </c>
      <c r="H541" s="35" t="str">
        <f>IFERROR(_xlfn.XLOOKUP(Table6[[#This Row],[Affected WTG]],'Basic Data'!$A:$A,'Basic Data'!$B:$B),"")</f>
        <v>TQGXIIPL</v>
      </c>
      <c r="I541" s="35" t="str">
        <f>IFERROR(_xlfn.XLOOKUP(Table6[[#This Row],[Affected WTG]],'Basic Data'!$A:$A,'Basic Data'!$C:$C),"")</f>
        <v>GEDA</v>
      </c>
      <c r="J541" s="471">
        <f>IFERROR(_xlfn.XLOOKUP(Table6[[#This Row],[Affected WTG]],'Basic Data'!$A:$A,'Basic Data'!$E:$E),"")</f>
        <v>3.846153846153845E-2</v>
      </c>
      <c r="K541" s="102">
        <v>175</v>
      </c>
      <c r="L541" s="35" t="str">
        <f>IFERROR(_xlfn.XLOOKUP(Table6[[#This Row],[Error Code]],'Basic Data'!$AA:$AA,'Basic Data'!$AB:$AB),"Incorrect Error Code")</f>
        <v>SLC error</v>
      </c>
      <c r="M541" s="35" t="s">
        <v>291</v>
      </c>
      <c r="N541" s="475"/>
      <c r="O541" s="476">
        <v>0.77777777777777779</v>
      </c>
      <c r="P541" s="476">
        <v>0.77777777777777779</v>
      </c>
      <c r="Q541" s="477">
        <v>0.84305555555555556</v>
      </c>
      <c r="R541" s="472">
        <f>IF(Table6[[#This Row],[Work Start TimeStamp]]="","",(Table6[[#This Row],[Work Start TimeStamp]]-Table6[[#This Row],[Fault Start TimeStamp]])*24)</f>
        <v>0</v>
      </c>
      <c r="S541" s="472">
        <f>(Table6[[#This Row],[Fault Clearance time]]-Table6[[#This Row],[Work Start TimeStamp]])*24</f>
        <v>1.5666666666666664</v>
      </c>
      <c r="T541" s="472">
        <f>(Table6[[#This Row],[Fault Clearance time]]-Table6[[#This Row],[Fault Start TimeStamp]])*24</f>
        <v>1.5666666666666664</v>
      </c>
      <c r="U541" s="35" t="s">
        <v>348</v>
      </c>
      <c r="V541" s="102" t="s">
        <v>293</v>
      </c>
      <c r="W541" s="478">
        <f>IFERROR(Table6[[#This Row],[Breakdown Time]]*Table6[[#This Row],[Plant Equivalent Weightage]],"")</f>
        <v>6.025641025641023E-2</v>
      </c>
      <c r="X541" s="473" t="s">
        <v>290</v>
      </c>
      <c r="Y541" s="474" t="s">
        <v>319</v>
      </c>
      <c r="Z541" s="102">
        <v>39457</v>
      </c>
      <c r="AA541" s="468">
        <f>(Table6[[#This Row],[Paired WTG Generation for loss calculation]]/24)*Table6[[#This Row],[Breakdown Time]]</f>
        <v>2575.6652777777776</v>
      </c>
      <c r="AB541" s="102"/>
      <c r="AC541" s="35"/>
      <c r="AD541" s="35"/>
    </row>
    <row r="542" spans="1:30">
      <c r="A542" s="102">
        <f t="shared" si="9"/>
        <v>541</v>
      </c>
      <c r="B542" s="468">
        <f>YEAR(Table6[[#This Row],[Date]])+IF(MONTH(Table6[[#This Row],[Date]])&gt;=4,1,0)</f>
        <v>2026</v>
      </c>
      <c r="C542" s="102">
        <f>YEAR(Table6[[#This Row],[Date]])</f>
        <v>2025</v>
      </c>
      <c r="D542" s="102" t="s">
        <v>1992</v>
      </c>
      <c r="E542" s="469">
        <f>Table6[[#This Row],[Date]]-DAY(Table6[[#This Row],[Date]])+1</f>
        <v>45778</v>
      </c>
      <c r="F542" s="470">
        <v>45780</v>
      </c>
      <c r="G542" s="35" t="s">
        <v>92</v>
      </c>
      <c r="H542" s="35" t="str">
        <f>IFERROR(_xlfn.XLOOKUP(Table6[[#This Row],[Affected WTG]],'Basic Data'!$A:$A,'Basic Data'!$B:$B),"")</f>
        <v>TQGXIIPL</v>
      </c>
      <c r="I542" s="35" t="str">
        <f>IFERROR(_xlfn.XLOOKUP(Table6[[#This Row],[Affected WTG]],'Basic Data'!$A:$A,'Basic Data'!$C:$C),"")</f>
        <v>GEDA</v>
      </c>
      <c r="J542" s="471">
        <f>IFERROR(_xlfn.XLOOKUP(Table6[[#This Row],[Affected WTG]],'Basic Data'!$A:$A,'Basic Data'!$E:$E),"")</f>
        <v>3.846153846153845E-2</v>
      </c>
      <c r="K542" s="102">
        <v>1700</v>
      </c>
      <c r="L542" s="35" t="str">
        <f>IFERROR(_xlfn.XLOOKUP(Table6[[#This Row],[Error Code]],'Basic Data'!$AA:$AA,'Basic Data'!$AB:$AB),"Incorrect Error Code")</f>
        <v>High temp. gear bearing 1</v>
      </c>
      <c r="M542" s="35" t="s">
        <v>291</v>
      </c>
      <c r="N542" s="475"/>
      <c r="O542" s="476">
        <v>0.68333333333333335</v>
      </c>
      <c r="P542" s="476">
        <v>0.68333333333333335</v>
      </c>
      <c r="Q542" s="477">
        <v>0.69722222222222219</v>
      </c>
      <c r="R542" s="472">
        <f>IF(Table6[[#This Row],[Work Start TimeStamp]]="","",(Table6[[#This Row],[Work Start TimeStamp]]-Table6[[#This Row],[Fault Start TimeStamp]])*24)</f>
        <v>0</v>
      </c>
      <c r="S542" s="472">
        <f>(Table6[[#This Row],[Fault Clearance time]]-Table6[[#This Row],[Work Start TimeStamp]])*24</f>
        <v>0.33333333333333215</v>
      </c>
      <c r="T542" s="472">
        <f>(Table6[[#This Row],[Fault Clearance time]]-Table6[[#This Row],[Fault Start TimeStamp]])*24</f>
        <v>0.33333333333333215</v>
      </c>
      <c r="U542" s="35" t="s">
        <v>382</v>
      </c>
      <c r="V542" s="102" t="s">
        <v>293</v>
      </c>
      <c r="W542" s="478">
        <f>IFERROR(Table6[[#This Row],[Breakdown Time]]*Table6[[#This Row],[Plant Equivalent Weightage]],"")</f>
        <v>1.2820512820512771E-2</v>
      </c>
      <c r="X542" s="473" t="s">
        <v>294</v>
      </c>
      <c r="Y542" s="474" t="s">
        <v>310</v>
      </c>
      <c r="Z542" s="102">
        <v>42306</v>
      </c>
      <c r="AA542" s="468">
        <f>(Table6[[#This Row],[Paired WTG Generation for loss calculation]]/24)*Table6[[#This Row],[Breakdown Time]]</f>
        <v>587.58333333333121</v>
      </c>
      <c r="AB542" s="102"/>
      <c r="AC542" s="35"/>
      <c r="AD542" s="35"/>
    </row>
    <row r="543" spans="1:30">
      <c r="A543" s="102">
        <f t="shared" si="9"/>
        <v>542</v>
      </c>
      <c r="B543" s="468">
        <f>YEAR(Table6[[#This Row],[Date]])+IF(MONTH(Table6[[#This Row],[Date]])&gt;=4,1,0)</f>
        <v>2026</v>
      </c>
      <c r="C543" s="102">
        <f>YEAR(Table6[[#This Row],[Date]])</f>
        <v>2025</v>
      </c>
      <c r="D543" s="102" t="s">
        <v>1992</v>
      </c>
      <c r="E543" s="469">
        <f>Table6[[#This Row],[Date]]-DAY(Table6[[#This Row],[Date]])+1</f>
        <v>45778</v>
      </c>
      <c r="F543" s="470">
        <v>45780</v>
      </c>
      <c r="G543" s="35" t="s">
        <v>81</v>
      </c>
      <c r="H543" s="35" t="str">
        <f>IFERROR(_xlfn.XLOOKUP(Table6[[#This Row],[Affected WTG]],'Basic Data'!$A:$A,'Basic Data'!$B:$B),"")</f>
        <v>TQGXIIPL</v>
      </c>
      <c r="I543" s="35" t="str">
        <f>IFERROR(_xlfn.XLOOKUP(Table6[[#This Row],[Affected WTG]],'Basic Data'!$A:$A,'Basic Data'!$C:$C),"")</f>
        <v>GEDA</v>
      </c>
      <c r="J543" s="471">
        <f>IFERROR(_xlfn.XLOOKUP(Table6[[#This Row],[Affected WTG]],'Basic Data'!$A:$A,'Basic Data'!$E:$E),"")</f>
        <v>3.846153846153845E-2</v>
      </c>
      <c r="K543" s="102">
        <v>55</v>
      </c>
      <c r="L543" s="35" t="str">
        <f>IFERROR(_xlfn.XLOOKUP(Table6[[#This Row],[Error Code]],'Basic Data'!$AA:$AA,'Basic Data'!$AB:$AB),"Incorrect Error Code")</f>
        <v>WTG shut down</v>
      </c>
      <c r="M543" s="35" t="s">
        <v>330</v>
      </c>
      <c r="N543" s="475"/>
      <c r="O543" s="476">
        <v>0.69791666666666663</v>
      </c>
      <c r="P543" s="476">
        <v>0.69791666666666663</v>
      </c>
      <c r="Q543" s="477">
        <v>0.9</v>
      </c>
      <c r="R543" s="472">
        <f>IF(Table6[[#This Row],[Work Start TimeStamp]]="","",(Table6[[#This Row],[Work Start TimeStamp]]-Table6[[#This Row],[Fault Start TimeStamp]])*24)</f>
        <v>0</v>
      </c>
      <c r="S543" s="472">
        <f>(Table6[[#This Row],[Fault Clearance time]]-Table6[[#This Row],[Work Start TimeStamp]])*24</f>
        <v>4.8500000000000014</v>
      </c>
      <c r="T543" s="472">
        <f>(Table6[[#This Row],[Fault Clearance time]]-Table6[[#This Row],[Fault Start TimeStamp]])*24</f>
        <v>4.8500000000000014</v>
      </c>
      <c r="U543" s="35" t="s">
        <v>1744</v>
      </c>
      <c r="V543" s="102" t="s">
        <v>293</v>
      </c>
      <c r="W543" s="478">
        <f>IFERROR(Table6[[#This Row],[Breakdown Time]]*Table6[[#This Row],[Plant Equivalent Weightage]],"")</f>
        <v>0.18653846153846154</v>
      </c>
      <c r="X543" s="473" t="s">
        <v>290</v>
      </c>
      <c r="Y543" s="474" t="s">
        <v>321</v>
      </c>
      <c r="Z543" s="102">
        <v>43445</v>
      </c>
      <c r="AA543" s="468">
        <f>(Table6[[#This Row],[Paired WTG Generation for loss calculation]]/24)*Table6[[#This Row],[Breakdown Time]]</f>
        <v>8779.5104166666697</v>
      </c>
      <c r="AB543" s="102"/>
      <c r="AC543" s="35"/>
      <c r="AD543" s="35"/>
    </row>
    <row r="544" spans="1:30">
      <c r="A544" s="102">
        <f t="shared" si="9"/>
        <v>543</v>
      </c>
      <c r="B544" s="468">
        <f>YEAR(Table6[[#This Row],[Date]])+IF(MONTH(Table6[[#This Row],[Date]])&gt;=4,1,0)</f>
        <v>2026</v>
      </c>
      <c r="C544" s="102">
        <f>YEAR(Table6[[#This Row],[Date]])</f>
        <v>2025</v>
      </c>
      <c r="D544" s="102" t="s">
        <v>1992</v>
      </c>
      <c r="E544" s="469">
        <f>Table6[[#This Row],[Date]]-DAY(Table6[[#This Row],[Date]])+1</f>
        <v>45778</v>
      </c>
      <c r="F544" s="470">
        <v>45780</v>
      </c>
      <c r="G544" s="35" t="s">
        <v>96</v>
      </c>
      <c r="H544" s="35" t="str">
        <f>IFERROR(_xlfn.XLOOKUP(Table6[[#This Row],[Affected WTG]],'Basic Data'!$A:$A,'Basic Data'!$B:$B),"")</f>
        <v>TQGXIIPL</v>
      </c>
      <c r="I544" s="35" t="str">
        <f>IFERROR(_xlfn.XLOOKUP(Table6[[#This Row],[Affected WTG]],'Basic Data'!$A:$A,'Basic Data'!$C:$C),"")</f>
        <v>GEDA</v>
      </c>
      <c r="J544" s="471">
        <f>IFERROR(_xlfn.XLOOKUP(Table6[[#This Row],[Affected WTG]],'Basic Data'!$A:$A,'Basic Data'!$E:$E),"")</f>
        <v>3.846153846153845E-2</v>
      </c>
      <c r="K544" s="102">
        <v>6130</v>
      </c>
      <c r="L544" s="35" t="str">
        <f>IFERROR(_xlfn.XLOOKUP(Table6[[#This Row],[Error Code]],'Basic Data'!$AA:$AA,'Basic Data'!$AB:$AB),"Incorrect Error Code")</f>
        <v>Yaw speed high</v>
      </c>
      <c r="M544" s="35" t="s">
        <v>291</v>
      </c>
      <c r="N544" s="475"/>
      <c r="O544" s="476">
        <v>0.68125000000000002</v>
      </c>
      <c r="P544" s="476">
        <v>0.68125000000000002</v>
      </c>
      <c r="Q544" s="477">
        <v>0.68611111111111112</v>
      </c>
      <c r="R544" s="472">
        <f>IF(Table6[[#This Row],[Work Start TimeStamp]]="","",(Table6[[#This Row],[Work Start TimeStamp]]-Table6[[#This Row],[Fault Start TimeStamp]])*24)</f>
        <v>0</v>
      </c>
      <c r="S544" s="472">
        <f>(Table6[[#This Row],[Fault Clearance time]]-Table6[[#This Row],[Work Start TimeStamp]])*24</f>
        <v>0.11666666666666625</v>
      </c>
      <c r="T544" s="472">
        <f>(Table6[[#This Row],[Fault Clearance time]]-Table6[[#This Row],[Fault Start TimeStamp]])*24</f>
        <v>0.11666666666666625</v>
      </c>
      <c r="U544" s="35" t="s">
        <v>336</v>
      </c>
      <c r="V544" s="102" t="s">
        <v>293</v>
      </c>
      <c r="W544" s="478">
        <f>IFERROR(Table6[[#This Row],[Breakdown Time]]*Table6[[#This Row],[Plant Equivalent Weightage]],"")</f>
        <v>4.4871794871794695E-3</v>
      </c>
      <c r="X544" s="473" t="s">
        <v>294</v>
      </c>
      <c r="Y544" s="474" t="s">
        <v>313</v>
      </c>
      <c r="Z544" s="102">
        <v>41617</v>
      </c>
      <c r="AA544" s="468">
        <f>(Table6[[#This Row],[Paired WTG Generation for loss calculation]]/24)*Table6[[#This Row],[Breakdown Time]]</f>
        <v>202.3048611111104</v>
      </c>
      <c r="AB544" s="102"/>
      <c r="AC544" s="35"/>
      <c r="AD544" s="35"/>
    </row>
    <row r="545" spans="1:30">
      <c r="A545" s="102">
        <f t="shared" si="9"/>
        <v>544</v>
      </c>
      <c r="B545" s="468">
        <f>YEAR(Table6[[#This Row],[Date]])+IF(MONTH(Table6[[#This Row],[Date]])&gt;=4,1,0)</f>
        <v>2026</v>
      </c>
      <c r="C545" s="102">
        <f>YEAR(Table6[[#This Row],[Date]])</f>
        <v>2025</v>
      </c>
      <c r="D545" s="102" t="s">
        <v>1992</v>
      </c>
      <c r="E545" s="469">
        <f>Table6[[#This Row],[Date]]-DAY(Table6[[#This Row],[Date]])+1</f>
        <v>45778</v>
      </c>
      <c r="F545" s="470">
        <v>45780</v>
      </c>
      <c r="G545" s="35" t="s">
        <v>97</v>
      </c>
      <c r="H545" s="35" t="str">
        <f>IFERROR(_xlfn.XLOOKUP(Table6[[#This Row],[Affected WTG]],'Basic Data'!$A:$A,'Basic Data'!$B:$B),"")</f>
        <v>TQGXIIPL</v>
      </c>
      <c r="I545" s="35" t="str">
        <f>IFERROR(_xlfn.XLOOKUP(Table6[[#This Row],[Affected WTG]],'Basic Data'!$A:$A,'Basic Data'!$C:$C),"")</f>
        <v>GEDA</v>
      </c>
      <c r="J545" s="471">
        <f>IFERROR(_xlfn.XLOOKUP(Table6[[#This Row],[Affected WTG]],'Basic Data'!$A:$A,'Basic Data'!$E:$E),"")</f>
        <v>3.846153846153845E-2</v>
      </c>
      <c r="K545" s="102">
        <v>55</v>
      </c>
      <c r="L545" s="35" t="str">
        <f>IFERROR(_xlfn.XLOOKUP(Table6[[#This Row],[Error Code]],'Basic Data'!$AA:$AA,'Basic Data'!$AB:$AB),"Incorrect Error Code")</f>
        <v>WTG shut down</v>
      </c>
      <c r="M545" s="35" t="s">
        <v>304</v>
      </c>
      <c r="N545" s="475"/>
      <c r="O545" s="476">
        <v>0.3034722222222222</v>
      </c>
      <c r="P545" s="476">
        <v>0.3034722222222222</v>
      </c>
      <c r="Q545" s="477">
        <v>0.85763888888888884</v>
      </c>
      <c r="R545" s="472">
        <f>IF(Table6[[#This Row],[Work Start TimeStamp]]="","",(Table6[[#This Row],[Work Start TimeStamp]]-Table6[[#This Row],[Fault Start TimeStamp]])*24)</f>
        <v>0</v>
      </c>
      <c r="S545" s="472">
        <f>(Table6[[#This Row],[Fault Clearance time]]-Table6[[#This Row],[Work Start TimeStamp]])*24</f>
        <v>13.3</v>
      </c>
      <c r="T545" s="472">
        <f>(Table6[[#This Row],[Fault Clearance time]]-Table6[[#This Row],[Fault Start TimeStamp]])*24</f>
        <v>13.3</v>
      </c>
      <c r="U545" s="35" t="s">
        <v>1748</v>
      </c>
      <c r="V545" s="102" t="s">
        <v>293</v>
      </c>
      <c r="W545" s="478">
        <f>IFERROR(Table6[[#This Row],[Breakdown Time]]*Table6[[#This Row],[Plant Equivalent Weightage]],"")</f>
        <v>0.51153846153846139</v>
      </c>
      <c r="X545" s="473" t="s">
        <v>305</v>
      </c>
      <c r="Y545" s="474" t="s">
        <v>320</v>
      </c>
      <c r="Z545" s="102">
        <v>44438</v>
      </c>
      <c r="AA545" s="468">
        <f>(Table6[[#This Row],[Paired WTG Generation for loss calculation]]/24)*Table6[[#This Row],[Breakdown Time]]</f>
        <v>24626.058333333334</v>
      </c>
      <c r="AB545" s="102"/>
      <c r="AC545" s="35"/>
      <c r="AD545" s="35"/>
    </row>
    <row r="546" spans="1:30">
      <c r="A546" s="102">
        <f t="shared" si="9"/>
        <v>545</v>
      </c>
      <c r="B546" s="468">
        <f>YEAR(Table6[[#This Row],[Date]])+IF(MONTH(Table6[[#This Row],[Date]])&gt;=4,1,0)</f>
        <v>2026</v>
      </c>
      <c r="C546" s="102">
        <f>YEAR(Table6[[#This Row],[Date]])</f>
        <v>2025</v>
      </c>
      <c r="D546" s="102" t="s">
        <v>1992</v>
      </c>
      <c r="E546" s="469">
        <f>Table6[[#This Row],[Date]]-DAY(Table6[[#This Row],[Date]])+1</f>
        <v>45778</v>
      </c>
      <c r="F546" s="470">
        <v>45780</v>
      </c>
      <c r="G546" s="35" t="s">
        <v>98</v>
      </c>
      <c r="H546" s="35" t="str">
        <f>IFERROR(_xlfn.XLOOKUP(Table6[[#This Row],[Affected WTG]],'Basic Data'!$A:$A,'Basic Data'!$B:$B),"")</f>
        <v>TQGXIIPL</v>
      </c>
      <c r="I546" s="35" t="str">
        <f>IFERROR(_xlfn.XLOOKUP(Table6[[#This Row],[Affected WTG]],'Basic Data'!$A:$A,'Basic Data'!$C:$C),"")</f>
        <v>GEDA</v>
      </c>
      <c r="J546" s="471">
        <f>IFERROR(_xlfn.XLOOKUP(Table6[[#This Row],[Affected WTG]],'Basic Data'!$A:$A,'Basic Data'!$E:$E),"")</f>
        <v>3.846153846153845E-2</v>
      </c>
      <c r="K546" s="102">
        <v>550</v>
      </c>
      <c r="L546" s="35" t="str">
        <f>IFERROR(_xlfn.XLOOKUP(Table6[[#This Row],[Error Code]],'Basic Data'!$AA:$AA,'Basic Data'!$AB:$AB),"Incorrect Error Code")</f>
        <v>Pitch current asymmetry</v>
      </c>
      <c r="M546" s="35" t="s">
        <v>291</v>
      </c>
      <c r="N546" s="475"/>
      <c r="O546" s="476">
        <v>9.7916666666666666E-2</v>
      </c>
      <c r="P546" s="476">
        <v>9.7916666666666666E-2</v>
      </c>
      <c r="Q546" s="477">
        <v>0.11041666666666666</v>
      </c>
      <c r="R546" s="472">
        <f>IF(Table6[[#This Row],[Work Start TimeStamp]]="","",(Table6[[#This Row],[Work Start TimeStamp]]-Table6[[#This Row],[Fault Start TimeStamp]])*24)</f>
        <v>0</v>
      </c>
      <c r="S546" s="472">
        <f>(Table6[[#This Row],[Fault Clearance time]]-Table6[[#This Row],[Work Start TimeStamp]])*24</f>
        <v>0.29999999999999993</v>
      </c>
      <c r="T546" s="472">
        <f>(Table6[[#This Row],[Fault Clearance time]]-Table6[[#This Row],[Fault Start TimeStamp]])*24</f>
        <v>0.29999999999999993</v>
      </c>
      <c r="U546" s="35" t="s">
        <v>349</v>
      </c>
      <c r="V546" s="102" t="s">
        <v>293</v>
      </c>
      <c r="W546" s="478">
        <f>IFERROR(Table6[[#This Row],[Breakdown Time]]*Table6[[#This Row],[Plant Equivalent Weightage]],"")</f>
        <v>1.1538461538461532E-2</v>
      </c>
      <c r="X546" s="473" t="s">
        <v>290</v>
      </c>
      <c r="Y546" s="474" t="s">
        <v>315</v>
      </c>
      <c r="Z546" s="102">
        <v>29084</v>
      </c>
      <c r="AA546" s="468">
        <f>(Table6[[#This Row],[Paired WTG Generation for loss calculation]]/24)*Table6[[#This Row],[Breakdown Time]]</f>
        <v>363.5499999999999</v>
      </c>
      <c r="AB546" s="102"/>
      <c r="AC546" s="35"/>
      <c r="AD546" s="35"/>
    </row>
    <row r="547" spans="1:30">
      <c r="A547" s="102">
        <f t="shared" si="9"/>
        <v>546</v>
      </c>
      <c r="B547" s="468">
        <f>YEAR(Table6[[#This Row],[Date]])+IF(MONTH(Table6[[#This Row],[Date]])&gt;=4,1,0)</f>
        <v>2026</v>
      </c>
      <c r="C547" s="102">
        <f>YEAR(Table6[[#This Row],[Date]])</f>
        <v>2025</v>
      </c>
      <c r="D547" s="102" t="s">
        <v>1992</v>
      </c>
      <c r="E547" s="469">
        <f>Table6[[#This Row],[Date]]-DAY(Table6[[#This Row],[Date]])+1</f>
        <v>45778</v>
      </c>
      <c r="F547" s="470">
        <v>45780</v>
      </c>
      <c r="G547" s="35" t="s">
        <v>98</v>
      </c>
      <c r="H547" s="35" t="str">
        <f>IFERROR(_xlfn.XLOOKUP(Table6[[#This Row],[Affected WTG]],'Basic Data'!$A:$A,'Basic Data'!$B:$B),"")</f>
        <v>TQGXIIPL</v>
      </c>
      <c r="I547" s="35" t="str">
        <f>IFERROR(_xlfn.XLOOKUP(Table6[[#This Row],[Affected WTG]],'Basic Data'!$A:$A,'Basic Data'!$C:$C),"")</f>
        <v>GEDA</v>
      </c>
      <c r="J547" s="471">
        <f>IFERROR(_xlfn.XLOOKUP(Table6[[#This Row],[Affected WTG]],'Basic Data'!$A:$A,'Basic Data'!$E:$E),"")</f>
        <v>3.846153846153845E-2</v>
      </c>
      <c r="K547" s="102">
        <v>6130</v>
      </c>
      <c r="L547" s="35" t="str">
        <f>IFERROR(_xlfn.XLOOKUP(Table6[[#This Row],[Error Code]],'Basic Data'!$AA:$AA,'Basic Data'!$AB:$AB),"Incorrect Error Code")</f>
        <v>Yaw speed high</v>
      </c>
      <c r="M547" s="35" t="s">
        <v>292</v>
      </c>
      <c r="N547" s="475"/>
      <c r="O547" s="476">
        <v>0.68819444444444444</v>
      </c>
      <c r="P547" s="476">
        <v>0.68819444444444444</v>
      </c>
      <c r="Q547" s="477">
        <v>0.69236111111111109</v>
      </c>
      <c r="R547" s="472">
        <f>IF(Table6[[#This Row],[Work Start TimeStamp]]="","",(Table6[[#This Row],[Work Start TimeStamp]]-Table6[[#This Row],[Fault Start TimeStamp]])*24)</f>
        <v>0</v>
      </c>
      <c r="S547" s="472">
        <f>(Table6[[#This Row],[Fault Clearance time]]-Table6[[#This Row],[Work Start TimeStamp]])*24</f>
        <v>9.9999999999999645E-2</v>
      </c>
      <c r="T547" s="472">
        <f>(Table6[[#This Row],[Fault Clearance time]]-Table6[[#This Row],[Fault Start TimeStamp]])*24</f>
        <v>9.9999999999999645E-2</v>
      </c>
      <c r="U547" s="35" t="s">
        <v>336</v>
      </c>
      <c r="V547" s="102" t="s">
        <v>293</v>
      </c>
      <c r="W547" s="478">
        <f>IFERROR(Table6[[#This Row],[Breakdown Time]]*Table6[[#This Row],[Plant Equivalent Weightage]],"")</f>
        <v>3.8461538461538312E-3</v>
      </c>
      <c r="X547" s="473" t="s">
        <v>294</v>
      </c>
      <c r="Y547" s="474" t="s">
        <v>315</v>
      </c>
      <c r="Z547" s="102">
        <v>29084</v>
      </c>
      <c r="AA547" s="468">
        <f>(Table6[[#This Row],[Paired WTG Generation for loss calculation]]/24)*Table6[[#This Row],[Breakdown Time]]</f>
        <v>121.1833333333329</v>
      </c>
      <c r="AB547" s="102"/>
      <c r="AC547" s="35"/>
      <c r="AD547" s="35"/>
    </row>
    <row r="548" spans="1:30">
      <c r="A548" s="102">
        <f t="shared" si="9"/>
        <v>547</v>
      </c>
      <c r="B548" s="468">
        <f>YEAR(Table6[[#This Row],[Date]])+IF(MONTH(Table6[[#This Row],[Date]])&gt;=4,1,0)</f>
        <v>2026</v>
      </c>
      <c r="C548" s="102">
        <f>YEAR(Table6[[#This Row],[Date]])</f>
        <v>2025</v>
      </c>
      <c r="D548" s="102" t="s">
        <v>1992</v>
      </c>
      <c r="E548" s="469">
        <f>Table6[[#This Row],[Date]]-DAY(Table6[[#This Row],[Date]])+1</f>
        <v>45778</v>
      </c>
      <c r="F548" s="470">
        <v>45780</v>
      </c>
      <c r="G548" s="35" t="s">
        <v>98</v>
      </c>
      <c r="H548" s="35" t="str">
        <f>IFERROR(_xlfn.XLOOKUP(Table6[[#This Row],[Affected WTG]],'Basic Data'!$A:$A,'Basic Data'!$B:$B),"")</f>
        <v>TQGXIIPL</v>
      </c>
      <c r="I548" s="35" t="str">
        <f>IFERROR(_xlfn.XLOOKUP(Table6[[#This Row],[Affected WTG]],'Basic Data'!$A:$A,'Basic Data'!$C:$C),"")</f>
        <v>GEDA</v>
      </c>
      <c r="J548" s="471">
        <f>IFERROR(_xlfn.XLOOKUP(Table6[[#This Row],[Affected WTG]],'Basic Data'!$A:$A,'Basic Data'!$E:$E),"")</f>
        <v>3.846153846153845E-2</v>
      </c>
      <c r="K548" s="102">
        <v>55</v>
      </c>
      <c r="L548" s="35" t="str">
        <f>IFERROR(_xlfn.XLOOKUP(Table6[[#This Row],[Error Code]],'Basic Data'!$AA:$AA,'Basic Data'!$AB:$AB),"Incorrect Error Code")</f>
        <v>WTG shut down</v>
      </c>
      <c r="M548" s="35" t="s">
        <v>330</v>
      </c>
      <c r="N548" s="475"/>
      <c r="O548" s="476">
        <v>0.70625000000000004</v>
      </c>
      <c r="P548" s="476">
        <v>0.70625000000000004</v>
      </c>
      <c r="Q548" s="477">
        <v>0.75</v>
      </c>
      <c r="R548" s="472">
        <f>IF(Table6[[#This Row],[Work Start TimeStamp]]="","",(Table6[[#This Row],[Work Start TimeStamp]]-Table6[[#This Row],[Fault Start TimeStamp]])*24)</f>
        <v>0</v>
      </c>
      <c r="S548" s="472">
        <f>(Table6[[#This Row],[Fault Clearance time]]-Table6[[#This Row],[Work Start TimeStamp]])*24</f>
        <v>1.0499999999999989</v>
      </c>
      <c r="T548" s="472">
        <f>(Table6[[#This Row],[Fault Clearance time]]-Table6[[#This Row],[Fault Start TimeStamp]])*24</f>
        <v>1.0499999999999989</v>
      </c>
      <c r="U548" s="35" t="s">
        <v>1744</v>
      </c>
      <c r="V548" s="102" t="s">
        <v>293</v>
      </c>
      <c r="W548" s="478">
        <f>IFERROR(Table6[[#This Row],[Breakdown Time]]*Table6[[#This Row],[Plant Equivalent Weightage]],"")</f>
        <v>4.0384615384615331E-2</v>
      </c>
      <c r="X548" s="473" t="s">
        <v>290</v>
      </c>
      <c r="Y548" s="474" t="s">
        <v>315</v>
      </c>
      <c r="Z548" s="102">
        <v>29084</v>
      </c>
      <c r="AA548" s="468">
        <f>(Table6[[#This Row],[Paired WTG Generation for loss calculation]]/24)*Table6[[#This Row],[Breakdown Time]]</f>
        <v>1272.4249999999986</v>
      </c>
      <c r="AB548" s="102"/>
      <c r="AC548" s="35"/>
      <c r="AD548" s="35"/>
    </row>
    <row r="549" spans="1:30">
      <c r="A549" s="102">
        <f t="shared" si="9"/>
        <v>548</v>
      </c>
      <c r="B549" s="468">
        <f>YEAR(Table6[[#This Row],[Date]])+IF(MONTH(Table6[[#This Row],[Date]])&gt;=4,1,0)</f>
        <v>2026</v>
      </c>
      <c r="C549" s="102">
        <f>YEAR(Table6[[#This Row],[Date]])</f>
        <v>2025</v>
      </c>
      <c r="D549" s="102" t="s">
        <v>1992</v>
      </c>
      <c r="E549" s="469">
        <f>Table6[[#This Row],[Date]]-DAY(Table6[[#This Row],[Date]])+1</f>
        <v>45778</v>
      </c>
      <c r="F549" s="470">
        <v>45781</v>
      </c>
      <c r="G549" s="35" t="s">
        <v>76</v>
      </c>
      <c r="H549" s="35" t="str">
        <f>IFERROR(_xlfn.XLOOKUP(Table6[[#This Row],[Affected WTG]],'Basic Data'!$A:$A,'Basic Data'!$B:$B),"")</f>
        <v>TQGXIIPL</v>
      </c>
      <c r="I549" s="35" t="str">
        <f>IFERROR(_xlfn.XLOOKUP(Table6[[#This Row],[Affected WTG]],'Basic Data'!$A:$A,'Basic Data'!$C:$C),"")</f>
        <v>GEDA</v>
      </c>
      <c r="J549" s="471">
        <f>IFERROR(_xlfn.XLOOKUP(Table6[[#This Row],[Affected WTG]],'Basic Data'!$A:$A,'Basic Data'!$E:$E),"")</f>
        <v>3.846153846153845E-2</v>
      </c>
      <c r="K549" s="102">
        <v>175</v>
      </c>
      <c r="L549" s="35" t="str">
        <f>IFERROR(_xlfn.XLOOKUP(Table6[[#This Row],[Error Code]],'Basic Data'!$AA:$AA,'Basic Data'!$AB:$AB),"Incorrect Error Code")</f>
        <v>SLC error</v>
      </c>
      <c r="M549" s="35" t="s">
        <v>292</v>
      </c>
      <c r="N549" s="475"/>
      <c r="O549" s="476">
        <v>0.45833333333333331</v>
      </c>
      <c r="P549" s="476">
        <v>0.45833333333333331</v>
      </c>
      <c r="Q549" s="477">
        <v>0.46319444444444446</v>
      </c>
      <c r="R549" s="472">
        <f>IF(Table6[[#This Row],[Work Start TimeStamp]]="","",(Table6[[#This Row],[Work Start TimeStamp]]-Table6[[#This Row],[Fault Start TimeStamp]])*24)</f>
        <v>0</v>
      </c>
      <c r="S549" s="472">
        <f>(Table6[[#This Row],[Fault Clearance time]]-Table6[[#This Row],[Work Start TimeStamp]])*24</f>
        <v>0.11666666666666758</v>
      </c>
      <c r="T549" s="472">
        <f>(Table6[[#This Row],[Fault Clearance time]]-Table6[[#This Row],[Fault Start TimeStamp]])*24</f>
        <v>0.11666666666666758</v>
      </c>
      <c r="U549" s="35" t="s">
        <v>336</v>
      </c>
      <c r="V549" s="102" t="s">
        <v>293</v>
      </c>
      <c r="W549" s="478">
        <f>IFERROR(Table6[[#This Row],[Breakdown Time]]*Table6[[#This Row],[Plant Equivalent Weightage]],"")</f>
        <v>4.4871794871795207E-3</v>
      </c>
      <c r="X549" s="473" t="s">
        <v>294</v>
      </c>
      <c r="Y549" s="474" t="s">
        <v>309</v>
      </c>
      <c r="Z549" s="102">
        <v>28449</v>
      </c>
      <c r="AA549" s="468">
        <f>(Table6[[#This Row],[Paired WTG Generation for loss calculation]]/24)*Table6[[#This Row],[Breakdown Time]]</f>
        <v>138.2937500000011</v>
      </c>
      <c r="AB549" s="102"/>
      <c r="AC549" s="35"/>
      <c r="AD549" s="35"/>
    </row>
    <row r="550" spans="1:30">
      <c r="A550" s="102">
        <f t="shared" si="9"/>
        <v>549</v>
      </c>
      <c r="B550" s="468">
        <f>YEAR(Table6[[#This Row],[Date]])+IF(MONTH(Table6[[#This Row],[Date]])&gt;=4,1,0)</f>
        <v>2026</v>
      </c>
      <c r="C550" s="102">
        <f>YEAR(Table6[[#This Row],[Date]])</f>
        <v>2025</v>
      </c>
      <c r="D550" s="102" t="s">
        <v>1992</v>
      </c>
      <c r="E550" s="469">
        <f>Table6[[#This Row],[Date]]-DAY(Table6[[#This Row],[Date]])+1</f>
        <v>45778</v>
      </c>
      <c r="F550" s="470">
        <v>45781</v>
      </c>
      <c r="G550" s="35" t="s">
        <v>77</v>
      </c>
      <c r="H550" s="35" t="str">
        <f>IFERROR(_xlfn.XLOOKUP(Table6[[#This Row],[Affected WTG]],'Basic Data'!$A:$A,'Basic Data'!$B:$B),"")</f>
        <v>TQGXIIPL</v>
      </c>
      <c r="I550" s="35" t="str">
        <f>IFERROR(_xlfn.XLOOKUP(Table6[[#This Row],[Affected WTG]],'Basic Data'!$A:$A,'Basic Data'!$C:$C),"")</f>
        <v>GEDA</v>
      </c>
      <c r="J550" s="471">
        <f>IFERROR(_xlfn.XLOOKUP(Table6[[#This Row],[Affected WTG]],'Basic Data'!$A:$A,'Basic Data'!$E:$E),"")</f>
        <v>3.846153846153845E-2</v>
      </c>
      <c r="K550" s="102">
        <v>6130</v>
      </c>
      <c r="L550" s="35" t="str">
        <f>IFERROR(_xlfn.XLOOKUP(Table6[[#This Row],[Error Code]],'Basic Data'!$AA:$AA,'Basic Data'!$AB:$AB),"Incorrect Error Code")</f>
        <v>Yaw speed high</v>
      </c>
      <c r="M550" s="35" t="s">
        <v>292</v>
      </c>
      <c r="N550" s="475"/>
      <c r="O550" s="476">
        <v>0.69027777777777777</v>
      </c>
      <c r="P550" s="476">
        <v>0.69027777777777777</v>
      </c>
      <c r="Q550" s="477">
        <v>0.69444444444444442</v>
      </c>
      <c r="R550" s="472">
        <f>IF(Table6[[#This Row],[Work Start TimeStamp]]="","",(Table6[[#This Row],[Work Start TimeStamp]]-Table6[[#This Row],[Fault Start TimeStamp]])*24)</f>
        <v>0</v>
      </c>
      <c r="S550" s="472">
        <f>(Table6[[#This Row],[Fault Clearance time]]-Table6[[#This Row],[Work Start TimeStamp]])*24</f>
        <v>9.9999999999999645E-2</v>
      </c>
      <c r="T550" s="472">
        <f>(Table6[[#This Row],[Fault Clearance time]]-Table6[[#This Row],[Fault Start TimeStamp]])*24</f>
        <v>9.9999999999999645E-2</v>
      </c>
      <c r="U550" s="35" t="s">
        <v>336</v>
      </c>
      <c r="V550" s="102" t="s">
        <v>293</v>
      </c>
      <c r="W550" s="478">
        <f>IFERROR(Table6[[#This Row],[Breakdown Time]]*Table6[[#This Row],[Plant Equivalent Weightage]],"")</f>
        <v>3.8461538461538312E-3</v>
      </c>
      <c r="X550" s="473" t="s">
        <v>294</v>
      </c>
      <c r="Y550" s="474" t="s">
        <v>310</v>
      </c>
      <c r="Z550" s="102">
        <v>23702</v>
      </c>
      <c r="AA550" s="468">
        <f>(Table6[[#This Row],[Paired WTG Generation for loss calculation]]/24)*Table6[[#This Row],[Breakdown Time]]</f>
        <v>98.758333333332985</v>
      </c>
      <c r="AB550" s="102"/>
      <c r="AC550" s="35"/>
      <c r="AD550" s="35"/>
    </row>
    <row r="551" spans="1:30">
      <c r="A551" s="102">
        <f t="shared" si="9"/>
        <v>550</v>
      </c>
      <c r="B551" s="468">
        <f>YEAR(Table6[[#This Row],[Date]])+IF(MONTH(Table6[[#This Row],[Date]])&gt;=4,1,0)</f>
        <v>2026</v>
      </c>
      <c r="C551" s="102">
        <f>YEAR(Table6[[#This Row],[Date]])</f>
        <v>2025</v>
      </c>
      <c r="D551" s="102" t="s">
        <v>1992</v>
      </c>
      <c r="E551" s="469">
        <f>Table6[[#This Row],[Date]]-DAY(Table6[[#This Row],[Date]])+1</f>
        <v>45778</v>
      </c>
      <c r="F551" s="470">
        <v>45781</v>
      </c>
      <c r="G551" s="35" t="s">
        <v>78</v>
      </c>
      <c r="H551" s="35" t="str">
        <f>IFERROR(_xlfn.XLOOKUP(Table6[[#This Row],[Affected WTG]],'Basic Data'!$A:$A,'Basic Data'!$B:$B),"")</f>
        <v>TQGXIIPL</v>
      </c>
      <c r="I551" s="35" t="str">
        <f>IFERROR(_xlfn.XLOOKUP(Table6[[#This Row],[Affected WTG]],'Basic Data'!$A:$A,'Basic Data'!$C:$C),"")</f>
        <v>GEDA</v>
      </c>
      <c r="J551" s="471">
        <f>IFERROR(_xlfn.XLOOKUP(Table6[[#This Row],[Affected WTG]],'Basic Data'!$A:$A,'Basic Data'!$E:$E),"")</f>
        <v>3.846153846153845E-2</v>
      </c>
      <c r="K551" s="102">
        <v>6605</v>
      </c>
      <c r="L551" s="35" t="str">
        <f>IFERROR(_xlfn.XLOOKUP(Table6[[#This Row],[Error Code]],'Basic Data'!$AA:$AA,'Basic Data'!$AB:$AB),"Incorrect Error Code")</f>
        <v>Wind.dir. diff. level 2</v>
      </c>
      <c r="M551" s="35" t="s">
        <v>292</v>
      </c>
      <c r="N551" s="475"/>
      <c r="O551" s="476">
        <v>0.69722222222222219</v>
      </c>
      <c r="P551" s="476">
        <v>0.69722222222222219</v>
      </c>
      <c r="Q551" s="477">
        <v>0.69861111111111107</v>
      </c>
      <c r="R551" s="472">
        <f>IF(Table6[[#This Row],[Work Start TimeStamp]]="","",(Table6[[#This Row],[Work Start TimeStamp]]-Table6[[#This Row],[Fault Start TimeStamp]])*24)</f>
        <v>0</v>
      </c>
      <c r="S551" s="472">
        <f>(Table6[[#This Row],[Fault Clearance time]]-Table6[[#This Row],[Work Start TimeStamp]])*24</f>
        <v>3.3333333333333215E-2</v>
      </c>
      <c r="T551" s="472">
        <f>(Table6[[#This Row],[Fault Clearance time]]-Table6[[#This Row],[Fault Start TimeStamp]])*24</f>
        <v>3.3333333333333215E-2</v>
      </c>
      <c r="U551" s="35" t="s">
        <v>336</v>
      </c>
      <c r="V551" s="102" t="s">
        <v>293</v>
      </c>
      <c r="W551" s="478">
        <f>IFERROR(Table6[[#This Row],[Breakdown Time]]*Table6[[#This Row],[Plant Equivalent Weightage]],"")</f>
        <v>1.2820512820512771E-3</v>
      </c>
      <c r="X551" s="473" t="s">
        <v>294</v>
      </c>
      <c r="Y551" s="474" t="s">
        <v>333</v>
      </c>
      <c r="Z551" s="102">
        <v>29174</v>
      </c>
      <c r="AA551" s="468">
        <f>(Table6[[#This Row],[Paired WTG Generation for loss calculation]]/24)*Table6[[#This Row],[Breakdown Time]]</f>
        <v>40.519444444444296</v>
      </c>
      <c r="AB551" s="102"/>
      <c r="AC551" s="35"/>
      <c r="AD551" s="35"/>
    </row>
    <row r="552" spans="1:30">
      <c r="A552" s="102">
        <f t="shared" si="9"/>
        <v>551</v>
      </c>
      <c r="B552" s="468">
        <f>YEAR(Table6[[#This Row],[Date]])+IF(MONTH(Table6[[#This Row],[Date]])&gt;=4,1,0)</f>
        <v>2026</v>
      </c>
      <c r="C552" s="102">
        <f>YEAR(Table6[[#This Row],[Date]])</f>
        <v>2025</v>
      </c>
      <c r="D552" s="102" t="s">
        <v>1992</v>
      </c>
      <c r="E552" s="469">
        <f>Table6[[#This Row],[Date]]-DAY(Table6[[#This Row],[Date]])+1</f>
        <v>45778</v>
      </c>
      <c r="F552" s="470">
        <v>45781</v>
      </c>
      <c r="G552" s="35" t="s">
        <v>79</v>
      </c>
      <c r="H552" s="35" t="str">
        <f>IFERROR(_xlfn.XLOOKUP(Table6[[#This Row],[Affected WTG]],'Basic Data'!$A:$A,'Basic Data'!$B:$B),"")</f>
        <v>TQGXIIPL</v>
      </c>
      <c r="I552" s="35" t="str">
        <f>IFERROR(_xlfn.XLOOKUP(Table6[[#This Row],[Affected WTG]],'Basic Data'!$A:$A,'Basic Data'!$C:$C),"")</f>
        <v>GEDA</v>
      </c>
      <c r="J552" s="471">
        <f>IFERROR(_xlfn.XLOOKUP(Table6[[#This Row],[Affected WTG]],'Basic Data'!$A:$A,'Basic Data'!$E:$E),"")</f>
        <v>3.846153846153845E-2</v>
      </c>
      <c r="K552" s="102">
        <v>6605</v>
      </c>
      <c r="L552" s="35" t="str">
        <f>IFERROR(_xlfn.XLOOKUP(Table6[[#This Row],[Error Code]],'Basic Data'!$AA:$AA,'Basic Data'!$AB:$AB),"Incorrect Error Code")</f>
        <v>Wind.dir. diff. level 2</v>
      </c>
      <c r="M552" s="35" t="s">
        <v>292</v>
      </c>
      <c r="N552" s="475"/>
      <c r="O552" s="476">
        <v>0.61527777777777781</v>
      </c>
      <c r="P552" s="476">
        <v>0.61527777777777781</v>
      </c>
      <c r="Q552" s="477">
        <v>0.6166666666666667</v>
      </c>
      <c r="R552" s="472">
        <f>IF(Table6[[#This Row],[Work Start TimeStamp]]="","",(Table6[[#This Row],[Work Start TimeStamp]]-Table6[[#This Row],[Fault Start TimeStamp]])*24)</f>
        <v>0</v>
      </c>
      <c r="S552" s="472">
        <f>(Table6[[#This Row],[Fault Clearance time]]-Table6[[#This Row],[Work Start TimeStamp]])*24</f>
        <v>3.3333333333333215E-2</v>
      </c>
      <c r="T552" s="472">
        <f>(Table6[[#This Row],[Fault Clearance time]]-Table6[[#This Row],[Fault Start TimeStamp]])*24</f>
        <v>3.3333333333333215E-2</v>
      </c>
      <c r="U552" s="35" t="s">
        <v>336</v>
      </c>
      <c r="V552" s="102" t="s">
        <v>293</v>
      </c>
      <c r="W552" s="478">
        <f>IFERROR(Table6[[#This Row],[Breakdown Time]]*Table6[[#This Row],[Plant Equivalent Weightage]],"")</f>
        <v>1.2820512820512771E-3</v>
      </c>
      <c r="X552" s="473" t="s">
        <v>294</v>
      </c>
      <c r="Y552" s="474" t="s">
        <v>325</v>
      </c>
      <c r="Z552" s="102">
        <v>30867</v>
      </c>
      <c r="AA552" s="468">
        <f>(Table6[[#This Row],[Paired WTG Generation for loss calculation]]/24)*Table6[[#This Row],[Breakdown Time]]</f>
        <v>42.870833333333181</v>
      </c>
      <c r="AB552" s="102"/>
      <c r="AC552" s="35"/>
      <c r="AD552" s="35"/>
    </row>
    <row r="553" spans="1:30">
      <c r="A553" s="102">
        <f t="shared" si="9"/>
        <v>552</v>
      </c>
      <c r="B553" s="468">
        <f>YEAR(Table6[[#This Row],[Date]])+IF(MONTH(Table6[[#This Row],[Date]])&gt;=4,1,0)</f>
        <v>2026</v>
      </c>
      <c r="C553" s="102">
        <f>YEAR(Table6[[#This Row],[Date]])</f>
        <v>2025</v>
      </c>
      <c r="D553" s="102" t="s">
        <v>1992</v>
      </c>
      <c r="E553" s="469">
        <f>Table6[[#This Row],[Date]]-DAY(Table6[[#This Row],[Date]])+1</f>
        <v>45778</v>
      </c>
      <c r="F553" s="470">
        <v>45781</v>
      </c>
      <c r="G553" s="35" t="s">
        <v>81</v>
      </c>
      <c r="H553" s="35" t="str">
        <f>IFERROR(_xlfn.XLOOKUP(Table6[[#This Row],[Affected WTG]],'Basic Data'!$A:$A,'Basic Data'!$B:$B),"")</f>
        <v>TQGXIIPL</v>
      </c>
      <c r="I553" s="35" t="str">
        <f>IFERROR(_xlfn.XLOOKUP(Table6[[#This Row],[Affected WTG]],'Basic Data'!$A:$A,'Basic Data'!$C:$C),"")</f>
        <v>GEDA</v>
      </c>
      <c r="J553" s="471">
        <f>IFERROR(_xlfn.XLOOKUP(Table6[[#This Row],[Affected WTG]],'Basic Data'!$A:$A,'Basic Data'!$E:$E),"")</f>
        <v>3.846153846153845E-2</v>
      </c>
      <c r="K553" s="102">
        <v>6130</v>
      </c>
      <c r="L553" s="35" t="str">
        <f>IFERROR(_xlfn.XLOOKUP(Table6[[#This Row],[Error Code]],'Basic Data'!$AA:$AA,'Basic Data'!$AB:$AB),"Incorrect Error Code")</f>
        <v>Yaw speed high</v>
      </c>
      <c r="M553" s="35" t="s">
        <v>292</v>
      </c>
      <c r="N553" s="475"/>
      <c r="O553" s="476">
        <v>1.1111111111111112E-2</v>
      </c>
      <c r="P553" s="476">
        <v>1.1111111111111112E-2</v>
      </c>
      <c r="Q553" s="477">
        <v>1.3194444444444444E-2</v>
      </c>
      <c r="R553" s="472">
        <f>IF(Table6[[#This Row],[Work Start TimeStamp]]="","",(Table6[[#This Row],[Work Start TimeStamp]]-Table6[[#This Row],[Fault Start TimeStamp]])*24)</f>
        <v>0</v>
      </c>
      <c r="S553" s="472">
        <f>(Table6[[#This Row],[Fault Clearance time]]-Table6[[#This Row],[Work Start TimeStamp]])*24</f>
        <v>4.9999999999999989E-2</v>
      </c>
      <c r="T553" s="472">
        <f>(Table6[[#This Row],[Fault Clearance time]]-Table6[[#This Row],[Fault Start TimeStamp]])*24</f>
        <v>4.9999999999999989E-2</v>
      </c>
      <c r="U553" s="35" t="s">
        <v>336</v>
      </c>
      <c r="V553" s="102" t="s">
        <v>293</v>
      </c>
      <c r="W553" s="478">
        <f>IFERROR(Table6[[#This Row],[Breakdown Time]]*Table6[[#This Row],[Plant Equivalent Weightage]],"")</f>
        <v>1.9230769230769221E-3</v>
      </c>
      <c r="X553" s="473" t="s">
        <v>294</v>
      </c>
      <c r="Y553" s="474" t="s">
        <v>321</v>
      </c>
      <c r="Z553" s="102">
        <v>30825</v>
      </c>
      <c r="AA553" s="468">
        <f>(Table6[[#This Row],[Paired WTG Generation for loss calculation]]/24)*Table6[[#This Row],[Breakdown Time]]</f>
        <v>64.218749999999986</v>
      </c>
      <c r="AB553" s="102"/>
      <c r="AC553" s="35"/>
      <c r="AD553" s="35"/>
    </row>
    <row r="554" spans="1:30">
      <c r="A554" s="102">
        <f t="shared" si="9"/>
        <v>553</v>
      </c>
      <c r="B554" s="468">
        <f>YEAR(Table6[[#This Row],[Date]])+IF(MONTH(Table6[[#This Row],[Date]])&gt;=4,1,0)</f>
        <v>2026</v>
      </c>
      <c r="C554" s="102">
        <f>YEAR(Table6[[#This Row],[Date]])</f>
        <v>2025</v>
      </c>
      <c r="D554" s="102" t="s">
        <v>1992</v>
      </c>
      <c r="E554" s="469">
        <f>Table6[[#This Row],[Date]]-DAY(Table6[[#This Row],[Date]])+1</f>
        <v>45778</v>
      </c>
      <c r="F554" s="470">
        <v>45781</v>
      </c>
      <c r="G554" s="35" t="s">
        <v>81</v>
      </c>
      <c r="H554" s="35" t="str">
        <f>IFERROR(_xlfn.XLOOKUP(Table6[[#This Row],[Affected WTG]],'Basic Data'!$A:$A,'Basic Data'!$B:$B),"")</f>
        <v>TQGXIIPL</v>
      </c>
      <c r="I554" s="35" t="str">
        <f>IFERROR(_xlfn.XLOOKUP(Table6[[#This Row],[Affected WTG]],'Basic Data'!$A:$A,'Basic Data'!$C:$C),"")</f>
        <v>GEDA</v>
      </c>
      <c r="J554" s="471">
        <f>IFERROR(_xlfn.XLOOKUP(Table6[[#This Row],[Affected WTG]],'Basic Data'!$A:$A,'Basic Data'!$E:$E),"")</f>
        <v>3.846153846153845E-2</v>
      </c>
      <c r="K554" s="102">
        <v>55</v>
      </c>
      <c r="L554" s="35" t="str">
        <f>IFERROR(_xlfn.XLOOKUP(Table6[[#This Row],[Error Code]],'Basic Data'!$AA:$AA,'Basic Data'!$AB:$AB),"Incorrect Error Code")</f>
        <v>WTG shut down</v>
      </c>
      <c r="M554" s="35" t="s">
        <v>330</v>
      </c>
      <c r="N554" s="475"/>
      <c r="O554" s="476">
        <v>0.7270833333333333</v>
      </c>
      <c r="P554" s="476">
        <v>0.7270833333333333</v>
      </c>
      <c r="Q554" s="477">
        <v>0.85416666666666663</v>
      </c>
      <c r="R554" s="472">
        <f>IF(Table6[[#This Row],[Work Start TimeStamp]]="","",(Table6[[#This Row],[Work Start TimeStamp]]-Table6[[#This Row],[Fault Start TimeStamp]])*24)</f>
        <v>0</v>
      </c>
      <c r="S554" s="472">
        <f>(Table6[[#This Row],[Fault Clearance time]]-Table6[[#This Row],[Work Start TimeStamp]])*24</f>
        <v>3.05</v>
      </c>
      <c r="T554" s="472">
        <f>(Table6[[#This Row],[Fault Clearance time]]-Table6[[#This Row],[Fault Start TimeStamp]])*24</f>
        <v>3.05</v>
      </c>
      <c r="U554" s="35" t="s">
        <v>1744</v>
      </c>
      <c r="V554" s="102" t="s">
        <v>293</v>
      </c>
      <c r="W554" s="478">
        <f>IFERROR(Table6[[#This Row],[Breakdown Time]]*Table6[[#This Row],[Plant Equivalent Weightage]],"")</f>
        <v>0.11730769230769227</v>
      </c>
      <c r="X554" s="473" t="s">
        <v>290</v>
      </c>
      <c r="Y554" s="474" t="s">
        <v>321</v>
      </c>
      <c r="Z554" s="102">
        <v>30825</v>
      </c>
      <c r="AA554" s="468">
        <f>(Table6[[#This Row],[Paired WTG Generation for loss calculation]]/24)*Table6[[#This Row],[Breakdown Time]]</f>
        <v>3917.3437499999995</v>
      </c>
      <c r="AB554" s="102"/>
      <c r="AC554" s="35"/>
      <c r="AD554" s="35"/>
    </row>
    <row r="555" spans="1:30">
      <c r="A555" s="102">
        <f t="shared" si="9"/>
        <v>554</v>
      </c>
      <c r="B555" s="468">
        <f>YEAR(Table6[[#This Row],[Date]])+IF(MONTH(Table6[[#This Row],[Date]])&gt;=4,1,0)</f>
        <v>2026</v>
      </c>
      <c r="C555" s="102">
        <f>YEAR(Table6[[#This Row],[Date]])</f>
        <v>2025</v>
      </c>
      <c r="D555" s="102" t="s">
        <v>1992</v>
      </c>
      <c r="E555" s="469">
        <f>Table6[[#This Row],[Date]]-DAY(Table6[[#This Row],[Date]])+1</f>
        <v>45778</v>
      </c>
      <c r="F555" s="470">
        <v>45781</v>
      </c>
      <c r="G555" s="35" t="s">
        <v>83</v>
      </c>
      <c r="H555" s="35" t="str">
        <f>IFERROR(_xlfn.XLOOKUP(Table6[[#This Row],[Affected WTG]],'Basic Data'!$A:$A,'Basic Data'!$B:$B),"")</f>
        <v>TQGXIIPL</v>
      </c>
      <c r="I555" s="35" t="str">
        <f>IFERROR(_xlfn.XLOOKUP(Table6[[#This Row],[Affected WTG]],'Basic Data'!$A:$A,'Basic Data'!$C:$C),"")</f>
        <v>GEDA</v>
      </c>
      <c r="J555" s="471">
        <f>IFERROR(_xlfn.XLOOKUP(Table6[[#This Row],[Affected WTG]],'Basic Data'!$A:$A,'Basic Data'!$E:$E),"")</f>
        <v>3.846153846153845E-2</v>
      </c>
      <c r="K555" s="102">
        <v>6130</v>
      </c>
      <c r="L555" s="35" t="str">
        <f>IFERROR(_xlfn.XLOOKUP(Table6[[#This Row],[Error Code]],'Basic Data'!$AA:$AA,'Basic Data'!$AB:$AB),"Incorrect Error Code")</f>
        <v>Yaw speed high</v>
      </c>
      <c r="M555" s="35" t="s">
        <v>292</v>
      </c>
      <c r="N555" s="475"/>
      <c r="O555" s="476">
        <v>0.71180555555555558</v>
      </c>
      <c r="P555" s="476">
        <v>0.71180555555555558</v>
      </c>
      <c r="Q555" s="477">
        <v>0.71597222222222223</v>
      </c>
      <c r="R555" s="472">
        <f>IF(Table6[[#This Row],[Work Start TimeStamp]]="","",(Table6[[#This Row],[Work Start TimeStamp]]-Table6[[#This Row],[Fault Start TimeStamp]])*24)</f>
        <v>0</v>
      </c>
      <c r="S555" s="472">
        <f>(Table6[[#This Row],[Fault Clearance time]]-Table6[[#This Row],[Work Start TimeStamp]])*24</f>
        <v>9.9999999999999645E-2</v>
      </c>
      <c r="T555" s="472">
        <f>(Table6[[#This Row],[Fault Clearance time]]-Table6[[#This Row],[Fault Start TimeStamp]])*24</f>
        <v>9.9999999999999645E-2</v>
      </c>
      <c r="U555" s="35" t="s">
        <v>336</v>
      </c>
      <c r="V555" s="102" t="s">
        <v>293</v>
      </c>
      <c r="W555" s="478">
        <f>IFERROR(Table6[[#This Row],[Breakdown Time]]*Table6[[#This Row],[Plant Equivalent Weightage]],"")</f>
        <v>3.8461538461538312E-3</v>
      </c>
      <c r="X555" s="473" t="s">
        <v>294</v>
      </c>
      <c r="Y555" s="474" t="s">
        <v>312</v>
      </c>
      <c r="Z555" s="102">
        <v>27808</v>
      </c>
      <c r="AA555" s="468">
        <f>(Table6[[#This Row],[Paired WTG Generation for loss calculation]]/24)*Table6[[#This Row],[Breakdown Time]]</f>
        <v>115.86666666666626</v>
      </c>
      <c r="AB555" s="102"/>
      <c r="AC555" s="35"/>
      <c r="AD555" s="35"/>
    </row>
    <row r="556" spans="1:30">
      <c r="A556" s="102">
        <f t="shared" si="9"/>
        <v>555</v>
      </c>
      <c r="B556" s="468">
        <f>YEAR(Table6[[#This Row],[Date]])+IF(MONTH(Table6[[#This Row],[Date]])&gt;=4,1,0)</f>
        <v>2026</v>
      </c>
      <c r="C556" s="102">
        <f>YEAR(Table6[[#This Row],[Date]])</f>
        <v>2025</v>
      </c>
      <c r="D556" s="102" t="s">
        <v>1992</v>
      </c>
      <c r="E556" s="469">
        <f>Table6[[#This Row],[Date]]-DAY(Table6[[#This Row],[Date]])+1</f>
        <v>45778</v>
      </c>
      <c r="F556" s="470">
        <v>45781</v>
      </c>
      <c r="G556" s="35" t="s">
        <v>84</v>
      </c>
      <c r="H556" s="35" t="str">
        <f>IFERROR(_xlfn.XLOOKUP(Table6[[#This Row],[Affected WTG]],'Basic Data'!$A:$A,'Basic Data'!$B:$B),"")</f>
        <v>TQGXIIPL</v>
      </c>
      <c r="I556" s="35" t="str">
        <f>IFERROR(_xlfn.XLOOKUP(Table6[[#This Row],[Affected WTG]],'Basic Data'!$A:$A,'Basic Data'!$C:$C),"")</f>
        <v>GEDA</v>
      </c>
      <c r="J556" s="471">
        <f>IFERROR(_xlfn.XLOOKUP(Table6[[#This Row],[Affected WTG]],'Basic Data'!$A:$A,'Basic Data'!$E:$E),"")</f>
        <v>3.846153846153845E-2</v>
      </c>
      <c r="K556" s="102">
        <v>6130</v>
      </c>
      <c r="L556" s="35" t="str">
        <f>IFERROR(_xlfn.XLOOKUP(Table6[[#This Row],[Error Code]],'Basic Data'!$AA:$AA,'Basic Data'!$AB:$AB),"Incorrect Error Code")</f>
        <v>Yaw speed high</v>
      </c>
      <c r="M556" s="35" t="s">
        <v>292</v>
      </c>
      <c r="N556" s="475"/>
      <c r="O556" s="476">
        <v>0.55000000000000004</v>
      </c>
      <c r="P556" s="476">
        <v>0.55000000000000004</v>
      </c>
      <c r="Q556" s="477">
        <v>0.55138888888888893</v>
      </c>
      <c r="R556" s="472">
        <f>IF(Table6[[#This Row],[Work Start TimeStamp]]="","",(Table6[[#This Row],[Work Start TimeStamp]]-Table6[[#This Row],[Fault Start TimeStamp]])*24)</f>
        <v>0</v>
      </c>
      <c r="S556" s="472">
        <f>(Table6[[#This Row],[Fault Clearance time]]-Table6[[#This Row],[Work Start TimeStamp]])*24</f>
        <v>3.3333333333333215E-2</v>
      </c>
      <c r="T556" s="472">
        <f>(Table6[[#This Row],[Fault Clearance time]]-Table6[[#This Row],[Fault Start TimeStamp]])*24</f>
        <v>3.3333333333333215E-2</v>
      </c>
      <c r="U556" s="35" t="s">
        <v>336</v>
      </c>
      <c r="V556" s="102" t="s">
        <v>293</v>
      </c>
      <c r="W556" s="478">
        <f>IFERROR(Table6[[#This Row],[Breakdown Time]]*Table6[[#This Row],[Plant Equivalent Weightage]],"")</f>
        <v>1.2820512820512771E-3</v>
      </c>
      <c r="X556" s="473" t="s">
        <v>294</v>
      </c>
      <c r="Y556" s="474" t="s">
        <v>327</v>
      </c>
      <c r="Z556" s="102">
        <v>29548</v>
      </c>
      <c r="AA556" s="468">
        <f>(Table6[[#This Row],[Paired WTG Generation for loss calculation]]/24)*Table6[[#This Row],[Breakdown Time]]</f>
        <v>41.038888888888742</v>
      </c>
      <c r="AB556" s="102"/>
      <c r="AC556" s="35"/>
      <c r="AD556" s="35"/>
    </row>
    <row r="557" spans="1:30">
      <c r="A557" s="102">
        <f t="shared" si="9"/>
        <v>556</v>
      </c>
      <c r="B557" s="468">
        <f>YEAR(Table6[[#This Row],[Date]])+IF(MONTH(Table6[[#This Row],[Date]])&gt;=4,1,0)</f>
        <v>2026</v>
      </c>
      <c r="C557" s="102">
        <f>YEAR(Table6[[#This Row],[Date]])</f>
        <v>2025</v>
      </c>
      <c r="D557" s="102" t="s">
        <v>1992</v>
      </c>
      <c r="E557" s="469">
        <f>Table6[[#This Row],[Date]]-DAY(Table6[[#This Row],[Date]])+1</f>
        <v>45778</v>
      </c>
      <c r="F557" s="470">
        <v>45781</v>
      </c>
      <c r="G557" s="35" t="s">
        <v>84</v>
      </c>
      <c r="H557" s="35" t="str">
        <f>IFERROR(_xlfn.XLOOKUP(Table6[[#This Row],[Affected WTG]],'Basic Data'!$A:$A,'Basic Data'!$B:$B),"")</f>
        <v>TQGXIIPL</v>
      </c>
      <c r="I557" s="35" t="str">
        <f>IFERROR(_xlfn.XLOOKUP(Table6[[#This Row],[Affected WTG]],'Basic Data'!$A:$A,'Basic Data'!$C:$C),"")</f>
        <v>GEDA</v>
      </c>
      <c r="J557" s="471">
        <f>IFERROR(_xlfn.XLOOKUP(Table6[[#This Row],[Affected WTG]],'Basic Data'!$A:$A,'Basic Data'!$E:$E),"")</f>
        <v>3.846153846153845E-2</v>
      </c>
      <c r="K557" s="102">
        <v>6130</v>
      </c>
      <c r="L557" s="35" t="str">
        <f>IFERROR(_xlfn.XLOOKUP(Table6[[#This Row],[Error Code]],'Basic Data'!$AA:$AA,'Basic Data'!$AB:$AB),"Incorrect Error Code")</f>
        <v>Yaw speed high</v>
      </c>
      <c r="M557" s="35" t="s">
        <v>292</v>
      </c>
      <c r="N557" s="475"/>
      <c r="O557" s="476">
        <v>0.7368055555555556</v>
      </c>
      <c r="P557" s="476">
        <v>0.7368055555555556</v>
      </c>
      <c r="Q557" s="477">
        <v>0.74097222222222225</v>
      </c>
      <c r="R557" s="472">
        <f>IF(Table6[[#This Row],[Work Start TimeStamp]]="","",(Table6[[#This Row],[Work Start TimeStamp]]-Table6[[#This Row],[Fault Start TimeStamp]])*24)</f>
        <v>0</v>
      </c>
      <c r="S557" s="472">
        <f>(Table6[[#This Row],[Fault Clearance time]]-Table6[[#This Row],[Work Start TimeStamp]])*24</f>
        <v>9.9999999999999645E-2</v>
      </c>
      <c r="T557" s="472">
        <f>(Table6[[#This Row],[Fault Clearance time]]-Table6[[#This Row],[Fault Start TimeStamp]])*24</f>
        <v>9.9999999999999645E-2</v>
      </c>
      <c r="U557" s="35" t="s">
        <v>336</v>
      </c>
      <c r="V557" s="102" t="s">
        <v>293</v>
      </c>
      <c r="W557" s="478">
        <f>IFERROR(Table6[[#This Row],[Breakdown Time]]*Table6[[#This Row],[Plant Equivalent Weightage]],"")</f>
        <v>3.8461538461538312E-3</v>
      </c>
      <c r="X557" s="473" t="s">
        <v>294</v>
      </c>
      <c r="Y557" s="474" t="s">
        <v>327</v>
      </c>
      <c r="Z557" s="102">
        <v>29548</v>
      </c>
      <c r="AA557" s="468">
        <f>(Table6[[#This Row],[Paired WTG Generation for loss calculation]]/24)*Table6[[#This Row],[Breakdown Time]]</f>
        <v>123.11666666666623</v>
      </c>
      <c r="AB557" s="102"/>
      <c r="AC557" s="35"/>
      <c r="AD557" s="35"/>
    </row>
    <row r="558" spans="1:30">
      <c r="A558" s="102">
        <f t="shared" si="9"/>
        <v>557</v>
      </c>
      <c r="B558" s="468">
        <f>YEAR(Table6[[#This Row],[Date]])+IF(MONTH(Table6[[#This Row],[Date]])&gt;=4,1,0)</f>
        <v>2026</v>
      </c>
      <c r="C558" s="102">
        <f>YEAR(Table6[[#This Row],[Date]])</f>
        <v>2025</v>
      </c>
      <c r="D558" s="102" t="s">
        <v>1992</v>
      </c>
      <c r="E558" s="469">
        <f>Table6[[#This Row],[Date]]-DAY(Table6[[#This Row],[Date]])+1</f>
        <v>45778</v>
      </c>
      <c r="F558" s="470">
        <v>45781</v>
      </c>
      <c r="G558" s="35" t="s">
        <v>89</v>
      </c>
      <c r="H558" s="35" t="str">
        <f>IFERROR(_xlfn.XLOOKUP(Table6[[#This Row],[Affected WTG]],'Basic Data'!$A:$A,'Basic Data'!$B:$B),"")</f>
        <v>TQGXIIPL</v>
      </c>
      <c r="I558" s="35" t="str">
        <f>IFERROR(_xlfn.XLOOKUP(Table6[[#This Row],[Affected WTG]],'Basic Data'!$A:$A,'Basic Data'!$C:$C),"")</f>
        <v>GEDA</v>
      </c>
      <c r="J558" s="471">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291</v>
      </c>
      <c r="N558" s="475"/>
      <c r="O558" s="476">
        <v>0.2361111111111111</v>
      </c>
      <c r="P558" s="476">
        <v>0.28194444444444444</v>
      </c>
      <c r="Q558" s="477">
        <v>0.39930555555555558</v>
      </c>
      <c r="R558" s="472">
        <f>IF(Table6[[#This Row],[Work Start TimeStamp]]="","",(Table6[[#This Row],[Work Start TimeStamp]]-Table6[[#This Row],[Fault Start TimeStamp]])*24)</f>
        <v>1.1000000000000001</v>
      </c>
      <c r="S558" s="472">
        <f>(Table6[[#This Row],[Fault Clearance time]]-Table6[[#This Row],[Work Start TimeStamp]])*24</f>
        <v>2.8166666666666673</v>
      </c>
      <c r="T558" s="472">
        <f>(Table6[[#This Row],[Fault Clearance time]]-Table6[[#This Row],[Fault Start TimeStamp]])*24</f>
        <v>3.9166666666666674</v>
      </c>
      <c r="U558" s="35" t="s">
        <v>1751</v>
      </c>
      <c r="V558" s="102" t="s">
        <v>293</v>
      </c>
      <c r="W558" s="478">
        <f>IFERROR(Table6[[#This Row],[Breakdown Time]]*Table6[[#This Row],[Plant Equivalent Weightage]],"")</f>
        <v>0.15064102564102563</v>
      </c>
      <c r="X558" s="473" t="s">
        <v>290</v>
      </c>
      <c r="Y558" s="474" t="s">
        <v>325</v>
      </c>
      <c r="Z558" s="102">
        <v>30867</v>
      </c>
      <c r="AA558" s="468">
        <f>(Table6[[#This Row],[Paired WTG Generation for loss calculation]]/24)*Table6[[#This Row],[Breakdown Time]]</f>
        <v>5037.3229166666679</v>
      </c>
      <c r="AB558" s="102"/>
      <c r="AC558" s="35"/>
      <c r="AD558" s="35"/>
    </row>
    <row r="559" spans="1:30">
      <c r="A559" s="102">
        <f t="shared" si="9"/>
        <v>558</v>
      </c>
      <c r="B559" s="468">
        <f>YEAR(Table6[[#This Row],[Date]])+IF(MONTH(Table6[[#This Row],[Date]])&gt;=4,1,0)</f>
        <v>2026</v>
      </c>
      <c r="C559" s="102">
        <f>YEAR(Table6[[#This Row],[Date]])</f>
        <v>2025</v>
      </c>
      <c r="D559" s="102" t="s">
        <v>1992</v>
      </c>
      <c r="E559" s="469">
        <f>Table6[[#This Row],[Date]]-DAY(Table6[[#This Row],[Date]])+1</f>
        <v>45778</v>
      </c>
      <c r="F559" s="470">
        <v>45781</v>
      </c>
      <c r="G559" s="35" t="s">
        <v>89</v>
      </c>
      <c r="H559" s="35" t="str">
        <f>IFERROR(_xlfn.XLOOKUP(Table6[[#This Row],[Affected WTG]],'Basic Data'!$A:$A,'Basic Data'!$B:$B),"")</f>
        <v>TQGXIIPL</v>
      </c>
      <c r="I559" s="35" t="str">
        <f>IFERROR(_xlfn.XLOOKUP(Table6[[#This Row],[Affected WTG]],'Basic Data'!$A:$A,'Basic Data'!$C:$C),"")</f>
        <v>GEDA</v>
      </c>
      <c r="J559" s="471">
        <f>IFERROR(_xlfn.XLOOKUP(Table6[[#This Row],[Affected WTG]],'Basic Data'!$A:$A,'Basic Data'!$E:$E),"")</f>
        <v>3.846153846153845E-2</v>
      </c>
      <c r="K559" s="102">
        <v>665</v>
      </c>
      <c r="L559" s="35" t="str">
        <f>IFERROR(_xlfn.XLOOKUP(Table6[[#This Row],[Error Code]],'Basic Data'!$AA:$AA,'Basic Data'!$AB:$AB),"Incorrect Error Code")</f>
        <v>Pitch error</v>
      </c>
      <c r="M559" s="35" t="s">
        <v>291</v>
      </c>
      <c r="N559" s="475"/>
      <c r="O559" s="476">
        <v>0.42152777777777778</v>
      </c>
      <c r="P559" s="476">
        <v>0.42152777777777778</v>
      </c>
      <c r="Q559" s="477">
        <v>0.43055555555555558</v>
      </c>
      <c r="R559" s="472">
        <f>IF(Table6[[#This Row],[Work Start TimeStamp]]="","",(Table6[[#This Row],[Work Start TimeStamp]]-Table6[[#This Row],[Fault Start TimeStamp]])*24)</f>
        <v>0</v>
      </c>
      <c r="S559" s="472">
        <f>(Table6[[#This Row],[Fault Clearance time]]-Table6[[#This Row],[Work Start TimeStamp]])*24</f>
        <v>0.21666666666666723</v>
      </c>
      <c r="T559" s="472">
        <f>(Table6[[#This Row],[Fault Clearance time]]-Table6[[#This Row],[Fault Start TimeStamp]])*24</f>
        <v>0.21666666666666723</v>
      </c>
      <c r="U559" s="35" t="s">
        <v>349</v>
      </c>
      <c r="V559" s="102" t="s">
        <v>293</v>
      </c>
      <c r="W559" s="478">
        <f>IFERROR(Table6[[#This Row],[Breakdown Time]]*Table6[[#This Row],[Plant Equivalent Weightage]],"")</f>
        <v>8.3333333333333523E-3</v>
      </c>
      <c r="X559" s="473" t="s">
        <v>294</v>
      </c>
      <c r="Y559" s="474" t="s">
        <v>325</v>
      </c>
      <c r="Z559" s="102">
        <v>30867</v>
      </c>
      <c r="AA559" s="468">
        <f>(Table6[[#This Row],[Paired WTG Generation for loss calculation]]/24)*Table6[[#This Row],[Breakdown Time]]</f>
        <v>278.6604166666674</v>
      </c>
      <c r="AB559" s="102"/>
      <c r="AC559" s="35"/>
      <c r="AD559" s="35"/>
    </row>
    <row r="560" spans="1:30">
      <c r="A560" s="102">
        <f t="shared" si="9"/>
        <v>559</v>
      </c>
      <c r="B560" s="468">
        <f>YEAR(Table6[[#This Row],[Date]])+IF(MONTH(Table6[[#This Row],[Date]])&gt;=4,1,0)</f>
        <v>2026</v>
      </c>
      <c r="C560" s="102">
        <f>YEAR(Table6[[#This Row],[Date]])</f>
        <v>2025</v>
      </c>
      <c r="D560" s="102" t="s">
        <v>1992</v>
      </c>
      <c r="E560" s="469">
        <f>Table6[[#This Row],[Date]]-DAY(Table6[[#This Row],[Date]])+1</f>
        <v>45778</v>
      </c>
      <c r="F560" s="470">
        <v>45781</v>
      </c>
      <c r="G560" s="35" t="s">
        <v>90</v>
      </c>
      <c r="H560" s="35" t="str">
        <f>IFERROR(_xlfn.XLOOKUP(Table6[[#This Row],[Affected WTG]],'Basic Data'!$A:$A,'Basic Data'!$B:$B),"")</f>
        <v>TQGXIIPL</v>
      </c>
      <c r="I560" s="35" t="str">
        <f>IFERROR(_xlfn.XLOOKUP(Table6[[#This Row],[Affected WTG]],'Basic Data'!$A:$A,'Basic Data'!$C:$C),"")</f>
        <v>GEDA</v>
      </c>
      <c r="J560" s="471">
        <f>IFERROR(_xlfn.XLOOKUP(Table6[[#This Row],[Affected WTG]],'Basic Data'!$A:$A,'Basic Data'!$E:$E),"")</f>
        <v>3.846153846153845E-2</v>
      </c>
      <c r="K560" s="102">
        <v>3110</v>
      </c>
      <c r="L560" s="35" t="str">
        <f>IFERROR(_xlfn.XLOOKUP(Table6[[#This Row],[Error Code]],'Basic Data'!$AA:$AA,'Basic Data'!$AB:$AB),"Incorrect Error Code")</f>
        <v>Frequency converter error</v>
      </c>
      <c r="M560" s="35" t="s">
        <v>291</v>
      </c>
      <c r="N560" s="475"/>
      <c r="O560" s="476">
        <v>0.72152777777777777</v>
      </c>
      <c r="P560" s="476">
        <v>0.72152777777777777</v>
      </c>
      <c r="Q560" s="477">
        <v>0.73541666666666672</v>
      </c>
      <c r="R560" s="472">
        <f>IF(Table6[[#This Row],[Work Start TimeStamp]]="","",(Table6[[#This Row],[Work Start TimeStamp]]-Table6[[#This Row],[Fault Start TimeStamp]])*24)</f>
        <v>0</v>
      </c>
      <c r="S560" s="472">
        <f>(Table6[[#This Row],[Fault Clearance time]]-Table6[[#This Row],[Work Start TimeStamp]])*24</f>
        <v>0.33333333333333481</v>
      </c>
      <c r="T560" s="472">
        <f>(Table6[[#This Row],[Fault Clearance time]]-Table6[[#This Row],[Fault Start TimeStamp]])*24</f>
        <v>0.33333333333333481</v>
      </c>
      <c r="U560" s="35" t="s">
        <v>382</v>
      </c>
      <c r="V560" s="102" t="s">
        <v>293</v>
      </c>
      <c r="W560" s="478">
        <f>IFERROR(Table6[[#This Row],[Breakdown Time]]*Table6[[#This Row],[Plant Equivalent Weightage]],"")</f>
        <v>1.2820512820512874E-2</v>
      </c>
      <c r="X560" s="473" t="s">
        <v>294</v>
      </c>
      <c r="Y560" s="474" t="s">
        <v>339</v>
      </c>
      <c r="Z560" s="102">
        <v>28077</v>
      </c>
      <c r="AA560" s="468">
        <f>(Table6[[#This Row],[Paired WTG Generation for loss calculation]]/24)*Table6[[#This Row],[Breakdown Time]]</f>
        <v>389.95833333333508</v>
      </c>
      <c r="AB560" s="102"/>
      <c r="AC560" s="35"/>
      <c r="AD560" s="35"/>
    </row>
    <row r="561" spans="1:30">
      <c r="A561" s="102">
        <f t="shared" si="9"/>
        <v>560</v>
      </c>
      <c r="B561" s="468">
        <f>YEAR(Table6[[#This Row],[Date]])+IF(MONTH(Table6[[#This Row],[Date]])&gt;=4,1,0)</f>
        <v>2026</v>
      </c>
      <c r="C561" s="102">
        <f>YEAR(Table6[[#This Row],[Date]])</f>
        <v>2025</v>
      </c>
      <c r="D561" s="102" t="s">
        <v>1992</v>
      </c>
      <c r="E561" s="469">
        <f>Table6[[#This Row],[Date]]-DAY(Table6[[#This Row],[Date]])+1</f>
        <v>45778</v>
      </c>
      <c r="F561" s="470">
        <v>45781</v>
      </c>
      <c r="G561" s="35" t="s">
        <v>95</v>
      </c>
      <c r="H561" s="35" t="str">
        <f>IFERROR(_xlfn.XLOOKUP(Table6[[#This Row],[Affected WTG]],'Basic Data'!$A:$A,'Basic Data'!$B:$B),"")</f>
        <v>TQGXIIPL</v>
      </c>
      <c r="I561" s="35" t="str">
        <f>IFERROR(_xlfn.XLOOKUP(Table6[[#This Row],[Affected WTG]],'Basic Data'!$A:$A,'Basic Data'!$C:$C),"")</f>
        <v>GEDA</v>
      </c>
      <c r="J561" s="471">
        <f>IFERROR(_xlfn.XLOOKUP(Table6[[#This Row],[Affected WTG]],'Basic Data'!$A:$A,'Basic Data'!$E:$E),"")</f>
        <v>3.846153846153845E-2</v>
      </c>
      <c r="K561" s="102">
        <v>6130</v>
      </c>
      <c r="L561" s="35" t="str">
        <f>IFERROR(_xlfn.XLOOKUP(Table6[[#This Row],[Error Code]],'Basic Data'!$AA:$AA,'Basic Data'!$AB:$AB),"Incorrect Error Code")</f>
        <v>Yaw speed high</v>
      </c>
      <c r="M561" s="35" t="s">
        <v>292</v>
      </c>
      <c r="N561" s="475"/>
      <c r="O561" s="476">
        <v>0.63263888888888886</v>
      </c>
      <c r="P561" s="476">
        <v>0.63263888888888886</v>
      </c>
      <c r="Q561" s="477">
        <v>0.63680555555555551</v>
      </c>
      <c r="R561" s="472">
        <f>IF(Table6[[#This Row],[Work Start TimeStamp]]="","",(Table6[[#This Row],[Work Start TimeStamp]]-Table6[[#This Row],[Fault Start TimeStamp]])*24)</f>
        <v>0</v>
      </c>
      <c r="S561" s="472">
        <f>(Table6[[#This Row],[Fault Clearance time]]-Table6[[#This Row],[Work Start TimeStamp]])*24</f>
        <v>9.9999999999999645E-2</v>
      </c>
      <c r="T561" s="472">
        <f>(Table6[[#This Row],[Fault Clearance time]]-Table6[[#This Row],[Fault Start TimeStamp]])*24</f>
        <v>9.9999999999999645E-2</v>
      </c>
      <c r="U561" s="35" t="s">
        <v>336</v>
      </c>
      <c r="V561" s="102" t="s">
        <v>293</v>
      </c>
      <c r="W561" s="478">
        <f>IFERROR(Table6[[#This Row],[Breakdown Time]]*Table6[[#This Row],[Plant Equivalent Weightage]],"")</f>
        <v>3.8461538461538312E-3</v>
      </c>
      <c r="X561" s="473" t="s">
        <v>294</v>
      </c>
      <c r="Y561" s="474" t="s">
        <v>319</v>
      </c>
      <c r="Z561" s="102">
        <v>28832</v>
      </c>
      <c r="AA561" s="468">
        <f>(Table6[[#This Row],[Paired WTG Generation for loss calculation]]/24)*Table6[[#This Row],[Breakdown Time]]</f>
        <v>120.1333333333329</v>
      </c>
      <c r="AB561" s="102"/>
      <c r="AC561" s="35"/>
      <c r="AD561" s="35"/>
    </row>
    <row r="562" spans="1:30">
      <c r="A562" s="102">
        <f t="shared" si="9"/>
        <v>561</v>
      </c>
      <c r="B562" s="468">
        <f>YEAR(Table6[[#This Row],[Date]])+IF(MONTH(Table6[[#This Row],[Date]])&gt;=4,1,0)</f>
        <v>2026</v>
      </c>
      <c r="C562" s="102">
        <f>YEAR(Table6[[#This Row],[Date]])</f>
        <v>2025</v>
      </c>
      <c r="D562" s="102" t="s">
        <v>1992</v>
      </c>
      <c r="E562" s="469">
        <f>Table6[[#This Row],[Date]]-DAY(Table6[[#This Row],[Date]])+1</f>
        <v>45778</v>
      </c>
      <c r="F562" s="470">
        <v>45781</v>
      </c>
      <c r="G562" s="35" t="s">
        <v>96</v>
      </c>
      <c r="H562" s="35" t="str">
        <f>IFERROR(_xlfn.XLOOKUP(Table6[[#This Row],[Affected WTG]],'Basic Data'!$A:$A,'Basic Data'!$B:$B),"")</f>
        <v>TQGXIIPL</v>
      </c>
      <c r="I562" s="35" t="str">
        <f>IFERROR(_xlfn.XLOOKUP(Table6[[#This Row],[Affected WTG]],'Basic Data'!$A:$A,'Basic Data'!$C:$C),"")</f>
        <v>GEDA</v>
      </c>
      <c r="J562" s="471">
        <f>IFERROR(_xlfn.XLOOKUP(Table6[[#This Row],[Affected WTG]],'Basic Data'!$A:$A,'Basic Data'!$E:$E),"")</f>
        <v>3.846153846153845E-2</v>
      </c>
      <c r="K562" s="102">
        <v>6130</v>
      </c>
      <c r="L562" s="35" t="str">
        <f>IFERROR(_xlfn.XLOOKUP(Table6[[#This Row],[Error Code]],'Basic Data'!$AA:$AA,'Basic Data'!$AB:$AB),"Incorrect Error Code")</f>
        <v>Yaw speed high</v>
      </c>
      <c r="M562" s="35" t="s">
        <v>292</v>
      </c>
      <c r="N562" s="475"/>
      <c r="O562" s="476">
        <v>0.70625000000000004</v>
      </c>
      <c r="P562" s="476">
        <v>0.70625000000000004</v>
      </c>
      <c r="Q562" s="477">
        <v>0.7104166666666667</v>
      </c>
      <c r="R562" s="472">
        <f>IF(Table6[[#This Row],[Work Start TimeStamp]]="","",(Table6[[#This Row],[Work Start TimeStamp]]-Table6[[#This Row],[Fault Start TimeStamp]])*24)</f>
        <v>0</v>
      </c>
      <c r="S562" s="472">
        <f>(Table6[[#This Row],[Fault Clearance time]]-Table6[[#This Row],[Work Start TimeStamp]])*24</f>
        <v>9.9999999999999645E-2</v>
      </c>
      <c r="T562" s="472">
        <f>(Table6[[#This Row],[Fault Clearance time]]-Table6[[#This Row],[Fault Start TimeStamp]])*24</f>
        <v>9.9999999999999645E-2</v>
      </c>
      <c r="U562" s="35" t="s">
        <v>336</v>
      </c>
      <c r="V562" s="102" t="s">
        <v>293</v>
      </c>
      <c r="W562" s="478">
        <f>IFERROR(Table6[[#This Row],[Breakdown Time]]*Table6[[#This Row],[Plant Equivalent Weightage]],"")</f>
        <v>3.8461538461538312E-3</v>
      </c>
      <c r="X562" s="473" t="s">
        <v>294</v>
      </c>
      <c r="Y562" s="474" t="s">
        <v>313</v>
      </c>
      <c r="Z562" s="102">
        <v>28037</v>
      </c>
      <c r="AA562" s="468">
        <f>(Table6[[#This Row],[Paired WTG Generation for loss calculation]]/24)*Table6[[#This Row],[Breakdown Time]]</f>
        <v>116.82083333333291</v>
      </c>
      <c r="AB562" s="102"/>
      <c r="AC562" s="35"/>
      <c r="AD562" s="35"/>
    </row>
    <row r="563" spans="1:30">
      <c r="A563" s="102">
        <f t="shared" si="9"/>
        <v>562</v>
      </c>
      <c r="B563" s="468">
        <f>YEAR(Table6[[#This Row],[Date]])+IF(MONTH(Table6[[#This Row],[Date]])&gt;=4,1,0)</f>
        <v>2026</v>
      </c>
      <c r="C563" s="102">
        <f>YEAR(Table6[[#This Row],[Date]])</f>
        <v>2025</v>
      </c>
      <c r="D563" s="102" t="s">
        <v>1992</v>
      </c>
      <c r="E563" s="469">
        <f>Table6[[#This Row],[Date]]-DAY(Table6[[#This Row],[Date]])+1</f>
        <v>45778</v>
      </c>
      <c r="F563" s="470">
        <v>45781</v>
      </c>
      <c r="G563" s="35" t="s">
        <v>98</v>
      </c>
      <c r="H563" s="35" t="str">
        <f>IFERROR(_xlfn.XLOOKUP(Table6[[#This Row],[Affected WTG]],'Basic Data'!$A:$A,'Basic Data'!$B:$B),"")</f>
        <v>TQGXIIPL</v>
      </c>
      <c r="I563" s="35" t="str">
        <f>IFERROR(_xlfn.XLOOKUP(Table6[[#This Row],[Affected WTG]],'Basic Data'!$A:$A,'Basic Data'!$C:$C),"")</f>
        <v>GEDA</v>
      </c>
      <c r="J563" s="471">
        <f>IFERROR(_xlfn.XLOOKUP(Table6[[#This Row],[Affected WTG]],'Basic Data'!$A:$A,'Basic Data'!$E:$E),"")</f>
        <v>3.846153846153845E-2</v>
      </c>
      <c r="K563" s="102">
        <v>55</v>
      </c>
      <c r="L563" s="35" t="str">
        <f>IFERROR(_xlfn.XLOOKUP(Table6[[#This Row],[Error Code]],'Basic Data'!$AA:$AA,'Basic Data'!$AB:$AB),"Incorrect Error Code")</f>
        <v>WTG shut down</v>
      </c>
      <c r="M563" s="35" t="s">
        <v>304</v>
      </c>
      <c r="N563" s="475"/>
      <c r="O563" s="476">
        <v>0.30833333333333335</v>
      </c>
      <c r="P563" s="476">
        <v>0.30833333333333335</v>
      </c>
      <c r="Q563" s="477">
        <v>0.7368055555555556</v>
      </c>
      <c r="R563" s="472">
        <f>IF(Table6[[#This Row],[Work Start TimeStamp]]="","",(Table6[[#This Row],[Work Start TimeStamp]]-Table6[[#This Row],[Fault Start TimeStamp]])*24)</f>
        <v>0</v>
      </c>
      <c r="S563" s="472">
        <f>(Table6[[#This Row],[Fault Clearance time]]-Table6[[#This Row],[Work Start TimeStamp]])*24</f>
        <v>10.283333333333335</v>
      </c>
      <c r="T563" s="472">
        <f>(Table6[[#This Row],[Fault Clearance time]]-Table6[[#This Row],[Fault Start TimeStamp]])*24</f>
        <v>10.283333333333335</v>
      </c>
      <c r="U563" s="35" t="s">
        <v>1748</v>
      </c>
      <c r="V563" s="102" t="s">
        <v>293</v>
      </c>
      <c r="W563" s="478">
        <f>IFERROR(Table6[[#This Row],[Breakdown Time]]*Table6[[#This Row],[Plant Equivalent Weightage]],"")</f>
        <v>0.39551282051282044</v>
      </c>
      <c r="X563" s="473" t="s">
        <v>305</v>
      </c>
      <c r="Y563" s="474" t="s">
        <v>315</v>
      </c>
      <c r="Z563" s="102">
        <v>17974</v>
      </c>
      <c r="AA563" s="468">
        <f>(Table6[[#This Row],[Paired WTG Generation for loss calculation]]/24)*Table6[[#This Row],[Breakdown Time]]</f>
        <v>7701.3597222222234</v>
      </c>
      <c r="AB563" s="102"/>
      <c r="AC563" s="35"/>
      <c r="AD563" s="35"/>
    </row>
    <row r="564" spans="1:30">
      <c r="A564" s="102">
        <f t="shared" si="9"/>
        <v>563</v>
      </c>
      <c r="B564" s="468">
        <f>YEAR(Table6[[#This Row],[Date]])+IF(MONTH(Table6[[#This Row],[Date]])&gt;=4,1,0)</f>
        <v>2026</v>
      </c>
      <c r="C564" s="102">
        <f>YEAR(Table6[[#This Row],[Date]])</f>
        <v>2025</v>
      </c>
      <c r="D564" s="102" t="s">
        <v>1992</v>
      </c>
      <c r="E564" s="469">
        <f>Table6[[#This Row],[Date]]-DAY(Table6[[#This Row],[Date]])+1</f>
        <v>45778</v>
      </c>
      <c r="F564" s="470">
        <v>45781</v>
      </c>
      <c r="G564" s="35" t="s">
        <v>74</v>
      </c>
      <c r="H564" s="35" t="str">
        <f>IFERROR(_xlfn.XLOOKUP(Table6[[#This Row],[Affected WTG]],'Basic Data'!$A:$A,'Basic Data'!$B:$B),"")</f>
        <v>TQGXIIPL</v>
      </c>
      <c r="I564" s="35" t="str">
        <f>IFERROR(_xlfn.XLOOKUP(Table6[[#This Row],[Affected WTG]],'Basic Data'!$A:$A,'Basic Data'!$C:$C),"")</f>
        <v>GEDA</v>
      </c>
      <c r="J564" s="471">
        <f>IFERROR(_xlfn.XLOOKUP(Table6[[#This Row],[Affected WTG]],'Basic Data'!$A:$A,'Basic Data'!$E:$E),"")</f>
        <v>3.846153846153845E-2</v>
      </c>
      <c r="K564" s="102">
        <v>55</v>
      </c>
      <c r="L564" s="35" t="str">
        <f>IFERROR(_xlfn.XLOOKUP(Table6[[#This Row],[Error Code]],'Basic Data'!$AA:$AA,'Basic Data'!$AB:$AB),"Incorrect Error Code")</f>
        <v>WTG shut down</v>
      </c>
      <c r="M564" s="35" t="s">
        <v>330</v>
      </c>
      <c r="N564" s="475"/>
      <c r="O564" s="476">
        <v>0.72291666666666665</v>
      </c>
      <c r="P564" s="476">
        <v>0.72291666666666665</v>
      </c>
      <c r="Q564" s="477">
        <v>0.86319444444444449</v>
      </c>
      <c r="R564" s="472">
        <f>IF(Table6[[#This Row],[Work Start TimeStamp]]="","",(Table6[[#This Row],[Work Start TimeStamp]]-Table6[[#This Row],[Fault Start TimeStamp]])*24)</f>
        <v>0</v>
      </c>
      <c r="S564" s="472">
        <f>(Table6[[#This Row],[Fault Clearance time]]-Table6[[#This Row],[Work Start TimeStamp]])*24</f>
        <v>3.366666666666668</v>
      </c>
      <c r="T564" s="472">
        <f>(Table6[[#This Row],[Fault Clearance time]]-Table6[[#This Row],[Fault Start TimeStamp]])*24</f>
        <v>3.366666666666668</v>
      </c>
      <c r="U564" s="35" t="s">
        <v>1744</v>
      </c>
      <c r="V564" s="102" t="s">
        <v>293</v>
      </c>
      <c r="W564" s="478">
        <f>IFERROR(Table6[[#This Row],[Breakdown Time]]*Table6[[#This Row],[Plant Equivalent Weightage]],"")</f>
        <v>0.1294871794871795</v>
      </c>
      <c r="X564" s="473" t="s">
        <v>290</v>
      </c>
      <c r="Y564" s="474" t="s">
        <v>321</v>
      </c>
      <c r="Z564" s="102">
        <v>30825</v>
      </c>
      <c r="AA564" s="468">
        <f>(Table6[[#This Row],[Paired WTG Generation for loss calculation]]/24)*Table6[[#This Row],[Breakdown Time]]</f>
        <v>4324.0625000000018</v>
      </c>
      <c r="AB564" s="102"/>
      <c r="AC564" s="35"/>
      <c r="AD564" s="35"/>
    </row>
    <row r="565" spans="1:30">
      <c r="A565" s="102">
        <f t="shared" si="9"/>
        <v>564</v>
      </c>
      <c r="B565" s="468">
        <f>YEAR(Table6[[#This Row],[Date]])+IF(MONTH(Table6[[#This Row],[Date]])&gt;=4,1,0)</f>
        <v>2026</v>
      </c>
      <c r="C565" s="102">
        <f>YEAR(Table6[[#This Row],[Date]])</f>
        <v>2025</v>
      </c>
      <c r="D565" s="102" t="s">
        <v>1992</v>
      </c>
      <c r="E565" s="469">
        <f>Table6[[#This Row],[Date]]-DAY(Table6[[#This Row],[Date]])+1</f>
        <v>45778</v>
      </c>
      <c r="F565" s="470">
        <v>45781</v>
      </c>
      <c r="G565" s="35" t="s">
        <v>78</v>
      </c>
      <c r="H565" s="35" t="str">
        <f>IFERROR(_xlfn.XLOOKUP(Table6[[#This Row],[Affected WTG]],'Basic Data'!$A:$A,'Basic Data'!$B:$B),"")</f>
        <v>TQGXIIPL</v>
      </c>
      <c r="I565" s="35" t="str">
        <f>IFERROR(_xlfn.XLOOKUP(Table6[[#This Row],[Affected WTG]],'Basic Data'!$A:$A,'Basic Data'!$C:$C),"")</f>
        <v>GEDA</v>
      </c>
      <c r="J565" s="471">
        <f>IFERROR(_xlfn.XLOOKUP(Table6[[#This Row],[Affected WTG]],'Basic Data'!$A:$A,'Basic Data'!$E:$E),"")</f>
        <v>3.846153846153845E-2</v>
      </c>
      <c r="K565" s="102">
        <v>3110</v>
      </c>
      <c r="L565" s="35" t="str">
        <f>IFERROR(_xlfn.XLOOKUP(Table6[[#This Row],[Error Code]],'Basic Data'!$AA:$AA,'Basic Data'!$AB:$AB),"Incorrect Error Code")</f>
        <v>Frequency converter error</v>
      </c>
      <c r="M565" s="35" t="s">
        <v>292</v>
      </c>
      <c r="N565" s="475"/>
      <c r="O565" s="476">
        <v>0.95486111111111116</v>
      </c>
      <c r="P565" s="476">
        <v>0.95486111111111116</v>
      </c>
      <c r="Q565" s="477">
        <v>0.95694444444444449</v>
      </c>
      <c r="R565" s="472">
        <f>IF(Table6[[#This Row],[Work Start TimeStamp]]="","",(Table6[[#This Row],[Work Start TimeStamp]]-Table6[[#This Row],[Fault Start TimeStamp]])*24)</f>
        <v>0</v>
      </c>
      <c r="S565" s="472">
        <f>(Table6[[#This Row],[Fault Clearance time]]-Table6[[#This Row],[Work Start TimeStamp]])*24</f>
        <v>4.9999999999999822E-2</v>
      </c>
      <c r="T565" s="472">
        <f>(Table6[[#This Row],[Fault Clearance time]]-Table6[[#This Row],[Fault Start TimeStamp]])*24</f>
        <v>4.9999999999999822E-2</v>
      </c>
      <c r="U565" s="35" t="s">
        <v>336</v>
      </c>
      <c r="V565" s="102" t="s">
        <v>293</v>
      </c>
      <c r="W565" s="478">
        <f>IFERROR(Table6[[#This Row],[Breakdown Time]]*Table6[[#This Row],[Plant Equivalent Weightage]],"")</f>
        <v>1.9230769230769156E-3</v>
      </c>
      <c r="X565" s="473" t="s">
        <v>294</v>
      </c>
      <c r="Y565" s="474" t="s">
        <v>333</v>
      </c>
      <c r="Z565" s="102">
        <v>29174</v>
      </c>
      <c r="AA565" s="468">
        <f>(Table6[[#This Row],[Paired WTG Generation for loss calculation]]/24)*Table6[[#This Row],[Breakdown Time]]</f>
        <v>60.779166666666448</v>
      </c>
      <c r="AB565" s="102"/>
      <c r="AC565" s="35"/>
      <c r="AD565" s="35"/>
    </row>
    <row r="566" spans="1:30">
      <c r="A566" s="102">
        <f t="shared" si="9"/>
        <v>565</v>
      </c>
      <c r="B566" s="468">
        <f>YEAR(Table6[[#This Row],[Date]])+IF(MONTH(Table6[[#This Row],[Date]])&gt;=4,1,0)</f>
        <v>2026</v>
      </c>
      <c r="C566" s="102">
        <f>YEAR(Table6[[#This Row],[Date]])</f>
        <v>2025</v>
      </c>
      <c r="D566" s="102" t="s">
        <v>1992</v>
      </c>
      <c r="E566" s="469">
        <f>Table6[[#This Row],[Date]]-DAY(Table6[[#This Row],[Date]])+1</f>
        <v>45778</v>
      </c>
      <c r="F566" s="470">
        <v>45782</v>
      </c>
      <c r="G566" s="35" t="s">
        <v>74</v>
      </c>
      <c r="H566" s="35" t="str">
        <f>IFERROR(_xlfn.XLOOKUP(Table6[[#This Row],[Affected WTG]],'Basic Data'!$A:$A,'Basic Data'!$B:$B),"")</f>
        <v>TQGXIIPL</v>
      </c>
      <c r="I566" s="35" t="str">
        <f>IFERROR(_xlfn.XLOOKUP(Table6[[#This Row],[Affected WTG]],'Basic Data'!$A:$A,'Basic Data'!$C:$C),"")</f>
        <v>GEDA</v>
      </c>
      <c r="J566" s="471">
        <f>IFERROR(_xlfn.XLOOKUP(Table6[[#This Row],[Affected WTG]],'Basic Data'!$A:$A,'Basic Data'!$E:$E),"")</f>
        <v>3.846153846153845E-2</v>
      </c>
      <c r="K566" s="102">
        <v>55</v>
      </c>
      <c r="L566" s="35" t="str">
        <f>IFERROR(_xlfn.XLOOKUP(Table6[[#This Row],[Error Code]],'Basic Data'!$AA:$AA,'Basic Data'!$AB:$AB),"Incorrect Error Code")</f>
        <v>WTG shut down</v>
      </c>
      <c r="M566" s="35" t="s">
        <v>330</v>
      </c>
      <c r="N566" s="475"/>
      <c r="O566" s="476">
        <v>0.64027777777777772</v>
      </c>
      <c r="P566" s="476">
        <v>0.64027777777777772</v>
      </c>
      <c r="Q566" s="477">
        <v>0.75</v>
      </c>
      <c r="R566" s="472">
        <f>IF(Table6[[#This Row],[Work Start TimeStamp]]="","",(Table6[[#This Row],[Work Start TimeStamp]]-Table6[[#This Row],[Fault Start TimeStamp]])*24)</f>
        <v>0</v>
      </c>
      <c r="S566" s="472">
        <f>(Table6[[#This Row],[Fault Clearance time]]-Table6[[#This Row],[Work Start TimeStamp]])*24</f>
        <v>2.6333333333333346</v>
      </c>
      <c r="T566" s="472">
        <f>(Table6[[#This Row],[Fault Clearance time]]-Table6[[#This Row],[Fault Start TimeStamp]])*24</f>
        <v>2.6333333333333346</v>
      </c>
      <c r="U566" s="35" t="s">
        <v>1744</v>
      </c>
      <c r="V566" s="102" t="s">
        <v>293</v>
      </c>
      <c r="W566" s="478">
        <f>IFERROR(Table6[[#This Row],[Breakdown Time]]*Table6[[#This Row],[Plant Equivalent Weightage]],"")</f>
        <v>0.1012820512820513</v>
      </c>
      <c r="X566" s="473" t="s">
        <v>290</v>
      </c>
      <c r="Y566" s="474" t="s">
        <v>321</v>
      </c>
      <c r="Z566" s="102">
        <v>31214</v>
      </c>
      <c r="AA566" s="468">
        <f>(Table6[[#This Row],[Paired WTG Generation for loss calculation]]/24)*Table6[[#This Row],[Breakdown Time]]</f>
        <v>3424.8694444444459</v>
      </c>
      <c r="AB566" s="102"/>
      <c r="AC566" s="35"/>
      <c r="AD566" s="35"/>
    </row>
    <row r="567" spans="1:30">
      <c r="A567" s="102">
        <f t="shared" si="9"/>
        <v>566</v>
      </c>
      <c r="B567" s="468">
        <f>YEAR(Table6[[#This Row],[Date]])+IF(MONTH(Table6[[#This Row],[Date]])&gt;=4,1,0)</f>
        <v>2026</v>
      </c>
      <c r="C567" s="102">
        <f>YEAR(Table6[[#This Row],[Date]])</f>
        <v>2025</v>
      </c>
      <c r="D567" s="102" t="s">
        <v>1992</v>
      </c>
      <c r="E567" s="469">
        <f>Table6[[#This Row],[Date]]-DAY(Table6[[#This Row],[Date]])+1</f>
        <v>45778</v>
      </c>
      <c r="F567" s="470">
        <v>45782</v>
      </c>
      <c r="G567" s="35" t="s">
        <v>74</v>
      </c>
      <c r="H567" s="35" t="str">
        <f>IFERROR(_xlfn.XLOOKUP(Table6[[#This Row],[Affected WTG]],'Basic Data'!$A:$A,'Basic Data'!$B:$B),"")</f>
        <v>TQGXIIPL</v>
      </c>
      <c r="I567" s="35" t="str">
        <f>IFERROR(_xlfn.XLOOKUP(Table6[[#This Row],[Affected WTG]],'Basic Data'!$A:$A,'Basic Data'!$C:$C),"")</f>
        <v>GEDA</v>
      </c>
      <c r="J567" s="471">
        <f>IFERROR(_xlfn.XLOOKUP(Table6[[#This Row],[Affected WTG]],'Basic Data'!$A:$A,'Basic Data'!$E:$E),"")</f>
        <v>3.846153846153845E-2</v>
      </c>
      <c r="K567" s="102">
        <v>55</v>
      </c>
      <c r="L567" s="35" t="str">
        <f>IFERROR(_xlfn.XLOOKUP(Table6[[#This Row],[Error Code]],'Basic Data'!$AA:$AA,'Basic Data'!$AB:$AB),"Incorrect Error Code")</f>
        <v>WTG shut down</v>
      </c>
      <c r="M567" s="35" t="s">
        <v>330</v>
      </c>
      <c r="N567" s="475"/>
      <c r="O567" s="476">
        <v>0.78541666666666665</v>
      </c>
      <c r="P567" s="476">
        <v>0.78541666666666665</v>
      </c>
      <c r="Q567" s="477">
        <v>0.87152777777777779</v>
      </c>
      <c r="R567" s="472">
        <f>IF(Table6[[#This Row],[Work Start TimeStamp]]="","",(Table6[[#This Row],[Work Start TimeStamp]]-Table6[[#This Row],[Fault Start TimeStamp]])*24)</f>
        <v>0</v>
      </c>
      <c r="S567" s="472">
        <f>(Table6[[#This Row],[Fault Clearance time]]-Table6[[#This Row],[Work Start TimeStamp]])*24</f>
        <v>2.0666666666666673</v>
      </c>
      <c r="T567" s="472">
        <f>(Table6[[#This Row],[Fault Clearance time]]-Table6[[#This Row],[Fault Start TimeStamp]])*24</f>
        <v>2.0666666666666673</v>
      </c>
      <c r="U567" s="35" t="s">
        <v>1744</v>
      </c>
      <c r="V567" s="102" t="s">
        <v>293</v>
      </c>
      <c r="W567" s="478">
        <f>IFERROR(Table6[[#This Row],[Breakdown Time]]*Table6[[#This Row],[Plant Equivalent Weightage]],"")</f>
        <v>7.9487179487179482E-2</v>
      </c>
      <c r="X567" s="473" t="s">
        <v>290</v>
      </c>
      <c r="Y567" s="474" t="s">
        <v>321</v>
      </c>
      <c r="Z567" s="102">
        <v>31214</v>
      </c>
      <c r="AA567" s="468">
        <f>(Table6[[#This Row],[Paired WTG Generation for loss calculation]]/24)*Table6[[#This Row],[Breakdown Time]]</f>
        <v>2687.8722222222227</v>
      </c>
      <c r="AB567" s="102"/>
      <c r="AC567" s="35"/>
      <c r="AD567" s="35"/>
    </row>
    <row r="568" spans="1:30">
      <c r="A568" s="102">
        <f t="shared" si="9"/>
        <v>567</v>
      </c>
      <c r="B568" s="468">
        <f>YEAR(Table6[[#This Row],[Date]])+IF(MONTH(Table6[[#This Row],[Date]])&gt;=4,1,0)</f>
        <v>2026</v>
      </c>
      <c r="C568" s="102">
        <f>YEAR(Table6[[#This Row],[Date]])</f>
        <v>2025</v>
      </c>
      <c r="D568" s="102" t="s">
        <v>1992</v>
      </c>
      <c r="E568" s="469">
        <f>Table6[[#This Row],[Date]]-DAY(Table6[[#This Row],[Date]])+1</f>
        <v>45778</v>
      </c>
      <c r="F568" s="470">
        <v>45782</v>
      </c>
      <c r="G568" s="35" t="s">
        <v>78</v>
      </c>
      <c r="H568" s="35" t="str">
        <f>IFERROR(_xlfn.XLOOKUP(Table6[[#This Row],[Affected WTG]],'Basic Data'!$A:$A,'Basic Data'!$B:$B),"")</f>
        <v>TQGXIIPL</v>
      </c>
      <c r="I568" s="35" t="str">
        <f>IFERROR(_xlfn.XLOOKUP(Table6[[#This Row],[Affected WTG]],'Basic Data'!$A:$A,'Basic Data'!$C:$C),"")</f>
        <v>GEDA</v>
      </c>
      <c r="J568" s="471">
        <f>IFERROR(_xlfn.XLOOKUP(Table6[[#This Row],[Affected WTG]],'Basic Data'!$A:$A,'Basic Data'!$E:$E),"")</f>
        <v>3.846153846153845E-2</v>
      </c>
      <c r="K568" s="102">
        <v>6605</v>
      </c>
      <c r="L568" s="35" t="str">
        <f>IFERROR(_xlfn.XLOOKUP(Table6[[#This Row],[Error Code]],'Basic Data'!$AA:$AA,'Basic Data'!$AB:$AB),"Incorrect Error Code")</f>
        <v>Wind.dir. diff. level 2</v>
      </c>
      <c r="M568" s="35" t="s">
        <v>292</v>
      </c>
      <c r="N568" s="475"/>
      <c r="O568" s="476">
        <v>0.6430555555555556</v>
      </c>
      <c r="P568" s="476">
        <v>0.6430555555555556</v>
      </c>
      <c r="Q568" s="477">
        <v>0.64444444444444449</v>
      </c>
      <c r="R568" s="472">
        <f>IF(Table6[[#This Row],[Work Start TimeStamp]]="","",(Table6[[#This Row],[Work Start TimeStamp]]-Table6[[#This Row],[Fault Start TimeStamp]])*24)</f>
        <v>0</v>
      </c>
      <c r="S568" s="472">
        <f>(Table6[[#This Row],[Fault Clearance time]]-Table6[[#This Row],[Work Start TimeStamp]])*24</f>
        <v>3.3333333333333215E-2</v>
      </c>
      <c r="T568" s="472">
        <f>(Table6[[#This Row],[Fault Clearance time]]-Table6[[#This Row],[Fault Start TimeStamp]])*24</f>
        <v>3.3333333333333215E-2</v>
      </c>
      <c r="U568" s="35" t="s">
        <v>336</v>
      </c>
      <c r="V568" s="102" t="s">
        <v>293</v>
      </c>
      <c r="W568" s="478">
        <f>IFERROR(Table6[[#This Row],[Breakdown Time]]*Table6[[#This Row],[Plant Equivalent Weightage]],"")</f>
        <v>1.2820512820512771E-3</v>
      </c>
      <c r="X568" s="473" t="s">
        <v>294</v>
      </c>
      <c r="Y568" s="474" t="s">
        <v>333</v>
      </c>
      <c r="Z568" s="102">
        <v>31559</v>
      </c>
      <c r="AA568" s="468">
        <f>(Table6[[#This Row],[Paired WTG Generation for loss calculation]]/24)*Table6[[#This Row],[Breakdown Time]]</f>
        <v>43.831944444444289</v>
      </c>
      <c r="AB568" s="102"/>
      <c r="AC568" s="35"/>
      <c r="AD568" s="35"/>
    </row>
    <row r="569" spans="1:30">
      <c r="A569" s="102">
        <f t="shared" si="9"/>
        <v>568</v>
      </c>
      <c r="B569" s="468">
        <f>YEAR(Table6[[#This Row],[Date]])+IF(MONTH(Table6[[#This Row],[Date]])&gt;=4,1,0)</f>
        <v>2026</v>
      </c>
      <c r="C569" s="102">
        <f>YEAR(Table6[[#This Row],[Date]])</f>
        <v>2025</v>
      </c>
      <c r="D569" s="102" t="s">
        <v>1992</v>
      </c>
      <c r="E569" s="469">
        <f>Table6[[#This Row],[Date]]-DAY(Table6[[#This Row],[Date]])+1</f>
        <v>45778</v>
      </c>
      <c r="F569" s="470">
        <v>45782</v>
      </c>
      <c r="G569" s="35" t="s">
        <v>81</v>
      </c>
      <c r="H569" s="35" t="str">
        <f>IFERROR(_xlfn.XLOOKUP(Table6[[#This Row],[Affected WTG]],'Basic Data'!$A:$A,'Basic Data'!$B:$B),"")</f>
        <v>TQGXIIPL</v>
      </c>
      <c r="I569" s="35" t="str">
        <f>IFERROR(_xlfn.XLOOKUP(Table6[[#This Row],[Affected WTG]],'Basic Data'!$A:$A,'Basic Data'!$C:$C),"")</f>
        <v>GEDA</v>
      </c>
      <c r="J569" s="471">
        <f>IFERROR(_xlfn.XLOOKUP(Table6[[#This Row],[Affected WTG]],'Basic Data'!$A:$A,'Basic Data'!$E:$E),"")</f>
        <v>3.846153846153845E-2</v>
      </c>
      <c r="K569" s="102">
        <v>6130</v>
      </c>
      <c r="L569" s="35" t="str">
        <f>IFERROR(_xlfn.XLOOKUP(Table6[[#This Row],[Error Code]],'Basic Data'!$AA:$AA,'Basic Data'!$AB:$AB),"Incorrect Error Code")</f>
        <v>Yaw speed high</v>
      </c>
      <c r="M569" s="35" t="s">
        <v>292</v>
      </c>
      <c r="N569" s="475"/>
      <c r="O569" s="476">
        <v>0.62013888888888891</v>
      </c>
      <c r="P569" s="476">
        <v>0.62013888888888891</v>
      </c>
      <c r="Q569" s="477">
        <v>0.62430555555555556</v>
      </c>
      <c r="R569" s="472">
        <f>IF(Table6[[#This Row],[Work Start TimeStamp]]="","",(Table6[[#This Row],[Work Start TimeStamp]]-Table6[[#This Row],[Fault Start TimeStamp]])*24)</f>
        <v>0</v>
      </c>
      <c r="S569" s="472">
        <f>(Table6[[#This Row],[Fault Clearance time]]-Table6[[#This Row],[Work Start TimeStamp]])*24</f>
        <v>9.9999999999999645E-2</v>
      </c>
      <c r="T569" s="472">
        <f>(Table6[[#This Row],[Fault Clearance time]]-Table6[[#This Row],[Fault Start TimeStamp]])*24</f>
        <v>9.9999999999999645E-2</v>
      </c>
      <c r="U569" s="35" t="s">
        <v>336</v>
      </c>
      <c r="V569" s="102" t="s">
        <v>293</v>
      </c>
      <c r="W569" s="478">
        <f>IFERROR(Table6[[#This Row],[Breakdown Time]]*Table6[[#This Row],[Plant Equivalent Weightage]],"")</f>
        <v>3.8461538461538312E-3</v>
      </c>
      <c r="X569" s="473" t="s">
        <v>294</v>
      </c>
      <c r="Y569" s="474" t="s">
        <v>321</v>
      </c>
      <c r="Z569" s="102">
        <v>31214</v>
      </c>
      <c r="AA569" s="468">
        <f>(Table6[[#This Row],[Paired WTG Generation for loss calculation]]/24)*Table6[[#This Row],[Breakdown Time]]</f>
        <v>130.05833333333285</v>
      </c>
      <c r="AB569" s="102"/>
      <c r="AC569" s="35"/>
      <c r="AD569" s="35"/>
    </row>
    <row r="570" spans="1:30">
      <c r="A570" s="102">
        <f t="shared" si="9"/>
        <v>569</v>
      </c>
      <c r="B570" s="468">
        <f>YEAR(Table6[[#This Row],[Date]])+IF(MONTH(Table6[[#This Row],[Date]])&gt;=4,1,0)</f>
        <v>2026</v>
      </c>
      <c r="C570" s="102">
        <f>YEAR(Table6[[#This Row],[Date]])</f>
        <v>2025</v>
      </c>
      <c r="D570" s="102" t="s">
        <v>1992</v>
      </c>
      <c r="E570" s="469">
        <f>Table6[[#This Row],[Date]]-DAY(Table6[[#This Row],[Date]])+1</f>
        <v>45778</v>
      </c>
      <c r="F570" s="470">
        <v>45782</v>
      </c>
      <c r="G570" s="35" t="s">
        <v>81</v>
      </c>
      <c r="H570" s="35" t="str">
        <f>IFERROR(_xlfn.XLOOKUP(Table6[[#This Row],[Affected WTG]],'Basic Data'!$A:$A,'Basic Data'!$B:$B),"")</f>
        <v>TQGXIIPL</v>
      </c>
      <c r="I570" s="35" t="str">
        <f>IFERROR(_xlfn.XLOOKUP(Table6[[#This Row],[Affected WTG]],'Basic Data'!$A:$A,'Basic Data'!$C:$C),"")</f>
        <v>GEDA</v>
      </c>
      <c r="J570" s="471">
        <f>IFERROR(_xlfn.XLOOKUP(Table6[[#This Row],[Affected WTG]],'Basic Data'!$A:$A,'Basic Data'!$E:$E),"")</f>
        <v>3.846153846153845E-2</v>
      </c>
      <c r="K570" s="102">
        <v>6130</v>
      </c>
      <c r="L570" s="35" t="str">
        <f>IFERROR(_xlfn.XLOOKUP(Table6[[#This Row],[Error Code]],'Basic Data'!$AA:$AA,'Basic Data'!$AB:$AB),"Incorrect Error Code")</f>
        <v>Yaw speed high</v>
      </c>
      <c r="M570" s="35" t="s">
        <v>292</v>
      </c>
      <c r="N570" s="475"/>
      <c r="O570" s="476">
        <v>0.67986111111111114</v>
      </c>
      <c r="P570" s="476">
        <v>0.67986111111111114</v>
      </c>
      <c r="Q570" s="477">
        <v>0.68194444444444446</v>
      </c>
      <c r="R570" s="472">
        <f>IF(Table6[[#This Row],[Work Start TimeStamp]]="","",(Table6[[#This Row],[Work Start TimeStamp]]-Table6[[#This Row],[Fault Start TimeStamp]])*24)</f>
        <v>0</v>
      </c>
      <c r="S570" s="472">
        <f>(Table6[[#This Row],[Fault Clearance time]]-Table6[[#This Row],[Work Start TimeStamp]])*24</f>
        <v>4.9999999999999822E-2</v>
      </c>
      <c r="T570" s="472">
        <f>(Table6[[#This Row],[Fault Clearance time]]-Table6[[#This Row],[Fault Start TimeStamp]])*24</f>
        <v>4.9999999999999822E-2</v>
      </c>
      <c r="U570" s="35" t="s">
        <v>336</v>
      </c>
      <c r="V570" s="102" t="s">
        <v>293</v>
      </c>
      <c r="W570" s="478">
        <f>IFERROR(Table6[[#This Row],[Breakdown Time]]*Table6[[#This Row],[Plant Equivalent Weightage]],"")</f>
        <v>1.9230769230769156E-3</v>
      </c>
      <c r="X570" s="473" t="s">
        <v>294</v>
      </c>
      <c r="Y570" s="474" t="s">
        <v>321</v>
      </c>
      <c r="Z570" s="102">
        <v>31214</v>
      </c>
      <c r="AA570" s="468">
        <f>(Table6[[#This Row],[Paired WTG Generation for loss calculation]]/24)*Table6[[#This Row],[Breakdown Time]]</f>
        <v>65.029166666666427</v>
      </c>
      <c r="AB570" s="102"/>
      <c r="AC570" s="35"/>
      <c r="AD570" s="35"/>
    </row>
    <row r="571" spans="1:30">
      <c r="A571" s="102">
        <f t="shared" si="9"/>
        <v>570</v>
      </c>
      <c r="B571" s="468">
        <f>YEAR(Table6[[#This Row],[Date]])+IF(MONTH(Table6[[#This Row],[Date]])&gt;=4,1,0)</f>
        <v>2026</v>
      </c>
      <c r="C571" s="102">
        <f>YEAR(Table6[[#This Row],[Date]])</f>
        <v>2025</v>
      </c>
      <c r="D571" s="102" t="s">
        <v>1992</v>
      </c>
      <c r="E571" s="469">
        <f>Table6[[#This Row],[Date]]-DAY(Table6[[#This Row],[Date]])+1</f>
        <v>45778</v>
      </c>
      <c r="F571" s="470">
        <v>45782</v>
      </c>
      <c r="G571" s="35" t="s">
        <v>81</v>
      </c>
      <c r="H571" s="35" t="str">
        <f>IFERROR(_xlfn.XLOOKUP(Table6[[#This Row],[Affected WTG]],'Basic Data'!$A:$A,'Basic Data'!$B:$B),"")</f>
        <v>TQGXIIPL</v>
      </c>
      <c r="I571" s="35" t="str">
        <f>IFERROR(_xlfn.XLOOKUP(Table6[[#This Row],[Affected WTG]],'Basic Data'!$A:$A,'Basic Data'!$C:$C),"")</f>
        <v>GEDA</v>
      </c>
      <c r="J571" s="471">
        <f>IFERROR(_xlfn.XLOOKUP(Table6[[#This Row],[Affected WTG]],'Basic Data'!$A:$A,'Basic Data'!$E:$E),"")</f>
        <v>3.846153846153845E-2</v>
      </c>
      <c r="K571" s="102">
        <v>6130</v>
      </c>
      <c r="L571" s="35" t="str">
        <f>IFERROR(_xlfn.XLOOKUP(Table6[[#This Row],[Error Code]],'Basic Data'!$AA:$AA,'Basic Data'!$AB:$AB),"Incorrect Error Code")</f>
        <v>Yaw speed high</v>
      </c>
      <c r="M571" s="35" t="s">
        <v>292</v>
      </c>
      <c r="N571" s="475"/>
      <c r="O571" s="476">
        <v>0.72361111111111109</v>
      </c>
      <c r="P571" s="476">
        <v>0.72361111111111109</v>
      </c>
      <c r="Q571" s="477">
        <v>0.72777777777777775</v>
      </c>
      <c r="R571" s="472">
        <f>IF(Table6[[#This Row],[Work Start TimeStamp]]="","",(Table6[[#This Row],[Work Start TimeStamp]]-Table6[[#This Row],[Fault Start TimeStamp]])*24)</f>
        <v>0</v>
      </c>
      <c r="S571" s="472">
        <f>(Table6[[#This Row],[Fault Clearance time]]-Table6[[#This Row],[Work Start TimeStamp]])*24</f>
        <v>9.9999999999999645E-2</v>
      </c>
      <c r="T571" s="472">
        <f>(Table6[[#This Row],[Fault Clearance time]]-Table6[[#This Row],[Fault Start TimeStamp]])*24</f>
        <v>9.9999999999999645E-2</v>
      </c>
      <c r="U571" s="35" t="s">
        <v>336</v>
      </c>
      <c r="V571" s="102" t="s">
        <v>293</v>
      </c>
      <c r="W571" s="478">
        <f>IFERROR(Table6[[#This Row],[Breakdown Time]]*Table6[[#This Row],[Plant Equivalent Weightage]],"")</f>
        <v>3.8461538461538312E-3</v>
      </c>
      <c r="X571" s="473" t="s">
        <v>294</v>
      </c>
      <c r="Y571" s="474" t="s">
        <v>321</v>
      </c>
      <c r="Z571" s="102">
        <v>31214</v>
      </c>
      <c r="AA571" s="468">
        <f>(Table6[[#This Row],[Paired WTG Generation for loss calculation]]/24)*Table6[[#This Row],[Breakdown Time]]</f>
        <v>130.05833333333285</v>
      </c>
      <c r="AB571" s="102"/>
      <c r="AC571" s="35"/>
      <c r="AD571" s="35"/>
    </row>
    <row r="572" spans="1:30">
      <c r="A572" s="102">
        <f t="shared" si="9"/>
        <v>571</v>
      </c>
      <c r="B572" s="468">
        <f>YEAR(Table6[[#This Row],[Date]])+IF(MONTH(Table6[[#This Row],[Date]])&gt;=4,1,0)</f>
        <v>2026</v>
      </c>
      <c r="C572" s="102">
        <f>YEAR(Table6[[#This Row],[Date]])</f>
        <v>2025</v>
      </c>
      <c r="D572" s="102" t="s">
        <v>1992</v>
      </c>
      <c r="E572" s="469">
        <f>Table6[[#This Row],[Date]]-DAY(Table6[[#This Row],[Date]])+1</f>
        <v>45778</v>
      </c>
      <c r="F572" s="470">
        <v>45782</v>
      </c>
      <c r="G572" s="35" t="s">
        <v>84</v>
      </c>
      <c r="H572" s="35" t="str">
        <f>IFERROR(_xlfn.XLOOKUP(Table6[[#This Row],[Affected WTG]],'Basic Data'!$A:$A,'Basic Data'!$B:$B),"")</f>
        <v>TQGXIIPL</v>
      </c>
      <c r="I572" s="35" t="str">
        <f>IFERROR(_xlfn.XLOOKUP(Table6[[#This Row],[Affected WTG]],'Basic Data'!$A:$A,'Basic Data'!$C:$C),"")</f>
        <v>GEDA</v>
      </c>
      <c r="J572" s="471">
        <f>IFERROR(_xlfn.XLOOKUP(Table6[[#This Row],[Affected WTG]],'Basic Data'!$A:$A,'Basic Data'!$E:$E),"")</f>
        <v>3.846153846153845E-2</v>
      </c>
      <c r="K572" s="102">
        <v>55</v>
      </c>
      <c r="L572" s="35" t="str">
        <f>IFERROR(_xlfn.XLOOKUP(Table6[[#This Row],[Error Code]],'Basic Data'!$AA:$AA,'Basic Data'!$AB:$AB),"Incorrect Error Code")</f>
        <v>WTG shut down</v>
      </c>
      <c r="M572" s="35" t="s">
        <v>330</v>
      </c>
      <c r="N572" s="475"/>
      <c r="O572" s="476">
        <v>0.64444444444444449</v>
      </c>
      <c r="P572" s="476">
        <v>0.64444444444444449</v>
      </c>
      <c r="Q572" s="477">
        <v>0.74791666666666667</v>
      </c>
      <c r="R572" s="472">
        <f>IF(Table6[[#This Row],[Work Start TimeStamp]]="","",(Table6[[#This Row],[Work Start TimeStamp]]-Table6[[#This Row],[Fault Start TimeStamp]])*24)</f>
        <v>0</v>
      </c>
      <c r="S572" s="472">
        <f>(Table6[[#This Row],[Fault Clearance time]]-Table6[[#This Row],[Work Start TimeStamp]])*24</f>
        <v>2.4833333333333325</v>
      </c>
      <c r="T572" s="472">
        <f>(Table6[[#This Row],[Fault Clearance time]]-Table6[[#This Row],[Fault Start TimeStamp]])*24</f>
        <v>2.4833333333333325</v>
      </c>
      <c r="U572" s="35" t="s">
        <v>1744</v>
      </c>
      <c r="V572" s="102" t="s">
        <v>293</v>
      </c>
      <c r="W572" s="478">
        <f>IFERROR(Table6[[#This Row],[Breakdown Time]]*Table6[[#This Row],[Plant Equivalent Weightage]],"")</f>
        <v>9.5512820512820451E-2</v>
      </c>
      <c r="X572" s="473" t="s">
        <v>290</v>
      </c>
      <c r="Y572" s="474" t="s">
        <v>327</v>
      </c>
      <c r="Z572" s="102">
        <v>31332</v>
      </c>
      <c r="AA572" s="468">
        <f>(Table6[[#This Row],[Paired WTG Generation for loss calculation]]/24)*Table6[[#This Row],[Breakdown Time]]</f>
        <v>3241.9916666666654</v>
      </c>
      <c r="AB572" s="102"/>
      <c r="AC572" s="35"/>
      <c r="AD572" s="35"/>
    </row>
    <row r="573" spans="1:30">
      <c r="A573" s="102">
        <f t="shared" si="9"/>
        <v>572</v>
      </c>
      <c r="B573" s="468">
        <f>YEAR(Table6[[#This Row],[Date]])+IF(MONTH(Table6[[#This Row],[Date]])&gt;=4,1,0)</f>
        <v>2026</v>
      </c>
      <c r="C573" s="102">
        <f>YEAR(Table6[[#This Row],[Date]])</f>
        <v>2025</v>
      </c>
      <c r="D573" s="102" t="s">
        <v>1992</v>
      </c>
      <c r="E573" s="469">
        <f>Table6[[#This Row],[Date]]-DAY(Table6[[#This Row],[Date]])+1</f>
        <v>45778</v>
      </c>
      <c r="F573" s="470">
        <v>45782</v>
      </c>
      <c r="G573" s="35" t="s">
        <v>84</v>
      </c>
      <c r="H573" s="35" t="str">
        <f>IFERROR(_xlfn.XLOOKUP(Table6[[#This Row],[Affected WTG]],'Basic Data'!$A:$A,'Basic Data'!$B:$B),"")</f>
        <v>TQGXIIPL</v>
      </c>
      <c r="I573" s="35" t="str">
        <f>IFERROR(_xlfn.XLOOKUP(Table6[[#This Row],[Affected WTG]],'Basic Data'!$A:$A,'Basic Data'!$C:$C),"")</f>
        <v>GEDA</v>
      </c>
      <c r="J573" s="471">
        <f>IFERROR(_xlfn.XLOOKUP(Table6[[#This Row],[Affected WTG]],'Basic Data'!$A:$A,'Basic Data'!$E:$E),"")</f>
        <v>3.846153846153845E-2</v>
      </c>
      <c r="K573" s="102">
        <v>55</v>
      </c>
      <c r="L573" s="35" t="str">
        <f>IFERROR(_xlfn.XLOOKUP(Table6[[#This Row],[Error Code]],'Basic Data'!$AA:$AA,'Basic Data'!$AB:$AB),"Incorrect Error Code")</f>
        <v>WTG shut down</v>
      </c>
      <c r="M573" s="35" t="s">
        <v>330</v>
      </c>
      <c r="N573" s="475"/>
      <c r="O573" s="476">
        <v>0.79652777777777772</v>
      </c>
      <c r="P573" s="476">
        <v>0.79652777777777772</v>
      </c>
      <c r="Q573" s="477">
        <v>0.86388888888888893</v>
      </c>
      <c r="R573" s="472">
        <f>IF(Table6[[#This Row],[Work Start TimeStamp]]="","",(Table6[[#This Row],[Work Start TimeStamp]]-Table6[[#This Row],[Fault Start TimeStamp]])*24)</f>
        <v>0</v>
      </c>
      <c r="S573" s="472">
        <f>(Table6[[#This Row],[Fault Clearance time]]-Table6[[#This Row],[Work Start TimeStamp]])*24</f>
        <v>1.6166666666666689</v>
      </c>
      <c r="T573" s="472">
        <f>(Table6[[#This Row],[Fault Clearance time]]-Table6[[#This Row],[Fault Start TimeStamp]])*24</f>
        <v>1.6166666666666689</v>
      </c>
      <c r="U573" s="35" t="s">
        <v>1744</v>
      </c>
      <c r="V573" s="102" t="s">
        <v>293</v>
      </c>
      <c r="W573" s="478">
        <f>IFERROR(Table6[[#This Row],[Breakdown Time]]*Table6[[#This Row],[Plant Equivalent Weightage]],"")</f>
        <v>6.217948717948725E-2</v>
      </c>
      <c r="X573" s="473" t="s">
        <v>290</v>
      </c>
      <c r="Y573" s="474" t="s">
        <v>327</v>
      </c>
      <c r="Z573" s="102">
        <v>31332</v>
      </c>
      <c r="AA573" s="468">
        <f>(Table6[[#This Row],[Paired WTG Generation for loss calculation]]/24)*Table6[[#This Row],[Breakdown Time]]</f>
        <v>2110.5583333333361</v>
      </c>
      <c r="AB573" s="102"/>
      <c r="AC573" s="35"/>
      <c r="AD573" s="35"/>
    </row>
    <row r="574" spans="1:30">
      <c r="A574" s="102">
        <f t="shared" si="9"/>
        <v>573</v>
      </c>
      <c r="B574" s="468">
        <f>YEAR(Table6[[#This Row],[Date]])+IF(MONTH(Table6[[#This Row],[Date]])&gt;=4,1,0)</f>
        <v>2026</v>
      </c>
      <c r="C574" s="102">
        <f>YEAR(Table6[[#This Row],[Date]])</f>
        <v>2025</v>
      </c>
      <c r="D574" s="102" t="s">
        <v>1992</v>
      </c>
      <c r="E574" s="469">
        <f>Table6[[#This Row],[Date]]-DAY(Table6[[#This Row],[Date]])+1</f>
        <v>45778</v>
      </c>
      <c r="F574" s="470">
        <v>45782</v>
      </c>
      <c r="G574" s="35" t="s">
        <v>85</v>
      </c>
      <c r="H574" s="35" t="str">
        <f>IFERROR(_xlfn.XLOOKUP(Table6[[#This Row],[Affected WTG]],'Basic Data'!$A:$A,'Basic Data'!$B:$B),"")</f>
        <v>TQGXIIPL</v>
      </c>
      <c r="I574" s="35" t="str">
        <f>IFERROR(_xlfn.XLOOKUP(Table6[[#This Row],[Affected WTG]],'Basic Data'!$A:$A,'Basic Data'!$C:$C),"")</f>
        <v>GEDA</v>
      </c>
      <c r="J574" s="471">
        <f>IFERROR(_xlfn.XLOOKUP(Table6[[#This Row],[Affected WTG]],'Basic Data'!$A:$A,'Basic Data'!$E:$E),"")</f>
        <v>3.846153846153845E-2</v>
      </c>
      <c r="K574" s="102">
        <v>6130</v>
      </c>
      <c r="L574" s="35" t="str">
        <f>IFERROR(_xlfn.XLOOKUP(Table6[[#This Row],[Error Code]],'Basic Data'!$AA:$AA,'Basic Data'!$AB:$AB),"Incorrect Error Code")</f>
        <v>Yaw speed high</v>
      </c>
      <c r="M574" s="35" t="s">
        <v>292</v>
      </c>
      <c r="N574" s="475"/>
      <c r="O574" s="476">
        <v>0.63124999999999998</v>
      </c>
      <c r="P574" s="476">
        <v>0.63124999999999998</v>
      </c>
      <c r="Q574" s="477">
        <v>0.63541666666666663</v>
      </c>
      <c r="R574" s="472">
        <f>IF(Table6[[#This Row],[Work Start TimeStamp]]="","",(Table6[[#This Row],[Work Start TimeStamp]]-Table6[[#This Row],[Fault Start TimeStamp]])*24)</f>
        <v>0</v>
      </c>
      <c r="S574" s="472">
        <f>(Table6[[#This Row],[Fault Clearance time]]-Table6[[#This Row],[Work Start TimeStamp]])*24</f>
        <v>9.9999999999999645E-2</v>
      </c>
      <c r="T574" s="472">
        <f>(Table6[[#This Row],[Fault Clearance time]]-Table6[[#This Row],[Fault Start TimeStamp]])*24</f>
        <v>9.9999999999999645E-2</v>
      </c>
      <c r="U574" s="35" t="s">
        <v>336</v>
      </c>
      <c r="V574" s="102" t="s">
        <v>293</v>
      </c>
      <c r="W574" s="478">
        <f>IFERROR(Table6[[#This Row],[Breakdown Time]]*Table6[[#This Row],[Plant Equivalent Weightage]],"")</f>
        <v>3.8461538461538312E-3</v>
      </c>
      <c r="X574" s="473" t="s">
        <v>294</v>
      </c>
      <c r="Y574" s="474" t="s">
        <v>322</v>
      </c>
      <c r="Z574" s="102">
        <v>29701</v>
      </c>
      <c r="AA574" s="468">
        <f>(Table6[[#This Row],[Paired WTG Generation for loss calculation]]/24)*Table6[[#This Row],[Breakdown Time]]</f>
        <v>123.75416666666624</v>
      </c>
      <c r="AB574" s="102"/>
      <c r="AC574" s="35"/>
      <c r="AD574" s="35"/>
    </row>
    <row r="575" spans="1:30">
      <c r="A575" s="102">
        <f t="shared" si="9"/>
        <v>574</v>
      </c>
      <c r="B575" s="468">
        <f>YEAR(Table6[[#This Row],[Date]])+IF(MONTH(Table6[[#This Row],[Date]])&gt;=4,1,0)</f>
        <v>2026</v>
      </c>
      <c r="C575" s="102">
        <f>YEAR(Table6[[#This Row],[Date]])</f>
        <v>2025</v>
      </c>
      <c r="D575" s="102" t="s">
        <v>1992</v>
      </c>
      <c r="E575" s="469">
        <f>Table6[[#This Row],[Date]]-DAY(Table6[[#This Row],[Date]])+1</f>
        <v>45778</v>
      </c>
      <c r="F575" s="470">
        <v>45782</v>
      </c>
      <c r="G575" s="35" t="s">
        <v>90</v>
      </c>
      <c r="H575" s="35" t="str">
        <f>IFERROR(_xlfn.XLOOKUP(Table6[[#This Row],[Affected WTG]],'Basic Data'!$A:$A,'Basic Data'!$B:$B),"")</f>
        <v>TQGXIIPL</v>
      </c>
      <c r="I575" s="35" t="str">
        <f>IFERROR(_xlfn.XLOOKUP(Table6[[#This Row],[Affected WTG]],'Basic Data'!$A:$A,'Basic Data'!$C:$C),"")</f>
        <v>GEDA</v>
      </c>
      <c r="J575" s="471">
        <f>IFERROR(_xlfn.XLOOKUP(Table6[[#This Row],[Affected WTG]],'Basic Data'!$A:$A,'Basic Data'!$E:$E),"")</f>
        <v>3.846153846153845E-2</v>
      </c>
      <c r="K575" s="102">
        <v>665</v>
      </c>
      <c r="L575" s="35" t="str">
        <f>IFERROR(_xlfn.XLOOKUP(Table6[[#This Row],[Error Code]],'Basic Data'!$AA:$AA,'Basic Data'!$AB:$AB),"Incorrect Error Code")</f>
        <v>Pitch error</v>
      </c>
      <c r="M575" s="35" t="s">
        <v>292</v>
      </c>
      <c r="N575" s="475"/>
      <c r="O575" s="476">
        <v>0.64375000000000004</v>
      </c>
      <c r="P575" s="476">
        <v>0.64375000000000004</v>
      </c>
      <c r="Q575" s="477">
        <v>0.64722222222222225</v>
      </c>
      <c r="R575" s="472">
        <f>IF(Table6[[#This Row],[Work Start TimeStamp]]="","",(Table6[[#This Row],[Work Start TimeStamp]]-Table6[[#This Row],[Fault Start TimeStamp]])*24)</f>
        <v>0</v>
      </c>
      <c r="S575" s="472">
        <f>(Table6[[#This Row],[Fault Clearance time]]-Table6[[#This Row],[Work Start TimeStamp]])*24</f>
        <v>8.3333333333333037E-2</v>
      </c>
      <c r="T575" s="472">
        <f>(Table6[[#This Row],[Fault Clearance time]]-Table6[[#This Row],[Fault Start TimeStamp]])*24</f>
        <v>8.3333333333333037E-2</v>
      </c>
      <c r="U575" s="35" t="s">
        <v>336</v>
      </c>
      <c r="V575" s="102" t="s">
        <v>293</v>
      </c>
      <c r="W575" s="478">
        <f>IFERROR(Table6[[#This Row],[Breakdown Time]]*Table6[[#This Row],[Plant Equivalent Weightage]],"")</f>
        <v>3.2051282051281929E-3</v>
      </c>
      <c r="X575" s="473" t="s">
        <v>294</v>
      </c>
      <c r="Y575" s="474" t="s">
        <v>339</v>
      </c>
      <c r="Z575" s="102">
        <v>25892</v>
      </c>
      <c r="AA575" s="468">
        <f>(Table6[[#This Row],[Paired WTG Generation for loss calculation]]/24)*Table6[[#This Row],[Breakdown Time]]</f>
        <v>89.902777777777459</v>
      </c>
      <c r="AB575" s="102"/>
      <c r="AC575" s="35"/>
      <c r="AD575" s="35"/>
    </row>
    <row r="576" spans="1:30">
      <c r="A576" s="102">
        <f t="shared" si="9"/>
        <v>575</v>
      </c>
      <c r="B576" s="468">
        <f>YEAR(Table6[[#This Row],[Date]])+IF(MONTH(Table6[[#This Row],[Date]])&gt;=4,1,0)</f>
        <v>2026</v>
      </c>
      <c r="C576" s="102">
        <f>YEAR(Table6[[#This Row],[Date]])</f>
        <v>2025</v>
      </c>
      <c r="D576" s="102" t="s">
        <v>1992</v>
      </c>
      <c r="E576" s="469">
        <f>Table6[[#This Row],[Date]]-DAY(Table6[[#This Row],[Date]])+1</f>
        <v>45778</v>
      </c>
      <c r="F576" s="470">
        <v>45782</v>
      </c>
      <c r="G576" s="35" t="s">
        <v>90</v>
      </c>
      <c r="H576" s="35" t="str">
        <f>IFERROR(_xlfn.XLOOKUP(Table6[[#This Row],[Affected WTG]],'Basic Data'!$A:$A,'Basic Data'!$B:$B),"")</f>
        <v>TQGXIIPL</v>
      </c>
      <c r="I576" s="35" t="str">
        <f>IFERROR(_xlfn.XLOOKUP(Table6[[#This Row],[Affected WTG]],'Basic Data'!$A:$A,'Basic Data'!$C:$C),"")</f>
        <v>GEDA</v>
      </c>
      <c r="J576" s="471">
        <f>IFERROR(_xlfn.XLOOKUP(Table6[[#This Row],[Affected WTG]],'Basic Data'!$A:$A,'Basic Data'!$E:$E),"")</f>
        <v>3.846153846153845E-2</v>
      </c>
      <c r="K576" s="102">
        <v>3211</v>
      </c>
      <c r="L576" s="35" t="str">
        <f>IFERROR(_xlfn.XLOOKUP(Table6[[#This Row],[Error Code]],'Basic Data'!$AA:$AA,'Basic Data'!$AB:$AB),"Incorrect Error Code")</f>
        <v>Conv. load shedding (CAN)</v>
      </c>
      <c r="M576" s="35" t="s">
        <v>291</v>
      </c>
      <c r="N576" s="475"/>
      <c r="O576" s="476">
        <v>0.77430555555555558</v>
      </c>
      <c r="P576" s="476">
        <v>0.77430555555555558</v>
      </c>
      <c r="Q576" s="477">
        <v>0.78611111111111109</v>
      </c>
      <c r="R576" s="472">
        <f>IF(Table6[[#This Row],[Work Start TimeStamp]]="","",(Table6[[#This Row],[Work Start TimeStamp]]-Table6[[#This Row],[Fault Start TimeStamp]])*24)</f>
        <v>0</v>
      </c>
      <c r="S576" s="472">
        <f>(Table6[[#This Row],[Fault Clearance time]]-Table6[[#This Row],[Work Start TimeStamp]])*24</f>
        <v>0.28333333333333233</v>
      </c>
      <c r="T576" s="472">
        <f>(Table6[[#This Row],[Fault Clearance time]]-Table6[[#This Row],[Fault Start TimeStamp]])*24</f>
        <v>0.28333333333333233</v>
      </c>
      <c r="U576" s="35" t="s">
        <v>349</v>
      </c>
      <c r="V576" s="102" t="s">
        <v>293</v>
      </c>
      <c r="W576" s="478">
        <f>IFERROR(Table6[[#This Row],[Breakdown Time]]*Table6[[#This Row],[Plant Equivalent Weightage]],"")</f>
        <v>1.0897435897435855E-2</v>
      </c>
      <c r="X576" s="473" t="s">
        <v>294</v>
      </c>
      <c r="Y576" s="474" t="s">
        <v>339</v>
      </c>
      <c r="Z576" s="102">
        <v>25892</v>
      </c>
      <c r="AA576" s="468">
        <f>(Table6[[#This Row],[Paired WTG Generation for loss calculation]]/24)*Table6[[#This Row],[Breakdown Time]]</f>
        <v>305.66944444444334</v>
      </c>
      <c r="AB576" s="102"/>
      <c r="AC576" s="35"/>
      <c r="AD576" s="35"/>
    </row>
    <row r="577" spans="1:30">
      <c r="A577" s="102">
        <f t="shared" si="9"/>
        <v>576</v>
      </c>
      <c r="B577" s="468">
        <f>YEAR(Table6[[#This Row],[Date]])+IF(MONTH(Table6[[#This Row],[Date]])&gt;=4,1,0)</f>
        <v>2026</v>
      </c>
      <c r="C577" s="102">
        <f>YEAR(Table6[[#This Row],[Date]])</f>
        <v>2025</v>
      </c>
      <c r="D577" s="102" t="s">
        <v>1992</v>
      </c>
      <c r="E577" s="469">
        <f>Table6[[#This Row],[Date]]-DAY(Table6[[#This Row],[Date]])+1</f>
        <v>45778</v>
      </c>
      <c r="F577" s="470">
        <v>45782</v>
      </c>
      <c r="G577" s="35" t="s">
        <v>93</v>
      </c>
      <c r="H577" s="35" t="str">
        <f>IFERROR(_xlfn.XLOOKUP(Table6[[#This Row],[Affected WTG]],'Basic Data'!$A:$A,'Basic Data'!$B:$B),"")</f>
        <v>TQGXIIPL</v>
      </c>
      <c r="I577" s="35" t="str">
        <f>IFERROR(_xlfn.XLOOKUP(Table6[[#This Row],[Affected WTG]],'Basic Data'!$A:$A,'Basic Data'!$C:$C),"")</f>
        <v>GEDA</v>
      </c>
      <c r="J577" s="471">
        <f>IFERROR(_xlfn.XLOOKUP(Table6[[#This Row],[Affected WTG]],'Basic Data'!$A:$A,'Basic Data'!$E:$E),"")</f>
        <v>3.846153846153845E-2</v>
      </c>
      <c r="K577" s="102">
        <v>6130</v>
      </c>
      <c r="L577" s="35" t="str">
        <f>IFERROR(_xlfn.XLOOKUP(Table6[[#This Row],[Error Code]],'Basic Data'!$AA:$AA,'Basic Data'!$AB:$AB),"Incorrect Error Code")</f>
        <v>Yaw speed high</v>
      </c>
      <c r="M577" s="35" t="s">
        <v>292</v>
      </c>
      <c r="N577" s="475"/>
      <c r="O577" s="476">
        <v>0.69652777777777775</v>
      </c>
      <c r="P577" s="476">
        <v>0.69652777777777775</v>
      </c>
      <c r="Q577" s="477">
        <v>0.7006944444444444</v>
      </c>
      <c r="R577" s="472">
        <f>IF(Table6[[#This Row],[Work Start TimeStamp]]="","",(Table6[[#This Row],[Work Start TimeStamp]]-Table6[[#This Row],[Fault Start TimeStamp]])*24)</f>
        <v>0</v>
      </c>
      <c r="S577" s="472">
        <f>(Table6[[#This Row],[Fault Clearance time]]-Table6[[#This Row],[Work Start TimeStamp]])*24</f>
        <v>9.9999999999999645E-2</v>
      </c>
      <c r="T577" s="472">
        <f>(Table6[[#This Row],[Fault Clearance time]]-Table6[[#This Row],[Fault Start TimeStamp]])*24</f>
        <v>9.9999999999999645E-2</v>
      </c>
      <c r="U577" s="35" t="s">
        <v>336</v>
      </c>
      <c r="V577" s="102" t="s">
        <v>293</v>
      </c>
      <c r="W577" s="478">
        <f>IFERROR(Table6[[#This Row],[Breakdown Time]]*Table6[[#This Row],[Plant Equivalent Weightage]],"")</f>
        <v>3.8461538461538312E-3</v>
      </c>
      <c r="X577" s="473" t="s">
        <v>294</v>
      </c>
      <c r="Y577" s="474" t="s">
        <v>314</v>
      </c>
      <c r="Z577" s="102">
        <v>30515</v>
      </c>
      <c r="AA577" s="468">
        <f>(Table6[[#This Row],[Paired WTG Generation for loss calculation]]/24)*Table6[[#This Row],[Breakdown Time]]</f>
        <v>127.14583333333287</v>
      </c>
      <c r="AB577" s="102"/>
      <c r="AC577" s="35"/>
      <c r="AD577" s="35"/>
    </row>
    <row r="578" spans="1:30">
      <c r="A578" s="102">
        <f t="shared" si="9"/>
        <v>577</v>
      </c>
      <c r="B578" s="468">
        <f>YEAR(Table6[[#This Row],[Date]])+IF(MONTH(Table6[[#This Row],[Date]])&gt;=4,1,0)</f>
        <v>2026</v>
      </c>
      <c r="C578" s="102">
        <f>YEAR(Table6[[#This Row],[Date]])</f>
        <v>2025</v>
      </c>
      <c r="D578" s="102" t="s">
        <v>1992</v>
      </c>
      <c r="E578" s="469">
        <f>Table6[[#This Row],[Date]]-DAY(Table6[[#This Row],[Date]])+1</f>
        <v>45778</v>
      </c>
      <c r="F578" s="470">
        <v>45782</v>
      </c>
      <c r="G578" s="35" t="s">
        <v>95</v>
      </c>
      <c r="H578" s="35" t="str">
        <f>IFERROR(_xlfn.XLOOKUP(Table6[[#This Row],[Affected WTG]],'Basic Data'!$A:$A,'Basic Data'!$B:$B),"")</f>
        <v>TQGXIIPL</v>
      </c>
      <c r="I578" s="35" t="str">
        <f>IFERROR(_xlfn.XLOOKUP(Table6[[#This Row],[Affected WTG]],'Basic Data'!$A:$A,'Basic Data'!$C:$C),"")</f>
        <v>GEDA</v>
      </c>
      <c r="J578" s="471">
        <f>IFERROR(_xlfn.XLOOKUP(Table6[[#This Row],[Affected WTG]],'Basic Data'!$A:$A,'Basic Data'!$E:$E),"")</f>
        <v>3.846153846153845E-2</v>
      </c>
      <c r="K578" s="102">
        <v>175</v>
      </c>
      <c r="L578" s="35" t="str">
        <f>IFERROR(_xlfn.XLOOKUP(Table6[[#This Row],[Error Code]],'Basic Data'!$AA:$AA,'Basic Data'!$AB:$AB),"Incorrect Error Code")</f>
        <v>SLC error</v>
      </c>
      <c r="M578" s="35" t="s">
        <v>291</v>
      </c>
      <c r="N578" s="475"/>
      <c r="O578" s="476">
        <v>0.54583333333333328</v>
      </c>
      <c r="P578" s="476">
        <v>0.54583333333333328</v>
      </c>
      <c r="Q578" s="477">
        <v>0.5541666666666667</v>
      </c>
      <c r="R578" s="472">
        <f>IF(Table6[[#This Row],[Work Start TimeStamp]]="","",(Table6[[#This Row],[Work Start TimeStamp]]-Table6[[#This Row],[Fault Start TimeStamp]])*24)</f>
        <v>0</v>
      </c>
      <c r="S578" s="472">
        <f>(Table6[[#This Row],[Fault Clearance time]]-Table6[[#This Row],[Work Start TimeStamp]])*24</f>
        <v>0.20000000000000195</v>
      </c>
      <c r="T578" s="472">
        <f>(Table6[[#This Row],[Fault Clearance time]]-Table6[[#This Row],[Fault Start TimeStamp]])*24</f>
        <v>0.20000000000000195</v>
      </c>
      <c r="U578" s="35" t="s">
        <v>349</v>
      </c>
      <c r="V578" s="102" t="s">
        <v>293</v>
      </c>
      <c r="W578" s="478">
        <f>IFERROR(Table6[[#This Row],[Breakdown Time]]*Table6[[#This Row],[Plant Equivalent Weightage]],"")</f>
        <v>7.6923076923077647E-3</v>
      </c>
      <c r="X578" s="473" t="s">
        <v>294</v>
      </c>
      <c r="Y578" s="474" t="s">
        <v>319</v>
      </c>
      <c r="Z578" s="102">
        <v>30904</v>
      </c>
      <c r="AA578" s="468">
        <f>(Table6[[#This Row],[Paired WTG Generation for loss calculation]]/24)*Table6[[#This Row],[Breakdown Time]]</f>
        <v>257.53333333333586</v>
      </c>
      <c r="AB578" s="102"/>
      <c r="AC578" s="35"/>
      <c r="AD578" s="35"/>
    </row>
    <row r="579" spans="1:30">
      <c r="A579" s="102">
        <f t="shared" si="9"/>
        <v>578</v>
      </c>
      <c r="B579" s="468">
        <f>YEAR(Table6[[#This Row],[Date]])+IF(MONTH(Table6[[#This Row],[Date]])&gt;=4,1,0)</f>
        <v>2026</v>
      </c>
      <c r="C579" s="102">
        <f>YEAR(Table6[[#This Row],[Date]])</f>
        <v>2025</v>
      </c>
      <c r="D579" s="102" t="s">
        <v>1992</v>
      </c>
      <c r="E579" s="469">
        <f>Table6[[#This Row],[Date]]-DAY(Table6[[#This Row],[Date]])+1</f>
        <v>45778</v>
      </c>
      <c r="F579" s="470">
        <v>45782</v>
      </c>
      <c r="G579" s="35" t="s">
        <v>99</v>
      </c>
      <c r="H579" s="35" t="str">
        <f>IFERROR(_xlfn.XLOOKUP(Table6[[#This Row],[Affected WTG]],'Basic Data'!$A:$A,'Basic Data'!$B:$B),"")</f>
        <v>TQGXIIPL</v>
      </c>
      <c r="I579" s="35" t="str">
        <f>IFERROR(_xlfn.XLOOKUP(Table6[[#This Row],[Affected WTG]],'Basic Data'!$A:$A,'Basic Data'!$C:$C),"")</f>
        <v>GEDA</v>
      </c>
      <c r="J579" s="471">
        <f>IFERROR(_xlfn.XLOOKUP(Table6[[#This Row],[Affected WTG]],'Basic Data'!$A:$A,'Basic Data'!$E:$E),"")</f>
        <v>3.846153846153845E-2</v>
      </c>
      <c r="K579" s="102">
        <v>6130</v>
      </c>
      <c r="L579" s="35" t="str">
        <f>IFERROR(_xlfn.XLOOKUP(Table6[[#This Row],[Error Code]],'Basic Data'!$AA:$AA,'Basic Data'!$AB:$AB),"Incorrect Error Code")</f>
        <v>Yaw speed high</v>
      </c>
      <c r="M579" s="35" t="s">
        <v>292</v>
      </c>
      <c r="N579" s="475"/>
      <c r="O579" s="476">
        <v>0.59791666666666665</v>
      </c>
      <c r="P579" s="476">
        <v>0.59791666666666665</v>
      </c>
      <c r="Q579" s="477">
        <v>0.60138888888888886</v>
      </c>
      <c r="R579" s="472">
        <f>IF(Table6[[#This Row],[Work Start TimeStamp]]="","",(Table6[[#This Row],[Work Start TimeStamp]]-Table6[[#This Row],[Fault Start TimeStamp]])*24)</f>
        <v>0</v>
      </c>
      <c r="S579" s="472">
        <f>(Table6[[#This Row],[Fault Clearance time]]-Table6[[#This Row],[Work Start TimeStamp]])*24</f>
        <v>8.3333333333333037E-2</v>
      </c>
      <c r="T579" s="472">
        <f>(Table6[[#This Row],[Fault Clearance time]]-Table6[[#This Row],[Fault Start TimeStamp]])*24</f>
        <v>8.3333333333333037E-2</v>
      </c>
      <c r="U579" s="35" t="s">
        <v>336</v>
      </c>
      <c r="V579" s="102" t="s">
        <v>293</v>
      </c>
      <c r="W579" s="478">
        <f>IFERROR(Table6[[#This Row],[Breakdown Time]]*Table6[[#This Row],[Plant Equivalent Weightage]],"")</f>
        <v>3.2051282051281929E-3</v>
      </c>
      <c r="X579" s="473" t="s">
        <v>294</v>
      </c>
      <c r="Y579" s="474" t="s">
        <v>315</v>
      </c>
      <c r="Z579" s="102">
        <v>18835</v>
      </c>
      <c r="AA579" s="468">
        <f>(Table6[[#This Row],[Paired WTG Generation for loss calculation]]/24)*Table6[[#This Row],[Breakdown Time]]</f>
        <v>65.399305555555316</v>
      </c>
      <c r="AB579" s="102"/>
      <c r="AC579" s="35"/>
      <c r="AD579" s="35"/>
    </row>
    <row r="580" spans="1:30">
      <c r="A580" s="102">
        <f t="shared" si="9"/>
        <v>579</v>
      </c>
      <c r="B580" s="468">
        <f>YEAR(Table6[[#This Row],[Date]])+IF(MONTH(Table6[[#This Row],[Date]])&gt;=4,1,0)</f>
        <v>2026</v>
      </c>
      <c r="C580" s="102">
        <f>YEAR(Table6[[#This Row],[Date]])</f>
        <v>2025</v>
      </c>
      <c r="D580" s="102" t="s">
        <v>1992</v>
      </c>
      <c r="E580" s="469">
        <f>Table6[[#This Row],[Date]]-DAY(Table6[[#This Row],[Date]])+1</f>
        <v>45778</v>
      </c>
      <c r="F580" s="470">
        <v>45783</v>
      </c>
      <c r="G580" s="35" t="s">
        <v>74</v>
      </c>
      <c r="H580" s="35" t="str">
        <f>IFERROR(_xlfn.XLOOKUP(Table6[[#This Row],[Affected WTG]],'Basic Data'!$A:$A,'Basic Data'!$B:$B),"")</f>
        <v>TQGXIIPL</v>
      </c>
      <c r="I580" s="35" t="str">
        <f>IFERROR(_xlfn.XLOOKUP(Table6[[#This Row],[Affected WTG]],'Basic Data'!$A:$A,'Basic Data'!$C:$C),"")</f>
        <v>GEDA</v>
      </c>
      <c r="J580" s="471">
        <f>IFERROR(_xlfn.XLOOKUP(Table6[[#This Row],[Affected WTG]],'Basic Data'!$A:$A,'Basic Data'!$E:$E),"")</f>
        <v>3.846153846153845E-2</v>
      </c>
      <c r="K580" s="102">
        <v>64</v>
      </c>
      <c r="L580" s="35" t="str">
        <f>IFERROR(_xlfn.XLOOKUP(Table6[[#This Row],[Error Code]],'Basic Data'!$AA:$AA,'Basic Data'!$AB:$AB),"Incorrect Error Code")</f>
        <v>Max. wind speed</v>
      </c>
      <c r="M580" s="35" t="s">
        <v>307</v>
      </c>
      <c r="N580" s="475"/>
      <c r="O580" s="476">
        <v>6.2500000000000003E-3</v>
      </c>
      <c r="P580" s="476">
        <v>6.2500000000000003E-3</v>
      </c>
      <c r="Q580" s="477">
        <v>1.8749999999999999E-2</v>
      </c>
      <c r="R580" s="472">
        <f>IF(Table6[[#This Row],[Work Start TimeStamp]]="","",(Table6[[#This Row],[Work Start TimeStamp]]-Table6[[#This Row],[Fault Start TimeStamp]])*24)</f>
        <v>0</v>
      </c>
      <c r="S580" s="472">
        <f>(Table6[[#This Row],[Fault Clearance time]]-Table6[[#This Row],[Work Start TimeStamp]])*24</f>
        <v>0.3</v>
      </c>
      <c r="T580" s="472">
        <f>(Table6[[#This Row],[Fault Clearance time]]-Table6[[#This Row],[Fault Start TimeStamp]])*24</f>
        <v>0.3</v>
      </c>
      <c r="U580" s="35" t="s">
        <v>336</v>
      </c>
      <c r="V580" s="102" t="s">
        <v>293</v>
      </c>
      <c r="W580" s="478">
        <f>IFERROR(Table6[[#This Row],[Breakdown Time]]*Table6[[#This Row],[Plant Equivalent Weightage]],"")</f>
        <v>1.1538461538461534E-2</v>
      </c>
      <c r="X580" s="473" t="s">
        <v>294</v>
      </c>
      <c r="Y580" s="474" t="s">
        <v>321</v>
      </c>
      <c r="Z580" s="102">
        <v>10926</v>
      </c>
      <c r="AA580" s="468">
        <f>(Table6[[#This Row],[Paired WTG Generation for loss calculation]]/24)*Table6[[#This Row],[Breakdown Time]]</f>
        <v>136.57499999999999</v>
      </c>
      <c r="AB580" s="102"/>
      <c r="AC580" s="35"/>
      <c r="AD580" s="35"/>
    </row>
    <row r="581" spans="1:30">
      <c r="A581" s="102">
        <f t="shared" si="9"/>
        <v>580</v>
      </c>
      <c r="B581" s="468">
        <f>YEAR(Table6[[#This Row],[Date]])+IF(MONTH(Table6[[#This Row],[Date]])&gt;=4,1,0)</f>
        <v>2026</v>
      </c>
      <c r="C581" s="102">
        <f>YEAR(Table6[[#This Row],[Date]])</f>
        <v>2025</v>
      </c>
      <c r="D581" s="102" t="s">
        <v>1992</v>
      </c>
      <c r="E581" s="469">
        <f>Table6[[#This Row],[Date]]-DAY(Table6[[#This Row],[Date]])+1</f>
        <v>45778</v>
      </c>
      <c r="F581" s="470">
        <v>45783</v>
      </c>
      <c r="G581" s="35" t="s">
        <v>74</v>
      </c>
      <c r="H581" s="35" t="str">
        <f>IFERROR(_xlfn.XLOOKUP(Table6[[#This Row],[Affected WTG]],'Basic Data'!$A:$A,'Basic Data'!$B:$B),"")</f>
        <v>TQGXIIPL</v>
      </c>
      <c r="I581" s="35" t="str">
        <f>IFERROR(_xlfn.XLOOKUP(Table6[[#This Row],[Affected WTG]],'Basic Data'!$A:$A,'Basic Data'!$C:$C),"")</f>
        <v>GEDA</v>
      </c>
      <c r="J581" s="471">
        <f>IFERROR(_xlfn.XLOOKUP(Table6[[#This Row],[Affected WTG]],'Basic Data'!$A:$A,'Basic Data'!$E:$E),"")</f>
        <v>3.846153846153845E-2</v>
      </c>
      <c r="K581" s="102">
        <v>3110</v>
      </c>
      <c r="L581" s="35" t="str">
        <f>IFERROR(_xlfn.XLOOKUP(Table6[[#This Row],[Error Code]],'Basic Data'!$AA:$AA,'Basic Data'!$AB:$AB),"Incorrect Error Code")</f>
        <v>Frequency converter error</v>
      </c>
      <c r="M581" s="35" t="s">
        <v>291</v>
      </c>
      <c r="N581" s="475"/>
      <c r="O581" s="476">
        <v>0.3215277777777778</v>
      </c>
      <c r="P581" s="476">
        <v>0.3215277777777778</v>
      </c>
      <c r="Q581" s="477">
        <v>0.33194444444444443</v>
      </c>
      <c r="R581" s="472">
        <f>IF(Table6[[#This Row],[Work Start TimeStamp]]="","",(Table6[[#This Row],[Work Start TimeStamp]]-Table6[[#This Row],[Fault Start TimeStamp]])*24)</f>
        <v>0</v>
      </c>
      <c r="S581" s="472">
        <f>(Table6[[#This Row],[Fault Clearance time]]-Table6[[#This Row],[Work Start TimeStamp]])*24</f>
        <v>0.24999999999999911</v>
      </c>
      <c r="T581" s="472">
        <f>(Table6[[#This Row],[Fault Clearance time]]-Table6[[#This Row],[Fault Start TimeStamp]])*24</f>
        <v>0.24999999999999911</v>
      </c>
      <c r="U581" s="35" t="s">
        <v>349</v>
      </c>
      <c r="V581" s="102" t="s">
        <v>293</v>
      </c>
      <c r="W581" s="478">
        <f>IFERROR(Table6[[#This Row],[Breakdown Time]]*Table6[[#This Row],[Plant Equivalent Weightage]],"")</f>
        <v>9.6153846153845778E-3</v>
      </c>
      <c r="X581" s="473" t="s">
        <v>290</v>
      </c>
      <c r="Y581" s="474" t="s">
        <v>321</v>
      </c>
      <c r="Z581" s="102">
        <v>10926</v>
      </c>
      <c r="AA581" s="468">
        <f>(Table6[[#This Row],[Paired WTG Generation for loss calculation]]/24)*Table6[[#This Row],[Breakdown Time]]</f>
        <v>113.8124999999996</v>
      </c>
      <c r="AB581" s="102"/>
      <c r="AC581" s="35"/>
      <c r="AD581" s="35"/>
    </row>
    <row r="582" spans="1:30">
      <c r="A582" s="102">
        <f t="shared" si="9"/>
        <v>581</v>
      </c>
      <c r="B582" s="468">
        <f>YEAR(Table6[[#This Row],[Date]])+IF(MONTH(Table6[[#This Row],[Date]])&gt;=4,1,0)</f>
        <v>2026</v>
      </c>
      <c r="C582" s="102">
        <f>YEAR(Table6[[#This Row],[Date]])</f>
        <v>2025</v>
      </c>
      <c r="D582" s="102" t="s">
        <v>1992</v>
      </c>
      <c r="E582" s="469">
        <f>Table6[[#This Row],[Date]]-DAY(Table6[[#This Row],[Date]])+1</f>
        <v>45778</v>
      </c>
      <c r="F582" s="470">
        <v>45783</v>
      </c>
      <c r="G582" s="35" t="s">
        <v>76</v>
      </c>
      <c r="H582" s="35" t="str">
        <f>IFERROR(_xlfn.XLOOKUP(Table6[[#This Row],[Affected WTG]],'Basic Data'!$A:$A,'Basic Data'!$B:$B),"")</f>
        <v>TQGXIIPL</v>
      </c>
      <c r="I582" s="35" t="str">
        <f>IFERROR(_xlfn.XLOOKUP(Table6[[#This Row],[Affected WTG]],'Basic Data'!$A:$A,'Basic Data'!$C:$C),"")</f>
        <v>GEDA</v>
      </c>
      <c r="J582" s="471">
        <f>IFERROR(_xlfn.XLOOKUP(Table6[[#This Row],[Affected WTG]],'Basic Data'!$A:$A,'Basic Data'!$E:$E),"")</f>
        <v>3.846153846153845E-2</v>
      </c>
      <c r="K582" s="102">
        <v>64</v>
      </c>
      <c r="L582" s="35" t="str">
        <f>IFERROR(_xlfn.XLOOKUP(Table6[[#This Row],[Error Code]],'Basic Data'!$AA:$AA,'Basic Data'!$AB:$AB),"Incorrect Error Code")</f>
        <v>Max. wind speed</v>
      </c>
      <c r="M582" s="35" t="s">
        <v>307</v>
      </c>
      <c r="N582" s="475"/>
      <c r="O582" s="476">
        <v>0.64513888888888893</v>
      </c>
      <c r="P582" s="476">
        <v>0.64513888888888893</v>
      </c>
      <c r="Q582" s="477">
        <v>0.66249999999999998</v>
      </c>
      <c r="R582" s="472">
        <f>IF(Table6[[#This Row],[Work Start TimeStamp]]="","",(Table6[[#This Row],[Work Start TimeStamp]]-Table6[[#This Row],[Fault Start TimeStamp]])*24)</f>
        <v>0</v>
      </c>
      <c r="S582" s="472">
        <f>(Table6[[#This Row],[Fault Clearance time]]-Table6[[#This Row],[Work Start TimeStamp]])*24</f>
        <v>0.41666666666666519</v>
      </c>
      <c r="T582" s="472">
        <f>(Table6[[#This Row],[Fault Clearance time]]-Table6[[#This Row],[Fault Start TimeStamp]])*24</f>
        <v>0.41666666666666519</v>
      </c>
      <c r="U582" s="35" t="s">
        <v>336</v>
      </c>
      <c r="V582" s="102" t="s">
        <v>293</v>
      </c>
      <c r="W582" s="478">
        <f>IFERROR(Table6[[#This Row],[Breakdown Time]]*Table6[[#This Row],[Plant Equivalent Weightage]],"")</f>
        <v>1.6025641025640965E-2</v>
      </c>
      <c r="X582" s="473" t="s">
        <v>294</v>
      </c>
      <c r="Y582" s="474" t="s">
        <v>309</v>
      </c>
      <c r="Z582" s="102">
        <v>15245</v>
      </c>
      <c r="AA582" s="468">
        <f>(Table6[[#This Row],[Paired WTG Generation for loss calculation]]/24)*Table6[[#This Row],[Breakdown Time]]</f>
        <v>264.67013888888795</v>
      </c>
      <c r="AB582" s="102"/>
      <c r="AC582" s="35"/>
      <c r="AD582" s="35"/>
    </row>
    <row r="583" spans="1:30">
      <c r="A583" s="102">
        <f t="shared" si="9"/>
        <v>582</v>
      </c>
      <c r="B583" s="468">
        <f>YEAR(Table6[[#This Row],[Date]])+IF(MONTH(Table6[[#This Row],[Date]])&gt;=4,1,0)</f>
        <v>2026</v>
      </c>
      <c r="C583" s="102">
        <f>YEAR(Table6[[#This Row],[Date]])</f>
        <v>2025</v>
      </c>
      <c r="D583" s="102" t="s">
        <v>1992</v>
      </c>
      <c r="E583" s="469">
        <f>Table6[[#This Row],[Date]]-DAY(Table6[[#This Row],[Date]])+1</f>
        <v>45778</v>
      </c>
      <c r="F583" s="470">
        <v>45783</v>
      </c>
      <c r="G583" s="35" t="s">
        <v>77</v>
      </c>
      <c r="H583" s="35" t="str">
        <f>IFERROR(_xlfn.XLOOKUP(Table6[[#This Row],[Affected WTG]],'Basic Data'!$A:$A,'Basic Data'!$B:$B),"")</f>
        <v>TQGXIIPL</v>
      </c>
      <c r="I583" s="35" t="str">
        <f>IFERROR(_xlfn.XLOOKUP(Table6[[#This Row],[Affected WTG]],'Basic Data'!$A:$A,'Basic Data'!$C:$C),"")</f>
        <v>GEDA</v>
      </c>
      <c r="J583" s="471">
        <f>IFERROR(_xlfn.XLOOKUP(Table6[[#This Row],[Affected WTG]],'Basic Data'!$A:$A,'Basic Data'!$E:$E),"")</f>
        <v>3.846153846153845E-2</v>
      </c>
      <c r="K583" s="102">
        <v>5550</v>
      </c>
      <c r="L583" s="35" t="str">
        <f>IFERROR(_xlfn.XLOOKUP(Table6[[#This Row],[Error Code]],'Basic Data'!$AA:$AA,'Basic Data'!$AB:$AB),"Incorrect Error Code")</f>
        <v>Low hydraulic oil level</v>
      </c>
      <c r="M583" s="35" t="s">
        <v>291</v>
      </c>
      <c r="N583" s="475"/>
      <c r="O583" s="476">
        <v>0.60624999999999996</v>
      </c>
      <c r="P583" s="476">
        <v>0.60624999999999996</v>
      </c>
      <c r="Q583" s="477">
        <v>0.64652777777777781</v>
      </c>
      <c r="R583" s="472">
        <f>IF(Table6[[#This Row],[Work Start TimeStamp]]="","",(Table6[[#This Row],[Work Start TimeStamp]]-Table6[[#This Row],[Fault Start TimeStamp]])*24)</f>
        <v>0</v>
      </c>
      <c r="S583" s="472">
        <f>(Table6[[#This Row],[Fault Clearance time]]-Table6[[#This Row],[Work Start TimeStamp]])*24</f>
        <v>0.96666666666666856</v>
      </c>
      <c r="T583" s="472">
        <f>(Table6[[#This Row],[Fault Clearance time]]-Table6[[#This Row],[Fault Start TimeStamp]])*24</f>
        <v>0.96666666666666856</v>
      </c>
      <c r="U583" s="35" t="s">
        <v>1760</v>
      </c>
      <c r="V583" s="102" t="s">
        <v>293</v>
      </c>
      <c r="W583" s="478">
        <f>IFERROR(Table6[[#This Row],[Breakdown Time]]*Table6[[#This Row],[Plant Equivalent Weightage]],"")</f>
        <v>3.7179487179487242E-2</v>
      </c>
      <c r="X583" s="473" t="s">
        <v>290</v>
      </c>
      <c r="Y583" s="474" t="s">
        <v>310</v>
      </c>
      <c r="Z583" s="102">
        <v>18793</v>
      </c>
      <c r="AA583" s="468">
        <f>(Table6[[#This Row],[Paired WTG Generation for loss calculation]]/24)*Table6[[#This Row],[Breakdown Time]]</f>
        <v>756.94027777777922</v>
      </c>
      <c r="AB583" s="102"/>
      <c r="AC583" s="35"/>
      <c r="AD583" s="35"/>
    </row>
    <row r="584" spans="1:30">
      <c r="A584" s="102">
        <f t="shared" si="9"/>
        <v>583</v>
      </c>
      <c r="B584" s="468">
        <f>YEAR(Table6[[#This Row],[Date]])+IF(MONTH(Table6[[#This Row],[Date]])&gt;=4,1,0)</f>
        <v>2026</v>
      </c>
      <c r="C584" s="102">
        <f>YEAR(Table6[[#This Row],[Date]])</f>
        <v>2025</v>
      </c>
      <c r="D584" s="102" t="s">
        <v>1992</v>
      </c>
      <c r="E584" s="469">
        <f>Table6[[#This Row],[Date]]-DAY(Table6[[#This Row],[Date]])+1</f>
        <v>45778</v>
      </c>
      <c r="F584" s="470">
        <v>45783</v>
      </c>
      <c r="G584" s="35" t="s">
        <v>77</v>
      </c>
      <c r="H584" s="35" t="str">
        <f>IFERROR(_xlfn.XLOOKUP(Table6[[#This Row],[Affected WTG]],'Basic Data'!$A:$A,'Basic Data'!$B:$B),"")</f>
        <v>TQGXIIPL</v>
      </c>
      <c r="I584" s="35" t="str">
        <f>IFERROR(_xlfn.XLOOKUP(Table6[[#This Row],[Affected WTG]],'Basic Data'!$A:$A,'Basic Data'!$C:$C),"")</f>
        <v>GEDA</v>
      </c>
      <c r="J584" s="471">
        <f>IFERROR(_xlfn.XLOOKUP(Table6[[#This Row],[Affected WTG]],'Basic Data'!$A:$A,'Basic Data'!$E:$E),"")</f>
        <v>3.846153846153845E-2</v>
      </c>
      <c r="K584" s="102">
        <v>5550</v>
      </c>
      <c r="L584" s="35" t="str">
        <f>IFERROR(_xlfn.XLOOKUP(Table6[[#This Row],[Error Code]],'Basic Data'!$AA:$AA,'Basic Data'!$AB:$AB),"Incorrect Error Code")</f>
        <v>Low hydraulic oil level</v>
      </c>
      <c r="M584" s="35" t="s">
        <v>291</v>
      </c>
      <c r="N584" s="475"/>
      <c r="O584" s="476">
        <v>0.74375000000000002</v>
      </c>
      <c r="P584" s="476">
        <v>0.74375000000000002</v>
      </c>
      <c r="Q584" s="477">
        <v>0.89375000000000004</v>
      </c>
      <c r="R584" s="472">
        <f>IF(Table6[[#This Row],[Work Start TimeStamp]]="","",(Table6[[#This Row],[Work Start TimeStamp]]-Table6[[#This Row],[Fault Start TimeStamp]])*24)</f>
        <v>0</v>
      </c>
      <c r="S584" s="472">
        <f>(Table6[[#This Row],[Fault Clearance time]]-Table6[[#This Row],[Work Start TimeStamp]])*24</f>
        <v>3.6000000000000005</v>
      </c>
      <c r="T584" s="472">
        <f>(Table6[[#This Row],[Fault Clearance time]]-Table6[[#This Row],[Fault Start TimeStamp]])*24</f>
        <v>3.6000000000000005</v>
      </c>
      <c r="U584" s="35" t="s">
        <v>1761</v>
      </c>
      <c r="V584" s="102" t="s">
        <v>293</v>
      </c>
      <c r="W584" s="478">
        <f>IFERROR(Table6[[#This Row],[Breakdown Time]]*Table6[[#This Row],[Plant Equivalent Weightage]],"")</f>
        <v>0.13846153846153844</v>
      </c>
      <c r="X584" s="473" t="s">
        <v>290</v>
      </c>
      <c r="Y584" s="474" t="s">
        <v>310</v>
      </c>
      <c r="Z584" s="102">
        <v>18793</v>
      </c>
      <c r="AA584" s="468">
        <f>(Table6[[#This Row],[Paired WTG Generation for loss calculation]]/24)*Table6[[#This Row],[Breakdown Time]]</f>
        <v>2818.9500000000003</v>
      </c>
      <c r="AB584" s="102"/>
      <c r="AC584" s="35"/>
      <c r="AD584" s="35"/>
    </row>
    <row r="585" spans="1:30">
      <c r="A585" s="102">
        <f t="shared" si="9"/>
        <v>584</v>
      </c>
      <c r="B585" s="468">
        <f>YEAR(Table6[[#This Row],[Date]])+IF(MONTH(Table6[[#This Row],[Date]])&gt;=4,1,0)</f>
        <v>2026</v>
      </c>
      <c r="C585" s="102">
        <f>YEAR(Table6[[#This Row],[Date]])</f>
        <v>2025</v>
      </c>
      <c r="D585" s="102" t="s">
        <v>1992</v>
      </c>
      <c r="E585" s="469">
        <f>Table6[[#This Row],[Date]]-DAY(Table6[[#This Row],[Date]])+1</f>
        <v>45778</v>
      </c>
      <c r="F585" s="470">
        <v>45783</v>
      </c>
      <c r="G585" s="35" t="s">
        <v>78</v>
      </c>
      <c r="H585" s="35" t="str">
        <f>IFERROR(_xlfn.XLOOKUP(Table6[[#This Row],[Affected WTG]],'Basic Data'!$A:$A,'Basic Data'!$B:$B),"")</f>
        <v>TQGXIIPL</v>
      </c>
      <c r="I585" s="35" t="str">
        <f>IFERROR(_xlfn.XLOOKUP(Table6[[#This Row],[Affected WTG]],'Basic Data'!$A:$A,'Basic Data'!$C:$C),"")</f>
        <v>GEDA</v>
      </c>
      <c r="J585" s="471">
        <f>IFERROR(_xlfn.XLOOKUP(Table6[[#This Row],[Affected WTG]],'Basic Data'!$A:$A,'Basic Data'!$E:$E),"")</f>
        <v>3.846153846153845E-2</v>
      </c>
      <c r="K585" s="102">
        <v>567</v>
      </c>
      <c r="L585" s="35" t="str">
        <f>IFERROR(_xlfn.XLOOKUP(Table6[[#This Row],[Error Code]],'Basic Data'!$AA:$AA,'Basic Data'!$AB:$AB),"Incorrect Error Code")</f>
        <v>Pitch too slow BP52</v>
      </c>
      <c r="M585" s="35" t="s">
        <v>291</v>
      </c>
      <c r="N585" s="475"/>
      <c r="O585" s="476">
        <v>1.9444444444444445E-2</v>
      </c>
      <c r="P585" s="476">
        <v>1.9444444444444445E-2</v>
      </c>
      <c r="Q585" s="477">
        <v>2.6388888888888889E-2</v>
      </c>
      <c r="R585" s="472">
        <f>IF(Table6[[#This Row],[Work Start TimeStamp]]="","",(Table6[[#This Row],[Work Start TimeStamp]]-Table6[[#This Row],[Fault Start TimeStamp]])*24)</f>
        <v>0</v>
      </c>
      <c r="S585" s="472">
        <f>(Table6[[#This Row],[Fault Clearance time]]-Table6[[#This Row],[Work Start TimeStamp]])*24</f>
        <v>0.16666666666666666</v>
      </c>
      <c r="T585" s="472">
        <f>(Table6[[#This Row],[Fault Clearance time]]-Table6[[#This Row],[Fault Start TimeStamp]])*24</f>
        <v>0.16666666666666666</v>
      </c>
      <c r="U585" s="35" t="s">
        <v>336</v>
      </c>
      <c r="V585" s="102" t="s">
        <v>293</v>
      </c>
      <c r="W585" s="478">
        <f>IFERROR(Table6[[#This Row],[Breakdown Time]]*Table6[[#This Row],[Plant Equivalent Weightage]],"")</f>
        <v>6.4102564102564083E-3</v>
      </c>
      <c r="X585" s="473" t="s">
        <v>294</v>
      </c>
      <c r="Y585" s="474" t="s">
        <v>333</v>
      </c>
      <c r="Z585" s="102">
        <v>15091</v>
      </c>
      <c r="AA585" s="468">
        <f>(Table6[[#This Row],[Paired WTG Generation for loss calculation]]/24)*Table6[[#This Row],[Breakdown Time]]</f>
        <v>104.7986111111111</v>
      </c>
      <c r="AB585" s="102"/>
      <c r="AC585" s="35"/>
      <c r="AD585" s="35"/>
    </row>
    <row r="586" spans="1:30">
      <c r="A586" s="102">
        <f t="shared" si="9"/>
        <v>585</v>
      </c>
      <c r="B586" s="468">
        <f>YEAR(Table6[[#This Row],[Date]])+IF(MONTH(Table6[[#This Row],[Date]])&gt;=4,1,0)</f>
        <v>2026</v>
      </c>
      <c r="C586" s="102">
        <f>YEAR(Table6[[#This Row],[Date]])</f>
        <v>2025</v>
      </c>
      <c r="D586" s="102" t="s">
        <v>1992</v>
      </c>
      <c r="E586" s="469">
        <f>Table6[[#This Row],[Date]]-DAY(Table6[[#This Row],[Date]])+1</f>
        <v>45778</v>
      </c>
      <c r="F586" s="470">
        <v>45783</v>
      </c>
      <c r="G586" s="35" t="s">
        <v>78</v>
      </c>
      <c r="H586" s="35" t="str">
        <f>IFERROR(_xlfn.XLOOKUP(Table6[[#This Row],[Affected WTG]],'Basic Data'!$A:$A,'Basic Data'!$B:$B),"")</f>
        <v>TQGXIIPL</v>
      </c>
      <c r="I586" s="35" t="str">
        <f>IFERROR(_xlfn.XLOOKUP(Table6[[#This Row],[Affected WTG]],'Basic Data'!$A:$A,'Basic Data'!$C:$C),"")</f>
        <v>GEDA</v>
      </c>
      <c r="J586" s="471">
        <f>IFERROR(_xlfn.XLOOKUP(Table6[[#This Row],[Affected WTG]],'Basic Data'!$A:$A,'Basic Data'!$E:$E),"")</f>
        <v>3.846153846153845E-2</v>
      </c>
      <c r="K586" s="102">
        <v>2520</v>
      </c>
      <c r="L586" s="35" t="str">
        <f>IFERROR(_xlfn.XLOOKUP(Table6[[#This Row],[Error Code]],'Basic Data'!$AA:$AA,'Basic Data'!$AB:$AB),"Incorrect Error Code")</f>
        <v>Gen.speed analog&lt;&gt;gear.speed</v>
      </c>
      <c r="M586" s="35" t="s">
        <v>291</v>
      </c>
      <c r="N586" s="475"/>
      <c r="O586" s="476">
        <v>0.65972222222222221</v>
      </c>
      <c r="P586" s="476">
        <v>0.65972222222222221</v>
      </c>
      <c r="Q586" s="477">
        <v>0.66111111111111109</v>
      </c>
      <c r="R586" s="472">
        <f>IF(Table6[[#This Row],[Work Start TimeStamp]]="","",(Table6[[#This Row],[Work Start TimeStamp]]-Table6[[#This Row],[Fault Start TimeStamp]])*24)</f>
        <v>0</v>
      </c>
      <c r="S586" s="472">
        <f>(Table6[[#This Row],[Fault Clearance time]]-Table6[[#This Row],[Work Start TimeStamp]])*24</f>
        <v>3.3333333333333215E-2</v>
      </c>
      <c r="T586" s="472">
        <f>(Table6[[#This Row],[Fault Clearance time]]-Table6[[#This Row],[Fault Start TimeStamp]])*24</f>
        <v>3.3333333333333215E-2</v>
      </c>
      <c r="U586" s="35" t="s">
        <v>336</v>
      </c>
      <c r="V586" s="102" t="s">
        <v>293</v>
      </c>
      <c r="W586" s="478">
        <f>IFERROR(Table6[[#This Row],[Breakdown Time]]*Table6[[#This Row],[Plant Equivalent Weightage]],"")</f>
        <v>1.2820512820512771E-3</v>
      </c>
      <c r="X586" s="473" t="s">
        <v>294</v>
      </c>
      <c r="Y586" s="474" t="s">
        <v>333</v>
      </c>
      <c r="Z586" s="102">
        <v>15091</v>
      </c>
      <c r="AA586" s="468">
        <f>(Table6[[#This Row],[Paired WTG Generation for loss calculation]]/24)*Table6[[#This Row],[Breakdown Time]]</f>
        <v>20.959722222222148</v>
      </c>
      <c r="AB586" s="102"/>
      <c r="AC586" s="35"/>
      <c r="AD586" s="35"/>
    </row>
    <row r="587" spans="1:30">
      <c r="A587" s="102">
        <f t="shared" si="9"/>
        <v>586</v>
      </c>
      <c r="B587" s="468">
        <f>YEAR(Table6[[#This Row],[Date]])+IF(MONTH(Table6[[#This Row],[Date]])&gt;=4,1,0)</f>
        <v>2026</v>
      </c>
      <c r="C587" s="102">
        <f>YEAR(Table6[[#This Row],[Date]])</f>
        <v>2025</v>
      </c>
      <c r="D587" s="102" t="s">
        <v>1992</v>
      </c>
      <c r="E587" s="469">
        <f>Table6[[#This Row],[Date]]-DAY(Table6[[#This Row],[Date]])+1</f>
        <v>45778</v>
      </c>
      <c r="F587" s="470">
        <v>45783</v>
      </c>
      <c r="G587" s="35" t="s">
        <v>80</v>
      </c>
      <c r="H587" s="35" t="str">
        <f>IFERROR(_xlfn.XLOOKUP(Table6[[#This Row],[Affected WTG]],'Basic Data'!$A:$A,'Basic Data'!$B:$B),"")</f>
        <v>TQGXIIPL</v>
      </c>
      <c r="I587" s="35" t="str">
        <f>IFERROR(_xlfn.XLOOKUP(Table6[[#This Row],[Affected WTG]],'Basic Data'!$A:$A,'Basic Data'!$C:$C),"")</f>
        <v>GEDA</v>
      </c>
      <c r="J587" s="471">
        <f>IFERROR(_xlfn.XLOOKUP(Table6[[#This Row],[Affected WTG]],'Basic Data'!$A:$A,'Basic Data'!$E:$E),"")</f>
        <v>3.846153846153845E-2</v>
      </c>
      <c r="K587" s="102">
        <v>175</v>
      </c>
      <c r="L587" s="35" t="str">
        <f>IFERROR(_xlfn.XLOOKUP(Table6[[#This Row],[Error Code]],'Basic Data'!$AA:$AA,'Basic Data'!$AB:$AB),"Incorrect Error Code")</f>
        <v>SLC error</v>
      </c>
      <c r="M587" s="35" t="s">
        <v>291</v>
      </c>
      <c r="N587" s="475"/>
      <c r="O587" s="476">
        <v>0.91736111111111107</v>
      </c>
      <c r="P587" s="476">
        <v>0.91736111111111107</v>
      </c>
      <c r="Q587" s="477">
        <v>0.91805555555555551</v>
      </c>
      <c r="R587" s="472">
        <f>IF(Table6[[#This Row],[Work Start TimeStamp]]="","",(Table6[[#This Row],[Work Start TimeStamp]]-Table6[[#This Row],[Fault Start TimeStamp]])*24)</f>
        <v>0</v>
      </c>
      <c r="S587" s="472">
        <f>(Table6[[#This Row],[Fault Clearance time]]-Table6[[#This Row],[Work Start TimeStamp]])*24</f>
        <v>1.6666666666666607E-2</v>
      </c>
      <c r="T587" s="472">
        <f>(Table6[[#This Row],[Fault Clearance time]]-Table6[[#This Row],[Fault Start TimeStamp]])*24</f>
        <v>1.6666666666666607E-2</v>
      </c>
      <c r="U587" s="35" t="s">
        <v>336</v>
      </c>
      <c r="V587" s="102" t="s">
        <v>293</v>
      </c>
      <c r="W587" s="478">
        <f>IFERROR(Table6[[#This Row],[Breakdown Time]]*Table6[[#This Row],[Plant Equivalent Weightage]],"")</f>
        <v>6.4102564102563853E-4</v>
      </c>
      <c r="X587" s="473" t="s">
        <v>294</v>
      </c>
      <c r="Y587" s="474" t="s">
        <v>317</v>
      </c>
      <c r="Z587" s="102">
        <v>15082</v>
      </c>
      <c r="AA587" s="468">
        <f>(Table6[[#This Row],[Paired WTG Generation for loss calculation]]/24)*Table6[[#This Row],[Breakdown Time]]</f>
        <v>10.473611111111074</v>
      </c>
      <c r="AB587" s="102"/>
      <c r="AC587" s="35"/>
      <c r="AD587" s="35"/>
    </row>
    <row r="588" spans="1:30">
      <c r="A588" s="102">
        <f t="shared" si="9"/>
        <v>587</v>
      </c>
      <c r="B588" s="468">
        <f>YEAR(Table6[[#This Row],[Date]])+IF(MONTH(Table6[[#This Row],[Date]])&gt;=4,1,0)</f>
        <v>2026</v>
      </c>
      <c r="C588" s="102">
        <f>YEAR(Table6[[#This Row],[Date]])</f>
        <v>2025</v>
      </c>
      <c r="D588" s="102" t="s">
        <v>1992</v>
      </c>
      <c r="E588" s="469">
        <f>Table6[[#This Row],[Date]]-DAY(Table6[[#This Row],[Date]])+1</f>
        <v>45778</v>
      </c>
      <c r="F588" s="470">
        <v>45783</v>
      </c>
      <c r="G588" s="35" t="s">
        <v>81</v>
      </c>
      <c r="H588" s="35" t="str">
        <f>IFERROR(_xlfn.XLOOKUP(Table6[[#This Row],[Affected WTG]],'Basic Data'!$A:$A,'Basic Data'!$B:$B),"")</f>
        <v>TQGXIIPL</v>
      </c>
      <c r="I588" s="35" t="str">
        <f>IFERROR(_xlfn.XLOOKUP(Table6[[#This Row],[Affected WTG]],'Basic Data'!$A:$A,'Basic Data'!$C:$C),"")</f>
        <v>GEDA</v>
      </c>
      <c r="J588" s="471">
        <f>IFERROR(_xlfn.XLOOKUP(Table6[[#This Row],[Affected WTG]],'Basic Data'!$A:$A,'Basic Data'!$E:$E),"")</f>
        <v>3.846153846153845E-2</v>
      </c>
      <c r="K588" s="102">
        <v>55</v>
      </c>
      <c r="L588" s="35" t="str">
        <f>IFERROR(_xlfn.XLOOKUP(Table6[[#This Row],[Error Code]],'Basic Data'!$AA:$AA,'Basic Data'!$AB:$AB),"Incorrect Error Code")</f>
        <v>WTG shut down</v>
      </c>
      <c r="M588" s="35" t="s">
        <v>330</v>
      </c>
      <c r="N588" s="475"/>
      <c r="O588" s="476">
        <v>2.6388888888888889E-2</v>
      </c>
      <c r="P588" s="476">
        <v>2.6388888888888889E-2</v>
      </c>
      <c r="Q588" s="477">
        <v>4.8611111111111112E-2</v>
      </c>
      <c r="R588" s="472">
        <f>IF(Table6[[#This Row],[Work Start TimeStamp]]="","",(Table6[[#This Row],[Work Start TimeStamp]]-Table6[[#This Row],[Fault Start TimeStamp]])*24)</f>
        <v>0</v>
      </c>
      <c r="S588" s="472">
        <f>(Table6[[#This Row],[Fault Clearance time]]-Table6[[#This Row],[Work Start TimeStamp]])*24</f>
        <v>0.53333333333333333</v>
      </c>
      <c r="T588" s="472">
        <f>(Table6[[#This Row],[Fault Clearance time]]-Table6[[#This Row],[Fault Start TimeStamp]])*24</f>
        <v>0.53333333333333333</v>
      </c>
      <c r="U588" s="35" t="s">
        <v>1744</v>
      </c>
      <c r="V588" s="102" t="s">
        <v>293</v>
      </c>
      <c r="W588" s="478">
        <f>IFERROR(Table6[[#This Row],[Breakdown Time]]*Table6[[#This Row],[Plant Equivalent Weightage]],"")</f>
        <v>2.0512820512820506E-2</v>
      </c>
      <c r="X588" s="473" t="s">
        <v>290</v>
      </c>
      <c r="Y588" s="474" t="s">
        <v>321</v>
      </c>
      <c r="Z588" s="102">
        <v>10926</v>
      </c>
      <c r="AA588" s="468">
        <f>(Table6[[#This Row],[Paired WTG Generation for loss calculation]]/24)*Table6[[#This Row],[Breakdown Time]]</f>
        <v>242.79999999999998</v>
      </c>
      <c r="AB588" s="102"/>
      <c r="AC588" s="35"/>
      <c r="AD588" s="35"/>
    </row>
    <row r="589" spans="1:30">
      <c r="A589" s="102">
        <f t="shared" si="9"/>
        <v>588</v>
      </c>
      <c r="B589" s="468">
        <f>YEAR(Table6[[#This Row],[Date]])+IF(MONTH(Table6[[#This Row],[Date]])&gt;=4,1,0)</f>
        <v>2026</v>
      </c>
      <c r="C589" s="102">
        <f>YEAR(Table6[[#This Row],[Date]])</f>
        <v>2025</v>
      </c>
      <c r="D589" s="102" t="s">
        <v>1992</v>
      </c>
      <c r="E589" s="469">
        <f>Table6[[#This Row],[Date]]-DAY(Table6[[#This Row],[Date]])+1</f>
        <v>45778</v>
      </c>
      <c r="F589" s="470">
        <v>45783</v>
      </c>
      <c r="G589" s="35" t="s">
        <v>81</v>
      </c>
      <c r="H589" s="35" t="str">
        <f>IFERROR(_xlfn.XLOOKUP(Table6[[#This Row],[Affected WTG]],'Basic Data'!$A:$A,'Basic Data'!$B:$B),"")</f>
        <v>TQGXIIPL</v>
      </c>
      <c r="I589" s="35" t="str">
        <f>IFERROR(_xlfn.XLOOKUP(Table6[[#This Row],[Affected WTG]],'Basic Data'!$A:$A,'Basic Data'!$C:$C),"")</f>
        <v>GEDA</v>
      </c>
      <c r="J589" s="471">
        <f>IFERROR(_xlfn.XLOOKUP(Table6[[#This Row],[Affected WTG]],'Basic Data'!$A:$A,'Basic Data'!$E:$E),"")</f>
        <v>3.846153846153845E-2</v>
      </c>
      <c r="K589" s="102">
        <v>6007</v>
      </c>
      <c r="L589" s="35" t="str">
        <f>IFERROR(_xlfn.XLOOKUP(Table6[[#This Row],[Error Code]],'Basic Data'!$AA:$AA,'Basic Data'!$AB:$AB),"Incorrect Error Code")</f>
        <v>Overload yaw motors group 1</v>
      </c>
      <c r="M589" s="35" t="s">
        <v>292</v>
      </c>
      <c r="N589" s="475"/>
      <c r="O589" s="476">
        <v>5.2083333333333336E-2</v>
      </c>
      <c r="P589" s="476">
        <v>6.5277777777777782E-2</v>
      </c>
      <c r="Q589" s="477">
        <v>8.611111111111111E-2</v>
      </c>
      <c r="R589" s="472">
        <f>IF(Table6[[#This Row],[Work Start TimeStamp]]="","",(Table6[[#This Row],[Work Start TimeStamp]]-Table6[[#This Row],[Fault Start TimeStamp]])*24)</f>
        <v>0.31666666666666671</v>
      </c>
      <c r="S589" s="472">
        <f>(Table6[[#This Row],[Fault Clearance time]]-Table6[[#This Row],[Work Start TimeStamp]])*24</f>
        <v>0.49999999999999989</v>
      </c>
      <c r="T589" s="472">
        <f>(Table6[[#This Row],[Fault Clearance time]]-Table6[[#This Row],[Fault Start TimeStamp]])*24</f>
        <v>0.81666666666666665</v>
      </c>
      <c r="U589" s="35" t="s">
        <v>1762</v>
      </c>
      <c r="V589" s="102" t="s">
        <v>293</v>
      </c>
      <c r="W589" s="478">
        <f>IFERROR(Table6[[#This Row],[Breakdown Time]]*Table6[[#This Row],[Plant Equivalent Weightage]],"")</f>
        <v>3.1410256410256403E-2</v>
      </c>
      <c r="X589" s="473" t="s">
        <v>290</v>
      </c>
      <c r="Y589" s="474" t="s">
        <v>321</v>
      </c>
      <c r="Z589" s="102">
        <v>10926</v>
      </c>
      <c r="AA589" s="468">
        <f>(Table6[[#This Row],[Paired WTG Generation for loss calculation]]/24)*Table6[[#This Row],[Breakdown Time]]</f>
        <v>371.78749999999997</v>
      </c>
      <c r="AB589" s="102"/>
      <c r="AC589" s="35"/>
      <c r="AD589" s="35"/>
    </row>
    <row r="590" spans="1:30">
      <c r="A590" s="102">
        <f t="shared" ref="A590:A653" si="10">A589+1</f>
        <v>589</v>
      </c>
      <c r="B590" s="468">
        <f>YEAR(Table6[[#This Row],[Date]])+IF(MONTH(Table6[[#This Row],[Date]])&gt;=4,1,0)</f>
        <v>2026</v>
      </c>
      <c r="C590" s="102">
        <f>YEAR(Table6[[#This Row],[Date]])</f>
        <v>2025</v>
      </c>
      <c r="D590" s="102" t="s">
        <v>1992</v>
      </c>
      <c r="E590" s="469">
        <f>Table6[[#This Row],[Date]]-DAY(Table6[[#This Row],[Date]])+1</f>
        <v>45778</v>
      </c>
      <c r="F590" s="470">
        <v>45783</v>
      </c>
      <c r="G590" s="35" t="s">
        <v>81</v>
      </c>
      <c r="H590" s="35" t="str">
        <f>IFERROR(_xlfn.XLOOKUP(Table6[[#This Row],[Affected WTG]],'Basic Data'!$A:$A,'Basic Data'!$B:$B),"")</f>
        <v>TQGXIIPL</v>
      </c>
      <c r="I590" s="35" t="str">
        <f>IFERROR(_xlfn.XLOOKUP(Table6[[#This Row],[Affected WTG]],'Basic Data'!$A:$A,'Basic Data'!$C:$C),"")</f>
        <v>GEDA</v>
      </c>
      <c r="J590" s="471">
        <f>IFERROR(_xlfn.XLOOKUP(Table6[[#This Row],[Affected WTG]],'Basic Data'!$A:$A,'Basic Data'!$E:$E),"")</f>
        <v>3.846153846153845E-2</v>
      </c>
      <c r="K590" s="102">
        <v>6130</v>
      </c>
      <c r="L590" s="35" t="str">
        <f>IFERROR(_xlfn.XLOOKUP(Table6[[#This Row],[Error Code]],'Basic Data'!$AA:$AA,'Basic Data'!$AB:$AB),"Incorrect Error Code")</f>
        <v>Yaw speed high</v>
      </c>
      <c r="M590" s="35" t="s">
        <v>292</v>
      </c>
      <c r="N590" s="475"/>
      <c r="O590" s="476">
        <v>0.55277777777777781</v>
      </c>
      <c r="P590" s="476">
        <v>0.55277777777777781</v>
      </c>
      <c r="Q590" s="477">
        <v>0.55694444444444446</v>
      </c>
      <c r="R590" s="472">
        <f>IF(Table6[[#This Row],[Work Start TimeStamp]]="","",(Table6[[#This Row],[Work Start TimeStamp]]-Table6[[#This Row],[Fault Start TimeStamp]])*24)</f>
        <v>0</v>
      </c>
      <c r="S590" s="472">
        <f>(Table6[[#This Row],[Fault Clearance time]]-Table6[[#This Row],[Work Start TimeStamp]])*24</f>
        <v>9.9999999999999645E-2</v>
      </c>
      <c r="T590" s="472">
        <f>(Table6[[#This Row],[Fault Clearance time]]-Table6[[#This Row],[Fault Start TimeStamp]])*24</f>
        <v>9.9999999999999645E-2</v>
      </c>
      <c r="U590" s="35" t="s">
        <v>336</v>
      </c>
      <c r="V590" s="102" t="s">
        <v>293</v>
      </c>
      <c r="W590" s="478">
        <f>IFERROR(Table6[[#This Row],[Breakdown Time]]*Table6[[#This Row],[Plant Equivalent Weightage]],"")</f>
        <v>3.8461538461538312E-3</v>
      </c>
      <c r="X590" s="473" t="s">
        <v>294</v>
      </c>
      <c r="Y590" s="474" t="s">
        <v>321</v>
      </c>
      <c r="Z590" s="102">
        <v>10926</v>
      </c>
      <c r="AA590" s="468">
        <f>(Table6[[#This Row],[Paired WTG Generation for loss calculation]]/24)*Table6[[#This Row],[Breakdown Time]]</f>
        <v>45.524999999999835</v>
      </c>
      <c r="AB590" s="102"/>
      <c r="AC590" s="35"/>
      <c r="AD590" s="35"/>
    </row>
    <row r="591" spans="1:30">
      <c r="A591" s="102">
        <f t="shared" si="10"/>
        <v>590</v>
      </c>
      <c r="B591" s="468">
        <f>YEAR(Table6[[#This Row],[Date]])+IF(MONTH(Table6[[#This Row],[Date]])&gt;=4,1,0)</f>
        <v>2026</v>
      </c>
      <c r="C591" s="102">
        <f>YEAR(Table6[[#This Row],[Date]])</f>
        <v>2025</v>
      </c>
      <c r="D591" s="102" t="s">
        <v>1992</v>
      </c>
      <c r="E591" s="469">
        <f>Table6[[#This Row],[Date]]-DAY(Table6[[#This Row],[Date]])+1</f>
        <v>45778</v>
      </c>
      <c r="F591" s="470">
        <v>45783</v>
      </c>
      <c r="G591" s="35" t="s">
        <v>81</v>
      </c>
      <c r="H591" s="35" t="str">
        <f>IFERROR(_xlfn.XLOOKUP(Table6[[#This Row],[Affected WTG]],'Basic Data'!$A:$A,'Basic Data'!$B:$B),"")</f>
        <v>TQGXIIPL</v>
      </c>
      <c r="I591" s="35" t="str">
        <f>IFERROR(_xlfn.XLOOKUP(Table6[[#This Row],[Affected WTG]],'Basic Data'!$A:$A,'Basic Data'!$C:$C),"")</f>
        <v>GEDA</v>
      </c>
      <c r="J591" s="471">
        <f>IFERROR(_xlfn.XLOOKUP(Table6[[#This Row],[Affected WTG]],'Basic Data'!$A:$A,'Basic Data'!$E:$E),"")</f>
        <v>3.846153846153845E-2</v>
      </c>
      <c r="K591" s="102">
        <v>6130</v>
      </c>
      <c r="L591" s="35" t="str">
        <f>IFERROR(_xlfn.XLOOKUP(Table6[[#This Row],[Error Code]],'Basic Data'!$AA:$AA,'Basic Data'!$AB:$AB),"Incorrect Error Code")</f>
        <v>Yaw speed high</v>
      </c>
      <c r="M591" s="35" t="s">
        <v>292</v>
      </c>
      <c r="N591" s="475"/>
      <c r="O591" s="476">
        <v>0.6479166666666667</v>
      </c>
      <c r="P591" s="476">
        <v>0.6479166666666667</v>
      </c>
      <c r="Q591" s="477">
        <v>0.66249999999999998</v>
      </c>
      <c r="R591" s="472">
        <f>IF(Table6[[#This Row],[Work Start TimeStamp]]="","",(Table6[[#This Row],[Work Start TimeStamp]]-Table6[[#This Row],[Fault Start TimeStamp]])*24)</f>
        <v>0</v>
      </c>
      <c r="S591" s="472">
        <f>(Table6[[#This Row],[Fault Clearance time]]-Table6[[#This Row],[Work Start TimeStamp]])*24</f>
        <v>0.34999999999999876</v>
      </c>
      <c r="T591" s="472">
        <f>(Table6[[#This Row],[Fault Clearance time]]-Table6[[#This Row],[Fault Start TimeStamp]])*24</f>
        <v>0.34999999999999876</v>
      </c>
      <c r="U591" s="35" t="s">
        <v>336</v>
      </c>
      <c r="V591" s="102" t="s">
        <v>293</v>
      </c>
      <c r="W591" s="478">
        <f>IFERROR(Table6[[#This Row],[Breakdown Time]]*Table6[[#This Row],[Plant Equivalent Weightage]],"")</f>
        <v>1.346153846153841E-2</v>
      </c>
      <c r="X591" s="473" t="s">
        <v>294</v>
      </c>
      <c r="Y591" s="474" t="s">
        <v>321</v>
      </c>
      <c r="Z591" s="102">
        <v>10926</v>
      </c>
      <c r="AA591" s="468">
        <f>(Table6[[#This Row],[Paired WTG Generation for loss calculation]]/24)*Table6[[#This Row],[Breakdown Time]]</f>
        <v>159.33749999999944</v>
      </c>
      <c r="AB591" s="102"/>
      <c r="AC591" s="35"/>
      <c r="AD591" s="35"/>
    </row>
    <row r="592" spans="1:30">
      <c r="A592" s="102">
        <f t="shared" si="10"/>
        <v>591</v>
      </c>
      <c r="B592" s="468">
        <f>YEAR(Table6[[#This Row],[Date]])+IF(MONTH(Table6[[#This Row],[Date]])&gt;=4,1,0)</f>
        <v>2026</v>
      </c>
      <c r="C592" s="102">
        <f>YEAR(Table6[[#This Row],[Date]])</f>
        <v>2025</v>
      </c>
      <c r="D592" s="102" t="s">
        <v>1992</v>
      </c>
      <c r="E592" s="469">
        <f>Table6[[#This Row],[Date]]-DAY(Table6[[#This Row],[Date]])+1</f>
        <v>45778</v>
      </c>
      <c r="F592" s="470">
        <v>45783</v>
      </c>
      <c r="G592" s="35" t="s">
        <v>82</v>
      </c>
      <c r="H592" s="35" t="str">
        <f>IFERROR(_xlfn.XLOOKUP(Table6[[#This Row],[Affected WTG]],'Basic Data'!$A:$A,'Basic Data'!$B:$B),"")</f>
        <v>TQGXIIPL</v>
      </c>
      <c r="I592" s="35" t="str">
        <f>IFERROR(_xlfn.XLOOKUP(Table6[[#This Row],[Affected WTG]],'Basic Data'!$A:$A,'Basic Data'!$C:$C),"")</f>
        <v>GEDA</v>
      </c>
      <c r="J592" s="471">
        <f>IFERROR(_xlfn.XLOOKUP(Table6[[#This Row],[Affected WTG]],'Basic Data'!$A:$A,'Basic Data'!$E:$E),"")</f>
        <v>3.846153846153845E-2</v>
      </c>
      <c r="K592" s="102">
        <v>64</v>
      </c>
      <c r="L592" s="35" t="str">
        <f>IFERROR(_xlfn.XLOOKUP(Table6[[#This Row],[Error Code]],'Basic Data'!$AA:$AA,'Basic Data'!$AB:$AB),"Incorrect Error Code")</f>
        <v>Max. wind speed</v>
      </c>
      <c r="M592" s="35" t="s">
        <v>307</v>
      </c>
      <c r="N592" s="475"/>
      <c r="O592" s="476">
        <v>0.63124999999999998</v>
      </c>
      <c r="P592" s="476">
        <v>0.63124999999999998</v>
      </c>
      <c r="Q592" s="477">
        <v>0.63263888888888886</v>
      </c>
      <c r="R592" s="472">
        <f>IF(Table6[[#This Row],[Work Start TimeStamp]]="","",(Table6[[#This Row],[Work Start TimeStamp]]-Table6[[#This Row],[Fault Start TimeStamp]])*24)</f>
        <v>0</v>
      </c>
      <c r="S592" s="472">
        <f>(Table6[[#This Row],[Fault Clearance time]]-Table6[[#This Row],[Work Start TimeStamp]])*24</f>
        <v>3.3333333333333215E-2</v>
      </c>
      <c r="T592" s="472">
        <f>(Table6[[#This Row],[Fault Clearance time]]-Table6[[#This Row],[Fault Start TimeStamp]])*24</f>
        <v>3.3333333333333215E-2</v>
      </c>
      <c r="U592" s="35" t="s">
        <v>336</v>
      </c>
      <c r="V592" s="102" t="s">
        <v>293</v>
      </c>
      <c r="W592" s="478">
        <f>IFERROR(Table6[[#This Row],[Breakdown Time]]*Table6[[#This Row],[Plant Equivalent Weightage]],"")</f>
        <v>1.2820512820512771E-3</v>
      </c>
      <c r="X592" s="473" t="s">
        <v>294</v>
      </c>
      <c r="Y592" s="474" t="s">
        <v>332</v>
      </c>
      <c r="Z592" s="102">
        <v>15302</v>
      </c>
      <c r="AA592" s="468">
        <f>(Table6[[#This Row],[Paired WTG Generation for loss calculation]]/24)*Table6[[#This Row],[Breakdown Time]]</f>
        <v>21.252777777777702</v>
      </c>
      <c r="AB592" s="102"/>
      <c r="AC592" s="35"/>
      <c r="AD592" s="35"/>
    </row>
    <row r="593" spans="1:30">
      <c r="A593" s="102">
        <f t="shared" si="10"/>
        <v>592</v>
      </c>
      <c r="B593" s="468">
        <f>YEAR(Table6[[#This Row],[Date]])+IF(MONTH(Table6[[#This Row],[Date]])&gt;=4,1,0)</f>
        <v>2026</v>
      </c>
      <c r="C593" s="102">
        <f>YEAR(Table6[[#This Row],[Date]])</f>
        <v>2025</v>
      </c>
      <c r="D593" s="102" t="s">
        <v>1992</v>
      </c>
      <c r="E593" s="469">
        <f>Table6[[#This Row],[Date]]-DAY(Table6[[#This Row],[Date]])+1</f>
        <v>45778</v>
      </c>
      <c r="F593" s="470">
        <v>45783</v>
      </c>
      <c r="G593" s="35" t="s">
        <v>83</v>
      </c>
      <c r="H593" s="35" t="str">
        <f>IFERROR(_xlfn.XLOOKUP(Table6[[#This Row],[Affected WTG]],'Basic Data'!$A:$A,'Basic Data'!$B:$B),"")</f>
        <v>TQGXIIPL</v>
      </c>
      <c r="I593" s="35" t="str">
        <f>IFERROR(_xlfn.XLOOKUP(Table6[[#This Row],[Affected WTG]],'Basic Data'!$A:$A,'Basic Data'!$C:$C),"")</f>
        <v>GEDA</v>
      </c>
      <c r="J593" s="471">
        <f>IFERROR(_xlfn.XLOOKUP(Table6[[#This Row],[Affected WTG]],'Basic Data'!$A:$A,'Basic Data'!$E:$E),"")</f>
        <v>3.846153846153845E-2</v>
      </c>
      <c r="K593" s="102">
        <v>64</v>
      </c>
      <c r="L593" s="35" t="str">
        <f>IFERROR(_xlfn.XLOOKUP(Table6[[#This Row],[Error Code]],'Basic Data'!$AA:$AA,'Basic Data'!$AB:$AB),"Incorrect Error Code")</f>
        <v>Max. wind speed</v>
      </c>
      <c r="M593" s="35" t="s">
        <v>307</v>
      </c>
      <c r="N593" s="475"/>
      <c r="O593" s="476">
        <v>0.63402777777777775</v>
      </c>
      <c r="P593" s="476">
        <v>0.63402777777777775</v>
      </c>
      <c r="Q593" s="477">
        <v>0.6381944444444444</v>
      </c>
      <c r="R593" s="472">
        <f>IF(Table6[[#This Row],[Work Start TimeStamp]]="","",(Table6[[#This Row],[Work Start TimeStamp]]-Table6[[#This Row],[Fault Start TimeStamp]])*24)</f>
        <v>0</v>
      </c>
      <c r="S593" s="472">
        <f>(Table6[[#This Row],[Fault Clearance time]]-Table6[[#This Row],[Work Start TimeStamp]])*24</f>
        <v>9.9999999999999645E-2</v>
      </c>
      <c r="T593" s="472">
        <f>(Table6[[#This Row],[Fault Clearance time]]-Table6[[#This Row],[Fault Start TimeStamp]])*24</f>
        <v>9.9999999999999645E-2</v>
      </c>
      <c r="U593" s="35" t="s">
        <v>336</v>
      </c>
      <c r="V593" s="102" t="s">
        <v>293</v>
      </c>
      <c r="W593" s="478">
        <f>IFERROR(Table6[[#This Row],[Breakdown Time]]*Table6[[#This Row],[Plant Equivalent Weightage]],"")</f>
        <v>3.8461538461538312E-3</v>
      </c>
      <c r="X593" s="473" t="s">
        <v>294</v>
      </c>
      <c r="Y593" s="474" t="s">
        <v>312</v>
      </c>
      <c r="Z593" s="102">
        <v>17961</v>
      </c>
      <c r="AA593" s="468">
        <f>(Table6[[#This Row],[Paired WTG Generation for loss calculation]]/24)*Table6[[#This Row],[Breakdown Time]]</f>
        <v>74.837499999999736</v>
      </c>
      <c r="AB593" s="102"/>
      <c r="AC593" s="35"/>
      <c r="AD593" s="35"/>
    </row>
    <row r="594" spans="1:30">
      <c r="A594" s="102">
        <f t="shared" si="10"/>
        <v>593</v>
      </c>
      <c r="B594" s="468">
        <f>YEAR(Table6[[#This Row],[Date]])+IF(MONTH(Table6[[#This Row],[Date]])&gt;=4,1,0)</f>
        <v>2026</v>
      </c>
      <c r="C594" s="102">
        <f>YEAR(Table6[[#This Row],[Date]])</f>
        <v>2025</v>
      </c>
      <c r="D594" s="102" t="s">
        <v>1992</v>
      </c>
      <c r="E594" s="469">
        <f>Table6[[#This Row],[Date]]-DAY(Table6[[#This Row],[Date]])+1</f>
        <v>45778</v>
      </c>
      <c r="F594" s="470">
        <v>45783</v>
      </c>
      <c r="G594" s="35" t="s">
        <v>83</v>
      </c>
      <c r="H594" s="35" t="str">
        <f>IFERROR(_xlfn.XLOOKUP(Table6[[#This Row],[Affected WTG]],'Basic Data'!$A:$A,'Basic Data'!$B:$B),"")</f>
        <v>TQGXIIPL</v>
      </c>
      <c r="I594" s="35" t="str">
        <f>IFERROR(_xlfn.XLOOKUP(Table6[[#This Row],[Affected WTG]],'Basic Data'!$A:$A,'Basic Data'!$C:$C),"")</f>
        <v>GEDA</v>
      </c>
      <c r="J594" s="471">
        <f>IFERROR(_xlfn.XLOOKUP(Table6[[#This Row],[Affected WTG]],'Basic Data'!$A:$A,'Basic Data'!$E:$E),"")</f>
        <v>3.846153846153845E-2</v>
      </c>
      <c r="K594" s="102">
        <v>6130</v>
      </c>
      <c r="L594" s="35" t="str">
        <f>IFERROR(_xlfn.XLOOKUP(Table6[[#This Row],[Error Code]],'Basic Data'!$AA:$AA,'Basic Data'!$AB:$AB),"Incorrect Error Code")</f>
        <v>Yaw speed high</v>
      </c>
      <c r="M594" s="35" t="s">
        <v>292</v>
      </c>
      <c r="N594" s="475"/>
      <c r="O594" s="476">
        <v>0.65</v>
      </c>
      <c r="P594" s="476">
        <v>0.65</v>
      </c>
      <c r="Q594" s="477">
        <v>0.65416666666666667</v>
      </c>
      <c r="R594" s="472">
        <f>IF(Table6[[#This Row],[Work Start TimeStamp]]="","",(Table6[[#This Row],[Work Start TimeStamp]]-Table6[[#This Row],[Fault Start TimeStamp]])*24)</f>
        <v>0</v>
      </c>
      <c r="S594" s="472">
        <f>(Table6[[#This Row],[Fault Clearance time]]-Table6[[#This Row],[Work Start TimeStamp]])*24</f>
        <v>9.9999999999999645E-2</v>
      </c>
      <c r="T594" s="472">
        <f>(Table6[[#This Row],[Fault Clearance time]]-Table6[[#This Row],[Fault Start TimeStamp]])*24</f>
        <v>9.9999999999999645E-2</v>
      </c>
      <c r="U594" s="35" t="s">
        <v>336</v>
      </c>
      <c r="V594" s="102" t="s">
        <v>293</v>
      </c>
      <c r="W594" s="478">
        <f>IFERROR(Table6[[#This Row],[Breakdown Time]]*Table6[[#This Row],[Plant Equivalent Weightage]],"")</f>
        <v>3.8461538461538312E-3</v>
      </c>
      <c r="X594" s="473" t="s">
        <v>294</v>
      </c>
      <c r="Y594" s="474" t="s">
        <v>312</v>
      </c>
      <c r="Z594" s="102">
        <v>17961</v>
      </c>
      <c r="AA594" s="468">
        <f>(Table6[[#This Row],[Paired WTG Generation for loss calculation]]/24)*Table6[[#This Row],[Breakdown Time]]</f>
        <v>74.837499999999736</v>
      </c>
      <c r="AB594" s="102"/>
      <c r="AC594" s="35"/>
      <c r="AD594" s="35"/>
    </row>
    <row r="595" spans="1:30">
      <c r="A595" s="102">
        <f t="shared" si="10"/>
        <v>594</v>
      </c>
      <c r="B595" s="468">
        <f>YEAR(Table6[[#This Row],[Date]])+IF(MONTH(Table6[[#This Row],[Date]])&gt;=4,1,0)</f>
        <v>2026</v>
      </c>
      <c r="C595" s="102">
        <f>YEAR(Table6[[#This Row],[Date]])</f>
        <v>2025</v>
      </c>
      <c r="D595" s="102" t="s">
        <v>1992</v>
      </c>
      <c r="E595" s="469">
        <f>Table6[[#This Row],[Date]]-DAY(Table6[[#This Row],[Date]])+1</f>
        <v>45778</v>
      </c>
      <c r="F595" s="470">
        <v>45783</v>
      </c>
      <c r="G595" s="35" t="s">
        <v>84</v>
      </c>
      <c r="H595" s="35" t="str">
        <f>IFERROR(_xlfn.XLOOKUP(Table6[[#This Row],[Affected WTG]],'Basic Data'!$A:$A,'Basic Data'!$B:$B),"")</f>
        <v>TQGXIIPL</v>
      </c>
      <c r="I595" s="35" t="str">
        <f>IFERROR(_xlfn.XLOOKUP(Table6[[#This Row],[Affected WTG]],'Basic Data'!$A:$A,'Basic Data'!$C:$C),"")</f>
        <v>GEDA</v>
      </c>
      <c r="J595" s="471">
        <f>IFERROR(_xlfn.XLOOKUP(Table6[[#This Row],[Affected WTG]],'Basic Data'!$A:$A,'Basic Data'!$E:$E),"")</f>
        <v>3.846153846153845E-2</v>
      </c>
      <c r="K595" s="102">
        <v>64</v>
      </c>
      <c r="L595" s="35" t="str">
        <f>IFERROR(_xlfn.XLOOKUP(Table6[[#This Row],[Error Code]],'Basic Data'!$AA:$AA,'Basic Data'!$AB:$AB),"Incorrect Error Code")</f>
        <v>Max. wind speed</v>
      </c>
      <c r="M595" s="35" t="s">
        <v>307</v>
      </c>
      <c r="N595" s="475"/>
      <c r="O595" s="476">
        <v>0.625</v>
      </c>
      <c r="P595" s="476">
        <v>0.625</v>
      </c>
      <c r="Q595" s="477">
        <v>0.63472222222222219</v>
      </c>
      <c r="R595" s="472">
        <f>IF(Table6[[#This Row],[Work Start TimeStamp]]="","",(Table6[[#This Row],[Work Start TimeStamp]]-Table6[[#This Row],[Fault Start TimeStamp]])*24)</f>
        <v>0</v>
      </c>
      <c r="S595" s="472">
        <f>(Table6[[#This Row],[Fault Clearance time]]-Table6[[#This Row],[Work Start TimeStamp]])*24</f>
        <v>0.2333333333333325</v>
      </c>
      <c r="T595" s="472">
        <f>(Table6[[#This Row],[Fault Clearance time]]-Table6[[#This Row],[Fault Start TimeStamp]])*24</f>
        <v>0.2333333333333325</v>
      </c>
      <c r="U595" s="35" t="s">
        <v>336</v>
      </c>
      <c r="V595" s="102" t="s">
        <v>293</v>
      </c>
      <c r="W595" s="478">
        <f>IFERROR(Table6[[#This Row],[Breakdown Time]]*Table6[[#This Row],[Plant Equivalent Weightage]],"")</f>
        <v>8.974358974358939E-3</v>
      </c>
      <c r="X595" s="473" t="s">
        <v>294</v>
      </c>
      <c r="Y595" s="474" t="s">
        <v>327</v>
      </c>
      <c r="Z595" s="102">
        <v>15671</v>
      </c>
      <c r="AA595" s="468">
        <f>(Table6[[#This Row],[Paired WTG Generation for loss calculation]]/24)*Table6[[#This Row],[Breakdown Time]]</f>
        <v>152.35694444444391</v>
      </c>
      <c r="AB595" s="102"/>
      <c r="AC595" s="35"/>
      <c r="AD595" s="35"/>
    </row>
    <row r="596" spans="1:30">
      <c r="A596" s="102">
        <f t="shared" si="10"/>
        <v>595</v>
      </c>
      <c r="B596" s="468">
        <f>YEAR(Table6[[#This Row],[Date]])+IF(MONTH(Table6[[#This Row],[Date]])&gt;=4,1,0)</f>
        <v>2026</v>
      </c>
      <c r="C596" s="102">
        <f>YEAR(Table6[[#This Row],[Date]])</f>
        <v>2025</v>
      </c>
      <c r="D596" s="102" t="s">
        <v>1992</v>
      </c>
      <c r="E596" s="469">
        <f>Table6[[#This Row],[Date]]-DAY(Table6[[#This Row],[Date]])+1</f>
        <v>45778</v>
      </c>
      <c r="F596" s="470">
        <v>45783</v>
      </c>
      <c r="G596" s="35" t="s">
        <v>85</v>
      </c>
      <c r="H596" s="35" t="str">
        <f>IFERROR(_xlfn.XLOOKUP(Table6[[#This Row],[Affected WTG]],'Basic Data'!$A:$A,'Basic Data'!$B:$B),"")</f>
        <v>TQGXIIPL</v>
      </c>
      <c r="I596" s="35" t="str">
        <f>IFERROR(_xlfn.XLOOKUP(Table6[[#This Row],[Affected WTG]],'Basic Data'!$A:$A,'Basic Data'!$C:$C),"")</f>
        <v>GEDA</v>
      </c>
      <c r="J596" s="471">
        <f>IFERROR(_xlfn.XLOOKUP(Table6[[#This Row],[Affected WTG]],'Basic Data'!$A:$A,'Basic Data'!$E:$E),"")</f>
        <v>3.846153846153845E-2</v>
      </c>
      <c r="K596" s="102">
        <v>64</v>
      </c>
      <c r="L596" s="35" t="str">
        <f>IFERROR(_xlfn.XLOOKUP(Table6[[#This Row],[Error Code]],'Basic Data'!$AA:$AA,'Basic Data'!$AB:$AB),"Incorrect Error Code")</f>
        <v>Max. wind speed</v>
      </c>
      <c r="M596" s="35" t="s">
        <v>307</v>
      </c>
      <c r="N596" s="475"/>
      <c r="O596" s="476">
        <v>0.62916666666666665</v>
      </c>
      <c r="P596" s="476">
        <v>0.62916666666666665</v>
      </c>
      <c r="Q596" s="477">
        <v>0.6430555555555556</v>
      </c>
      <c r="R596" s="472">
        <f>IF(Table6[[#This Row],[Work Start TimeStamp]]="","",(Table6[[#This Row],[Work Start TimeStamp]]-Table6[[#This Row],[Fault Start TimeStamp]])*24)</f>
        <v>0</v>
      </c>
      <c r="S596" s="472">
        <f>(Table6[[#This Row],[Fault Clearance time]]-Table6[[#This Row],[Work Start TimeStamp]])*24</f>
        <v>0.33333333333333481</v>
      </c>
      <c r="T596" s="472">
        <f>(Table6[[#This Row],[Fault Clearance time]]-Table6[[#This Row],[Fault Start TimeStamp]])*24</f>
        <v>0.33333333333333481</v>
      </c>
      <c r="U596" s="35" t="s">
        <v>336</v>
      </c>
      <c r="V596" s="102" t="s">
        <v>293</v>
      </c>
      <c r="W596" s="478">
        <f>IFERROR(Table6[[#This Row],[Breakdown Time]]*Table6[[#This Row],[Plant Equivalent Weightage]],"")</f>
        <v>1.2820512820512874E-2</v>
      </c>
      <c r="X596" s="473" t="s">
        <v>294</v>
      </c>
      <c r="Y596" s="474" t="s">
        <v>322</v>
      </c>
      <c r="Z596" s="102">
        <v>16788</v>
      </c>
      <c r="AA596" s="468">
        <f>(Table6[[#This Row],[Paired WTG Generation for loss calculation]]/24)*Table6[[#This Row],[Breakdown Time]]</f>
        <v>233.16666666666771</v>
      </c>
      <c r="AB596" s="102"/>
      <c r="AC596" s="35"/>
      <c r="AD596" s="35"/>
    </row>
    <row r="597" spans="1:30">
      <c r="A597" s="102">
        <f t="shared" si="10"/>
        <v>596</v>
      </c>
      <c r="B597" s="468">
        <f>YEAR(Table6[[#This Row],[Date]])+IF(MONTH(Table6[[#This Row],[Date]])&gt;=4,1,0)</f>
        <v>2026</v>
      </c>
      <c r="C597" s="102">
        <f>YEAR(Table6[[#This Row],[Date]])</f>
        <v>2025</v>
      </c>
      <c r="D597" s="102" t="s">
        <v>1992</v>
      </c>
      <c r="E597" s="469">
        <f>Table6[[#This Row],[Date]]-DAY(Table6[[#This Row],[Date]])+1</f>
        <v>45778</v>
      </c>
      <c r="F597" s="470">
        <v>45783</v>
      </c>
      <c r="G597" s="35" t="s">
        <v>86</v>
      </c>
      <c r="H597" s="35" t="str">
        <f>IFERROR(_xlfn.XLOOKUP(Table6[[#This Row],[Affected WTG]],'Basic Data'!$A:$A,'Basic Data'!$B:$B),"")</f>
        <v>TQGXIIPL</v>
      </c>
      <c r="I597" s="35" t="str">
        <f>IFERROR(_xlfn.XLOOKUP(Table6[[#This Row],[Affected WTG]],'Basic Data'!$A:$A,'Basic Data'!$C:$C),"")</f>
        <v>GEDA</v>
      </c>
      <c r="J597" s="471">
        <f>IFERROR(_xlfn.XLOOKUP(Table6[[#This Row],[Affected WTG]],'Basic Data'!$A:$A,'Basic Data'!$E:$E),"")</f>
        <v>3.846153846153845E-2</v>
      </c>
      <c r="K597" s="102">
        <v>6130</v>
      </c>
      <c r="L597" s="35" t="str">
        <f>IFERROR(_xlfn.XLOOKUP(Table6[[#This Row],[Error Code]],'Basic Data'!$AA:$AA,'Basic Data'!$AB:$AB),"Incorrect Error Code")</f>
        <v>Yaw speed high</v>
      </c>
      <c r="M597" s="35" t="s">
        <v>292</v>
      </c>
      <c r="N597" s="475"/>
      <c r="O597" s="476">
        <v>0.47708333333333336</v>
      </c>
      <c r="P597" s="476">
        <v>0.47708333333333336</v>
      </c>
      <c r="Q597" s="477">
        <v>0.48125000000000001</v>
      </c>
      <c r="R597" s="472">
        <f>IF(Table6[[#This Row],[Work Start TimeStamp]]="","",(Table6[[#This Row],[Work Start TimeStamp]]-Table6[[#This Row],[Fault Start TimeStamp]])*24)</f>
        <v>0</v>
      </c>
      <c r="S597" s="472">
        <f>(Table6[[#This Row],[Fault Clearance time]]-Table6[[#This Row],[Work Start TimeStamp]])*24</f>
        <v>9.9999999999999645E-2</v>
      </c>
      <c r="T597" s="472">
        <f>(Table6[[#This Row],[Fault Clearance time]]-Table6[[#This Row],[Fault Start TimeStamp]])*24</f>
        <v>9.9999999999999645E-2</v>
      </c>
      <c r="U597" s="35" t="s">
        <v>336</v>
      </c>
      <c r="V597" s="102" t="s">
        <v>293</v>
      </c>
      <c r="W597" s="478">
        <f>IFERROR(Table6[[#This Row],[Breakdown Time]]*Table6[[#This Row],[Plant Equivalent Weightage]],"")</f>
        <v>3.8461538461538312E-3</v>
      </c>
      <c r="X597" s="473" t="s">
        <v>294</v>
      </c>
      <c r="Y597" s="474" t="s">
        <v>313</v>
      </c>
      <c r="Z597" s="102">
        <v>16459</v>
      </c>
      <c r="AA597" s="468">
        <f>(Table6[[#This Row],[Paired WTG Generation for loss calculation]]/24)*Table6[[#This Row],[Breakdown Time]]</f>
        <v>68.579166666666424</v>
      </c>
      <c r="AB597" s="102"/>
      <c r="AC597" s="35"/>
      <c r="AD597" s="35"/>
    </row>
    <row r="598" spans="1:30">
      <c r="A598" s="102">
        <f t="shared" si="10"/>
        <v>597</v>
      </c>
      <c r="B598" s="468">
        <f>YEAR(Table6[[#This Row],[Date]])+IF(MONTH(Table6[[#This Row],[Date]])&gt;=4,1,0)</f>
        <v>2026</v>
      </c>
      <c r="C598" s="102">
        <f>YEAR(Table6[[#This Row],[Date]])</f>
        <v>2025</v>
      </c>
      <c r="D598" s="102" t="s">
        <v>1992</v>
      </c>
      <c r="E598" s="469">
        <f>Table6[[#This Row],[Date]]-DAY(Table6[[#This Row],[Date]])+1</f>
        <v>45778</v>
      </c>
      <c r="F598" s="470">
        <v>45783</v>
      </c>
      <c r="G598" s="35" t="s">
        <v>88</v>
      </c>
      <c r="H598" s="35" t="str">
        <f>IFERROR(_xlfn.XLOOKUP(Table6[[#This Row],[Affected WTG]],'Basic Data'!$A:$A,'Basic Data'!$B:$B),"")</f>
        <v>TQGXIIPL</v>
      </c>
      <c r="I598" s="35" t="str">
        <f>IFERROR(_xlfn.XLOOKUP(Table6[[#This Row],[Affected WTG]],'Basic Data'!$A:$A,'Basic Data'!$C:$C),"")</f>
        <v>GEDA</v>
      </c>
      <c r="J598" s="471">
        <f>IFERROR(_xlfn.XLOOKUP(Table6[[#This Row],[Affected WTG]],'Basic Data'!$A:$A,'Basic Data'!$E:$E),"")</f>
        <v>3.846153846153845E-2</v>
      </c>
      <c r="K598" s="102">
        <v>6056</v>
      </c>
      <c r="L598" s="35" t="str">
        <f>IFERROR(_xlfn.XLOOKUP(Table6[[#This Row],[Error Code]],'Basic Data'!$AA:$AA,'Basic Data'!$AB:$AB),"Incorrect Error Code")</f>
        <v>High yaw load</v>
      </c>
      <c r="M598" s="35" t="s">
        <v>292</v>
      </c>
      <c r="N598" s="475"/>
      <c r="O598" s="476">
        <v>0.63888888888888884</v>
      </c>
      <c r="P598" s="476">
        <v>0.63888888888888884</v>
      </c>
      <c r="Q598" s="477">
        <v>0.64097222222222228</v>
      </c>
      <c r="R598" s="472">
        <f>IF(Table6[[#This Row],[Work Start TimeStamp]]="","",(Table6[[#This Row],[Work Start TimeStamp]]-Table6[[#This Row],[Fault Start TimeStamp]])*24)</f>
        <v>0</v>
      </c>
      <c r="S598" s="472">
        <f>(Table6[[#This Row],[Fault Clearance time]]-Table6[[#This Row],[Work Start TimeStamp]])*24</f>
        <v>5.0000000000002487E-2</v>
      </c>
      <c r="T598" s="472">
        <f>(Table6[[#This Row],[Fault Clearance time]]-Table6[[#This Row],[Fault Start TimeStamp]])*24</f>
        <v>5.0000000000002487E-2</v>
      </c>
      <c r="U598" s="35" t="s">
        <v>336</v>
      </c>
      <c r="V598" s="102" t="s">
        <v>293</v>
      </c>
      <c r="W598" s="478">
        <f>IFERROR(Table6[[#This Row],[Breakdown Time]]*Table6[[#This Row],[Plant Equivalent Weightage]],"")</f>
        <v>1.9230769230770182E-3</v>
      </c>
      <c r="X598" s="473" t="s">
        <v>294</v>
      </c>
      <c r="Y598" s="474" t="s">
        <v>323</v>
      </c>
      <c r="Z598" s="102">
        <v>18504</v>
      </c>
      <c r="AA598" s="468">
        <f>(Table6[[#This Row],[Paired WTG Generation for loss calculation]]/24)*Table6[[#This Row],[Breakdown Time]]</f>
        <v>38.550000000001916</v>
      </c>
      <c r="AB598" s="102"/>
      <c r="AC598" s="35"/>
      <c r="AD598" s="35"/>
    </row>
    <row r="599" spans="1:30">
      <c r="A599" s="102">
        <f t="shared" si="10"/>
        <v>598</v>
      </c>
      <c r="B599" s="468">
        <f>YEAR(Table6[[#This Row],[Date]])+IF(MONTH(Table6[[#This Row],[Date]])&gt;=4,1,0)</f>
        <v>2026</v>
      </c>
      <c r="C599" s="102">
        <f>YEAR(Table6[[#This Row],[Date]])</f>
        <v>2025</v>
      </c>
      <c r="D599" s="102" t="s">
        <v>1992</v>
      </c>
      <c r="E599" s="469">
        <f>Table6[[#This Row],[Date]]-DAY(Table6[[#This Row],[Date]])+1</f>
        <v>45778</v>
      </c>
      <c r="F599" s="470">
        <v>45783</v>
      </c>
      <c r="G599" s="35" t="s">
        <v>89</v>
      </c>
      <c r="H599" s="35" t="str">
        <f>IFERROR(_xlfn.XLOOKUP(Table6[[#This Row],[Affected WTG]],'Basic Data'!$A:$A,'Basic Data'!$B:$B),"")</f>
        <v>TQGXIIPL</v>
      </c>
      <c r="I599" s="35" t="str">
        <f>IFERROR(_xlfn.XLOOKUP(Table6[[#This Row],[Affected WTG]],'Basic Data'!$A:$A,'Basic Data'!$C:$C),"")</f>
        <v>GEDA</v>
      </c>
      <c r="J599" s="471">
        <f>IFERROR(_xlfn.XLOOKUP(Table6[[#This Row],[Affected WTG]],'Basic Data'!$A:$A,'Basic Data'!$E:$E),"")</f>
        <v>3.846153846153845E-2</v>
      </c>
      <c r="K599" s="102">
        <v>3000</v>
      </c>
      <c r="L599" s="35" t="str">
        <f>IFERROR(_xlfn.XLOOKUP(Table6[[#This Row],[Error Code]],'Basic Data'!$AA:$AA,'Basic Data'!$AB:$AB),"Incorrect Error Code")</f>
        <v>Frequency converter not ready</v>
      </c>
      <c r="M599" s="35" t="s">
        <v>295</v>
      </c>
      <c r="N599" s="475"/>
      <c r="O599" s="476">
        <v>4.583333333333333E-2</v>
      </c>
      <c r="P599" s="476">
        <v>4.583333333333333E-2</v>
      </c>
      <c r="Q599" s="477">
        <v>0.64652777777777781</v>
      </c>
      <c r="R599" s="472">
        <f>IF(Table6[[#This Row],[Work Start TimeStamp]]="","",(Table6[[#This Row],[Work Start TimeStamp]]-Table6[[#This Row],[Fault Start TimeStamp]])*24)</f>
        <v>0</v>
      </c>
      <c r="S599" s="472">
        <f>(Table6[[#This Row],[Fault Clearance time]]-Table6[[#This Row],[Work Start TimeStamp]])*24</f>
        <v>14.416666666666668</v>
      </c>
      <c r="T599" s="472">
        <f>(Table6[[#This Row],[Fault Clearance time]]-Table6[[#This Row],[Fault Start TimeStamp]])*24</f>
        <v>14.416666666666668</v>
      </c>
      <c r="U599" s="35" t="s">
        <v>1763</v>
      </c>
      <c r="V599" s="102" t="s">
        <v>293</v>
      </c>
      <c r="W599" s="478">
        <f>IFERROR(Table6[[#This Row],[Breakdown Time]]*Table6[[#This Row],[Plant Equivalent Weightage]],"")</f>
        <v>0.5544871794871794</v>
      </c>
      <c r="X599" s="473" t="s">
        <v>290</v>
      </c>
      <c r="Y599" s="474" t="s">
        <v>325</v>
      </c>
      <c r="Z599" s="102">
        <v>23651</v>
      </c>
      <c r="AA599" s="468">
        <f>(Table6[[#This Row],[Paired WTG Generation for loss calculation]]/24)*Table6[[#This Row],[Breakdown Time]]</f>
        <v>14207.024305555557</v>
      </c>
      <c r="AB599" s="102"/>
      <c r="AC599" s="35"/>
      <c r="AD599" s="35"/>
    </row>
    <row r="600" spans="1:30">
      <c r="A600" s="102">
        <f t="shared" si="10"/>
        <v>599</v>
      </c>
      <c r="B600" s="468">
        <f>YEAR(Table6[[#This Row],[Date]])+IF(MONTH(Table6[[#This Row],[Date]])&gt;=4,1,0)</f>
        <v>2026</v>
      </c>
      <c r="C600" s="102">
        <f>YEAR(Table6[[#This Row],[Date]])</f>
        <v>2025</v>
      </c>
      <c r="D600" s="102" t="s">
        <v>1992</v>
      </c>
      <c r="E600" s="469">
        <f>Table6[[#This Row],[Date]]-DAY(Table6[[#This Row],[Date]])+1</f>
        <v>45778</v>
      </c>
      <c r="F600" s="470">
        <v>45783</v>
      </c>
      <c r="G600" s="35" t="s">
        <v>89</v>
      </c>
      <c r="H600" s="35" t="str">
        <f>IFERROR(_xlfn.XLOOKUP(Table6[[#This Row],[Affected WTG]],'Basic Data'!$A:$A,'Basic Data'!$B:$B),"")</f>
        <v>TQGXIIPL</v>
      </c>
      <c r="I600" s="35" t="str">
        <f>IFERROR(_xlfn.XLOOKUP(Table6[[#This Row],[Affected WTG]],'Basic Data'!$A:$A,'Basic Data'!$C:$C),"")</f>
        <v>GEDA</v>
      </c>
      <c r="J600" s="471">
        <f>IFERROR(_xlfn.XLOOKUP(Table6[[#This Row],[Affected WTG]],'Basic Data'!$A:$A,'Basic Data'!$E:$E),"")</f>
        <v>3.846153846153845E-2</v>
      </c>
      <c r="K600" s="102">
        <v>3000</v>
      </c>
      <c r="L600" s="35" t="str">
        <f>IFERROR(_xlfn.XLOOKUP(Table6[[#This Row],[Error Code]],'Basic Data'!$AA:$AA,'Basic Data'!$AB:$AB),"Incorrect Error Code")</f>
        <v>Frequency converter not ready</v>
      </c>
      <c r="M600" s="35" t="s">
        <v>301</v>
      </c>
      <c r="N600" s="475"/>
      <c r="O600" s="476">
        <v>0.86736111111111114</v>
      </c>
      <c r="P600" s="476">
        <v>0.86736111111111114</v>
      </c>
      <c r="Q600" s="477">
        <v>1</v>
      </c>
      <c r="R600" s="472">
        <f>IF(Table6[[#This Row],[Work Start TimeStamp]]="","",(Table6[[#This Row],[Work Start TimeStamp]]-Table6[[#This Row],[Fault Start TimeStamp]])*24)</f>
        <v>0</v>
      </c>
      <c r="S600" s="472">
        <f>(Table6[[#This Row],[Fault Clearance time]]-Table6[[#This Row],[Work Start TimeStamp]])*24</f>
        <v>3.1833333333333327</v>
      </c>
      <c r="T600" s="472">
        <f>(Table6[[#This Row],[Fault Clearance time]]-Table6[[#This Row],[Fault Start TimeStamp]])*24</f>
        <v>3.1833333333333327</v>
      </c>
      <c r="U600" s="35" t="s">
        <v>1764</v>
      </c>
      <c r="V600" s="102" t="s">
        <v>338</v>
      </c>
      <c r="W600" s="478">
        <f>IFERROR(Table6[[#This Row],[Breakdown Time]]*Table6[[#This Row],[Plant Equivalent Weightage]],"")</f>
        <v>0.12243589743589738</v>
      </c>
      <c r="X600" s="473" t="s">
        <v>294</v>
      </c>
      <c r="Y600" s="474" t="s">
        <v>325</v>
      </c>
      <c r="Z600" s="102">
        <v>23651</v>
      </c>
      <c r="AA600" s="468">
        <f>(Table6[[#This Row],[Paired WTG Generation for loss calculation]]/24)*Table6[[#This Row],[Breakdown Time]]</f>
        <v>3137.0423611111105</v>
      </c>
      <c r="AB600" s="102"/>
      <c r="AC600" s="35"/>
      <c r="AD600" s="35"/>
    </row>
    <row r="601" spans="1:30">
      <c r="A601" s="102">
        <f t="shared" si="10"/>
        <v>600</v>
      </c>
      <c r="B601" s="468">
        <f>YEAR(Table6[[#This Row],[Date]])+IF(MONTH(Table6[[#This Row],[Date]])&gt;=4,1,0)</f>
        <v>2026</v>
      </c>
      <c r="C601" s="102">
        <f>YEAR(Table6[[#This Row],[Date]])</f>
        <v>2025</v>
      </c>
      <c r="D601" s="102" t="s">
        <v>1992</v>
      </c>
      <c r="E601" s="469">
        <f>Table6[[#This Row],[Date]]-DAY(Table6[[#This Row],[Date]])+1</f>
        <v>45778</v>
      </c>
      <c r="F601" s="470">
        <v>45783</v>
      </c>
      <c r="G601" s="35" t="s">
        <v>90</v>
      </c>
      <c r="H601" s="35" t="str">
        <f>IFERROR(_xlfn.XLOOKUP(Table6[[#This Row],[Affected WTG]],'Basic Data'!$A:$A,'Basic Data'!$B:$B),"")</f>
        <v>TQGXIIPL</v>
      </c>
      <c r="I601" s="35" t="str">
        <f>IFERROR(_xlfn.XLOOKUP(Table6[[#This Row],[Affected WTG]],'Basic Data'!$A:$A,'Basic Data'!$C:$C),"")</f>
        <v>GEDA</v>
      </c>
      <c r="J601" s="471">
        <f>IFERROR(_xlfn.XLOOKUP(Table6[[#This Row],[Affected WTG]],'Basic Data'!$A:$A,'Basic Data'!$E:$E),"")</f>
        <v>3.846153846153845E-2</v>
      </c>
      <c r="K601" s="102">
        <v>665</v>
      </c>
      <c r="L601" s="35" t="str">
        <f>IFERROR(_xlfn.XLOOKUP(Table6[[#This Row],[Error Code]],'Basic Data'!$AA:$AA,'Basic Data'!$AB:$AB),"Incorrect Error Code")</f>
        <v>Pitch error</v>
      </c>
      <c r="M601" s="35" t="s">
        <v>292</v>
      </c>
      <c r="N601" s="475"/>
      <c r="O601" s="476">
        <v>0.63958333333333328</v>
      </c>
      <c r="P601" s="476">
        <v>0.63958333333333328</v>
      </c>
      <c r="Q601" s="477">
        <v>0.6430555555555556</v>
      </c>
      <c r="R601" s="472">
        <f>IF(Table6[[#This Row],[Work Start TimeStamp]]="","",(Table6[[#This Row],[Work Start TimeStamp]]-Table6[[#This Row],[Fault Start TimeStamp]])*24)</f>
        <v>0</v>
      </c>
      <c r="S601" s="472">
        <f>(Table6[[#This Row],[Fault Clearance time]]-Table6[[#This Row],[Work Start TimeStamp]])*24</f>
        <v>8.3333333333335702E-2</v>
      </c>
      <c r="T601" s="472">
        <f>(Table6[[#This Row],[Fault Clearance time]]-Table6[[#This Row],[Fault Start TimeStamp]])*24</f>
        <v>8.3333333333335702E-2</v>
      </c>
      <c r="U601" s="35" t="s">
        <v>336</v>
      </c>
      <c r="V601" s="102" t="s">
        <v>293</v>
      </c>
      <c r="W601" s="478">
        <f>IFERROR(Table6[[#This Row],[Breakdown Time]]*Table6[[#This Row],[Plant Equivalent Weightage]],"")</f>
        <v>3.2051282051282952E-3</v>
      </c>
      <c r="X601" s="473" t="s">
        <v>294</v>
      </c>
      <c r="Y601" s="474" t="s">
        <v>339</v>
      </c>
      <c r="Z601" s="102">
        <v>21281</v>
      </c>
      <c r="AA601" s="468">
        <f>(Table6[[#This Row],[Paired WTG Generation for loss calculation]]/24)*Table6[[#This Row],[Breakdown Time]]</f>
        <v>73.892361111113217</v>
      </c>
      <c r="AB601" s="102"/>
      <c r="AC601" s="35"/>
      <c r="AD601" s="35"/>
    </row>
    <row r="602" spans="1:30">
      <c r="A602" s="102">
        <f t="shared" si="10"/>
        <v>601</v>
      </c>
      <c r="B602" s="468">
        <f>YEAR(Table6[[#This Row],[Date]])+IF(MONTH(Table6[[#This Row],[Date]])&gt;=4,1,0)</f>
        <v>2026</v>
      </c>
      <c r="C602" s="102">
        <f>YEAR(Table6[[#This Row],[Date]])</f>
        <v>2025</v>
      </c>
      <c r="D602" s="102" t="s">
        <v>1992</v>
      </c>
      <c r="E602" s="469">
        <f>Table6[[#This Row],[Date]]-DAY(Table6[[#This Row],[Date]])+1</f>
        <v>45778</v>
      </c>
      <c r="F602" s="470">
        <v>45783</v>
      </c>
      <c r="G602" s="35" t="s">
        <v>96</v>
      </c>
      <c r="H602" s="35" t="str">
        <f>IFERROR(_xlfn.XLOOKUP(Table6[[#This Row],[Affected WTG]],'Basic Data'!$A:$A,'Basic Data'!$B:$B),"")</f>
        <v>TQGXIIPL</v>
      </c>
      <c r="I602" s="35" t="str">
        <f>IFERROR(_xlfn.XLOOKUP(Table6[[#This Row],[Affected WTG]],'Basic Data'!$A:$A,'Basic Data'!$C:$C),"")</f>
        <v>GEDA</v>
      </c>
      <c r="J602" s="471">
        <f>IFERROR(_xlfn.XLOOKUP(Table6[[#This Row],[Affected WTG]],'Basic Data'!$A:$A,'Basic Data'!$E:$E),"")</f>
        <v>3.846153846153845E-2</v>
      </c>
      <c r="K602" s="102">
        <v>53</v>
      </c>
      <c r="L602" s="35" t="str">
        <f>IFERROR(_xlfn.XLOOKUP(Table6[[#This Row],[Error Code]],'Basic Data'!$AA:$AA,'Basic Data'!$AB:$AB),"Incorrect Error Code")</f>
        <v>Wind dir.dev. level 1</v>
      </c>
      <c r="M602" s="35" t="s">
        <v>292</v>
      </c>
      <c r="N602" s="475"/>
      <c r="O602" s="476">
        <v>8.3333333333333332E-3</v>
      </c>
      <c r="P602" s="476">
        <v>8.3333333333333332E-3</v>
      </c>
      <c r="Q602" s="477">
        <v>1.0416666666666666E-2</v>
      </c>
      <c r="R602" s="472">
        <f>IF(Table6[[#This Row],[Work Start TimeStamp]]="","",(Table6[[#This Row],[Work Start TimeStamp]]-Table6[[#This Row],[Fault Start TimeStamp]])*24)</f>
        <v>0</v>
      </c>
      <c r="S602" s="472">
        <f>(Table6[[#This Row],[Fault Clearance time]]-Table6[[#This Row],[Work Start TimeStamp]])*24</f>
        <v>4.9999999999999989E-2</v>
      </c>
      <c r="T602" s="472">
        <f>(Table6[[#This Row],[Fault Clearance time]]-Table6[[#This Row],[Fault Start TimeStamp]])*24</f>
        <v>4.9999999999999989E-2</v>
      </c>
      <c r="U602" s="35" t="s">
        <v>336</v>
      </c>
      <c r="V602" s="102" t="s">
        <v>293</v>
      </c>
      <c r="W602" s="478">
        <f>IFERROR(Table6[[#This Row],[Breakdown Time]]*Table6[[#This Row],[Plant Equivalent Weightage]],"")</f>
        <v>1.9230769230769221E-3</v>
      </c>
      <c r="X602" s="473" t="s">
        <v>294</v>
      </c>
      <c r="Y602" s="474" t="s">
        <v>313</v>
      </c>
      <c r="Z602" s="102">
        <v>16459</v>
      </c>
      <c r="AA602" s="468">
        <f>(Table6[[#This Row],[Paired WTG Generation for loss calculation]]/24)*Table6[[#This Row],[Breakdown Time]]</f>
        <v>34.289583333333326</v>
      </c>
      <c r="AB602" s="102"/>
      <c r="AC602" s="35"/>
      <c r="AD602" s="35"/>
    </row>
    <row r="603" spans="1:30">
      <c r="A603" s="102">
        <f t="shared" si="10"/>
        <v>602</v>
      </c>
      <c r="B603" s="468">
        <f>YEAR(Table6[[#This Row],[Date]])+IF(MONTH(Table6[[#This Row],[Date]])&gt;=4,1,0)</f>
        <v>2026</v>
      </c>
      <c r="C603" s="102">
        <f>YEAR(Table6[[#This Row],[Date]])</f>
        <v>2025</v>
      </c>
      <c r="D603" s="102" t="s">
        <v>1992</v>
      </c>
      <c r="E603" s="469">
        <f>Table6[[#This Row],[Date]]-DAY(Table6[[#This Row],[Date]])+1</f>
        <v>45778</v>
      </c>
      <c r="F603" s="470">
        <v>45783</v>
      </c>
      <c r="G603" s="35" t="s">
        <v>96</v>
      </c>
      <c r="H603" s="35" t="str">
        <f>IFERROR(_xlfn.XLOOKUP(Table6[[#This Row],[Affected WTG]],'Basic Data'!$A:$A,'Basic Data'!$B:$B),"")</f>
        <v>TQGXIIPL</v>
      </c>
      <c r="I603" s="35" t="str">
        <f>IFERROR(_xlfn.XLOOKUP(Table6[[#This Row],[Affected WTG]],'Basic Data'!$A:$A,'Basic Data'!$C:$C),"")</f>
        <v>GEDA</v>
      </c>
      <c r="J603" s="471">
        <f>IFERROR(_xlfn.XLOOKUP(Table6[[#This Row],[Affected WTG]],'Basic Data'!$A:$A,'Basic Data'!$E:$E),"")</f>
        <v>3.846153846153845E-2</v>
      </c>
      <c r="K603" s="102">
        <v>64</v>
      </c>
      <c r="L603" s="35" t="str">
        <f>IFERROR(_xlfn.XLOOKUP(Table6[[#This Row],[Error Code]],'Basic Data'!$AA:$AA,'Basic Data'!$AB:$AB),"Incorrect Error Code")</f>
        <v>Max. wind speed</v>
      </c>
      <c r="M603" s="35" t="s">
        <v>292</v>
      </c>
      <c r="N603" s="475"/>
      <c r="O603" s="476">
        <v>0.62986111111111109</v>
      </c>
      <c r="P603" s="476">
        <v>0.62986111111111109</v>
      </c>
      <c r="Q603" s="477">
        <v>0.63124999999999998</v>
      </c>
      <c r="R603" s="472">
        <f>IF(Table6[[#This Row],[Work Start TimeStamp]]="","",(Table6[[#This Row],[Work Start TimeStamp]]-Table6[[#This Row],[Fault Start TimeStamp]])*24)</f>
        <v>0</v>
      </c>
      <c r="S603" s="472">
        <f>(Table6[[#This Row],[Fault Clearance time]]-Table6[[#This Row],[Work Start TimeStamp]])*24</f>
        <v>3.3333333333333215E-2</v>
      </c>
      <c r="T603" s="472">
        <f>(Table6[[#This Row],[Fault Clearance time]]-Table6[[#This Row],[Fault Start TimeStamp]])*24</f>
        <v>3.3333333333333215E-2</v>
      </c>
      <c r="U603" s="35" t="s">
        <v>336</v>
      </c>
      <c r="V603" s="102" t="s">
        <v>293</v>
      </c>
      <c r="W603" s="478">
        <f>IFERROR(Table6[[#This Row],[Breakdown Time]]*Table6[[#This Row],[Plant Equivalent Weightage]],"")</f>
        <v>1.2820512820512771E-3</v>
      </c>
      <c r="X603" s="473" t="s">
        <v>294</v>
      </c>
      <c r="Y603" s="474" t="s">
        <v>313</v>
      </c>
      <c r="Z603" s="102">
        <v>16459</v>
      </c>
      <c r="AA603" s="468">
        <f>(Table6[[#This Row],[Paired WTG Generation for loss calculation]]/24)*Table6[[#This Row],[Breakdown Time]]</f>
        <v>22.859722222222139</v>
      </c>
      <c r="AB603" s="102"/>
      <c r="AC603" s="35"/>
      <c r="AD603" s="35"/>
    </row>
    <row r="604" spans="1:30">
      <c r="A604" s="102">
        <f t="shared" si="10"/>
        <v>603</v>
      </c>
      <c r="B604" s="468">
        <f>YEAR(Table6[[#This Row],[Date]])+IF(MONTH(Table6[[#This Row],[Date]])&gt;=4,1,0)</f>
        <v>2026</v>
      </c>
      <c r="C604" s="102">
        <f>YEAR(Table6[[#This Row],[Date]])</f>
        <v>2025</v>
      </c>
      <c r="D604" s="102" t="s">
        <v>1992</v>
      </c>
      <c r="E604" s="469">
        <f>Table6[[#This Row],[Date]]-DAY(Table6[[#This Row],[Date]])+1</f>
        <v>45778</v>
      </c>
      <c r="F604" s="470">
        <v>45783</v>
      </c>
      <c r="G604" s="35" t="s">
        <v>96</v>
      </c>
      <c r="H604" s="35" t="str">
        <f>IFERROR(_xlfn.XLOOKUP(Table6[[#This Row],[Affected WTG]],'Basic Data'!$A:$A,'Basic Data'!$B:$B),"")</f>
        <v>TQGXIIPL</v>
      </c>
      <c r="I604" s="35" t="str">
        <f>IFERROR(_xlfn.XLOOKUP(Table6[[#This Row],[Affected WTG]],'Basic Data'!$A:$A,'Basic Data'!$C:$C),"")</f>
        <v>GEDA</v>
      </c>
      <c r="J604" s="471">
        <f>IFERROR(_xlfn.XLOOKUP(Table6[[#This Row],[Affected WTG]],'Basic Data'!$A:$A,'Basic Data'!$E:$E),"")</f>
        <v>3.846153846153845E-2</v>
      </c>
      <c r="K604" s="102">
        <v>6130</v>
      </c>
      <c r="L604" s="35" t="str">
        <f>IFERROR(_xlfn.XLOOKUP(Table6[[#This Row],[Error Code]],'Basic Data'!$AA:$AA,'Basic Data'!$AB:$AB),"Incorrect Error Code")</f>
        <v>Yaw speed high</v>
      </c>
      <c r="M604" s="35" t="s">
        <v>292</v>
      </c>
      <c r="N604" s="475"/>
      <c r="O604" s="476">
        <v>0.64722222222222225</v>
      </c>
      <c r="P604" s="476">
        <v>0.64722222222222225</v>
      </c>
      <c r="Q604" s="477">
        <v>0.65138888888888891</v>
      </c>
      <c r="R604" s="472">
        <f>IF(Table6[[#This Row],[Work Start TimeStamp]]="","",(Table6[[#This Row],[Work Start TimeStamp]]-Table6[[#This Row],[Fault Start TimeStamp]])*24)</f>
        <v>0</v>
      </c>
      <c r="S604" s="472">
        <f>(Table6[[#This Row],[Fault Clearance time]]-Table6[[#This Row],[Work Start TimeStamp]])*24</f>
        <v>9.9999999999999645E-2</v>
      </c>
      <c r="T604" s="472">
        <f>(Table6[[#This Row],[Fault Clearance time]]-Table6[[#This Row],[Fault Start TimeStamp]])*24</f>
        <v>9.9999999999999645E-2</v>
      </c>
      <c r="U604" s="35" t="s">
        <v>336</v>
      </c>
      <c r="V604" s="102" t="s">
        <v>293</v>
      </c>
      <c r="W604" s="478">
        <f>IFERROR(Table6[[#This Row],[Breakdown Time]]*Table6[[#This Row],[Plant Equivalent Weightage]],"")</f>
        <v>3.8461538461538312E-3</v>
      </c>
      <c r="X604" s="473" t="s">
        <v>294</v>
      </c>
      <c r="Y604" s="474" t="s">
        <v>313</v>
      </c>
      <c r="Z604" s="102">
        <v>16459</v>
      </c>
      <c r="AA604" s="468">
        <f>(Table6[[#This Row],[Paired WTG Generation for loss calculation]]/24)*Table6[[#This Row],[Breakdown Time]]</f>
        <v>68.579166666666424</v>
      </c>
      <c r="AB604" s="102"/>
      <c r="AC604" s="35"/>
      <c r="AD604" s="35"/>
    </row>
    <row r="605" spans="1:30">
      <c r="A605" s="102">
        <f t="shared" si="10"/>
        <v>604</v>
      </c>
      <c r="B605" s="468">
        <f>YEAR(Table6[[#This Row],[Date]])+IF(MONTH(Table6[[#This Row],[Date]])&gt;=4,1,0)</f>
        <v>2026</v>
      </c>
      <c r="C605" s="102">
        <f>YEAR(Table6[[#This Row],[Date]])</f>
        <v>2025</v>
      </c>
      <c r="D605" s="102" t="s">
        <v>1992</v>
      </c>
      <c r="E605" s="469">
        <f>Table6[[#This Row],[Date]]-DAY(Table6[[#This Row],[Date]])+1</f>
        <v>45778</v>
      </c>
      <c r="F605" s="470">
        <v>45783</v>
      </c>
      <c r="G605" s="35" t="s">
        <v>97</v>
      </c>
      <c r="H605" s="35" t="str">
        <f>IFERROR(_xlfn.XLOOKUP(Table6[[#This Row],[Affected WTG]],'Basic Data'!$A:$A,'Basic Data'!$B:$B),"")</f>
        <v>TQGXIIPL</v>
      </c>
      <c r="I605" s="35" t="str">
        <f>IFERROR(_xlfn.XLOOKUP(Table6[[#This Row],[Affected WTG]],'Basic Data'!$A:$A,'Basic Data'!$C:$C),"")</f>
        <v>GEDA</v>
      </c>
      <c r="J605" s="471">
        <f>IFERROR(_xlfn.XLOOKUP(Table6[[#This Row],[Affected WTG]],'Basic Data'!$A:$A,'Basic Data'!$E:$E),"")</f>
        <v>3.846153846153845E-2</v>
      </c>
      <c r="K605" s="102">
        <v>5506</v>
      </c>
      <c r="L605" s="35" t="str">
        <f>IFERROR(_xlfn.XLOOKUP(Table6[[#This Row],[Error Code]],'Basic Data'!$AA:$AA,'Basic Data'!$AB:$AB),"Incorrect Error Code")</f>
        <v>Rot.br. press. high</v>
      </c>
      <c r="M605" s="35" t="s">
        <v>295</v>
      </c>
      <c r="N605" s="475"/>
      <c r="O605" s="476">
        <v>4.3749999999999997E-2</v>
      </c>
      <c r="P605" s="476">
        <v>4.3749999999999997E-2</v>
      </c>
      <c r="Q605" s="477">
        <v>0.64652777777777781</v>
      </c>
      <c r="R605" s="472">
        <f>IF(Table6[[#This Row],[Work Start TimeStamp]]="","",(Table6[[#This Row],[Work Start TimeStamp]]-Table6[[#This Row],[Fault Start TimeStamp]])*24)</f>
        <v>0</v>
      </c>
      <c r="S605" s="472">
        <f>(Table6[[#This Row],[Fault Clearance time]]-Table6[[#This Row],[Work Start TimeStamp]])*24</f>
        <v>14.466666666666669</v>
      </c>
      <c r="T605" s="472">
        <f>(Table6[[#This Row],[Fault Clearance time]]-Table6[[#This Row],[Fault Start TimeStamp]])*24</f>
        <v>14.466666666666669</v>
      </c>
      <c r="U605" s="35" t="s">
        <v>1765</v>
      </c>
      <c r="V605" s="102" t="s">
        <v>293</v>
      </c>
      <c r="W605" s="478">
        <f>IFERROR(Table6[[#This Row],[Breakdown Time]]*Table6[[#This Row],[Plant Equivalent Weightage]],"")</f>
        <v>0.55641025641025632</v>
      </c>
      <c r="X605" s="473" t="s">
        <v>290</v>
      </c>
      <c r="Y605" s="474" t="s">
        <v>320</v>
      </c>
      <c r="Z605" s="102">
        <v>24540</v>
      </c>
      <c r="AA605" s="468">
        <f>(Table6[[#This Row],[Paired WTG Generation for loss calculation]]/24)*Table6[[#This Row],[Breakdown Time]]</f>
        <v>14792.166666666668</v>
      </c>
      <c r="AB605" s="102"/>
      <c r="AC605" s="35"/>
      <c r="AD605" s="35"/>
    </row>
    <row r="606" spans="1:30">
      <c r="A606" s="102">
        <f t="shared" si="10"/>
        <v>605</v>
      </c>
      <c r="B606" s="468">
        <f>YEAR(Table6[[#This Row],[Date]])+IF(MONTH(Table6[[#This Row],[Date]])&gt;=4,1,0)</f>
        <v>2026</v>
      </c>
      <c r="C606" s="102">
        <f>YEAR(Table6[[#This Row],[Date]])</f>
        <v>2025</v>
      </c>
      <c r="D606" s="102" t="s">
        <v>1992</v>
      </c>
      <c r="E606" s="469">
        <f>Table6[[#This Row],[Date]]-DAY(Table6[[#This Row],[Date]])+1</f>
        <v>45778</v>
      </c>
      <c r="F606" s="470">
        <v>45783</v>
      </c>
      <c r="G606" s="35" t="s">
        <v>97</v>
      </c>
      <c r="H606" s="35" t="str">
        <f>IFERROR(_xlfn.XLOOKUP(Table6[[#This Row],[Affected WTG]],'Basic Data'!$A:$A,'Basic Data'!$B:$B),"")</f>
        <v>TQGXIIPL</v>
      </c>
      <c r="I606" s="35" t="str">
        <f>IFERROR(_xlfn.XLOOKUP(Table6[[#This Row],[Affected WTG]],'Basic Data'!$A:$A,'Basic Data'!$C:$C),"")</f>
        <v>GEDA</v>
      </c>
      <c r="J606" s="471">
        <f>IFERROR(_xlfn.XLOOKUP(Table6[[#This Row],[Affected WTG]],'Basic Data'!$A:$A,'Basic Data'!$E:$E),"")</f>
        <v>3.846153846153845E-2</v>
      </c>
      <c r="K606" s="102">
        <v>5506</v>
      </c>
      <c r="L606" s="35" t="str">
        <f>IFERROR(_xlfn.XLOOKUP(Table6[[#This Row],[Error Code]],'Basic Data'!$AA:$AA,'Basic Data'!$AB:$AB),"Incorrect Error Code")</f>
        <v>Rot.br. press. high</v>
      </c>
      <c r="M606" s="35" t="s">
        <v>295</v>
      </c>
      <c r="N606" s="475"/>
      <c r="O606" s="476">
        <v>0.74375000000000002</v>
      </c>
      <c r="P606" s="476">
        <v>0.74375000000000002</v>
      </c>
      <c r="Q606" s="477">
        <v>1</v>
      </c>
      <c r="R606" s="472">
        <f>IF(Table6[[#This Row],[Work Start TimeStamp]]="","",(Table6[[#This Row],[Work Start TimeStamp]]-Table6[[#This Row],[Fault Start TimeStamp]])*24)</f>
        <v>0</v>
      </c>
      <c r="S606" s="472">
        <f>(Table6[[#This Row],[Fault Clearance time]]-Table6[[#This Row],[Work Start TimeStamp]])*24</f>
        <v>6.1499999999999995</v>
      </c>
      <c r="T606" s="472">
        <f>(Table6[[#This Row],[Fault Clearance time]]-Table6[[#This Row],[Fault Start TimeStamp]])*24</f>
        <v>6.1499999999999995</v>
      </c>
      <c r="U606" s="35" t="s">
        <v>1765</v>
      </c>
      <c r="V606" s="102" t="s">
        <v>338</v>
      </c>
      <c r="W606" s="478">
        <f>IFERROR(Table6[[#This Row],[Breakdown Time]]*Table6[[#This Row],[Plant Equivalent Weightage]],"")</f>
        <v>0.23653846153846145</v>
      </c>
      <c r="X606" s="473" t="s">
        <v>290</v>
      </c>
      <c r="Y606" s="474" t="s">
        <v>320</v>
      </c>
      <c r="Z606" s="102">
        <v>24540</v>
      </c>
      <c r="AA606" s="468">
        <f>(Table6[[#This Row],[Paired WTG Generation for loss calculation]]/24)*Table6[[#This Row],[Breakdown Time]]</f>
        <v>6288.3749999999991</v>
      </c>
      <c r="AB606" s="102"/>
      <c r="AC606" s="35"/>
      <c r="AD606" s="35"/>
    </row>
    <row r="607" spans="1:30">
      <c r="A607" s="102">
        <f t="shared" si="10"/>
        <v>606</v>
      </c>
      <c r="B607" s="468">
        <f>YEAR(Table6[[#This Row],[Date]])+IF(MONTH(Table6[[#This Row],[Date]])&gt;=4,1,0)</f>
        <v>2026</v>
      </c>
      <c r="C607" s="102">
        <f>YEAR(Table6[[#This Row],[Date]])</f>
        <v>2025</v>
      </c>
      <c r="D607" s="102" t="s">
        <v>1992</v>
      </c>
      <c r="E607" s="469">
        <f>Table6[[#This Row],[Date]]-DAY(Table6[[#This Row],[Date]])+1</f>
        <v>45778</v>
      </c>
      <c r="F607" s="470">
        <v>45783</v>
      </c>
      <c r="G607" s="35" t="s">
        <v>98</v>
      </c>
      <c r="H607" s="35" t="str">
        <f>IFERROR(_xlfn.XLOOKUP(Table6[[#This Row],[Affected WTG]],'Basic Data'!$A:$A,'Basic Data'!$B:$B),"")</f>
        <v>TQGXIIPL</v>
      </c>
      <c r="I607" s="35" t="str">
        <f>IFERROR(_xlfn.XLOOKUP(Table6[[#This Row],[Affected WTG]],'Basic Data'!$A:$A,'Basic Data'!$C:$C),"")</f>
        <v>GEDA</v>
      </c>
      <c r="J607" s="471">
        <f>IFERROR(_xlfn.XLOOKUP(Table6[[#This Row],[Affected WTG]],'Basic Data'!$A:$A,'Basic Data'!$E:$E),"")</f>
        <v>3.846153846153845E-2</v>
      </c>
      <c r="K607" s="102">
        <v>58</v>
      </c>
      <c r="L607" s="35" t="str">
        <f>IFERROR(_xlfn.XLOOKUP(Table6[[#This Row],[Error Code]],'Basic Data'!$AA:$AA,'Basic Data'!$AB:$AB),"Incorrect Error Code")</f>
        <v>Wind dir.dev. level 2</v>
      </c>
      <c r="M607" s="35" t="s">
        <v>292</v>
      </c>
      <c r="N607" s="475"/>
      <c r="O607" s="476">
        <v>0.62152777777777779</v>
      </c>
      <c r="P607" s="476">
        <v>0.62152777777777779</v>
      </c>
      <c r="Q607" s="477">
        <v>0.625</v>
      </c>
      <c r="R607" s="472">
        <f>IF(Table6[[#This Row],[Work Start TimeStamp]]="","",(Table6[[#This Row],[Work Start TimeStamp]]-Table6[[#This Row],[Fault Start TimeStamp]])*24)</f>
        <v>0</v>
      </c>
      <c r="S607" s="472">
        <f>(Table6[[#This Row],[Fault Clearance time]]-Table6[[#This Row],[Work Start TimeStamp]])*24</f>
        <v>8.3333333333333037E-2</v>
      </c>
      <c r="T607" s="472">
        <f>(Table6[[#This Row],[Fault Clearance time]]-Table6[[#This Row],[Fault Start TimeStamp]])*24</f>
        <v>8.3333333333333037E-2</v>
      </c>
      <c r="U607" s="35" t="s">
        <v>336</v>
      </c>
      <c r="V607" s="102" t="s">
        <v>293</v>
      </c>
      <c r="W607" s="478">
        <f>IFERROR(Table6[[#This Row],[Breakdown Time]]*Table6[[#This Row],[Plant Equivalent Weightage]],"")</f>
        <v>3.2051282051281929E-3</v>
      </c>
      <c r="X607" s="473" t="s">
        <v>294</v>
      </c>
      <c r="Y607" s="474" t="s">
        <v>315</v>
      </c>
      <c r="Z607" s="102">
        <v>10165</v>
      </c>
      <c r="AA607" s="468">
        <f>(Table6[[#This Row],[Paired WTG Generation for loss calculation]]/24)*Table6[[#This Row],[Breakdown Time]]</f>
        <v>35.295138888888765</v>
      </c>
      <c r="AB607" s="102"/>
      <c r="AC607" s="35"/>
      <c r="AD607" s="35"/>
    </row>
    <row r="608" spans="1:30">
      <c r="A608" s="102">
        <f t="shared" si="10"/>
        <v>607</v>
      </c>
      <c r="B608" s="468">
        <f>YEAR(Table6[[#This Row],[Date]])+IF(MONTH(Table6[[#This Row],[Date]])&gt;=4,1,0)</f>
        <v>2026</v>
      </c>
      <c r="C608" s="102">
        <f>YEAR(Table6[[#This Row],[Date]])</f>
        <v>2025</v>
      </c>
      <c r="D608" s="102" t="s">
        <v>1992</v>
      </c>
      <c r="E608" s="469">
        <f>Table6[[#This Row],[Date]]-DAY(Table6[[#This Row],[Date]])+1</f>
        <v>45778</v>
      </c>
      <c r="F608" s="470">
        <v>45783</v>
      </c>
      <c r="G608" s="35" t="s">
        <v>99</v>
      </c>
      <c r="H608" s="35" t="str">
        <f>IFERROR(_xlfn.XLOOKUP(Table6[[#This Row],[Affected WTG]],'Basic Data'!$A:$A,'Basic Data'!$B:$B),"")</f>
        <v>TQGXIIPL</v>
      </c>
      <c r="I608" s="35" t="str">
        <f>IFERROR(_xlfn.XLOOKUP(Table6[[#This Row],[Affected WTG]],'Basic Data'!$A:$A,'Basic Data'!$C:$C),"")</f>
        <v>GEDA</v>
      </c>
      <c r="J608" s="471">
        <f>IFERROR(_xlfn.XLOOKUP(Table6[[#This Row],[Affected WTG]],'Basic Data'!$A:$A,'Basic Data'!$E:$E),"")</f>
        <v>3.846153846153845E-2</v>
      </c>
      <c r="K608" s="102">
        <v>6012</v>
      </c>
      <c r="L608" s="35" t="str">
        <f>IFERROR(_xlfn.XLOOKUP(Table6[[#This Row],[Error Code]],'Basic Data'!$AA:$AA,'Basic Data'!$AB:$AB),"Incorrect Error Code")</f>
        <v>Overload yaw motors group 2</v>
      </c>
      <c r="M608" s="35" t="s">
        <v>291</v>
      </c>
      <c r="N608" s="475"/>
      <c r="O608" s="476">
        <v>2.7777777777777776E-2</v>
      </c>
      <c r="P608" s="476">
        <v>9.930555555555555E-2</v>
      </c>
      <c r="Q608" s="477">
        <v>0.11666666666666667</v>
      </c>
      <c r="R608" s="472">
        <f>IF(Table6[[#This Row],[Work Start TimeStamp]]="","",(Table6[[#This Row],[Work Start TimeStamp]]-Table6[[#This Row],[Fault Start TimeStamp]])*24)</f>
        <v>1.7166666666666666</v>
      </c>
      <c r="S608" s="472">
        <f>(Table6[[#This Row],[Fault Clearance time]]-Table6[[#This Row],[Work Start TimeStamp]])*24</f>
        <v>0.41666666666666685</v>
      </c>
      <c r="T608" s="472">
        <f>(Table6[[#This Row],[Fault Clearance time]]-Table6[[#This Row],[Fault Start TimeStamp]])*24</f>
        <v>2.1333333333333333</v>
      </c>
      <c r="U608" s="35" t="s">
        <v>1766</v>
      </c>
      <c r="V608" s="102" t="s">
        <v>293</v>
      </c>
      <c r="W608" s="478">
        <f>IFERROR(Table6[[#This Row],[Breakdown Time]]*Table6[[#This Row],[Plant Equivalent Weightage]],"")</f>
        <v>8.2051282051282023E-2</v>
      </c>
      <c r="X608" s="473" t="s">
        <v>290</v>
      </c>
      <c r="Y608" s="474" t="s">
        <v>315</v>
      </c>
      <c r="Z608" s="102">
        <v>10165</v>
      </c>
      <c r="AA608" s="468">
        <f>(Table6[[#This Row],[Paired WTG Generation for loss calculation]]/24)*Table6[[#This Row],[Breakdown Time]]</f>
        <v>903.55555555555554</v>
      </c>
      <c r="AB608" s="102"/>
      <c r="AC608" s="35"/>
      <c r="AD608" s="35"/>
    </row>
    <row r="609" spans="1:30">
      <c r="A609" s="102">
        <f t="shared" si="10"/>
        <v>608</v>
      </c>
      <c r="B609" s="468">
        <f>YEAR(Table6[[#This Row],[Date]])+IF(MONTH(Table6[[#This Row],[Date]])&gt;=4,1,0)</f>
        <v>2026</v>
      </c>
      <c r="C609" s="102">
        <f>YEAR(Table6[[#This Row],[Date]])</f>
        <v>2025</v>
      </c>
      <c r="D609" s="102" t="s">
        <v>1992</v>
      </c>
      <c r="E609" s="469">
        <f>Table6[[#This Row],[Date]]-DAY(Table6[[#This Row],[Date]])+1</f>
        <v>45778</v>
      </c>
      <c r="F609" s="470">
        <v>45783</v>
      </c>
      <c r="G609" s="35" t="s">
        <v>99</v>
      </c>
      <c r="H609" s="35" t="str">
        <f>IFERROR(_xlfn.XLOOKUP(Table6[[#This Row],[Affected WTG]],'Basic Data'!$A:$A,'Basic Data'!$B:$B),"")</f>
        <v>TQGXIIPL</v>
      </c>
      <c r="I609" s="35" t="str">
        <f>IFERROR(_xlfn.XLOOKUP(Table6[[#This Row],[Affected WTG]],'Basic Data'!$A:$A,'Basic Data'!$C:$C),"")</f>
        <v>GEDA</v>
      </c>
      <c r="J609" s="471">
        <f>IFERROR(_xlfn.XLOOKUP(Table6[[#This Row],[Affected WTG]],'Basic Data'!$A:$A,'Basic Data'!$E:$E),"")</f>
        <v>3.846153846153845E-2</v>
      </c>
      <c r="K609" s="102">
        <v>700</v>
      </c>
      <c r="L609" s="35" t="str">
        <f>IFERROR(_xlfn.XLOOKUP(Table6[[#This Row],[Error Code]],'Basic Data'!$AA:$AA,'Basic Data'!$AB:$AB),"Incorrect Error Code")</f>
        <v>Batt. undervoltage/overvoltage</v>
      </c>
      <c r="M609" s="35" t="s">
        <v>291</v>
      </c>
      <c r="N609" s="475"/>
      <c r="O609" s="476">
        <v>0.30208333333333331</v>
      </c>
      <c r="P609" s="476">
        <v>0.30208333333333331</v>
      </c>
      <c r="Q609" s="477">
        <v>0.35902777777777778</v>
      </c>
      <c r="R609" s="472">
        <f>IF(Table6[[#This Row],[Work Start TimeStamp]]="","",(Table6[[#This Row],[Work Start TimeStamp]]-Table6[[#This Row],[Fault Start TimeStamp]])*24)</f>
        <v>0</v>
      </c>
      <c r="S609" s="472">
        <f>(Table6[[#This Row],[Fault Clearance time]]-Table6[[#This Row],[Work Start TimeStamp]])*24</f>
        <v>1.3666666666666671</v>
      </c>
      <c r="T609" s="472">
        <f>(Table6[[#This Row],[Fault Clearance time]]-Table6[[#This Row],[Fault Start TimeStamp]])*24</f>
        <v>1.3666666666666671</v>
      </c>
      <c r="U609" s="35" t="s">
        <v>1767</v>
      </c>
      <c r="V609" s="102" t="s">
        <v>293</v>
      </c>
      <c r="W609" s="478">
        <f>IFERROR(Table6[[#This Row],[Breakdown Time]]*Table6[[#This Row],[Plant Equivalent Weightage]],"")</f>
        <v>5.2564102564102565E-2</v>
      </c>
      <c r="X609" s="473" t="s">
        <v>294</v>
      </c>
      <c r="Y609" s="474" t="s">
        <v>315</v>
      </c>
      <c r="Z609" s="102">
        <v>10165</v>
      </c>
      <c r="AA609" s="468">
        <f>(Table6[[#This Row],[Paired WTG Generation for loss calculation]]/24)*Table6[[#This Row],[Breakdown Time]]</f>
        <v>578.84027777777806</v>
      </c>
      <c r="AB609" s="102"/>
      <c r="AC609" s="35"/>
      <c r="AD609" s="35"/>
    </row>
    <row r="610" spans="1:30">
      <c r="A610" s="102">
        <f t="shared" si="10"/>
        <v>609</v>
      </c>
      <c r="B610" s="468">
        <f>YEAR(Table6[[#This Row],[Date]])+IF(MONTH(Table6[[#This Row],[Date]])&gt;=4,1,0)</f>
        <v>2026</v>
      </c>
      <c r="C610" s="102">
        <f>YEAR(Table6[[#This Row],[Date]])</f>
        <v>2025</v>
      </c>
      <c r="D610" s="102" t="s">
        <v>1992</v>
      </c>
      <c r="E610" s="469">
        <f>Table6[[#This Row],[Date]]-DAY(Table6[[#This Row],[Date]])+1</f>
        <v>45778</v>
      </c>
      <c r="F610" s="470">
        <v>45784</v>
      </c>
      <c r="G610" s="35" t="s">
        <v>74</v>
      </c>
      <c r="H610" s="35" t="str">
        <f>IFERROR(_xlfn.XLOOKUP(Table6[[#This Row],[Affected WTG]],'Basic Data'!$A:$A,'Basic Data'!$B:$B),"")</f>
        <v>TQGXIIPL</v>
      </c>
      <c r="I610" s="35" t="str">
        <f>IFERROR(_xlfn.XLOOKUP(Table6[[#This Row],[Affected WTG]],'Basic Data'!$A:$A,'Basic Data'!$C:$C),"")</f>
        <v>GEDA</v>
      </c>
      <c r="J610" s="471">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291</v>
      </c>
      <c r="N610" s="475"/>
      <c r="O610" s="476">
        <v>8.9583333333333334E-2</v>
      </c>
      <c r="P610" s="476">
        <v>8.9583333333333334E-2</v>
      </c>
      <c r="Q610" s="477">
        <v>0.13750000000000001</v>
      </c>
      <c r="R610" s="472">
        <f>IF(Table6[[#This Row],[Work Start TimeStamp]]="","",(Table6[[#This Row],[Work Start TimeStamp]]-Table6[[#This Row],[Fault Start TimeStamp]])*24)</f>
        <v>0</v>
      </c>
      <c r="S610" s="472">
        <f>(Table6[[#This Row],[Fault Clearance time]]-Table6[[#This Row],[Work Start TimeStamp]])*24</f>
        <v>1.1500000000000004</v>
      </c>
      <c r="T610" s="472">
        <f>(Table6[[#This Row],[Fault Clearance time]]-Table6[[#This Row],[Fault Start TimeStamp]])*24</f>
        <v>1.1500000000000004</v>
      </c>
      <c r="U610" s="35" t="s">
        <v>1768</v>
      </c>
      <c r="V610" s="102" t="s">
        <v>293</v>
      </c>
      <c r="W610" s="478">
        <f>IFERROR(Table6[[#This Row],[Breakdown Time]]*Table6[[#This Row],[Plant Equivalent Weightage]],"")</f>
        <v>4.4230769230769233E-2</v>
      </c>
      <c r="X610" s="473" t="s">
        <v>294</v>
      </c>
      <c r="Y610" s="474" t="s">
        <v>321</v>
      </c>
      <c r="Z610" s="102">
        <v>15166</v>
      </c>
      <c r="AA610" s="468">
        <f>(Table6[[#This Row],[Paired WTG Generation for loss calculation]]/24)*Table6[[#This Row],[Breakdown Time]]</f>
        <v>726.70416666666688</v>
      </c>
      <c r="AB610" s="102"/>
      <c r="AC610" s="35"/>
      <c r="AD610" s="35"/>
    </row>
    <row r="611" spans="1:30">
      <c r="A611" s="102">
        <f t="shared" si="10"/>
        <v>610</v>
      </c>
      <c r="B611" s="468">
        <f>YEAR(Table6[[#This Row],[Date]])+IF(MONTH(Table6[[#This Row],[Date]])&gt;=4,1,0)</f>
        <v>2026</v>
      </c>
      <c r="C611" s="102">
        <f>YEAR(Table6[[#This Row],[Date]])</f>
        <v>2025</v>
      </c>
      <c r="D611" s="102" t="s">
        <v>1992</v>
      </c>
      <c r="E611" s="469">
        <f>Table6[[#This Row],[Date]]-DAY(Table6[[#This Row],[Date]])+1</f>
        <v>45778</v>
      </c>
      <c r="F611" s="470">
        <v>45784</v>
      </c>
      <c r="G611" s="35" t="s">
        <v>74</v>
      </c>
      <c r="H611" s="35" t="str">
        <f>IFERROR(_xlfn.XLOOKUP(Table6[[#This Row],[Affected WTG]],'Basic Data'!$A:$A,'Basic Data'!$B:$B),"")</f>
        <v>TQGXIIPL</v>
      </c>
      <c r="I611" s="35" t="str">
        <f>IFERROR(_xlfn.XLOOKUP(Table6[[#This Row],[Affected WTG]],'Basic Data'!$A:$A,'Basic Data'!$C:$C),"")</f>
        <v>GEDA</v>
      </c>
      <c r="J611" s="471">
        <f>IFERROR(_xlfn.XLOOKUP(Table6[[#This Row],[Affected WTG]],'Basic Data'!$A:$A,'Basic Data'!$E:$E),"")</f>
        <v>3.846153846153845E-2</v>
      </c>
      <c r="K611" s="102">
        <v>55</v>
      </c>
      <c r="L611" s="35" t="str">
        <f>IFERROR(_xlfn.XLOOKUP(Table6[[#This Row],[Error Code]],'Basic Data'!$AA:$AA,'Basic Data'!$AB:$AB),"Incorrect Error Code")</f>
        <v>WTG shut down</v>
      </c>
      <c r="M611" s="35" t="s">
        <v>330</v>
      </c>
      <c r="N611" s="475"/>
      <c r="O611" s="476">
        <v>0.51388888888888884</v>
      </c>
      <c r="P611" s="476">
        <v>0.51388888888888884</v>
      </c>
      <c r="Q611" s="477">
        <v>0.59583333333333333</v>
      </c>
      <c r="R611" s="472">
        <f>IF(Table6[[#This Row],[Work Start TimeStamp]]="","",(Table6[[#This Row],[Work Start TimeStamp]]-Table6[[#This Row],[Fault Start TimeStamp]])*24)</f>
        <v>0</v>
      </c>
      <c r="S611" s="472">
        <f>(Table6[[#This Row],[Fault Clearance time]]-Table6[[#This Row],[Work Start TimeStamp]])*24</f>
        <v>1.9666666666666677</v>
      </c>
      <c r="T611" s="472">
        <f>(Table6[[#This Row],[Fault Clearance time]]-Table6[[#This Row],[Fault Start TimeStamp]])*24</f>
        <v>1.9666666666666677</v>
      </c>
      <c r="U611" s="35" t="s">
        <v>1744</v>
      </c>
      <c r="V611" s="102" t="s">
        <v>293</v>
      </c>
      <c r="W611" s="478">
        <f>IFERROR(Table6[[#This Row],[Breakdown Time]]*Table6[[#This Row],[Plant Equivalent Weightage]],"")</f>
        <v>7.564102564102565E-2</v>
      </c>
      <c r="X611" s="473" t="s">
        <v>294</v>
      </c>
      <c r="Y611" s="474" t="s">
        <v>321</v>
      </c>
      <c r="Z611" s="102">
        <v>15166</v>
      </c>
      <c r="AA611" s="468">
        <f>(Table6[[#This Row],[Paired WTG Generation for loss calculation]]/24)*Table6[[#This Row],[Breakdown Time]]</f>
        <v>1242.7694444444451</v>
      </c>
      <c r="AB611" s="102"/>
      <c r="AC611" s="35"/>
      <c r="AD611" s="35"/>
    </row>
    <row r="612" spans="1:30">
      <c r="A612" s="102">
        <f t="shared" si="10"/>
        <v>611</v>
      </c>
      <c r="B612" s="468">
        <f>YEAR(Table6[[#This Row],[Date]])+IF(MONTH(Table6[[#This Row],[Date]])&gt;=4,1,0)</f>
        <v>2026</v>
      </c>
      <c r="C612" s="102">
        <f>YEAR(Table6[[#This Row],[Date]])</f>
        <v>2025</v>
      </c>
      <c r="D612" s="102" t="s">
        <v>1992</v>
      </c>
      <c r="E612" s="469">
        <f>Table6[[#This Row],[Date]]-DAY(Table6[[#This Row],[Date]])+1</f>
        <v>45778</v>
      </c>
      <c r="F612" s="470">
        <v>45784</v>
      </c>
      <c r="G612" s="35" t="s">
        <v>75</v>
      </c>
      <c r="H612" s="35" t="str">
        <f>IFERROR(_xlfn.XLOOKUP(Table6[[#This Row],[Affected WTG]],'Basic Data'!$A:$A,'Basic Data'!$B:$B),"")</f>
        <v>TQGXIIPL</v>
      </c>
      <c r="I612" s="35" t="str">
        <f>IFERROR(_xlfn.XLOOKUP(Table6[[#This Row],[Affected WTG]],'Basic Data'!$A:$A,'Basic Data'!$C:$C),"")</f>
        <v>GEDA</v>
      </c>
      <c r="J612" s="471">
        <f>IFERROR(_xlfn.XLOOKUP(Table6[[#This Row],[Affected WTG]],'Basic Data'!$A:$A,'Basic Data'!$E:$E),"")</f>
        <v>3.846153846153845E-2</v>
      </c>
      <c r="K612" s="102">
        <v>3420</v>
      </c>
      <c r="L612" s="35" t="str">
        <f>IFERROR(_xlfn.XLOOKUP(Table6[[#This Row],[Error Code]],'Basic Data'!$AA:$AA,'Basic Data'!$AB:$AB),"Incorrect Error Code")</f>
        <v>UPS buffer time too short</v>
      </c>
      <c r="M612" s="35" t="s">
        <v>291</v>
      </c>
      <c r="N612" s="475"/>
      <c r="O612" s="476">
        <v>9.0277777777777776E-2</v>
      </c>
      <c r="P612" s="476">
        <v>9.0277777777777776E-2</v>
      </c>
      <c r="Q612" s="477">
        <v>0.13819444444444445</v>
      </c>
      <c r="R612" s="472">
        <f>IF(Table6[[#This Row],[Work Start TimeStamp]]="","",(Table6[[#This Row],[Work Start TimeStamp]]-Table6[[#This Row],[Fault Start TimeStamp]])*24)</f>
        <v>0</v>
      </c>
      <c r="S612" s="472">
        <f>(Table6[[#This Row],[Fault Clearance time]]-Table6[[#This Row],[Work Start TimeStamp]])*24</f>
        <v>1.1500000000000004</v>
      </c>
      <c r="T612" s="472">
        <f>(Table6[[#This Row],[Fault Clearance time]]-Table6[[#This Row],[Fault Start TimeStamp]])*24</f>
        <v>1.1500000000000004</v>
      </c>
      <c r="U612" s="35" t="s">
        <v>1769</v>
      </c>
      <c r="V612" s="102" t="s">
        <v>293</v>
      </c>
      <c r="W612" s="478">
        <f>IFERROR(Table6[[#This Row],[Breakdown Time]]*Table6[[#This Row],[Plant Equivalent Weightage]],"")</f>
        <v>4.4230769230769233E-2</v>
      </c>
      <c r="X612" s="473" t="s">
        <v>294</v>
      </c>
      <c r="Y612" s="474" t="s">
        <v>318</v>
      </c>
      <c r="Z612" s="102">
        <v>16886</v>
      </c>
      <c r="AA612" s="468">
        <f>(Table6[[#This Row],[Paired WTG Generation for loss calculation]]/24)*Table6[[#This Row],[Breakdown Time]]</f>
        <v>809.12083333333362</v>
      </c>
      <c r="AB612" s="102"/>
      <c r="AC612" s="35"/>
      <c r="AD612" s="35"/>
    </row>
    <row r="613" spans="1:30">
      <c r="A613" s="102">
        <f t="shared" si="10"/>
        <v>612</v>
      </c>
      <c r="B613" s="468">
        <f>YEAR(Table6[[#This Row],[Date]])+IF(MONTH(Table6[[#This Row],[Date]])&gt;=4,1,0)</f>
        <v>2026</v>
      </c>
      <c r="C613" s="102">
        <f>YEAR(Table6[[#This Row],[Date]])</f>
        <v>2025</v>
      </c>
      <c r="D613" s="102" t="s">
        <v>1992</v>
      </c>
      <c r="E613" s="469">
        <f>Table6[[#This Row],[Date]]-DAY(Table6[[#This Row],[Date]])+1</f>
        <v>45778</v>
      </c>
      <c r="F613" s="470">
        <v>45784</v>
      </c>
      <c r="G613" s="35" t="s">
        <v>76</v>
      </c>
      <c r="H613" s="35" t="str">
        <f>IFERROR(_xlfn.XLOOKUP(Table6[[#This Row],[Affected WTG]],'Basic Data'!$A:$A,'Basic Data'!$B:$B),"")</f>
        <v>TQGXIIPL</v>
      </c>
      <c r="I613" s="35" t="str">
        <f>IFERROR(_xlfn.XLOOKUP(Table6[[#This Row],[Affected WTG]],'Basic Data'!$A:$A,'Basic Data'!$C:$C),"")</f>
        <v>GEDA</v>
      </c>
      <c r="J613" s="471">
        <f>IFERROR(_xlfn.XLOOKUP(Table6[[#This Row],[Affected WTG]],'Basic Data'!$A:$A,'Basic Data'!$E:$E),"")</f>
        <v>3.846153846153845E-2</v>
      </c>
      <c r="K613" s="102">
        <v>641</v>
      </c>
      <c r="L613" s="35" t="str">
        <f>IFERROR(_xlfn.XLOOKUP(Table6[[#This Row],[Error Code]],'Basic Data'!$AA:$AA,'Basic Data'!$AB:$AB),"Incorrect Error Code")</f>
        <v>Sim.angle E enc. &lt;&gt; act.angle 1</v>
      </c>
      <c r="M613" s="35" t="s">
        <v>295</v>
      </c>
      <c r="N613" s="475"/>
      <c r="O613" s="476">
        <v>0.2013888888888889</v>
      </c>
      <c r="P613" s="476">
        <v>0.2013888888888889</v>
      </c>
      <c r="Q613" s="477">
        <v>0.62152777777777779</v>
      </c>
      <c r="R613" s="472">
        <f>IF(Table6[[#This Row],[Work Start TimeStamp]]="","",(Table6[[#This Row],[Work Start TimeStamp]]-Table6[[#This Row],[Fault Start TimeStamp]])*24)</f>
        <v>0</v>
      </c>
      <c r="S613" s="472">
        <f>(Table6[[#This Row],[Fault Clearance time]]-Table6[[#This Row],[Work Start TimeStamp]])*24</f>
        <v>10.083333333333334</v>
      </c>
      <c r="T613" s="472">
        <f>(Table6[[#This Row],[Fault Clearance time]]-Table6[[#This Row],[Fault Start TimeStamp]])*24</f>
        <v>10.083333333333334</v>
      </c>
      <c r="U613" s="35" t="s">
        <v>1770</v>
      </c>
      <c r="V613" s="102" t="s">
        <v>293</v>
      </c>
      <c r="W613" s="478">
        <f>IFERROR(Table6[[#This Row],[Breakdown Time]]*Table6[[#This Row],[Plant Equivalent Weightage]],"")</f>
        <v>0.38782051282051272</v>
      </c>
      <c r="X613" s="473" t="s">
        <v>290</v>
      </c>
      <c r="Y613" s="474" t="s">
        <v>309</v>
      </c>
      <c r="Z613" s="102">
        <v>15126</v>
      </c>
      <c r="AA613" s="468">
        <f>(Table6[[#This Row],[Paired WTG Generation for loss calculation]]/24)*Table6[[#This Row],[Breakdown Time]]</f>
        <v>6355.0208333333339</v>
      </c>
      <c r="AB613" s="102"/>
      <c r="AC613" s="35"/>
      <c r="AD613" s="35"/>
    </row>
    <row r="614" spans="1:30">
      <c r="A614" s="102">
        <f t="shared" si="10"/>
        <v>613</v>
      </c>
      <c r="B614" s="468">
        <f>YEAR(Table6[[#This Row],[Date]])+IF(MONTH(Table6[[#This Row],[Date]])&gt;=4,1,0)</f>
        <v>2026</v>
      </c>
      <c r="C614" s="102">
        <f>YEAR(Table6[[#This Row],[Date]])</f>
        <v>2025</v>
      </c>
      <c r="D614" s="102" t="s">
        <v>1992</v>
      </c>
      <c r="E614" s="469">
        <f>Table6[[#This Row],[Date]]-DAY(Table6[[#This Row],[Date]])+1</f>
        <v>45778</v>
      </c>
      <c r="F614" s="470">
        <v>45784</v>
      </c>
      <c r="G614" s="35" t="s">
        <v>78</v>
      </c>
      <c r="H614" s="35" t="str">
        <f>IFERROR(_xlfn.XLOOKUP(Table6[[#This Row],[Affected WTG]],'Basic Data'!$A:$A,'Basic Data'!$B:$B),"")</f>
        <v>TQGXIIPL</v>
      </c>
      <c r="I614" s="35" t="str">
        <f>IFERROR(_xlfn.XLOOKUP(Table6[[#This Row],[Affected WTG]],'Basic Data'!$A:$A,'Basic Data'!$C:$C),"")</f>
        <v>GEDA</v>
      </c>
      <c r="J614" s="471">
        <f>IFERROR(_xlfn.XLOOKUP(Table6[[#This Row],[Affected WTG]],'Basic Data'!$A:$A,'Basic Data'!$E:$E),"")</f>
        <v>3.846153846153845E-2</v>
      </c>
      <c r="K614" s="102">
        <v>3420</v>
      </c>
      <c r="L614" s="35" t="str">
        <f>IFERROR(_xlfn.XLOOKUP(Table6[[#This Row],[Error Code]],'Basic Data'!$AA:$AA,'Basic Data'!$AB:$AB),"Incorrect Error Code")</f>
        <v>UPS buffer time too short</v>
      </c>
      <c r="M614" s="35" t="s">
        <v>291</v>
      </c>
      <c r="N614" s="475"/>
      <c r="O614" s="476">
        <v>0.10347222222222222</v>
      </c>
      <c r="P614" s="476">
        <v>0.10347222222222222</v>
      </c>
      <c r="Q614" s="477">
        <v>0.15277777777777779</v>
      </c>
      <c r="R614" s="472">
        <f>IF(Table6[[#This Row],[Work Start TimeStamp]]="","",(Table6[[#This Row],[Work Start TimeStamp]]-Table6[[#This Row],[Fault Start TimeStamp]])*24)</f>
        <v>0</v>
      </c>
      <c r="S614" s="472">
        <f>(Table6[[#This Row],[Fault Clearance time]]-Table6[[#This Row],[Work Start TimeStamp]])*24</f>
        <v>1.1833333333333338</v>
      </c>
      <c r="T614" s="472">
        <f>(Table6[[#This Row],[Fault Clearance time]]-Table6[[#This Row],[Fault Start TimeStamp]])*24</f>
        <v>1.1833333333333338</v>
      </c>
      <c r="U614" s="35" t="s">
        <v>1769</v>
      </c>
      <c r="V614" s="102" t="s">
        <v>293</v>
      </c>
      <c r="W614" s="478">
        <f>IFERROR(Table6[[#This Row],[Breakdown Time]]*Table6[[#This Row],[Plant Equivalent Weightage]],"")</f>
        <v>4.5512820512820518E-2</v>
      </c>
      <c r="X614" s="473" t="s">
        <v>294</v>
      </c>
      <c r="Y614" s="474" t="s">
        <v>333</v>
      </c>
      <c r="Z614" s="102">
        <v>16965</v>
      </c>
      <c r="AA614" s="468">
        <f>(Table6[[#This Row],[Paired WTG Generation for loss calculation]]/24)*Table6[[#This Row],[Breakdown Time]]</f>
        <v>836.46875000000034</v>
      </c>
      <c r="AB614" s="102"/>
      <c r="AC614" s="35"/>
      <c r="AD614" s="35"/>
    </row>
    <row r="615" spans="1:30">
      <c r="A615" s="102">
        <f t="shared" si="10"/>
        <v>614</v>
      </c>
      <c r="B615" s="468">
        <f>YEAR(Table6[[#This Row],[Date]])+IF(MONTH(Table6[[#This Row],[Date]])&gt;=4,1,0)</f>
        <v>2026</v>
      </c>
      <c r="C615" s="102">
        <f>YEAR(Table6[[#This Row],[Date]])</f>
        <v>2025</v>
      </c>
      <c r="D615" s="102" t="s">
        <v>1992</v>
      </c>
      <c r="E615" s="469">
        <f>Table6[[#This Row],[Date]]-DAY(Table6[[#This Row],[Date]])+1</f>
        <v>45778</v>
      </c>
      <c r="F615" s="470">
        <v>45784</v>
      </c>
      <c r="G615" s="35" t="s">
        <v>81</v>
      </c>
      <c r="H615" s="35" t="str">
        <f>IFERROR(_xlfn.XLOOKUP(Table6[[#This Row],[Affected WTG]],'Basic Data'!$A:$A,'Basic Data'!$B:$B),"")</f>
        <v>TQGXIIPL</v>
      </c>
      <c r="I615" s="35" t="str">
        <f>IFERROR(_xlfn.XLOOKUP(Table6[[#This Row],[Affected WTG]],'Basic Data'!$A:$A,'Basic Data'!$C:$C),"")</f>
        <v>GEDA</v>
      </c>
      <c r="J615" s="471">
        <f>IFERROR(_xlfn.XLOOKUP(Table6[[#This Row],[Affected WTG]],'Basic Data'!$A:$A,'Basic Data'!$E:$E),"")</f>
        <v>3.846153846153845E-2</v>
      </c>
      <c r="K615" s="102">
        <v>3420</v>
      </c>
      <c r="L615" s="35" t="str">
        <f>IFERROR(_xlfn.XLOOKUP(Table6[[#This Row],[Error Code]],'Basic Data'!$AA:$AA,'Basic Data'!$AB:$AB),"Incorrect Error Code")</f>
        <v>UPS buffer time too short</v>
      </c>
      <c r="M615" s="35" t="s">
        <v>291</v>
      </c>
      <c r="N615" s="475"/>
      <c r="O615" s="476">
        <v>9.0277777777777776E-2</v>
      </c>
      <c r="P615" s="476">
        <v>9.0277777777777776E-2</v>
      </c>
      <c r="Q615" s="477">
        <v>0.14027777777777778</v>
      </c>
      <c r="R615" s="472">
        <f>IF(Table6[[#This Row],[Work Start TimeStamp]]="","",(Table6[[#This Row],[Work Start TimeStamp]]-Table6[[#This Row],[Fault Start TimeStamp]])*24)</f>
        <v>0</v>
      </c>
      <c r="S615" s="472">
        <f>(Table6[[#This Row],[Fault Clearance time]]-Table6[[#This Row],[Work Start TimeStamp]])*24</f>
        <v>1.2000000000000002</v>
      </c>
      <c r="T615" s="472">
        <f>(Table6[[#This Row],[Fault Clearance time]]-Table6[[#This Row],[Fault Start TimeStamp]])*24</f>
        <v>1.2000000000000002</v>
      </c>
      <c r="U615" s="35" t="s">
        <v>1771</v>
      </c>
      <c r="V615" s="102" t="s">
        <v>293</v>
      </c>
      <c r="W615" s="478">
        <f>IFERROR(Table6[[#This Row],[Breakdown Time]]*Table6[[#This Row],[Plant Equivalent Weightage]],"")</f>
        <v>4.6153846153846149E-2</v>
      </c>
      <c r="X615" s="473" t="s">
        <v>294</v>
      </c>
      <c r="Y615" s="474" t="s">
        <v>321</v>
      </c>
      <c r="Z615" s="102">
        <v>15166</v>
      </c>
      <c r="AA615" s="468">
        <f>(Table6[[#This Row],[Paired WTG Generation for loss calculation]]/24)*Table6[[#This Row],[Breakdown Time]]</f>
        <v>758.30000000000007</v>
      </c>
      <c r="AB615" s="102"/>
      <c r="AC615" s="35"/>
      <c r="AD615" s="35"/>
    </row>
    <row r="616" spans="1:30">
      <c r="A616" s="102">
        <f t="shared" si="10"/>
        <v>615</v>
      </c>
      <c r="B616" s="468">
        <f>YEAR(Table6[[#This Row],[Date]])+IF(MONTH(Table6[[#This Row],[Date]])&gt;=4,1,0)</f>
        <v>2026</v>
      </c>
      <c r="C616" s="102">
        <f>YEAR(Table6[[#This Row],[Date]])</f>
        <v>2025</v>
      </c>
      <c r="D616" s="102" t="s">
        <v>1992</v>
      </c>
      <c r="E616" s="469">
        <f>Table6[[#This Row],[Date]]-DAY(Table6[[#This Row],[Date]])+1</f>
        <v>45778</v>
      </c>
      <c r="F616" s="470">
        <v>45784</v>
      </c>
      <c r="G616" s="35" t="s">
        <v>82</v>
      </c>
      <c r="H616" s="35" t="str">
        <f>IFERROR(_xlfn.XLOOKUP(Table6[[#This Row],[Affected WTG]],'Basic Data'!$A:$A,'Basic Data'!$B:$B),"")</f>
        <v>TQGXIIPL</v>
      </c>
      <c r="I616" s="35" t="str">
        <f>IFERROR(_xlfn.XLOOKUP(Table6[[#This Row],[Affected WTG]],'Basic Data'!$A:$A,'Basic Data'!$C:$C),"")</f>
        <v>GEDA</v>
      </c>
      <c r="J616" s="471">
        <f>IFERROR(_xlfn.XLOOKUP(Table6[[#This Row],[Affected WTG]],'Basic Data'!$A:$A,'Basic Data'!$E:$E),"")</f>
        <v>3.846153846153845E-2</v>
      </c>
      <c r="K616" s="102">
        <v>3420</v>
      </c>
      <c r="L616" s="35" t="str">
        <f>IFERROR(_xlfn.XLOOKUP(Table6[[#This Row],[Error Code]],'Basic Data'!$AA:$AA,'Basic Data'!$AB:$AB),"Incorrect Error Code")</f>
        <v>UPS buffer time too short</v>
      </c>
      <c r="M616" s="35" t="s">
        <v>291</v>
      </c>
      <c r="N616" s="475"/>
      <c r="O616" s="476">
        <v>9.0277777777777776E-2</v>
      </c>
      <c r="P616" s="476">
        <v>9.0277777777777776E-2</v>
      </c>
      <c r="Q616" s="477">
        <v>0.14166666666666666</v>
      </c>
      <c r="R616" s="472">
        <f>IF(Table6[[#This Row],[Work Start TimeStamp]]="","",(Table6[[#This Row],[Work Start TimeStamp]]-Table6[[#This Row],[Fault Start TimeStamp]])*24)</f>
        <v>0</v>
      </c>
      <c r="S616" s="472">
        <f>(Table6[[#This Row],[Fault Clearance time]]-Table6[[#This Row],[Work Start TimeStamp]])*24</f>
        <v>1.2333333333333334</v>
      </c>
      <c r="T616" s="472">
        <f>(Table6[[#This Row],[Fault Clearance time]]-Table6[[#This Row],[Fault Start TimeStamp]])*24</f>
        <v>1.2333333333333334</v>
      </c>
      <c r="U616" s="35" t="s">
        <v>1771</v>
      </c>
      <c r="V616" s="102" t="s">
        <v>293</v>
      </c>
      <c r="W616" s="478">
        <f>IFERROR(Table6[[#This Row],[Breakdown Time]]*Table6[[#This Row],[Plant Equivalent Weightage]],"")</f>
        <v>4.7435897435897427E-2</v>
      </c>
      <c r="X616" s="473" t="s">
        <v>294</v>
      </c>
      <c r="Y616" s="474" t="s">
        <v>332</v>
      </c>
      <c r="Z616" s="102">
        <v>1852</v>
      </c>
      <c r="AA616" s="468">
        <f>(Table6[[#This Row],[Paired WTG Generation for loss calculation]]/24)*Table6[[#This Row],[Breakdown Time]]</f>
        <v>95.172222222222231</v>
      </c>
      <c r="AB616" s="102"/>
      <c r="AC616" s="35"/>
      <c r="AD616" s="35"/>
    </row>
    <row r="617" spans="1:30">
      <c r="A617" s="102">
        <f t="shared" si="10"/>
        <v>616</v>
      </c>
      <c r="B617" s="468">
        <f>YEAR(Table6[[#This Row],[Date]])+IF(MONTH(Table6[[#This Row],[Date]])&gt;=4,1,0)</f>
        <v>2026</v>
      </c>
      <c r="C617" s="102">
        <f>YEAR(Table6[[#This Row],[Date]])</f>
        <v>2025</v>
      </c>
      <c r="D617" s="102" t="s">
        <v>1992</v>
      </c>
      <c r="E617" s="469">
        <f>Table6[[#This Row],[Date]]-DAY(Table6[[#This Row],[Date]])+1</f>
        <v>45778</v>
      </c>
      <c r="F617" s="470">
        <v>45784</v>
      </c>
      <c r="G617" s="35" t="s">
        <v>83</v>
      </c>
      <c r="H617" s="35" t="str">
        <f>IFERROR(_xlfn.XLOOKUP(Table6[[#This Row],[Affected WTG]],'Basic Data'!$A:$A,'Basic Data'!$B:$B),"")</f>
        <v>TQGXIIPL</v>
      </c>
      <c r="I617" s="35" t="str">
        <f>IFERROR(_xlfn.XLOOKUP(Table6[[#This Row],[Affected WTG]],'Basic Data'!$A:$A,'Basic Data'!$C:$C),"")</f>
        <v>GEDA</v>
      </c>
      <c r="J617" s="471">
        <f>IFERROR(_xlfn.XLOOKUP(Table6[[#This Row],[Affected WTG]],'Basic Data'!$A:$A,'Basic Data'!$E:$E),"")</f>
        <v>3.846153846153845E-2</v>
      </c>
      <c r="K617" s="102">
        <v>3420</v>
      </c>
      <c r="L617" s="35" t="str">
        <f>IFERROR(_xlfn.XLOOKUP(Table6[[#This Row],[Error Code]],'Basic Data'!$AA:$AA,'Basic Data'!$AB:$AB),"Incorrect Error Code")</f>
        <v>UPS buffer time too short</v>
      </c>
      <c r="M617" s="35" t="s">
        <v>291</v>
      </c>
      <c r="N617" s="475"/>
      <c r="O617" s="476">
        <v>9.0277777777777776E-2</v>
      </c>
      <c r="P617" s="476">
        <v>9.0277777777777776E-2</v>
      </c>
      <c r="Q617" s="477">
        <v>0.14444444444444443</v>
      </c>
      <c r="R617" s="472">
        <f>IF(Table6[[#This Row],[Work Start TimeStamp]]="","",(Table6[[#This Row],[Work Start TimeStamp]]-Table6[[#This Row],[Fault Start TimeStamp]])*24)</f>
        <v>0</v>
      </c>
      <c r="S617" s="472">
        <f>(Table6[[#This Row],[Fault Clearance time]]-Table6[[#This Row],[Work Start TimeStamp]])*24</f>
        <v>1.2999999999999998</v>
      </c>
      <c r="T617" s="472">
        <f>(Table6[[#This Row],[Fault Clearance time]]-Table6[[#This Row],[Fault Start TimeStamp]])*24</f>
        <v>1.2999999999999998</v>
      </c>
      <c r="U617" s="35" t="s">
        <v>1771</v>
      </c>
      <c r="V617" s="102" t="s">
        <v>293</v>
      </c>
      <c r="W617" s="478">
        <f>IFERROR(Table6[[#This Row],[Breakdown Time]]*Table6[[#This Row],[Plant Equivalent Weightage]],"")</f>
        <v>4.9999999999999975E-2</v>
      </c>
      <c r="X617" s="473" t="s">
        <v>294</v>
      </c>
      <c r="Y617" s="474" t="s">
        <v>312</v>
      </c>
      <c r="Z617" s="102">
        <v>14641</v>
      </c>
      <c r="AA617" s="468">
        <f>(Table6[[#This Row],[Paired WTG Generation for loss calculation]]/24)*Table6[[#This Row],[Breakdown Time]]</f>
        <v>793.05416666666656</v>
      </c>
      <c r="AB617" s="102"/>
      <c r="AC617" s="35"/>
      <c r="AD617" s="35"/>
    </row>
    <row r="618" spans="1:30">
      <c r="A618" s="102">
        <f t="shared" si="10"/>
        <v>617</v>
      </c>
      <c r="B618" s="468">
        <f>YEAR(Table6[[#This Row],[Date]])+IF(MONTH(Table6[[#This Row],[Date]])&gt;=4,1,0)</f>
        <v>2026</v>
      </c>
      <c r="C618" s="102">
        <f>YEAR(Table6[[#This Row],[Date]])</f>
        <v>2025</v>
      </c>
      <c r="D618" s="102" t="s">
        <v>1992</v>
      </c>
      <c r="E618" s="469">
        <f>Table6[[#This Row],[Date]]-DAY(Table6[[#This Row],[Date]])+1</f>
        <v>45778</v>
      </c>
      <c r="F618" s="470">
        <v>45784</v>
      </c>
      <c r="G618" s="35" t="s">
        <v>84</v>
      </c>
      <c r="H618" s="35" t="str">
        <f>IFERROR(_xlfn.XLOOKUP(Table6[[#This Row],[Affected WTG]],'Basic Data'!$A:$A,'Basic Data'!$B:$B),"")</f>
        <v>TQGXIIPL</v>
      </c>
      <c r="I618" s="35" t="str">
        <f>IFERROR(_xlfn.XLOOKUP(Table6[[#This Row],[Affected WTG]],'Basic Data'!$A:$A,'Basic Data'!$C:$C),"")</f>
        <v>GEDA</v>
      </c>
      <c r="J618" s="471">
        <f>IFERROR(_xlfn.XLOOKUP(Table6[[#This Row],[Affected WTG]],'Basic Data'!$A:$A,'Basic Data'!$E:$E),"")</f>
        <v>3.846153846153845E-2</v>
      </c>
      <c r="K618" s="102">
        <v>3420</v>
      </c>
      <c r="L618" s="35" t="str">
        <f>IFERROR(_xlfn.XLOOKUP(Table6[[#This Row],[Error Code]],'Basic Data'!$AA:$AA,'Basic Data'!$AB:$AB),"Incorrect Error Code")</f>
        <v>UPS buffer time too short</v>
      </c>
      <c r="M618" s="35" t="s">
        <v>291</v>
      </c>
      <c r="N618" s="475"/>
      <c r="O618" s="476">
        <v>9.0277777777777776E-2</v>
      </c>
      <c r="P618" s="476">
        <v>9.0277777777777776E-2</v>
      </c>
      <c r="Q618" s="477">
        <v>9.2361111111111116E-2</v>
      </c>
      <c r="R618" s="472">
        <f>IF(Table6[[#This Row],[Work Start TimeStamp]]="","",(Table6[[#This Row],[Work Start TimeStamp]]-Table6[[#This Row],[Fault Start TimeStamp]])*24)</f>
        <v>0</v>
      </c>
      <c r="S618" s="472">
        <f>(Table6[[#This Row],[Fault Clearance time]]-Table6[[#This Row],[Work Start TimeStamp]])*24</f>
        <v>5.0000000000000155E-2</v>
      </c>
      <c r="T618" s="472">
        <f>(Table6[[#This Row],[Fault Clearance time]]-Table6[[#This Row],[Fault Start TimeStamp]])*24</f>
        <v>5.0000000000000155E-2</v>
      </c>
      <c r="U618" s="35" t="s">
        <v>1771</v>
      </c>
      <c r="V618" s="102" t="s">
        <v>293</v>
      </c>
      <c r="W618" s="478">
        <f>IFERROR(Table6[[#This Row],[Breakdown Time]]*Table6[[#This Row],[Plant Equivalent Weightage]],"")</f>
        <v>1.9230769230769284E-3</v>
      </c>
      <c r="X618" s="473" t="s">
        <v>294</v>
      </c>
      <c r="Y618" s="474" t="s">
        <v>327</v>
      </c>
      <c r="Z618" s="102">
        <v>11445</v>
      </c>
      <c r="AA618" s="468">
        <f>(Table6[[#This Row],[Paired WTG Generation for loss calculation]]/24)*Table6[[#This Row],[Breakdown Time]]</f>
        <v>23.843750000000075</v>
      </c>
      <c r="AB618" s="102"/>
      <c r="AC618" s="35"/>
      <c r="AD618" s="35"/>
    </row>
    <row r="619" spans="1:30">
      <c r="A619" s="102">
        <f t="shared" si="10"/>
        <v>618</v>
      </c>
      <c r="B619" s="468">
        <f>YEAR(Table6[[#This Row],[Date]])+IF(MONTH(Table6[[#This Row],[Date]])&gt;=4,1,0)</f>
        <v>2026</v>
      </c>
      <c r="C619" s="102">
        <f>YEAR(Table6[[#This Row],[Date]])</f>
        <v>2025</v>
      </c>
      <c r="D619" s="102" t="s">
        <v>1992</v>
      </c>
      <c r="E619" s="469">
        <f>Table6[[#This Row],[Date]]-DAY(Table6[[#This Row],[Date]])+1</f>
        <v>45778</v>
      </c>
      <c r="F619" s="470">
        <v>45784</v>
      </c>
      <c r="G619" s="35" t="s">
        <v>84</v>
      </c>
      <c r="H619" s="35" t="str">
        <f>IFERROR(_xlfn.XLOOKUP(Table6[[#This Row],[Affected WTG]],'Basic Data'!$A:$A,'Basic Data'!$B:$B),"")</f>
        <v>TQGXIIPL</v>
      </c>
      <c r="I619" s="35" t="str">
        <f>IFERROR(_xlfn.XLOOKUP(Table6[[#This Row],[Affected WTG]],'Basic Data'!$A:$A,'Basic Data'!$C:$C),"")</f>
        <v>GEDA</v>
      </c>
      <c r="J619" s="471">
        <f>IFERROR(_xlfn.XLOOKUP(Table6[[#This Row],[Affected WTG]],'Basic Data'!$A:$A,'Basic Data'!$E:$E),"")</f>
        <v>3.846153846153845E-2</v>
      </c>
      <c r="K619" s="102">
        <v>3420</v>
      </c>
      <c r="L619" s="35" t="str">
        <f>IFERROR(_xlfn.XLOOKUP(Table6[[#This Row],[Error Code]],'Basic Data'!$AA:$AA,'Basic Data'!$AB:$AB),"Incorrect Error Code")</f>
        <v>UPS buffer time too short</v>
      </c>
      <c r="M619" s="35" t="s">
        <v>291</v>
      </c>
      <c r="N619" s="475"/>
      <c r="O619" s="476">
        <v>0.70694444444444449</v>
      </c>
      <c r="P619" s="476">
        <v>0.70694444444444449</v>
      </c>
      <c r="Q619" s="477">
        <v>0.72777777777777775</v>
      </c>
      <c r="R619" s="472">
        <f>IF(Table6[[#This Row],[Work Start TimeStamp]]="","",(Table6[[#This Row],[Work Start TimeStamp]]-Table6[[#This Row],[Fault Start TimeStamp]])*24)</f>
        <v>0</v>
      </c>
      <c r="S619" s="472">
        <f>(Table6[[#This Row],[Fault Clearance time]]-Table6[[#This Row],[Work Start TimeStamp]])*24</f>
        <v>0.49999999999999822</v>
      </c>
      <c r="T619" s="472">
        <f>(Table6[[#This Row],[Fault Clearance time]]-Table6[[#This Row],[Fault Start TimeStamp]])*24</f>
        <v>0.49999999999999822</v>
      </c>
      <c r="U619" s="35" t="s">
        <v>1771</v>
      </c>
      <c r="V619" s="102" t="s">
        <v>293</v>
      </c>
      <c r="W619" s="478">
        <f>IFERROR(Table6[[#This Row],[Breakdown Time]]*Table6[[#This Row],[Plant Equivalent Weightage]],"")</f>
        <v>1.9230769230769156E-2</v>
      </c>
      <c r="X619" s="473" t="s">
        <v>294</v>
      </c>
      <c r="Y619" s="474" t="s">
        <v>327</v>
      </c>
      <c r="Z619" s="102">
        <v>11445</v>
      </c>
      <c r="AA619" s="468">
        <f>(Table6[[#This Row],[Paired WTG Generation for loss calculation]]/24)*Table6[[#This Row],[Breakdown Time]]</f>
        <v>238.43749999999915</v>
      </c>
      <c r="AB619" s="102"/>
      <c r="AC619" s="35"/>
      <c r="AD619" s="35"/>
    </row>
    <row r="620" spans="1:30">
      <c r="A620" s="102">
        <f t="shared" si="10"/>
        <v>619</v>
      </c>
      <c r="B620" s="468">
        <f>YEAR(Table6[[#This Row],[Date]])+IF(MONTH(Table6[[#This Row],[Date]])&gt;=4,1,0)</f>
        <v>2026</v>
      </c>
      <c r="C620" s="102">
        <f>YEAR(Table6[[#This Row],[Date]])</f>
        <v>2025</v>
      </c>
      <c r="D620" s="102" t="s">
        <v>1992</v>
      </c>
      <c r="E620" s="469">
        <f>Table6[[#This Row],[Date]]-DAY(Table6[[#This Row],[Date]])+1</f>
        <v>45778</v>
      </c>
      <c r="F620" s="470">
        <v>45784</v>
      </c>
      <c r="G620" s="35" t="s">
        <v>85</v>
      </c>
      <c r="H620" s="35" t="str">
        <f>IFERROR(_xlfn.XLOOKUP(Table6[[#This Row],[Affected WTG]],'Basic Data'!$A:$A,'Basic Data'!$B:$B),"")</f>
        <v>TQGXIIPL</v>
      </c>
      <c r="I620" s="35" t="str">
        <f>IFERROR(_xlfn.XLOOKUP(Table6[[#This Row],[Affected WTG]],'Basic Data'!$A:$A,'Basic Data'!$C:$C),"")</f>
        <v>GEDA</v>
      </c>
      <c r="J620" s="471">
        <f>IFERROR(_xlfn.XLOOKUP(Table6[[#This Row],[Affected WTG]],'Basic Data'!$A:$A,'Basic Data'!$E:$E),"")</f>
        <v>3.846153846153845E-2</v>
      </c>
      <c r="K620" s="102">
        <v>3420</v>
      </c>
      <c r="L620" s="35" t="str">
        <f>IFERROR(_xlfn.XLOOKUP(Table6[[#This Row],[Error Code]],'Basic Data'!$AA:$AA,'Basic Data'!$AB:$AB),"Incorrect Error Code")</f>
        <v>UPS buffer time too short</v>
      </c>
      <c r="M620" s="35" t="s">
        <v>291</v>
      </c>
      <c r="N620" s="475"/>
      <c r="O620" s="476">
        <v>9.0277777777777776E-2</v>
      </c>
      <c r="P620" s="476">
        <v>9.0277777777777776E-2</v>
      </c>
      <c r="Q620" s="477">
        <v>9.7222222222222224E-2</v>
      </c>
      <c r="R620" s="472">
        <f>IF(Table6[[#This Row],[Work Start TimeStamp]]="","",(Table6[[#This Row],[Work Start TimeStamp]]-Table6[[#This Row],[Fault Start TimeStamp]])*24)</f>
        <v>0</v>
      </c>
      <c r="S620" s="472">
        <f>(Table6[[#This Row],[Fault Clearance time]]-Table6[[#This Row],[Work Start TimeStamp]])*24</f>
        <v>0.16666666666666674</v>
      </c>
      <c r="T620" s="472">
        <f>(Table6[[#This Row],[Fault Clearance time]]-Table6[[#This Row],[Fault Start TimeStamp]])*24</f>
        <v>0.16666666666666674</v>
      </c>
      <c r="U620" s="35" t="s">
        <v>1771</v>
      </c>
      <c r="V620" s="102" t="s">
        <v>293</v>
      </c>
      <c r="W620" s="478">
        <f>IFERROR(Table6[[#This Row],[Breakdown Time]]*Table6[[#This Row],[Plant Equivalent Weightage]],"")</f>
        <v>6.4102564102564109E-3</v>
      </c>
      <c r="X620" s="473" t="s">
        <v>294</v>
      </c>
      <c r="Y620" s="474" t="s">
        <v>322</v>
      </c>
      <c r="Z620" s="102">
        <v>14856</v>
      </c>
      <c r="AA620" s="468">
        <f>(Table6[[#This Row],[Paired WTG Generation for loss calculation]]/24)*Table6[[#This Row],[Breakdown Time]]</f>
        <v>103.16666666666671</v>
      </c>
      <c r="AB620" s="102"/>
      <c r="AC620" s="35"/>
      <c r="AD620" s="35"/>
    </row>
    <row r="621" spans="1:30">
      <c r="A621" s="102">
        <f t="shared" si="10"/>
        <v>620</v>
      </c>
      <c r="B621" s="468">
        <f>YEAR(Table6[[#This Row],[Date]])+IF(MONTH(Table6[[#This Row],[Date]])&gt;=4,1,0)</f>
        <v>2026</v>
      </c>
      <c r="C621" s="102">
        <f>YEAR(Table6[[#This Row],[Date]])</f>
        <v>2025</v>
      </c>
      <c r="D621" s="102" t="s">
        <v>1992</v>
      </c>
      <c r="E621" s="469">
        <f>Table6[[#This Row],[Date]]-DAY(Table6[[#This Row],[Date]])+1</f>
        <v>45778</v>
      </c>
      <c r="F621" s="470">
        <v>45784</v>
      </c>
      <c r="G621" s="35" t="s">
        <v>85</v>
      </c>
      <c r="H621" s="35" t="str">
        <f>IFERROR(_xlfn.XLOOKUP(Table6[[#This Row],[Affected WTG]],'Basic Data'!$A:$A,'Basic Data'!$B:$B),"")</f>
        <v>TQGXIIPL</v>
      </c>
      <c r="I621" s="35" t="str">
        <f>IFERROR(_xlfn.XLOOKUP(Table6[[#This Row],[Affected WTG]],'Basic Data'!$A:$A,'Basic Data'!$C:$C),"")</f>
        <v>GEDA</v>
      </c>
      <c r="J621" s="471">
        <f>IFERROR(_xlfn.XLOOKUP(Table6[[#This Row],[Affected WTG]],'Basic Data'!$A:$A,'Basic Data'!$E:$E),"")</f>
        <v>3.846153846153845E-2</v>
      </c>
      <c r="K621" s="102">
        <v>5516</v>
      </c>
      <c r="L621" s="35" t="str">
        <f>IFERROR(_xlfn.XLOOKUP(Table6[[#This Row],[Error Code]],'Basic Data'!$AA:$AA,'Basic Data'!$AB:$AB),"Incorrect Error Code")</f>
        <v>Rot.br. press. low</v>
      </c>
      <c r="M621" s="35" t="s">
        <v>291</v>
      </c>
      <c r="N621" s="475"/>
      <c r="O621" s="476">
        <v>0.15486111111111112</v>
      </c>
      <c r="P621" s="476">
        <v>0.15486111111111112</v>
      </c>
      <c r="Q621" s="477">
        <v>0.3611111111111111</v>
      </c>
      <c r="R621" s="472">
        <f>IF(Table6[[#This Row],[Work Start TimeStamp]]="","",(Table6[[#This Row],[Work Start TimeStamp]]-Table6[[#This Row],[Fault Start TimeStamp]])*24)</f>
        <v>0</v>
      </c>
      <c r="S621" s="472">
        <f>(Table6[[#This Row],[Fault Clearance time]]-Table6[[#This Row],[Work Start TimeStamp]])*24</f>
        <v>4.9499999999999993</v>
      </c>
      <c r="T621" s="472">
        <f>(Table6[[#This Row],[Fault Clearance time]]-Table6[[#This Row],[Fault Start TimeStamp]])*24</f>
        <v>4.9499999999999993</v>
      </c>
      <c r="U621" s="35" t="s">
        <v>1772</v>
      </c>
      <c r="V621" s="102" t="s">
        <v>293</v>
      </c>
      <c r="W621" s="478">
        <f>IFERROR(Table6[[#This Row],[Breakdown Time]]*Table6[[#This Row],[Plant Equivalent Weightage]],"")</f>
        <v>0.19038461538461529</v>
      </c>
      <c r="X621" s="473" t="s">
        <v>294</v>
      </c>
      <c r="Y621" s="474" t="s">
        <v>322</v>
      </c>
      <c r="Z621" s="102">
        <v>14856</v>
      </c>
      <c r="AA621" s="468">
        <f>(Table6[[#This Row],[Paired WTG Generation for loss calculation]]/24)*Table6[[#This Row],[Breakdown Time]]</f>
        <v>3064.0499999999997</v>
      </c>
      <c r="AB621" s="102"/>
      <c r="AC621" s="35"/>
      <c r="AD621" s="35"/>
    </row>
    <row r="622" spans="1:30">
      <c r="A622" s="102">
        <f t="shared" si="10"/>
        <v>621</v>
      </c>
      <c r="B622" s="468">
        <f>YEAR(Table6[[#This Row],[Date]])+IF(MONTH(Table6[[#This Row],[Date]])&gt;=4,1,0)</f>
        <v>2026</v>
      </c>
      <c r="C622" s="102">
        <f>YEAR(Table6[[#This Row],[Date]])</f>
        <v>2025</v>
      </c>
      <c r="D622" s="102" t="s">
        <v>1992</v>
      </c>
      <c r="E622" s="469">
        <f>Table6[[#This Row],[Date]]-DAY(Table6[[#This Row],[Date]])+1</f>
        <v>45778</v>
      </c>
      <c r="F622" s="470">
        <v>45784</v>
      </c>
      <c r="G622" s="35" t="s">
        <v>85</v>
      </c>
      <c r="H622" s="35" t="str">
        <f>IFERROR(_xlfn.XLOOKUP(Table6[[#This Row],[Affected WTG]],'Basic Data'!$A:$A,'Basic Data'!$B:$B),"")</f>
        <v>TQGXIIPL</v>
      </c>
      <c r="I622" s="35" t="str">
        <f>IFERROR(_xlfn.XLOOKUP(Table6[[#This Row],[Affected WTG]],'Basic Data'!$A:$A,'Basic Data'!$C:$C),"")</f>
        <v>GEDA</v>
      </c>
      <c r="J622" s="471">
        <f>IFERROR(_xlfn.XLOOKUP(Table6[[#This Row],[Affected WTG]],'Basic Data'!$A:$A,'Basic Data'!$E:$E),"")</f>
        <v>3.846153846153845E-2</v>
      </c>
      <c r="K622" s="102">
        <v>5516</v>
      </c>
      <c r="L622" s="35" t="str">
        <f>IFERROR(_xlfn.XLOOKUP(Table6[[#This Row],[Error Code]],'Basic Data'!$AA:$AA,'Basic Data'!$AB:$AB),"Incorrect Error Code")</f>
        <v>Rot.br. press. low</v>
      </c>
      <c r="M622" s="35" t="s">
        <v>291</v>
      </c>
      <c r="N622" s="475"/>
      <c r="O622" s="476">
        <v>0.3611111111111111</v>
      </c>
      <c r="P622" s="476">
        <v>0.3611111111111111</v>
      </c>
      <c r="Q622" s="477">
        <v>0.37638888888888888</v>
      </c>
      <c r="R622" s="472">
        <f>IF(Table6[[#This Row],[Work Start TimeStamp]]="","",(Table6[[#This Row],[Work Start TimeStamp]]-Table6[[#This Row],[Fault Start TimeStamp]])*24)</f>
        <v>0</v>
      </c>
      <c r="S622" s="472">
        <f>(Table6[[#This Row],[Fault Clearance time]]-Table6[[#This Row],[Work Start TimeStamp]])*24</f>
        <v>0.3666666666666667</v>
      </c>
      <c r="T622" s="472">
        <f>(Table6[[#This Row],[Fault Clearance time]]-Table6[[#This Row],[Fault Start TimeStamp]])*24</f>
        <v>0.3666666666666667</v>
      </c>
      <c r="U622" s="35" t="s">
        <v>1773</v>
      </c>
      <c r="V622" s="102" t="s">
        <v>293</v>
      </c>
      <c r="W622" s="478">
        <f>IFERROR(Table6[[#This Row],[Breakdown Time]]*Table6[[#This Row],[Plant Equivalent Weightage]],"")</f>
        <v>1.4102564102564099E-2</v>
      </c>
      <c r="X622" s="473" t="s">
        <v>294</v>
      </c>
      <c r="Y622" s="474" t="s">
        <v>322</v>
      </c>
      <c r="Z622" s="102">
        <v>14856</v>
      </c>
      <c r="AA622" s="468">
        <f>(Table6[[#This Row],[Paired WTG Generation for loss calculation]]/24)*Table6[[#This Row],[Breakdown Time]]</f>
        <v>226.9666666666667</v>
      </c>
      <c r="AB622" s="102"/>
      <c r="AC622" s="35"/>
      <c r="AD622" s="35"/>
    </row>
    <row r="623" spans="1:30">
      <c r="A623" s="102">
        <f t="shared" si="10"/>
        <v>622</v>
      </c>
      <c r="B623" s="468">
        <f>YEAR(Table6[[#This Row],[Date]])+IF(MONTH(Table6[[#This Row],[Date]])&gt;=4,1,0)</f>
        <v>2026</v>
      </c>
      <c r="C623" s="102">
        <f>YEAR(Table6[[#This Row],[Date]])</f>
        <v>2025</v>
      </c>
      <c r="D623" s="102" t="s">
        <v>1992</v>
      </c>
      <c r="E623" s="469">
        <f>Table6[[#This Row],[Date]]-DAY(Table6[[#This Row],[Date]])+1</f>
        <v>45778</v>
      </c>
      <c r="F623" s="470">
        <v>45784</v>
      </c>
      <c r="G623" s="35" t="s">
        <v>85</v>
      </c>
      <c r="H623" s="35" t="str">
        <f>IFERROR(_xlfn.XLOOKUP(Table6[[#This Row],[Affected WTG]],'Basic Data'!$A:$A,'Basic Data'!$B:$B),"")</f>
        <v>TQGXIIPL</v>
      </c>
      <c r="I623" s="35" t="str">
        <f>IFERROR(_xlfn.XLOOKUP(Table6[[#This Row],[Affected WTG]],'Basic Data'!$A:$A,'Basic Data'!$C:$C),"")</f>
        <v>GEDA</v>
      </c>
      <c r="J623" s="471">
        <f>IFERROR(_xlfn.XLOOKUP(Table6[[#This Row],[Affected WTG]],'Basic Data'!$A:$A,'Basic Data'!$E:$E),"")</f>
        <v>3.846153846153845E-2</v>
      </c>
      <c r="K623" s="102">
        <v>175</v>
      </c>
      <c r="L623" s="35" t="str">
        <f>IFERROR(_xlfn.XLOOKUP(Table6[[#This Row],[Error Code]],'Basic Data'!$AA:$AA,'Basic Data'!$AB:$AB),"Incorrect Error Code")</f>
        <v>SLC error</v>
      </c>
      <c r="M623" s="35" t="s">
        <v>291</v>
      </c>
      <c r="N623" s="475"/>
      <c r="O623" s="476">
        <v>9.7222222222222224E-2</v>
      </c>
      <c r="P623" s="476">
        <v>9.7222222222222224E-2</v>
      </c>
      <c r="Q623" s="477">
        <v>0.11527777777777778</v>
      </c>
      <c r="R623" s="472">
        <f>IF(Table6[[#This Row],[Work Start TimeStamp]]="","",(Table6[[#This Row],[Work Start TimeStamp]]-Table6[[#This Row],[Fault Start TimeStamp]])*24)</f>
        <v>0</v>
      </c>
      <c r="S623" s="472">
        <f>(Table6[[#This Row],[Fault Clearance time]]-Table6[[#This Row],[Work Start TimeStamp]])*24</f>
        <v>0.43333333333333346</v>
      </c>
      <c r="T623" s="472">
        <f>(Table6[[#This Row],[Fault Clearance time]]-Table6[[#This Row],[Fault Start TimeStamp]])*24</f>
        <v>0.43333333333333346</v>
      </c>
      <c r="U623" s="35" t="s">
        <v>1771</v>
      </c>
      <c r="V623" s="102" t="s">
        <v>293</v>
      </c>
      <c r="W623" s="478">
        <f>IFERROR(Table6[[#This Row],[Breakdown Time]]*Table6[[#This Row],[Plant Equivalent Weightage]],"")</f>
        <v>1.6666666666666666E-2</v>
      </c>
      <c r="X623" s="473" t="s">
        <v>294</v>
      </c>
      <c r="Y623" s="474" t="s">
        <v>322</v>
      </c>
      <c r="Z623" s="102">
        <v>14856</v>
      </c>
      <c r="AA623" s="468">
        <f>(Table6[[#This Row],[Paired WTG Generation for loss calculation]]/24)*Table6[[#This Row],[Breakdown Time]]</f>
        <v>268.23333333333341</v>
      </c>
      <c r="AB623" s="102"/>
      <c r="AC623" s="35"/>
      <c r="AD623" s="35"/>
    </row>
    <row r="624" spans="1:30">
      <c r="A624" s="102">
        <f t="shared" si="10"/>
        <v>623</v>
      </c>
      <c r="B624" s="468">
        <f>YEAR(Table6[[#This Row],[Date]])+IF(MONTH(Table6[[#This Row],[Date]])&gt;=4,1,0)</f>
        <v>2026</v>
      </c>
      <c r="C624" s="102">
        <f>YEAR(Table6[[#This Row],[Date]])</f>
        <v>2025</v>
      </c>
      <c r="D624" s="102" t="s">
        <v>1992</v>
      </c>
      <c r="E624" s="469">
        <f>Table6[[#This Row],[Date]]-DAY(Table6[[#This Row],[Date]])+1</f>
        <v>45778</v>
      </c>
      <c r="F624" s="470">
        <v>45784</v>
      </c>
      <c r="G624" s="35" t="s">
        <v>85</v>
      </c>
      <c r="H624" s="35" t="str">
        <f>IFERROR(_xlfn.XLOOKUP(Table6[[#This Row],[Affected WTG]],'Basic Data'!$A:$A,'Basic Data'!$B:$B),"")</f>
        <v>TQGXIIPL</v>
      </c>
      <c r="I624" s="35" t="str">
        <f>IFERROR(_xlfn.XLOOKUP(Table6[[#This Row],[Affected WTG]],'Basic Data'!$A:$A,'Basic Data'!$C:$C),"")</f>
        <v>GEDA</v>
      </c>
      <c r="J624" s="471">
        <f>IFERROR(_xlfn.XLOOKUP(Table6[[#This Row],[Affected WTG]],'Basic Data'!$A:$A,'Basic Data'!$E:$E),"")</f>
        <v>3.846153846153845E-2</v>
      </c>
      <c r="K624" s="102">
        <v>175</v>
      </c>
      <c r="L624" s="35" t="str">
        <f>IFERROR(_xlfn.XLOOKUP(Table6[[#This Row],[Error Code]],'Basic Data'!$AA:$AA,'Basic Data'!$AB:$AB),"Incorrect Error Code")</f>
        <v>SLC error</v>
      </c>
      <c r="M624" s="35" t="s">
        <v>291</v>
      </c>
      <c r="N624" s="475"/>
      <c r="O624" s="476">
        <v>0.70694444444444449</v>
      </c>
      <c r="P624" s="476">
        <v>0.70694444444444449</v>
      </c>
      <c r="Q624" s="477">
        <v>0.72847222222222219</v>
      </c>
      <c r="R624" s="472">
        <f>IF(Table6[[#This Row],[Work Start TimeStamp]]="","",(Table6[[#This Row],[Work Start TimeStamp]]-Table6[[#This Row],[Fault Start TimeStamp]])*24)</f>
        <v>0</v>
      </c>
      <c r="S624" s="472">
        <f>(Table6[[#This Row],[Fault Clearance time]]-Table6[[#This Row],[Work Start TimeStamp]])*24</f>
        <v>0.51666666666666483</v>
      </c>
      <c r="T624" s="472">
        <f>(Table6[[#This Row],[Fault Clearance time]]-Table6[[#This Row],[Fault Start TimeStamp]])*24</f>
        <v>0.51666666666666483</v>
      </c>
      <c r="U624" s="35" t="s">
        <v>1771</v>
      </c>
      <c r="V624" s="102" t="s">
        <v>293</v>
      </c>
      <c r="W624" s="478">
        <f>IFERROR(Table6[[#This Row],[Breakdown Time]]*Table6[[#This Row],[Plant Equivalent Weightage]],"")</f>
        <v>1.9871794871794794E-2</v>
      </c>
      <c r="X624" s="473" t="s">
        <v>294</v>
      </c>
      <c r="Y624" s="474" t="s">
        <v>322</v>
      </c>
      <c r="Z624" s="102">
        <v>14856</v>
      </c>
      <c r="AA624" s="468">
        <f>(Table6[[#This Row],[Paired WTG Generation for loss calculation]]/24)*Table6[[#This Row],[Breakdown Time]]</f>
        <v>319.81666666666553</v>
      </c>
      <c r="AB624" s="102"/>
      <c r="AC624" s="35"/>
      <c r="AD624" s="35"/>
    </row>
    <row r="625" spans="1:30">
      <c r="A625" s="102">
        <f t="shared" si="10"/>
        <v>624</v>
      </c>
      <c r="B625" s="468">
        <f>YEAR(Table6[[#This Row],[Date]])+IF(MONTH(Table6[[#This Row],[Date]])&gt;=4,1,0)</f>
        <v>2026</v>
      </c>
      <c r="C625" s="102">
        <f>YEAR(Table6[[#This Row],[Date]])</f>
        <v>2025</v>
      </c>
      <c r="D625" s="102" t="s">
        <v>1992</v>
      </c>
      <c r="E625" s="469">
        <f>Table6[[#This Row],[Date]]-DAY(Table6[[#This Row],[Date]])+1</f>
        <v>45778</v>
      </c>
      <c r="F625" s="470">
        <v>45784</v>
      </c>
      <c r="G625" s="35" t="s">
        <v>85</v>
      </c>
      <c r="H625" s="35" t="str">
        <f>IFERROR(_xlfn.XLOOKUP(Table6[[#This Row],[Affected WTG]],'Basic Data'!$A:$A,'Basic Data'!$B:$B),"")</f>
        <v>TQGXIIPL</v>
      </c>
      <c r="I625" s="35" t="str">
        <f>IFERROR(_xlfn.XLOOKUP(Table6[[#This Row],[Affected WTG]],'Basic Data'!$A:$A,'Basic Data'!$C:$C),"")</f>
        <v>GEDA</v>
      </c>
      <c r="J625" s="471">
        <f>IFERROR(_xlfn.XLOOKUP(Table6[[#This Row],[Affected WTG]],'Basic Data'!$A:$A,'Basic Data'!$E:$E),"")</f>
        <v>3.846153846153845E-2</v>
      </c>
      <c r="K625" s="102">
        <v>5516</v>
      </c>
      <c r="L625" s="35" t="str">
        <f>IFERROR(_xlfn.XLOOKUP(Table6[[#This Row],[Error Code]],'Basic Data'!$AA:$AA,'Basic Data'!$AB:$AB),"Incorrect Error Code")</f>
        <v>Rot.br. press. low</v>
      </c>
      <c r="M625" s="35" t="s">
        <v>291</v>
      </c>
      <c r="N625" s="475"/>
      <c r="O625" s="476">
        <v>0.72847222222222219</v>
      </c>
      <c r="P625" s="476">
        <v>0.72847222222222219</v>
      </c>
      <c r="Q625" s="477">
        <v>0.73055555555555551</v>
      </c>
      <c r="R625" s="472">
        <f>IF(Table6[[#This Row],[Work Start TimeStamp]]="","",(Table6[[#This Row],[Work Start TimeStamp]]-Table6[[#This Row],[Fault Start TimeStamp]])*24)</f>
        <v>0</v>
      </c>
      <c r="S625" s="472">
        <f>(Table6[[#This Row],[Fault Clearance time]]-Table6[[#This Row],[Work Start TimeStamp]])*24</f>
        <v>4.9999999999999822E-2</v>
      </c>
      <c r="T625" s="472">
        <f>(Table6[[#This Row],[Fault Clearance time]]-Table6[[#This Row],[Fault Start TimeStamp]])*24</f>
        <v>4.9999999999999822E-2</v>
      </c>
      <c r="U625" s="35" t="s">
        <v>336</v>
      </c>
      <c r="V625" s="102" t="s">
        <v>293</v>
      </c>
      <c r="W625" s="478">
        <f>IFERROR(Table6[[#This Row],[Breakdown Time]]*Table6[[#This Row],[Plant Equivalent Weightage]],"")</f>
        <v>1.9230769230769156E-3</v>
      </c>
      <c r="X625" s="473" t="s">
        <v>294</v>
      </c>
      <c r="Y625" s="474" t="s">
        <v>322</v>
      </c>
      <c r="Z625" s="102">
        <v>14856</v>
      </c>
      <c r="AA625" s="468">
        <f>(Table6[[#This Row],[Paired WTG Generation for loss calculation]]/24)*Table6[[#This Row],[Breakdown Time]]</f>
        <v>30.949999999999889</v>
      </c>
      <c r="AB625" s="102"/>
      <c r="AC625" s="35"/>
      <c r="AD625" s="35"/>
    </row>
    <row r="626" spans="1:30">
      <c r="A626" s="102">
        <f t="shared" si="10"/>
        <v>625</v>
      </c>
      <c r="B626" s="468">
        <f>YEAR(Table6[[#This Row],[Date]])+IF(MONTH(Table6[[#This Row],[Date]])&gt;=4,1,0)</f>
        <v>2026</v>
      </c>
      <c r="C626" s="102">
        <f>YEAR(Table6[[#This Row],[Date]])</f>
        <v>2025</v>
      </c>
      <c r="D626" s="102" t="s">
        <v>1992</v>
      </c>
      <c r="E626" s="469">
        <f>Table6[[#This Row],[Date]]-DAY(Table6[[#This Row],[Date]])+1</f>
        <v>45778</v>
      </c>
      <c r="F626" s="470">
        <v>45784</v>
      </c>
      <c r="G626" s="35" t="s">
        <v>86</v>
      </c>
      <c r="H626" s="35" t="str">
        <f>IFERROR(_xlfn.XLOOKUP(Table6[[#This Row],[Affected WTG]],'Basic Data'!$A:$A,'Basic Data'!$B:$B),"")</f>
        <v>TQGXIIPL</v>
      </c>
      <c r="I626" s="35" t="str">
        <f>IFERROR(_xlfn.XLOOKUP(Table6[[#This Row],[Affected WTG]],'Basic Data'!$A:$A,'Basic Data'!$C:$C),"")</f>
        <v>GEDA</v>
      </c>
      <c r="J626" s="471">
        <f>IFERROR(_xlfn.XLOOKUP(Table6[[#This Row],[Affected WTG]],'Basic Data'!$A:$A,'Basic Data'!$E:$E),"")</f>
        <v>3.846153846153845E-2</v>
      </c>
      <c r="K626" s="102">
        <v>175</v>
      </c>
      <c r="L626" s="35" t="str">
        <f>IFERROR(_xlfn.XLOOKUP(Table6[[#This Row],[Error Code]],'Basic Data'!$AA:$AA,'Basic Data'!$AB:$AB),"Incorrect Error Code")</f>
        <v>SLC error</v>
      </c>
      <c r="M626" s="35" t="s">
        <v>291</v>
      </c>
      <c r="N626" s="475"/>
      <c r="O626" s="476">
        <v>9.930555555555555E-2</v>
      </c>
      <c r="P626" s="476">
        <v>9.930555555555555E-2</v>
      </c>
      <c r="Q626" s="477">
        <v>0.14583333333333334</v>
      </c>
      <c r="R626" s="472">
        <f>IF(Table6[[#This Row],[Work Start TimeStamp]]="","",(Table6[[#This Row],[Work Start TimeStamp]]-Table6[[#This Row],[Fault Start TimeStamp]])*24)</f>
        <v>0</v>
      </c>
      <c r="S626" s="472">
        <f>(Table6[[#This Row],[Fault Clearance time]]-Table6[[#This Row],[Work Start TimeStamp]])*24</f>
        <v>1.1166666666666671</v>
      </c>
      <c r="T626" s="472">
        <f>(Table6[[#This Row],[Fault Clearance time]]-Table6[[#This Row],[Fault Start TimeStamp]])*24</f>
        <v>1.1166666666666671</v>
      </c>
      <c r="U626" s="35" t="s">
        <v>1771</v>
      </c>
      <c r="V626" s="102" t="s">
        <v>293</v>
      </c>
      <c r="W626" s="478">
        <f>IFERROR(Table6[[#This Row],[Breakdown Time]]*Table6[[#This Row],[Plant Equivalent Weightage]],"")</f>
        <v>4.2948717948717956E-2</v>
      </c>
      <c r="X626" s="473" t="s">
        <v>294</v>
      </c>
      <c r="Y626" s="474" t="s">
        <v>313</v>
      </c>
      <c r="Z626" s="102">
        <v>14545</v>
      </c>
      <c r="AA626" s="468">
        <f>(Table6[[#This Row],[Paired WTG Generation for loss calculation]]/24)*Table6[[#This Row],[Breakdown Time]]</f>
        <v>676.74652777777806</v>
      </c>
      <c r="AB626" s="102"/>
      <c r="AC626" s="35"/>
      <c r="AD626" s="35"/>
    </row>
    <row r="627" spans="1:30">
      <c r="A627" s="102">
        <f t="shared" si="10"/>
        <v>626</v>
      </c>
      <c r="B627" s="468">
        <f>YEAR(Table6[[#This Row],[Date]])+IF(MONTH(Table6[[#This Row],[Date]])&gt;=4,1,0)</f>
        <v>2026</v>
      </c>
      <c r="C627" s="102">
        <f>YEAR(Table6[[#This Row],[Date]])</f>
        <v>2025</v>
      </c>
      <c r="D627" s="102" t="s">
        <v>1992</v>
      </c>
      <c r="E627" s="469">
        <f>Table6[[#This Row],[Date]]-DAY(Table6[[#This Row],[Date]])+1</f>
        <v>45778</v>
      </c>
      <c r="F627" s="470">
        <v>45784</v>
      </c>
      <c r="G627" s="35" t="s">
        <v>86</v>
      </c>
      <c r="H627" s="35" t="str">
        <f>IFERROR(_xlfn.XLOOKUP(Table6[[#This Row],[Affected WTG]],'Basic Data'!$A:$A,'Basic Data'!$B:$B),"")</f>
        <v>TQGXIIPL</v>
      </c>
      <c r="I627" s="35" t="str">
        <f>IFERROR(_xlfn.XLOOKUP(Table6[[#This Row],[Affected WTG]],'Basic Data'!$A:$A,'Basic Data'!$C:$C),"")</f>
        <v>GEDA</v>
      </c>
      <c r="J627" s="471">
        <f>IFERROR(_xlfn.XLOOKUP(Table6[[#This Row],[Affected WTG]],'Basic Data'!$A:$A,'Basic Data'!$E:$E),"")</f>
        <v>3.846153846153845E-2</v>
      </c>
      <c r="K627" s="102">
        <v>175</v>
      </c>
      <c r="L627" s="35" t="str">
        <f>IFERROR(_xlfn.XLOOKUP(Table6[[#This Row],[Error Code]],'Basic Data'!$AA:$AA,'Basic Data'!$AB:$AB),"Incorrect Error Code")</f>
        <v>SLC error</v>
      </c>
      <c r="M627" s="35" t="s">
        <v>291</v>
      </c>
      <c r="N627" s="475"/>
      <c r="O627" s="476">
        <v>0.70694444444444449</v>
      </c>
      <c r="P627" s="476">
        <v>0.70694444444444449</v>
      </c>
      <c r="Q627" s="477">
        <v>0.72847222222222219</v>
      </c>
      <c r="R627" s="472">
        <f>IF(Table6[[#This Row],[Work Start TimeStamp]]="","",(Table6[[#This Row],[Work Start TimeStamp]]-Table6[[#This Row],[Fault Start TimeStamp]])*24)</f>
        <v>0</v>
      </c>
      <c r="S627" s="472">
        <f>(Table6[[#This Row],[Fault Clearance time]]-Table6[[#This Row],[Work Start TimeStamp]])*24</f>
        <v>0.51666666666666483</v>
      </c>
      <c r="T627" s="472">
        <f>(Table6[[#This Row],[Fault Clearance time]]-Table6[[#This Row],[Fault Start TimeStamp]])*24</f>
        <v>0.51666666666666483</v>
      </c>
      <c r="U627" s="35" t="s">
        <v>1771</v>
      </c>
      <c r="V627" s="102" t="s">
        <v>293</v>
      </c>
      <c r="W627" s="478">
        <f>IFERROR(Table6[[#This Row],[Breakdown Time]]*Table6[[#This Row],[Plant Equivalent Weightage]],"")</f>
        <v>1.9871794871794794E-2</v>
      </c>
      <c r="X627" s="473" t="s">
        <v>294</v>
      </c>
      <c r="Y627" s="474" t="s">
        <v>313</v>
      </c>
      <c r="Z627" s="102">
        <v>14545</v>
      </c>
      <c r="AA627" s="468">
        <f>(Table6[[#This Row],[Paired WTG Generation for loss calculation]]/24)*Table6[[#This Row],[Breakdown Time]]</f>
        <v>313.12152777777663</v>
      </c>
      <c r="AB627" s="102"/>
      <c r="AC627" s="35"/>
      <c r="AD627" s="35"/>
    </row>
    <row r="628" spans="1:30">
      <c r="A628" s="102">
        <f t="shared" si="10"/>
        <v>627</v>
      </c>
      <c r="B628" s="468">
        <f>YEAR(Table6[[#This Row],[Date]])+IF(MONTH(Table6[[#This Row],[Date]])&gt;=4,1,0)</f>
        <v>2026</v>
      </c>
      <c r="C628" s="102">
        <f>YEAR(Table6[[#This Row],[Date]])</f>
        <v>2025</v>
      </c>
      <c r="D628" s="102" t="s">
        <v>1992</v>
      </c>
      <c r="E628" s="469">
        <f>Table6[[#This Row],[Date]]-DAY(Table6[[#This Row],[Date]])+1</f>
        <v>45778</v>
      </c>
      <c r="F628" s="470">
        <v>45784</v>
      </c>
      <c r="G628" s="35" t="s">
        <v>87</v>
      </c>
      <c r="H628" s="35" t="str">
        <f>IFERROR(_xlfn.XLOOKUP(Table6[[#This Row],[Affected WTG]],'Basic Data'!$A:$A,'Basic Data'!$B:$B),"")</f>
        <v>TQGXIIPL</v>
      </c>
      <c r="I628" s="35" t="str">
        <f>IFERROR(_xlfn.XLOOKUP(Table6[[#This Row],[Affected WTG]],'Basic Data'!$A:$A,'Basic Data'!$C:$C),"")</f>
        <v>GEDA</v>
      </c>
      <c r="J628" s="471">
        <f>IFERROR(_xlfn.XLOOKUP(Table6[[#This Row],[Affected WTG]],'Basic Data'!$A:$A,'Basic Data'!$E:$E),"")</f>
        <v>3.846153846153845E-2</v>
      </c>
      <c r="K628" s="102">
        <v>175</v>
      </c>
      <c r="L628" s="35" t="str">
        <f>IFERROR(_xlfn.XLOOKUP(Table6[[#This Row],[Error Code]],'Basic Data'!$AA:$AA,'Basic Data'!$AB:$AB),"Incorrect Error Code")</f>
        <v>SLC error</v>
      </c>
      <c r="M628" s="35" t="s">
        <v>291</v>
      </c>
      <c r="N628" s="475"/>
      <c r="O628" s="476">
        <v>0.10555555555555556</v>
      </c>
      <c r="P628" s="476">
        <v>0.10555555555555556</v>
      </c>
      <c r="Q628" s="477">
        <v>0.14652777777777778</v>
      </c>
      <c r="R628" s="472">
        <f>IF(Table6[[#This Row],[Work Start TimeStamp]]="","",(Table6[[#This Row],[Work Start TimeStamp]]-Table6[[#This Row],[Fault Start TimeStamp]])*24)</f>
        <v>0</v>
      </c>
      <c r="S628" s="472">
        <f>(Table6[[#This Row],[Fault Clearance time]]-Table6[[#This Row],[Work Start TimeStamp]])*24</f>
        <v>0.9833333333333335</v>
      </c>
      <c r="T628" s="472">
        <f>(Table6[[#This Row],[Fault Clearance time]]-Table6[[#This Row],[Fault Start TimeStamp]])*24</f>
        <v>0.9833333333333335</v>
      </c>
      <c r="U628" s="35" t="s">
        <v>1771</v>
      </c>
      <c r="V628" s="102" t="s">
        <v>293</v>
      </c>
      <c r="W628" s="478">
        <f>IFERROR(Table6[[#This Row],[Breakdown Time]]*Table6[[#This Row],[Plant Equivalent Weightage]],"")</f>
        <v>3.7820512820512818E-2</v>
      </c>
      <c r="X628" s="473" t="s">
        <v>294</v>
      </c>
      <c r="Y628" s="474" t="s">
        <v>327</v>
      </c>
      <c r="Z628" s="102">
        <v>11445</v>
      </c>
      <c r="AA628" s="468">
        <f>(Table6[[#This Row],[Paired WTG Generation for loss calculation]]/24)*Table6[[#This Row],[Breakdown Time]]</f>
        <v>468.92708333333343</v>
      </c>
      <c r="AB628" s="102"/>
      <c r="AC628" s="35"/>
      <c r="AD628" s="35"/>
    </row>
    <row r="629" spans="1:30">
      <c r="A629" s="102">
        <f t="shared" si="10"/>
        <v>628</v>
      </c>
      <c r="B629" s="468">
        <f>YEAR(Table6[[#This Row],[Date]])+IF(MONTH(Table6[[#This Row],[Date]])&gt;=4,1,0)</f>
        <v>2026</v>
      </c>
      <c r="C629" s="102">
        <f>YEAR(Table6[[#This Row],[Date]])</f>
        <v>2025</v>
      </c>
      <c r="D629" s="102" t="s">
        <v>1992</v>
      </c>
      <c r="E629" s="469">
        <f>Table6[[#This Row],[Date]]-DAY(Table6[[#This Row],[Date]])+1</f>
        <v>45778</v>
      </c>
      <c r="F629" s="470">
        <v>45784</v>
      </c>
      <c r="G629" s="35" t="s">
        <v>87</v>
      </c>
      <c r="H629" s="35" t="str">
        <f>IFERROR(_xlfn.XLOOKUP(Table6[[#This Row],[Affected WTG]],'Basic Data'!$A:$A,'Basic Data'!$B:$B),"")</f>
        <v>TQGXIIPL</v>
      </c>
      <c r="I629" s="35" t="str">
        <f>IFERROR(_xlfn.XLOOKUP(Table6[[#This Row],[Affected WTG]],'Basic Data'!$A:$A,'Basic Data'!$C:$C),"")</f>
        <v>GEDA</v>
      </c>
      <c r="J629" s="471">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291</v>
      </c>
      <c r="N629" s="475"/>
      <c r="O629" s="476">
        <v>0.70694444444444449</v>
      </c>
      <c r="P629" s="476">
        <v>0.70694444444444449</v>
      </c>
      <c r="Q629" s="477">
        <v>0.72916666666666663</v>
      </c>
      <c r="R629" s="472">
        <f>IF(Table6[[#This Row],[Work Start TimeStamp]]="","",(Table6[[#This Row],[Work Start TimeStamp]]-Table6[[#This Row],[Fault Start TimeStamp]])*24)</f>
        <v>0</v>
      </c>
      <c r="S629" s="472">
        <f>(Table6[[#This Row],[Fault Clearance time]]-Table6[[#This Row],[Work Start TimeStamp]])*24</f>
        <v>0.53333333333333144</v>
      </c>
      <c r="T629" s="472">
        <f>(Table6[[#This Row],[Fault Clearance time]]-Table6[[#This Row],[Fault Start TimeStamp]])*24</f>
        <v>0.53333333333333144</v>
      </c>
      <c r="U629" s="35" t="s">
        <v>1774</v>
      </c>
      <c r="V629" s="102" t="s">
        <v>293</v>
      </c>
      <c r="W629" s="478">
        <f>IFERROR(Table6[[#This Row],[Breakdown Time]]*Table6[[#This Row],[Plant Equivalent Weightage]],"")</f>
        <v>2.0512820512820433E-2</v>
      </c>
      <c r="X629" s="473" t="s">
        <v>294</v>
      </c>
      <c r="Y629" s="474" t="s">
        <v>327</v>
      </c>
      <c r="Z629" s="102">
        <v>11445</v>
      </c>
      <c r="AA629" s="468">
        <f>(Table6[[#This Row],[Paired WTG Generation for loss calculation]]/24)*Table6[[#This Row],[Breakdown Time]]</f>
        <v>254.33333333333243</v>
      </c>
      <c r="AB629" s="102"/>
      <c r="AC629" s="35"/>
      <c r="AD629" s="35"/>
    </row>
    <row r="630" spans="1:30">
      <c r="A630" s="102">
        <f t="shared" si="10"/>
        <v>629</v>
      </c>
      <c r="B630" s="468">
        <f>YEAR(Table6[[#This Row],[Date]])+IF(MONTH(Table6[[#This Row],[Date]])&gt;=4,1,0)</f>
        <v>2026</v>
      </c>
      <c r="C630" s="102">
        <f>YEAR(Table6[[#This Row],[Date]])</f>
        <v>2025</v>
      </c>
      <c r="D630" s="102" t="s">
        <v>1992</v>
      </c>
      <c r="E630" s="469">
        <f>Table6[[#This Row],[Date]]-DAY(Table6[[#This Row],[Date]])+1</f>
        <v>45778</v>
      </c>
      <c r="F630" s="470">
        <v>45784</v>
      </c>
      <c r="G630" s="35" t="s">
        <v>87</v>
      </c>
      <c r="H630" s="35" t="str">
        <f>IFERROR(_xlfn.XLOOKUP(Table6[[#This Row],[Affected WTG]],'Basic Data'!$A:$A,'Basic Data'!$B:$B),"")</f>
        <v>TQGXIIPL</v>
      </c>
      <c r="I630" s="35" t="str">
        <f>IFERROR(_xlfn.XLOOKUP(Table6[[#This Row],[Affected WTG]],'Basic Data'!$A:$A,'Basic Data'!$C:$C),"")</f>
        <v>GEDA</v>
      </c>
      <c r="J630" s="471">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291</v>
      </c>
      <c r="N630" s="475"/>
      <c r="O630" s="476">
        <v>0.72916666666666663</v>
      </c>
      <c r="P630" s="476">
        <v>0.72916666666666663</v>
      </c>
      <c r="Q630" s="477">
        <v>0.74791666666666667</v>
      </c>
      <c r="R630" s="472">
        <f>IF(Table6[[#This Row],[Work Start TimeStamp]]="","",(Table6[[#This Row],[Work Start TimeStamp]]-Table6[[#This Row],[Fault Start TimeStamp]])*24)</f>
        <v>0</v>
      </c>
      <c r="S630" s="472">
        <f>(Table6[[#This Row],[Fault Clearance time]]-Table6[[#This Row],[Work Start TimeStamp]])*24</f>
        <v>0.45000000000000107</v>
      </c>
      <c r="T630" s="472">
        <f>(Table6[[#This Row],[Fault Clearance time]]-Table6[[#This Row],[Fault Start TimeStamp]])*24</f>
        <v>0.45000000000000107</v>
      </c>
      <c r="U630" s="35" t="s">
        <v>1771</v>
      </c>
      <c r="V630" s="102" t="s">
        <v>293</v>
      </c>
      <c r="W630" s="478">
        <f>IFERROR(Table6[[#This Row],[Breakdown Time]]*Table6[[#This Row],[Plant Equivalent Weightage]],"")</f>
        <v>1.7307692307692343E-2</v>
      </c>
      <c r="X630" s="473" t="s">
        <v>294</v>
      </c>
      <c r="Y630" s="474" t="s">
        <v>327</v>
      </c>
      <c r="Z630" s="102">
        <v>11445</v>
      </c>
      <c r="AA630" s="468">
        <f>(Table6[[#This Row],[Paired WTG Generation for loss calculation]]/24)*Table6[[#This Row],[Breakdown Time]]</f>
        <v>214.59375000000051</v>
      </c>
      <c r="AB630" s="102"/>
      <c r="AC630" s="35"/>
      <c r="AD630" s="35"/>
    </row>
    <row r="631" spans="1:30">
      <c r="A631" s="102">
        <f t="shared" si="10"/>
        <v>630</v>
      </c>
      <c r="B631" s="468">
        <f>YEAR(Table6[[#This Row],[Date]])+IF(MONTH(Table6[[#This Row],[Date]])&gt;=4,1,0)</f>
        <v>2026</v>
      </c>
      <c r="C631" s="102">
        <f>YEAR(Table6[[#This Row],[Date]])</f>
        <v>2025</v>
      </c>
      <c r="D631" s="102" t="s">
        <v>1992</v>
      </c>
      <c r="E631" s="469">
        <f>Table6[[#This Row],[Date]]-DAY(Table6[[#This Row],[Date]])+1</f>
        <v>45778</v>
      </c>
      <c r="F631" s="470">
        <v>45784</v>
      </c>
      <c r="G631" s="35" t="s">
        <v>88</v>
      </c>
      <c r="H631" s="35" t="str">
        <f>IFERROR(_xlfn.XLOOKUP(Table6[[#This Row],[Affected WTG]],'Basic Data'!$A:$A,'Basic Data'!$B:$B),"")</f>
        <v>TQGXIIPL</v>
      </c>
      <c r="I631" s="35" t="str">
        <f>IFERROR(_xlfn.XLOOKUP(Table6[[#This Row],[Affected WTG]],'Basic Data'!$A:$A,'Basic Data'!$C:$C),"")</f>
        <v>GEDA</v>
      </c>
      <c r="J631" s="471">
        <f>IFERROR(_xlfn.XLOOKUP(Table6[[#This Row],[Affected WTG]],'Basic Data'!$A:$A,'Basic Data'!$E:$E),"")</f>
        <v>3.846153846153845E-2</v>
      </c>
      <c r="K631" s="102">
        <v>175</v>
      </c>
      <c r="L631" s="35" t="str">
        <f>IFERROR(_xlfn.XLOOKUP(Table6[[#This Row],[Error Code]],'Basic Data'!$AA:$AA,'Basic Data'!$AB:$AB),"Incorrect Error Code")</f>
        <v>SLC error</v>
      </c>
      <c r="M631" s="35" t="s">
        <v>291</v>
      </c>
      <c r="N631" s="475"/>
      <c r="O631" s="476">
        <v>9.0277777777777776E-2</v>
      </c>
      <c r="P631" s="476">
        <v>9.0277777777777776E-2</v>
      </c>
      <c r="Q631" s="477">
        <v>0.1451388888888889</v>
      </c>
      <c r="R631" s="472">
        <f>IF(Table6[[#This Row],[Work Start TimeStamp]]="","",(Table6[[#This Row],[Work Start TimeStamp]]-Table6[[#This Row],[Fault Start TimeStamp]])*24)</f>
        <v>0</v>
      </c>
      <c r="S631" s="472">
        <f>(Table6[[#This Row],[Fault Clearance time]]-Table6[[#This Row],[Work Start TimeStamp]])*24</f>
        <v>1.3166666666666669</v>
      </c>
      <c r="T631" s="472">
        <f>(Table6[[#This Row],[Fault Clearance time]]-Table6[[#This Row],[Fault Start TimeStamp]])*24</f>
        <v>1.3166666666666669</v>
      </c>
      <c r="U631" s="35" t="s">
        <v>1771</v>
      </c>
      <c r="V631" s="102" t="s">
        <v>293</v>
      </c>
      <c r="W631" s="478">
        <f>IFERROR(Table6[[#This Row],[Breakdown Time]]*Table6[[#This Row],[Plant Equivalent Weightage]],"")</f>
        <v>5.0641025641025635E-2</v>
      </c>
      <c r="X631" s="473" t="s">
        <v>294</v>
      </c>
      <c r="Y631" s="474" t="s">
        <v>323</v>
      </c>
      <c r="Z631" s="102">
        <v>14677</v>
      </c>
      <c r="AA631" s="468">
        <f>(Table6[[#This Row],[Paired WTG Generation for loss calculation]]/24)*Table6[[#This Row],[Breakdown Time]]</f>
        <v>805.19652777777787</v>
      </c>
      <c r="AB631" s="102"/>
      <c r="AC631" s="35"/>
      <c r="AD631" s="35"/>
    </row>
    <row r="632" spans="1:30">
      <c r="A632" s="102">
        <f t="shared" si="10"/>
        <v>631</v>
      </c>
      <c r="B632" s="468">
        <f>YEAR(Table6[[#This Row],[Date]])+IF(MONTH(Table6[[#This Row],[Date]])&gt;=4,1,0)</f>
        <v>2026</v>
      </c>
      <c r="C632" s="102">
        <f>YEAR(Table6[[#This Row],[Date]])</f>
        <v>2025</v>
      </c>
      <c r="D632" s="102" t="s">
        <v>1992</v>
      </c>
      <c r="E632" s="469">
        <f>Table6[[#This Row],[Date]]-DAY(Table6[[#This Row],[Date]])+1</f>
        <v>45778</v>
      </c>
      <c r="F632" s="470">
        <v>45784</v>
      </c>
      <c r="G632" s="35" t="s">
        <v>88</v>
      </c>
      <c r="H632" s="35" t="str">
        <f>IFERROR(_xlfn.XLOOKUP(Table6[[#This Row],[Affected WTG]],'Basic Data'!$A:$A,'Basic Data'!$B:$B),"")</f>
        <v>TQGXIIPL</v>
      </c>
      <c r="I632" s="35" t="str">
        <f>IFERROR(_xlfn.XLOOKUP(Table6[[#This Row],[Affected WTG]],'Basic Data'!$A:$A,'Basic Data'!$C:$C),"")</f>
        <v>GEDA</v>
      </c>
      <c r="J632" s="471">
        <f>IFERROR(_xlfn.XLOOKUP(Table6[[#This Row],[Affected WTG]],'Basic Data'!$A:$A,'Basic Data'!$E:$E),"")</f>
        <v>3.846153846153845E-2</v>
      </c>
      <c r="K632" s="102">
        <v>175</v>
      </c>
      <c r="L632" s="35" t="str">
        <f>IFERROR(_xlfn.XLOOKUP(Table6[[#This Row],[Error Code]],'Basic Data'!$AA:$AA,'Basic Data'!$AB:$AB),"Incorrect Error Code")</f>
        <v>SLC error</v>
      </c>
      <c r="M632" s="35" t="s">
        <v>291</v>
      </c>
      <c r="N632" s="475"/>
      <c r="O632" s="476">
        <v>0.70694444444444449</v>
      </c>
      <c r="P632" s="476">
        <v>0.70694444444444449</v>
      </c>
      <c r="Q632" s="477">
        <v>0.72986111111111107</v>
      </c>
      <c r="R632" s="472">
        <f>IF(Table6[[#This Row],[Work Start TimeStamp]]="","",(Table6[[#This Row],[Work Start TimeStamp]]-Table6[[#This Row],[Fault Start TimeStamp]])*24)</f>
        <v>0</v>
      </c>
      <c r="S632" s="472">
        <f>(Table6[[#This Row],[Fault Clearance time]]-Table6[[#This Row],[Work Start TimeStamp]])*24</f>
        <v>0.54999999999999805</v>
      </c>
      <c r="T632" s="472">
        <f>(Table6[[#This Row],[Fault Clearance time]]-Table6[[#This Row],[Fault Start TimeStamp]])*24</f>
        <v>0.54999999999999805</v>
      </c>
      <c r="U632" s="35" t="s">
        <v>1775</v>
      </c>
      <c r="V632" s="102" t="s">
        <v>293</v>
      </c>
      <c r="W632" s="478">
        <f>IFERROR(Table6[[#This Row],[Breakdown Time]]*Table6[[#This Row],[Plant Equivalent Weightage]],"")</f>
        <v>2.1153846153846072E-2</v>
      </c>
      <c r="X632" s="473" t="s">
        <v>294</v>
      </c>
      <c r="Y632" s="474" t="s">
        <v>323</v>
      </c>
      <c r="Z632" s="102">
        <v>14677</v>
      </c>
      <c r="AA632" s="468">
        <f>(Table6[[#This Row],[Paired WTG Generation for loss calculation]]/24)*Table6[[#This Row],[Breakdown Time]]</f>
        <v>336.34791666666547</v>
      </c>
      <c r="AB632" s="102"/>
      <c r="AC632" s="35"/>
      <c r="AD632" s="35"/>
    </row>
    <row r="633" spans="1:30">
      <c r="A633" s="102">
        <f t="shared" si="10"/>
        <v>632</v>
      </c>
      <c r="B633" s="468">
        <f>YEAR(Table6[[#This Row],[Date]])+IF(MONTH(Table6[[#This Row],[Date]])&gt;=4,1,0)</f>
        <v>2026</v>
      </c>
      <c r="C633" s="102">
        <f>YEAR(Table6[[#This Row],[Date]])</f>
        <v>2025</v>
      </c>
      <c r="D633" s="102" t="s">
        <v>1992</v>
      </c>
      <c r="E633" s="469">
        <f>Table6[[#This Row],[Date]]-DAY(Table6[[#This Row],[Date]])+1</f>
        <v>45778</v>
      </c>
      <c r="F633" s="470">
        <v>45784</v>
      </c>
      <c r="G633" s="35" t="s">
        <v>88</v>
      </c>
      <c r="H633" s="35" t="str">
        <f>IFERROR(_xlfn.XLOOKUP(Table6[[#This Row],[Affected WTG]],'Basic Data'!$A:$A,'Basic Data'!$B:$B),"")</f>
        <v>TQGXIIPL</v>
      </c>
      <c r="I633" s="35" t="str">
        <f>IFERROR(_xlfn.XLOOKUP(Table6[[#This Row],[Affected WTG]],'Basic Data'!$A:$A,'Basic Data'!$C:$C),"")</f>
        <v>GEDA</v>
      </c>
      <c r="J633" s="471">
        <f>IFERROR(_xlfn.XLOOKUP(Table6[[#This Row],[Affected WTG]],'Basic Data'!$A:$A,'Basic Data'!$E:$E),"")</f>
        <v>3.846153846153845E-2</v>
      </c>
      <c r="K633" s="102">
        <v>741</v>
      </c>
      <c r="L633" s="35" t="str">
        <f>IFERROR(_xlfn.XLOOKUP(Table6[[#This Row],[Error Code]],'Basic Data'!$AA:$AA,'Basic Data'!$AB:$AB),"Incorrect Error Code")</f>
        <v>Battery drive trigger by HC</v>
      </c>
      <c r="M633" s="35" t="s">
        <v>291</v>
      </c>
      <c r="N633" s="475"/>
      <c r="O633" s="476">
        <v>0.73263888888888884</v>
      </c>
      <c r="P633" s="476">
        <v>0.73263888888888884</v>
      </c>
      <c r="Q633" s="477">
        <v>0.80069444444444449</v>
      </c>
      <c r="R633" s="472">
        <f>IF(Table6[[#This Row],[Work Start TimeStamp]]="","",(Table6[[#This Row],[Work Start TimeStamp]]-Table6[[#This Row],[Fault Start TimeStamp]])*24)</f>
        <v>0</v>
      </c>
      <c r="S633" s="472">
        <f>(Table6[[#This Row],[Fault Clearance time]]-Table6[[#This Row],[Work Start TimeStamp]])*24</f>
        <v>1.6333333333333355</v>
      </c>
      <c r="T633" s="472">
        <f>(Table6[[#This Row],[Fault Clearance time]]-Table6[[#This Row],[Fault Start TimeStamp]])*24</f>
        <v>1.6333333333333355</v>
      </c>
      <c r="U633" s="35" t="s">
        <v>1776</v>
      </c>
      <c r="V633" s="102" t="s">
        <v>293</v>
      </c>
      <c r="W633" s="478">
        <f>IFERROR(Table6[[#This Row],[Breakdown Time]]*Table6[[#This Row],[Plant Equivalent Weightage]],"")</f>
        <v>6.2820512820512889E-2</v>
      </c>
      <c r="X633" s="473" t="s">
        <v>294</v>
      </c>
      <c r="Y633" s="474" t="s">
        <v>323</v>
      </c>
      <c r="Z633" s="102">
        <v>14677</v>
      </c>
      <c r="AA633" s="468">
        <f>(Table6[[#This Row],[Paired WTG Generation for loss calculation]]/24)*Table6[[#This Row],[Breakdown Time]]</f>
        <v>998.85138888889014</v>
      </c>
      <c r="AB633" s="102"/>
      <c r="AC633" s="35"/>
      <c r="AD633" s="35"/>
    </row>
    <row r="634" spans="1:30">
      <c r="A634" s="102">
        <f t="shared" si="10"/>
        <v>633</v>
      </c>
      <c r="B634" s="468">
        <f>YEAR(Table6[[#This Row],[Date]])+IF(MONTH(Table6[[#This Row],[Date]])&gt;=4,1,0)</f>
        <v>2026</v>
      </c>
      <c r="C634" s="102">
        <f>YEAR(Table6[[#This Row],[Date]])</f>
        <v>2025</v>
      </c>
      <c r="D634" s="102" t="s">
        <v>1992</v>
      </c>
      <c r="E634" s="469">
        <f>Table6[[#This Row],[Date]]-DAY(Table6[[#This Row],[Date]])+1</f>
        <v>45778</v>
      </c>
      <c r="F634" s="470">
        <v>45784</v>
      </c>
      <c r="G634" s="35" t="s">
        <v>89</v>
      </c>
      <c r="H634" s="35" t="str">
        <f>IFERROR(_xlfn.XLOOKUP(Table6[[#This Row],[Affected WTG]],'Basic Data'!$A:$A,'Basic Data'!$B:$B),"")</f>
        <v>TQGXIIPL</v>
      </c>
      <c r="I634" s="35" t="str">
        <f>IFERROR(_xlfn.XLOOKUP(Table6[[#This Row],[Affected WTG]],'Basic Data'!$A:$A,'Basic Data'!$C:$C),"")</f>
        <v>GEDA</v>
      </c>
      <c r="J634" s="471">
        <f>IFERROR(_xlfn.XLOOKUP(Table6[[#This Row],[Affected WTG]],'Basic Data'!$A:$A,'Basic Data'!$E:$E),"")</f>
        <v>3.846153846153845E-2</v>
      </c>
      <c r="K634" s="102">
        <v>3000</v>
      </c>
      <c r="L634" s="35" t="str">
        <f>IFERROR(_xlfn.XLOOKUP(Table6[[#This Row],[Error Code]],'Basic Data'!$AA:$AA,'Basic Data'!$AB:$AB),"Incorrect Error Code")</f>
        <v>Frequency converter not ready</v>
      </c>
      <c r="M634" s="35" t="s">
        <v>295</v>
      </c>
      <c r="N634" s="475"/>
      <c r="O634" s="476">
        <v>0</v>
      </c>
      <c r="P634" s="476">
        <v>0</v>
      </c>
      <c r="Q634" s="477">
        <v>0.73958333333333337</v>
      </c>
      <c r="R634" s="472">
        <f>IF(Table6[[#This Row],[Work Start TimeStamp]]="","",(Table6[[#This Row],[Work Start TimeStamp]]-Table6[[#This Row],[Fault Start TimeStamp]])*24)</f>
        <v>0</v>
      </c>
      <c r="S634" s="472">
        <f>(Table6[[#This Row],[Fault Clearance time]]-Table6[[#This Row],[Work Start TimeStamp]])*24</f>
        <v>17.75</v>
      </c>
      <c r="T634" s="472">
        <f>(Table6[[#This Row],[Fault Clearance time]]-Table6[[#This Row],[Fault Start TimeStamp]])*24</f>
        <v>17.75</v>
      </c>
      <c r="U634" s="35" t="s">
        <v>1777</v>
      </c>
      <c r="V634" s="102" t="s">
        <v>293</v>
      </c>
      <c r="W634" s="478">
        <f>IFERROR(Table6[[#This Row],[Breakdown Time]]*Table6[[#This Row],[Plant Equivalent Weightage]],"")</f>
        <v>0.68269230769230749</v>
      </c>
      <c r="X634" s="473" t="s">
        <v>290</v>
      </c>
      <c r="Y634" s="474" t="s">
        <v>325</v>
      </c>
      <c r="Z634" s="102">
        <v>21725</v>
      </c>
      <c r="AA634" s="468">
        <f>(Table6[[#This Row],[Paired WTG Generation for loss calculation]]/24)*Table6[[#This Row],[Breakdown Time]]</f>
        <v>16067.447916666668</v>
      </c>
      <c r="AB634" s="102"/>
      <c r="AC634" s="35"/>
      <c r="AD634" s="35"/>
    </row>
    <row r="635" spans="1:30">
      <c r="A635" s="102">
        <f t="shared" si="10"/>
        <v>634</v>
      </c>
      <c r="B635" s="468">
        <f>YEAR(Table6[[#This Row],[Date]])+IF(MONTH(Table6[[#This Row],[Date]])&gt;=4,1,0)</f>
        <v>2026</v>
      </c>
      <c r="C635" s="102">
        <f>YEAR(Table6[[#This Row],[Date]])</f>
        <v>2025</v>
      </c>
      <c r="D635" s="102" t="s">
        <v>1992</v>
      </c>
      <c r="E635" s="469">
        <f>Table6[[#This Row],[Date]]-DAY(Table6[[#This Row],[Date]])+1</f>
        <v>45778</v>
      </c>
      <c r="F635" s="470">
        <v>45784</v>
      </c>
      <c r="G635" s="35" t="s">
        <v>90</v>
      </c>
      <c r="H635" s="35" t="str">
        <f>IFERROR(_xlfn.XLOOKUP(Table6[[#This Row],[Affected WTG]],'Basic Data'!$A:$A,'Basic Data'!$B:$B),"")</f>
        <v>TQGXIIPL</v>
      </c>
      <c r="I635" s="35" t="str">
        <f>IFERROR(_xlfn.XLOOKUP(Table6[[#This Row],[Affected WTG]],'Basic Data'!$A:$A,'Basic Data'!$C:$C),"")</f>
        <v>GEDA</v>
      </c>
      <c r="J635" s="471">
        <f>IFERROR(_xlfn.XLOOKUP(Table6[[#This Row],[Affected WTG]],'Basic Data'!$A:$A,'Basic Data'!$E:$E),"")</f>
        <v>3.846153846153845E-2</v>
      </c>
      <c r="K635" s="102">
        <v>3110</v>
      </c>
      <c r="L635" s="35" t="str">
        <f>IFERROR(_xlfn.XLOOKUP(Table6[[#This Row],[Error Code]],'Basic Data'!$AA:$AA,'Basic Data'!$AB:$AB),"Incorrect Error Code")</f>
        <v>Frequency converter error</v>
      </c>
      <c r="M635" s="35" t="s">
        <v>291</v>
      </c>
      <c r="N635" s="475"/>
      <c r="O635" s="476">
        <v>0.80972222222222223</v>
      </c>
      <c r="P635" s="476">
        <v>0.80972222222222223</v>
      </c>
      <c r="Q635" s="477">
        <v>0.94097222222222221</v>
      </c>
      <c r="R635" s="472">
        <f>IF(Table6[[#This Row],[Work Start TimeStamp]]="","",(Table6[[#This Row],[Work Start TimeStamp]]-Table6[[#This Row],[Fault Start TimeStamp]])*24)</f>
        <v>0</v>
      </c>
      <c r="S635" s="472">
        <f>(Table6[[#This Row],[Fault Clearance time]]-Table6[[#This Row],[Work Start TimeStamp]])*24</f>
        <v>3.1499999999999995</v>
      </c>
      <c r="T635" s="472">
        <f>(Table6[[#This Row],[Fault Clearance time]]-Table6[[#This Row],[Fault Start TimeStamp]])*24</f>
        <v>3.1499999999999995</v>
      </c>
      <c r="U635" s="35" t="s">
        <v>1778</v>
      </c>
      <c r="V635" s="102" t="s">
        <v>293</v>
      </c>
      <c r="W635" s="478">
        <f>IFERROR(Table6[[#This Row],[Breakdown Time]]*Table6[[#This Row],[Plant Equivalent Weightage]],"")</f>
        <v>0.1211538461538461</v>
      </c>
      <c r="X635" s="473" t="s">
        <v>294</v>
      </c>
      <c r="Y635" s="474" t="s">
        <v>339</v>
      </c>
      <c r="Z635" s="102">
        <v>19485</v>
      </c>
      <c r="AA635" s="468">
        <f>(Table6[[#This Row],[Paired WTG Generation for loss calculation]]/24)*Table6[[#This Row],[Breakdown Time]]</f>
        <v>2557.4062499999995</v>
      </c>
      <c r="AB635" s="102"/>
      <c r="AC635" s="35"/>
      <c r="AD635" s="35"/>
    </row>
    <row r="636" spans="1:30">
      <c r="A636" s="102">
        <f t="shared" si="10"/>
        <v>635</v>
      </c>
      <c r="B636" s="468">
        <f>YEAR(Table6[[#This Row],[Date]])+IF(MONTH(Table6[[#This Row],[Date]])&gt;=4,1,0)</f>
        <v>2026</v>
      </c>
      <c r="C636" s="102">
        <f>YEAR(Table6[[#This Row],[Date]])</f>
        <v>2025</v>
      </c>
      <c r="D636" s="102" t="s">
        <v>1992</v>
      </c>
      <c r="E636" s="469">
        <f>Table6[[#This Row],[Date]]-DAY(Table6[[#This Row],[Date]])+1</f>
        <v>45778</v>
      </c>
      <c r="F636" s="470">
        <v>45784</v>
      </c>
      <c r="G636" s="35" t="s">
        <v>93</v>
      </c>
      <c r="H636" s="35" t="str">
        <f>IFERROR(_xlfn.XLOOKUP(Table6[[#This Row],[Affected WTG]],'Basic Data'!$A:$A,'Basic Data'!$B:$B),"")</f>
        <v>TQGXIIPL</v>
      </c>
      <c r="I636" s="35" t="str">
        <f>IFERROR(_xlfn.XLOOKUP(Table6[[#This Row],[Affected WTG]],'Basic Data'!$A:$A,'Basic Data'!$C:$C),"")</f>
        <v>GEDA</v>
      </c>
      <c r="J636" s="471">
        <f>IFERROR(_xlfn.XLOOKUP(Table6[[#This Row],[Affected WTG]],'Basic Data'!$A:$A,'Basic Data'!$E:$E),"")</f>
        <v>3.846153846153845E-2</v>
      </c>
      <c r="K636" s="102">
        <v>55</v>
      </c>
      <c r="L636" s="35" t="str">
        <f>IFERROR(_xlfn.XLOOKUP(Table6[[#This Row],[Error Code]],'Basic Data'!$AA:$AA,'Basic Data'!$AB:$AB),"Incorrect Error Code")</f>
        <v>WTG shut down</v>
      </c>
      <c r="M636" s="35" t="s">
        <v>295</v>
      </c>
      <c r="N636" s="475"/>
      <c r="O636" s="476">
        <v>0.71875</v>
      </c>
      <c r="P636" s="476">
        <v>0.71875</v>
      </c>
      <c r="Q636" s="477">
        <v>0.97880787037037043</v>
      </c>
      <c r="R636" s="472">
        <f>IF(Table6[[#This Row],[Work Start TimeStamp]]="","",(Table6[[#This Row],[Work Start TimeStamp]]-Table6[[#This Row],[Fault Start TimeStamp]])*24)</f>
        <v>0</v>
      </c>
      <c r="S636" s="472">
        <f>(Table6[[#This Row],[Fault Clearance time]]-Table6[[#This Row],[Work Start TimeStamp]])*24</f>
        <v>6.2413888888888902</v>
      </c>
      <c r="T636" s="472">
        <f>(Table6[[#This Row],[Fault Clearance time]]-Table6[[#This Row],[Fault Start TimeStamp]])*24</f>
        <v>6.2413888888888902</v>
      </c>
      <c r="U636" s="35" t="s">
        <v>1779</v>
      </c>
      <c r="V636" s="102" t="s">
        <v>335</v>
      </c>
      <c r="W636" s="478">
        <f>IFERROR(Table6[[#This Row],[Breakdown Time]]*Table6[[#This Row],[Plant Equivalent Weightage]],"")</f>
        <v>0.24005341880341879</v>
      </c>
      <c r="X636" s="473" t="s">
        <v>290</v>
      </c>
      <c r="Y636" s="474" t="s">
        <v>314</v>
      </c>
      <c r="Z636" s="102">
        <v>10416</v>
      </c>
      <c r="AA636" s="468">
        <f>(Table6[[#This Row],[Paired WTG Generation for loss calculation]]/24)*Table6[[#This Row],[Breakdown Time]]</f>
        <v>2708.7627777777784</v>
      </c>
      <c r="AB636" s="102"/>
      <c r="AC636" s="35"/>
      <c r="AD636" s="35"/>
    </row>
    <row r="637" spans="1:30">
      <c r="A637" s="102">
        <f t="shared" si="10"/>
        <v>636</v>
      </c>
      <c r="B637" s="468">
        <f>YEAR(Table6[[#This Row],[Date]])+IF(MONTH(Table6[[#This Row],[Date]])&gt;=4,1,0)</f>
        <v>2026</v>
      </c>
      <c r="C637" s="102">
        <f>YEAR(Table6[[#This Row],[Date]])</f>
        <v>2025</v>
      </c>
      <c r="D637" s="102" t="s">
        <v>1992</v>
      </c>
      <c r="E637" s="469">
        <f>Table6[[#This Row],[Date]]-DAY(Table6[[#This Row],[Date]])+1</f>
        <v>45778</v>
      </c>
      <c r="F637" s="470">
        <v>45784</v>
      </c>
      <c r="G637" s="35" t="s">
        <v>96</v>
      </c>
      <c r="H637" s="35" t="str">
        <f>IFERROR(_xlfn.XLOOKUP(Table6[[#This Row],[Affected WTG]],'Basic Data'!$A:$A,'Basic Data'!$B:$B),"")</f>
        <v>TQGXIIPL</v>
      </c>
      <c r="I637" s="35" t="str">
        <f>IFERROR(_xlfn.XLOOKUP(Table6[[#This Row],[Affected WTG]],'Basic Data'!$A:$A,'Basic Data'!$C:$C),"")</f>
        <v>GEDA</v>
      </c>
      <c r="J637" s="471">
        <f>IFERROR(_xlfn.XLOOKUP(Table6[[#This Row],[Affected WTG]],'Basic Data'!$A:$A,'Basic Data'!$E:$E),"")</f>
        <v>3.846153846153845E-2</v>
      </c>
      <c r="K637" s="102">
        <v>3420</v>
      </c>
      <c r="L637" s="35" t="str">
        <f>IFERROR(_xlfn.XLOOKUP(Table6[[#This Row],[Error Code]],'Basic Data'!$AA:$AA,'Basic Data'!$AB:$AB),"Incorrect Error Code")</f>
        <v>UPS buffer time too short</v>
      </c>
      <c r="M637" s="35" t="s">
        <v>291</v>
      </c>
      <c r="N637" s="475"/>
      <c r="O637" s="476">
        <v>9.0277777777777776E-2</v>
      </c>
      <c r="P637" s="476">
        <v>9.0277777777777776E-2</v>
      </c>
      <c r="Q637" s="477">
        <v>0.1423611111111111</v>
      </c>
      <c r="R637" s="472">
        <f>IF(Table6[[#This Row],[Work Start TimeStamp]]="","",(Table6[[#This Row],[Work Start TimeStamp]]-Table6[[#This Row],[Fault Start TimeStamp]])*24)</f>
        <v>0</v>
      </c>
      <c r="S637" s="472">
        <f>(Table6[[#This Row],[Fault Clearance time]]-Table6[[#This Row],[Work Start TimeStamp]])*24</f>
        <v>1.25</v>
      </c>
      <c r="T637" s="472">
        <f>(Table6[[#This Row],[Fault Clearance time]]-Table6[[#This Row],[Fault Start TimeStamp]])*24</f>
        <v>1.25</v>
      </c>
      <c r="U637" s="35" t="s">
        <v>1771</v>
      </c>
      <c r="V637" s="102" t="s">
        <v>293</v>
      </c>
      <c r="W637" s="478">
        <f>IFERROR(Table6[[#This Row],[Breakdown Time]]*Table6[[#This Row],[Plant Equivalent Weightage]],"")</f>
        <v>4.8076923076923059E-2</v>
      </c>
      <c r="X637" s="473" t="s">
        <v>294</v>
      </c>
      <c r="Y637" s="474" t="s">
        <v>313</v>
      </c>
      <c r="Z637" s="102">
        <v>14545</v>
      </c>
      <c r="AA637" s="468">
        <f>(Table6[[#This Row],[Paired WTG Generation for loss calculation]]/24)*Table6[[#This Row],[Breakdown Time]]</f>
        <v>757.55208333333326</v>
      </c>
      <c r="AB637" s="102"/>
      <c r="AC637" s="35"/>
      <c r="AD637" s="35"/>
    </row>
    <row r="638" spans="1:30">
      <c r="A638" s="102">
        <f t="shared" si="10"/>
        <v>637</v>
      </c>
      <c r="B638" s="468">
        <f>YEAR(Table6[[#This Row],[Date]])+IF(MONTH(Table6[[#This Row],[Date]])&gt;=4,1,0)</f>
        <v>2026</v>
      </c>
      <c r="C638" s="102">
        <f>YEAR(Table6[[#This Row],[Date]])</f>
        <v>2025</v>
      </c>
      <c r="D638" s="102" t="s">
        <v>1992</v>
      </c>
      <c r="E638" s="469">
        <f>Table6[[#This Row],[Date]]-DAY(Table6[[#This Row],[Date]])+1</f>
        <v>45778</v>
      </c>
      <c r="F638" s="470">
        <v>45784</v>
      </c>
      <c r="G638" s="35" t="s">
        <v>96</v>
      </c>
      <c r="H638" s="35" t="str">
        <f>IFERROR(_xlfn.XLOOKUP(Table6[[#This Row],[Affected WTG]],'Basic Data'!$A:$A,'Basic Data'!$B:$B),"")</f>
        <v>TQGXIIPL</v>
      </c>
      <c r="I638" s="35" t="str">
        <f>IFERROR(_xlfn.XLOOKUP(Table6[[#This Row],[Affected WTG]],'Basic Data'!$A:$A,'Basic Data'!$C:$C),"")</f>
        <v>GEDA</v>
      </c>
      <c r="J638" s="471">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291</v>
      </c>
      <c r="N638" s="475"/>
      <c r="O638" s="476">
        <v>0.26944444444444443</v>
      </c>
      <c r="P638" s="476">
        <v>0.26944444444444443</v>
      </c>
      <c r="Q638" s="477">
        <v>0.37569444444444444</v>
      </c>
      <c r="R638" s="472">
        <f>IF(Table6[[#This Row],[Work Start TimeStamp]]="","",(Table6[[#This Row],[Work Start TimeStamp]]-Table6[[#This Row],[Fault Start TimeStamp]])*24)</f>
        <v>0</v>
      </c>
      <c r="S638" s="472">
        <f>(Table6[[#This Row],[Fault Clearance time]]-Table6[[#This Row],[Work Start TimeStamp]])*24</f>
        <v>2.5500000000000003</v>
      </c>
      <c r="T638" s="472">
        <f>(Table6[[#This Row],[Fault Clearance time]]-Table6[[#This Row],[Fault Start TimeStamp]])*24</f>
        <v>2.5500000000000003</v>
      </c>
      <c r="U638" s="35" t="s">
        <v>1780</v>
      </c>
      <c r="V638" s="102" t="s">
        <v>293</v>
      </c>
      <c r="W638" s="478">
        <f>IFERROR(Table6[[#This Row],[Breakdown Time]]*Table6[[#This Row],[Plant Equivalent Weightage]],"")</f>
        <v>9.8076923076923062E-2</v>
      </c>
      <c r="X638" s="473" t="s">
        <v>294</v>
      </c>
      <c r="Y638" s="474" t="s">
        <v>313</v>
      </c>
      <c r="Z638" s="102">
        <v>14545</v>
      </c>
      <c r="AA638" s="468">
        <f>(Table6[[#This Row],[Paired WTG Generation for loss calculation]]/24)*Table6[[#This Row],[Breakdown Time]]</f>
        <v>1545.40625</v>
      </c>
      <c r="AB638" s="102"/>
      <c r="AC638" s="35"/>
      <c r="AD638" s="35"/>
    </row>
    <row r="639" spans="1:30">
      <c r="A639" s="102">
        <f t="shared" si="10"/>
        <v>638</v>
      </c>
      <c r="B639" s="468">
        <f>YEAR(Table6[[#This Row],[Date]])+IF(MONTH(Table6[[#This Row],[Date]])&gt;=4,1,0)</f>
        <v>2026</v>
      </c>
      <c r="C639" s="102">
        <f>YEAR(Table6[[#This Row],[Date]])</f>
        <v>2025</v>
      </c>
      <c r="D639" s="102" t="s">
        <v>1992</v>
      </c>
      <c r="E639" s="469">
        <f>Table6[[#This Row],[Date]]-DAY(Table6[[#This Row],[Date]])+1</f>
        <v>45778</v>
      </c>
      <c r="F639" s="470">
        <v>45784</v>
      </c>
      <c r="G639" s="35" t="s">
        <v>96</v>
      </c>
      <c r="H639" s="35" t="str">
        <f>IFERROR(_xlfn.XLOOKUP(Table6[[#This Row],[Affected WTG]],'Basic Data'!$A:$A,'Basic Data'!$B:$B),"")</f>
        <v>TQGXIIPL</v>
      </c>
      <c r="I639" s="35" t="str">
        <f>IFERROR(_xlfn.XLOOKUP(Table6[[#This Row],[Affected WTG]],'Basic Data'!$A:$A,'Basic Data'!$C:$C),"")</f>
        <v>GEDA</v>
      </c>
      <c r="J639" s="471">
        <f>IFERROR(_xlfn.XLOOKUP(Table6[[#This Row],[Affected WTG]],'Basic Data'!$A:$A,'Basic Data'!$E:$E),"")</f>
        <v>3.846153846153845E-2</v>
      </c>
      <c r="K639" s="102">
        <v>175</v>
      </c>
      <c r="L639" s="35" t="str">
        <f>IFERROR(_xlfn.XLOOKUP(Table6[[#This Row],[Error Code]],'Basic Data'!$AA:$AA,'Basic Data'!$AB:$AB),"Incorrect Error Code")</f>
        <v>SLC error</v>
      </c>
      <c r="M639" s="35" t="s">
        <v>291</v>
      </c>
      <c r="N639" s="475"/>
      <c r="O639" s="476">
        <v>0.70694444444444449</v>
      </c>
      <c r="P639" s="476">
        <v>0.70694444444444449</v>
      </c>
      <c r="Q639" s="477">
        <v>0.73263888888888884</v>
      </c>
      <c r="R639" s="472">
        <f>IF(Table6[[#This Row],[Work Start TimeStamp]]="","",(Table6[[#This Row],[Work Start TimeStamp]]-Table6[[#This Row],[Fault Start TimeStamp]])*24)</f>
        <v>0</v>
      </c>
      <c r="S639" s="472">
        <f>(Table6[[#This Row],[Fault Clearance time]]-Table6[[#This Row],[Work Start TimeStamp]])*24</f>
        <v>0.61666666666666448</v>
      </c>
      <c r="T639" s="472">
        <f>(Table6[[#This Row],[Fault Clearance time]]-Table6[[#This Row],[Fault Start TimeStamp]])*24</f>
        <v>0.61666666666666448</v>
      </c>
      <c r="U639" s="35" t="s">
        <v>1771</v>
      </c>
      <c r="V639" s="102" t="s">
        <v>293</v>
      </c>
      <c r="W639" s="478">
        <f>IFERROR(Table6[[#This Row],[Breakdown Time]]*Table6[[#This Row],[Plant Equivalent Weightage]],"")</f>
        <v>2.3717948717948627E-2</v>
      </c>
      <c r="X639" s="473" t="s">
        <v>294</v>
      </c>
      <c r="Y639" s="474" t="s">
        <v>313</v>
      </c>
      <c r="Z639" s="102">
        <v>14545</v>
      </c>
      <c r="AA639" s="468">
        <f>(Table6[[#This Row],[Paired WTG Generation for loss calculation]]/24)*Table6[[#This Row],[Breakdown Time]]</f>
        <v>373.72569444444309</v>
      </c>
      <c r="AB639" s="102"/>
      <c r="AC639" s="35"/>
      <c r="AD639" s="35"/>
    </row>
    <row r="640" spans="1:30">
      <c r="A640" s="102">
        <f t="shared" si="10"/>
        <v>639</v>
      </c>
      <c r="B640" s="468">
        <f>YEAR(Table6[[#This Row],[Date]])+IF(MONTH(Table6[[#This Row],[Date]])&gt;=4,1,0)</f>
        <v>2026</v>
      </c>
      <c r="C640" s="102">
        <f>YEAR(Table6[[#This Row],[Date]])</f>
        <v>2025</v>
      </c>
      <c r="D640" s="102" t="s">
        <v>1992</v>
      </c>
      <c r="E640" s="469">
        <f>Table6[[#This Row],[Date]]-DAY(Table6[[#This Row],[Date]])+1</f>
        <v>45778</v>
      </c>
      <c r="F640" s="470">
        <v>45784</v>
      </c>
      <c r="G640" s="35" t="s">
        <v>97</v>
      </c>
      <c r="H640" s="35" t="str">
        <f>IFERROR(_xlfn.XLOOKUP(Table6[[#This Row],[Affected WTG]],'Basic Data'!$A:$A,'Basic Data'!$B:$B),"")</f>
        <v>TQGXIIPL</v>
      </c>
      <c r="I640" s="35" t="str">
        <f>IFERROR(_xlfn.XLOOKUP(Table6[[#This Row],[Affected WTG]],'Basic Data'!$A:$A,'Basic Data'!$C:$C),"")</f>
        <v>GEDA</v>
      </c>
      <c r="J640" s="471">
        <f>IFERROR(_xlfn.XLOOKUP(Table6[[#This Row],[Affected WTG]],'Basic Data'!$A:$A,'Basic Data'!$E:$E),"")</f>
        <v>3.846153846153845E-2</v>
      </c>
      <c r="K640" s="102">
        <v>5506</v>
      </c>
      <c r="L640" s="35" t="str">
        <f>IFERROR(_xlfn.XLOOKUP(Table6[[#This Row],[Error Code]],'Basic Data'!$AA:$AA,'Basic Data'!$AB:$AB),"Incorrect Error Code")</f>
        <v>Rot.br. press. high</v>
      </c>
      <c r="M640" s="35" t="s">
        <v>295</v>
      </c>
      <c r="N640" s="475"/>
      <c r="O640" s="476">
        <v>0</v>
      </c>
      <c r="P640" s="476">
        <v>0</v>
      </c>
      <c r="Q640" s="477">
        <v>0.46597222222222223</v>
      </c>
      <c r="R640" s="472">
        <f>IF(Table6[[#This Row],[Work Start TimeStamp]]="","",(Table6[[#This Row],[Work Start TimeStamp]]-Table6[[#This Row],[Fault Start TimeStamp]])*24)</f>
        <v>0</v>
      </c>
      <c r="S640" s="472">
        <f>(Table6[[#This Row],[Fault Clearance time]]-Table6[[#This Row],[Work Start TimeStamp]])*24</f>
        <v>11.183333333333334</v>
      </c>
      <c r="T640" s="472">
        <f>(Table6[[#This Row],[Fault Clearance time]]-Table6[[#This Row],[Fault Start TimeStamp]])*24</f>
        <v>11.183333333333334</v>
      </c>
      <c r="U640" s="35" t="s">
        <v>1781</v>
      </c>
      <c r="V640" s="102" t="s">
        <v>293</v>
      </c>
      <c r="W640" s="478">
        <f>IFERROR(Table6[[#This Row],[Breakdown Time]]*Table6[[#This Row],[Plant Equivalent Weightage]],"")</f>
        <v>0.43012820512820499</v>
      </c>
      <c r="X640" s="473" t="s">
        <v>294</v>
      </c>
      <c r="Y640" s="474" t="s">
        <v>320</v>
      </c>
      <c r="Z640" s="102">
        <v>19397</v>
      </c>
      <c r="AA640" s="468">
        <f>(Table6[[#This Row],[Paired WTG Generation for loss calculation]]/24)*Table6[[#This Row],[Breakdown Time]]</f>
        <v>9038.4631944444445</v>
      </c>
      <c r="AB640" s="102"/>
      <c r="AC640" s="35"/>
      <c r="AD640" s="35"/>
    </row>
    <row r="641" spans="1:30">
      <c r="A641" s="102">
        <f t="shared" si="10"/>
        <v>640</v>
      </c>
      <c r="B641" s="468">
        <f>YEAR(Table6[[#This Row],[Date]])+IF(MONTH(Table6[[#This Row],[Date]])&gt;=4,1,0)</f>
        <v>2026</v>
      </c>
      <c r="C641" s="102">
        <f>YEAR(Table6[[#This Row],[Date]])</f>
        <v>2025</v>
      </c>
      <c r="D641" s="102" t="s">
        <v>1992</v>
      </c>
      <c r="E641" s="469">
        <f>Table6[[#This Row],[Date]]-DAY(Table6[[#This Row],[Date]])+1</f>
        <v>45778</v>
      </c>
      <c r="F641" s="470">
        <v>45784</v>
      </c>
      <c r="G641" s="35" t="s">
        <v>98</v>
      </c>
      <c r="H641" s="35" t="str">
        <f>IFERROR(_xlfn.XLOOKUP(Table6[[#This Row],[Affected WTG]],'Basic Data'!$A:$A,'Basic Data'!$B:$B),"")</f>
        <v>TQGXIIPL</v>
      </c>
      <c r="I641" s="35" t="str">
        <f>IFERROR(_xlfn.XLOOKUP(Table6[[#This Row],[Affected WTG]],'Basic Data'!$A:$A,'Basic Data'!$C:$C),"")</f>
        <v>GEDA</v>
      </c>
      <c r="J641" s="471">
        <f>IFERROR(_xlfn.XLOOKUP(Table6[[#This Row],[Affected WTG]],'Basic Data'!$A:$A,'Basic Data'!$E:$E),"")</f>
        <v>3.846153846153845E-2</v>
      </c>
      <c r="K641" s="102">
        <v>3420</v>
      </c>
      <c r="L641" s="35" t="str">
        <f>IFERROR(_xlfn.XLOOKUP(Table6[[#This Row],[Error Code]],'Basic Data'!$AA:$AA,'Basic Data'!$AB:$AB),"Incorrect Error Code")</f>
        <v>UPS buffer time too short</v>
      </c>
      <c r="M641" s="35" t="s">
        <v>291</v>
      </c>
      <c r="N641" s="475"/>
      <c r="O641" s="476">
        <v>0.70694444444444449</v>
      </c>
      <c r="P641" s="476">
        <v>0.70694444444444449</v>
      </c>
      <c r="Q641" s="477">
        <v>0.73472222222222228</v>
      </c>
      <c r="R641" s="472">
        <f>IF(Table6[[#This Row],[Work Start TimeStamp]]="","",(Table6[[#This Row],[Work Start TimeStamp]]-Table6[[#This Row],[Fault Start TimeStamp]])*24)</f>
        <v>0</v>
      </c>
      <c r="S641" s="472">
        <f>(Table6[[#This Row],[Fault Clearance time]]-Table6[[#This Row],[Work Start TimeStamp]])*24</f>
        <v>0.66666666666666696</v>
      </c>
      <c r="T641" s="472">
        <f>(Table6[[#This Row],[Fault Clearance time]]-Table6[[#This Row],[Fault Start TimeStamp]])*24</f>
        <v>0.66666666666666696</v>
      </c>
      <c r="U641" s="35" t="s">
        <v>1771</v>
      </c>
      <c r="V641" s="102" t="s">
        <v>293</v>
      </c>
      <c r="W641" s="478">
        <f>IFERROR(Table6[[#This Row],[Breakdown Time]]*Table6[[#This Row],[Plant Equivalent Weightage]],"")</f>
        <v>2.5641025641025644E-2</v>
      </c>
      <c r="X641" s="473" t="s">
        <v>294</v>
      </c>
      <c r="Y641" s="474" t="s">
        <v>315</v>
      </c>
      <c r="Z641" s="102">
        <v>11319</v>
      </c>
      <c r="AA641" s="468">
        <f>(Table6[[#This Row],[Paired WTG Generation for loss calculation]]/24)*Table6[[#This Row],[Breakdown Time]]</f>
        <v>314.4166666666668</v>
      </c>
      <c r="AB641" s="102"/>
      <c r="AC641" s="35"/>
      <c r="AD641" s="35"/>
    </row>
    <row r="642" spans="1:30">
      <c r="A642" s="102">
        <f t="shared" si="10"/>
        <v>641</v>
      </c>
      <c r="B642" s="468">
        <f>YEAR(Table6[[#This Row],[Date]])+IF(MONTH(Table6[[#This Row],[Date]])&gt;=4,1,0)</f>
        <v>2026</v>
      </c>
      <c r="C642" s="102">
        <f>YEAR(Table6[[#This Row],[Date]])</f>
        <v>2025</v>
      </c>
      <c r="D642" s="102" t="s">
        <v>1992</v>
      </c>
      <c r="E642" s="469">
        <f>Table6[[#This Row],[Date]]-DAY(Table6[[#This Row],[Date]])+1</f>
        <v>45778</v>
      </c>
      <c r="F642" s="470">
        <v>45784</v>
      </c>
      <c r="G642" s="35" t="s">
        <v>98</v>
      </c>
      <c r="H642" s="35" t="str">
        <f>IFERROR(_xlfn.XLOOKUP(Table6[[#This Row],[Affected WTG]],'Basic Data'!$A:$A,'Basic Data'!$B:$B),"")</f>
        <v>TQGXIIPL</v>
      </c>
      <c r="I642" s="35" t="str">
        <f>IFERROR(_xlfn.XLOOKUP(Table6[[#This Row],[Affected WTG]],'Basic Data'!$A:$A,'Basic Data'!$C:$C),"")</f>
        <v>GEDA</v>
      </c>
      <c r="J642" s="471">
        <f>IFERROR(_xlfn.XLOOKUP(Table6[[#This Row],[Affected WTG]],'Basic Data'!$A:$A,'Basic Data'!$E:$E),"")</f>
        <v>3.846153846153845E-2</v>
      </c>
      <c r="K642" s="102">
        <v>5510</v>
      </c>
      <c r="L642" s="35" t="str">
        <f>IFERROR(_xlfn.XLOOKUP(Table6[[#This Row],[Error Code]],'Basic Data'!$AA:$AA,'Basic Data'!$AB:$AB),"Incorrect Error Code")</f>
        <v>Low hydraulic pressure</v>
      </c>
      <c r="M642" s="35" t="s">
        <v>291</v>
      </c>
      <c r="N642" s="475"/>
      <c r="O642" s="476">
        <v>0.13194444444444445</v>
      </c>
      <c r="P642" s="476">
        <v>0.13194444444444445</v>
      </c>
      <c r="Q642" s="477">
        <v>0.14930555555555555</v>
      </c>
      <c r="R642" s="472">
        <f>IF(Table6[[#This Row],[Work Start TimeStamp]]="","",(Table6[[#This Row],[Work Start TimeStamp]]-Table6[[#This Row],[Fault Start TimeStamp]])*24)</f>
        <v>0</v>
      </c>
      <c r="S642" s="472">
        <f>(Table6[[#This Row],[Fault Clearance time]]-Table6[[#This Row],[Work Start TimeStamp]])*24</f>
        <v>0.41666666666666652</v>
      </c>
      <c r="T642" s="472">
        <f>(Table6[[#This Row],[Fault Clearance time]]-Table6[[#This Row],[Fault Start TimeStamp]])*24</f>
        <v>0.41666666666666652</v>
      </c>
      <c r="U642" s="35" t="s">
        <v>1782</v>
      </c>
      <c r="V642" s="102" t="s">
        <v>293</v>
      </c>
      <c r="W642" s="478">
        <f>IFERROR(Table6[[#This Row],[Breakdown Time]]*Table6[[#This Row],[Plant Equivalent Weightage]],"")</f>
        <v>1.6025641025641014E-2</v>
      </c>
      <c r="X642" s="473" t="s">
        <v>294</v>
      </c>
      <c r="Y642" s="474" t="s">
        <v>315</v>
      </c>
      <c r="Z642" s="102">
        <v>11319</v>
      </c>
      <c r="AA642" s="468">
        <f>(Table6[[#This Row],[Paired WTG Generation for loss calculation]]/24)*Table6[[#This Row],[Breakdown Time]]</f>
        <v>196.5104166666666</v>
      </c>
      <c r="AB642" s="102"/>
      <c r="AC642" s="35"/>
      <c r="AD642" s="35"/>
    </row>
    <row r="643" spans="1:30">
      <c r="A643" s="102">
        <f t="shared" si="10"/>
        <v>642</v>
      </c>
      <c r="B643" s="468">
        <f>YEAR(Table6[[#This Row],[Date]])+IF(MONTH(Table6[[#This Row],[Date]])&gt;=4,1,0)</f>
        <v>2026</v>
      </c>
      <c r="C643" s="102">
        <f>YEAR(Table6[[#This Row],[Date]])</f>
        <v>2025</v>
      </c>
      <c r="D643" s="102" t="s">
        <v>1992</v>
      </c>
      <c r="E643" s="469">
        <f>Table6[[#This Row],[Date]]-DAY(Table6[[#This Row],[Date]])+1</f>
        <v>45778</v>
      </c>
      <c r="F643" s="470">
        <v>45784</v>
      </c>
      <c r="G643" s="35" t="s">
        <v>98</v>
      </c>
      <c r="H643" s="35" t="str">
        <f>IFERROR(_xlfn.XLOOKUP(Table6[[#This Row],[Affected WTG]],'Basic Data'!$A:$A,'Basic Data'!$B:$B),"")</f>
        <v>TQGXIIPL</v>
      </c>
      <c r="I643" s="35" t="str">
        <f>IFERROR(_xlfn.XLOOKUP(Table6[[#This Row],[Affected WTG]],'Basic Data'!$A:$A,'Basic Data'!$C:$C),"")</f>
        <v>GEDA</v>
      </c>
      <c r="J643" s="471">
        <f>IFERROR(_xlfn.XLOOKUP(Table6[[#This Row],[Affected WTG]],'Basic Data'!$A:$A,'Basic Data'!$E:$E),"")</f>
        <v>3.846153846153845E-2</v>
      </c>
      <c r="K643" s="102">
        <v>55</v>
      </c>
      <c r="L643" s="35" t="str">
        <f>IFERROR(_xlfn.XLOOKUP(Table6[[#This Row],[Error Code]],'Basic Data'!$AA:$AA,'Basic Data'!$AB:$AB),"Incorrect Error Code")</f>
        <v>WTG shut down</v>
      </c>
      <c r="M643" s="35" t="s">
        <v>330</v>
      </c>
      <c r="N643" s="475"/>
      <c r="O643" s="476">
        <v>0.51736111111111116</v>
      </c>
      <c r="P643" s="476">
        <v>0.51736111111111116</v>
      </c>
      <c r="Q643" s="477">
        <v>0.53541666666666665</v>
      </c>
      <c r="R643" s="472">
        <f>IF(Table6[[#This Row],[Work Start TimeStamp]]="","",(Table6[[#This Row],[Work Start TimeStamp]]-Table6[[#This Row],[Fault Start TimeStamp]])*24)</f>
        <v>0</v>
      </c>
      <c r="S643" s="472">
        <f>(Table6[[#This Row],[Fault Clearance time]]-Table6[[#This Row],[Work Start TimeStamp]])*24</f>
        <v>0.43333333333333179</v>
      </c>
      <c r="T643" s="472">
        <f>(Table6[[#This Row],[Fault Clearance time]]-Table6[[#This Row],[Fault Start TimeStamp]])*24</f>
        <v>0.43333333333333179</v>
      </c>
      <c r="U643" s="35" t="s">
        <v>1744</v>
      </c>
      <c r="V643" s="102" t="s">
        <v>293</v>
      </c>
      <c r="W643" s="478">
        <f>IFERROR(Table6[[#This Row],[Breakdown Time]]*Table6[[#This Row],[Plant Equivalent Weightage]],"")</f>
        <v>1.6666666666666604E-2</v>
      </c>
      <c r="X643" s="473" t="s">
        <v>294</v>
      </c>
      <c r="Y643" s="474" t="s">
        <v>315</v>
      </c>
      <c r="Z643" s="102">
        <v>11319</v>
      </c>
      <c r="AA643" s="468">
        <f>(Table6[[#This Row],[Paired WTG Generation for loss calculation]]/24)*Table6[[#This Row],[Breakdown Time]]</f>
        <v>204.3708333333326</v>
      </c>
      <c r="AB643" s="102"/>
      <c r="AC643" s="35"/>
      <c r="AD643" s="35"/>
    </row>
    <row r="644" spans="1:30">
      <c r="A644" s="102">
        <f t="shared" si="10"/>
        <v>643</v>
      </c>
      <c r="B644" s="468">
        <f>YEAR(Table6[[#This Row],[Date]])+IF(MONTH(Table6[[#This Row],[Date]])&gt;=4,1,0)</f>
        <v>2026</v>
      </c>
      <c r="C644" s="102">
        <f>YEAR(Table6[[#This Row],[Date]])</f>
        <v>2025</v>
      </c>
      <c r="D644" s="102" t="s">
        <v>1992</v>
      </c>
      <c r="E644" s="469">
        <f>Table6[[#This Row],[Date]]-DAY(Table6[[#This Row],[Date]])+1</f>
        <v>45778</v>
      </c>
      <c r="F644" s="470">
        <v>45784</v>
      </c>
      <c r="G644" s="35" t="s">
        <v>99</v>
      </c>
      <c r="H644" s="35" t="str">
        <f>IFERROR(_xlfn.XLOOKUP(Table6[[#This Row],[Affected WTG]],'Basic Data'!$A:$A,'Basic Data'!$B:$B),"")</f>
        <v>TQGXIIPL</v>
      </c>
      <c r="I644" s="35" t="str">
        <f>IFERROR(_xlfn.XLOOKUP(Table6[[#This Row],[Affected WTG]],'Basic Data'!$A:$A,'Basic Data'!$C:$C),"")</f>
        <v>GEDA</v>
      </c>
      <c r="J644" s="471">
        <f>IFERROR(_xlfn.XLOOKUP(Table6[[#This Row],[Affected WTG]],'Basic Data'!$A:$A,'Basic Data'!$E:$E),"")</f>
        <v>3.846153846153845E-2</v>
      </c>
      <c r="K644" s="102">
        <v>675</v>
      </c>
      <c r="L644" s="35" t="str">
        <f>IFERROR(_xlfn.XLOOKUP(Table6[[#This Row],[Error Code]],'Basic Data'!$AA:$AA,'Basic Data'!$AB:$AB),"Incorrect Error Code")</f>
        <v>Pitch measuring system 1&gt;&lt;2</v>
      </c>
      <c r="M644" s="35" t="s">
        <v>291</v>
      </c>
      <c r="N644" s="475"/>
      <c r="O644" s="476">
        <v>0.70694444444444449</v>
      </c>
      <c r="P644" s="476">
        <v>0.70694444444444449</v>
      </c>
      <c r="Q644" s="477">
        <v>0.73541666666666672</v>
      </c>
      <c r="R644" s="472">
        <f>IF(Table6[[#This Row],[Work Start TimeStamp]]="","",(Table6[[#This Row],[Work Start TimeStamp]]-Table6[[#This Row],[Fault Start TimeStamp]])*24)</f>
        <v>0</v>
      </c>
      <c r="S644" s="472">
        <f>(Table6[[#This Row],[Fault Clearance time]]-Table6[[#This Row],[Work Start TimeStamp]])*24</f>
        <v>0.68333333333333357</v>
      </c>
      <c r="T644" s="472">
        <f>(Table6[[#This Row],[Fault Clearance time]]-Table6[[#This Row],[Fault Start TimeStamp]])*24</f>
        <v>0.68333333333333357</v>
      </c>
      <c r="U644" s="35" t="s">
        <v>1771</v>
      </c>
      <c r="V644" s="102" t="s">
        <v>293</v>
      </c>
      <c r="W644" s="478">
        <f>IFERROR(Table6[[#This Row],[Breakdown Time]]*Table6[[#This Row],[Plant Equivalent Weightage]],"")</f>
        <v>2.6282051282051282E-2</v>
      </c>
      <c r="X644" s="473" t="s">
        <v>294</v>
      </c>
      <c r="Y644" s="474" t="s">
        <v>315</v>
      </c>
      <c r="Z644" s="102">
        <v>11319</v>
      </c>
      <c r="AA644" s="468">
        <f>(Table6[[#This Row],[Paired WTG Generation for loss calculation]]/24)*Table6[[#This Row],[Breakdown Time]]</f>
        <v>322.27708333333345</v>
      </c>
      <c r="AB644" s="102"/>
      <c r="AC644" s="35"/>
      <c r="AD644" s="35"/>
    </row>
    <row r="645" spans="1:30">
      <c r="A645" s="102">
        <f t="shared" si="10"/>
        <v>644</v>
      </c>
      <c r="B645" s="468">
        <f>YEAR(Table6[[#This Row],[Date]])+IF(MONTH(Table6[[#This Row],[Date]])&gt;=4,1,0)</f>
        <v>2026</v>
      </c>
      <c r="C645" s="102">
        <f>YEAR(Table6[[#This Row],[Date]])</f>
        <v>2025</v>
      </c>
      <c r="D645" s="102" t="s">
        <v>1992</v>
      </c>
      <c r="E645" s="469">
        <f>Table6[[#This Row],[Date]]-DAY(Table6[[#This Row],[Date]])+1</f>
        <v>45778</v>
      </c>
      <c r="F645" s="470">
        <v>45785</v>
      </c>
      <c r="G645" s="35" t="s">
        <v>76</v>
      </c>
      <c r="H645" s="35" t="str">
        <f>IFERROR(_xlfn.XLOOKUP(Table6[[#This Row],[Affected WTG]],'Basic Data'!$A:$A,'Basic Data'!$B:$B),"")</f>
        <v>TQGXIIPL</v>
      </c>
      <c r="I645" s="35" t="str">
        <f>IFERROR(_xlfn.XLOOKUP(Table6[[#This Row],[Affected WTG]],'Basic Data'!$A:$A,'Basic Data'!$C:$C),"")</f>
        <v>GEDA</v>
      </c>
      <c r="J645" s="471">
        <f>IFERROR(_xlfn.XLOOKUP(Table6[[#This Row],[Affected WTG]],'Basic Data'!$A:$A,'Basic Data'!$E:$E),"")</f>
        <v>3.846153846153845E-2</v>
      </c>
      <c r="K645" s="102">
        <v>175</v>
      </c>
      <c r="L645" s="35" t="str">
        <f>IFERROR(_xlfn.XLOOKUP(Table6[[#This Row],[Error Code]],'Basic Data'!$AA:$AA,'Basic Data'!$AB:$AB),"Incorrect Error Code")</f>
        <v>SLC error</v>
      </c>
      <c r="M645" s="35" t="s">
        <v>292</v>
      </c>
      <c r="N645" s="475"/>
      <c r="O645" s="476">
        <v>0.79166666666666663</v>
      </c>
      <c r="P645" s="476">
        <v>0.79166666666666663</v>
      </c>
      <c r="Q645" s="477">
        <v>0.79374999999999996</v>
      </c>
      <c r="R645" s="472">
        <f>IF(Table6[[#This Row],[Work Start TimeStamp]]="","",(Table6[[#This Row],[Work Start TimeStamp]]-Table6[[#This Row],[Fault Start TimeStamp]])*24)</f>
        <v>0</v>
      </c>
      <c r="S645" s="472">
        <f>(Table6[[#This Row],[Fault Clearance time]]-Table6[[#This Row],[Work Start TimeStamp]])*24</f>
        <v>4.9999999999999822E-2</v>
      </c>
      <c r="T645" s="472">
        <f>(Table6[[#This Row],[Fault Clearance time]]-Table6[[#This Row],[Fault Start TimeStamp]])*24</f>
        <v>4.9999999999999822E-2</v>
      </c>
      <c r="U645" s="35" t="s">
        <v>1786</v>
      </c>
      <c r="V645" s="102" t="s">
        <v>293</v>
      </c>
      <c r="W645" s="478">
        <f>IFERROR(Table6[[#This Row],[Breakdown Time]]*Table6[[#This Row],[Plant Equivalent Weightage]],"")</f>
        <v>1.9230769230769156E-3</v>
      </c>
      <c r="X645" s="473" t="s">
        <v>294</v>
      </c>
      <c r="Y645" s="474" t="s">
        <v>309</v>
      </c>
      <c r="Z645" s="102">
        <v>6464</v>
      </c>
      <c r="AA645" s="468">
        <f>(Table6[[#This Row],[Paired WTG Generation for loss calculation]]/24)*Table6[[#This Row],[Breakdown Time]]</f>
        <v>13.466666666666617</v>
      </c>
      <c r="AB645" s="102"/>
      <c r="AC645" s="35"/>
      <c r="AD645" s="35"/>
    </row>
    <row r="646" spans="1:30">
      <c r="A646" s="102">
        <f t="shared" si="10"/>
        <v>645</v>
      </c>
      <c r="B646" s="468">
        <f>YEAR(Table6[[#This Row],[Date]])+IF(MONTH(Table6[[#This Row],[Date]])&gt;=4,1,0)</f>
        <v>2026</v>
      </c>
      <c r="C646" s="102">
        <f>YEAR(Table6[[#This Row],[Date]])</f>
        <v>2025</v>
      </c>
      <c r="D646" s="102" t="s">
        <v>1992</v>
      </c>
      <c r="E646" s="469">
        <f>Table6[[#This Row],[Date]]-DAY(Table6[[#This Row],[Date]])+1</f>
        <v>45778</v>
      </c>
      <c r="F646" s="470">
        <v>45785</v>
      </c>
      <c r="G646" s="35" t="s">
        <v>86</v>
      </c>
      <c r="H646" s="35" t="str">
        <f>IFERROR(_xlfn.XLOOKUP(Table6[[#This Row],[Affected WTG]],'Basic Data'!$A:$A,'Basic Data'!$B:$B),"")</f>
        <v>TQGXIIPL</v>
      </c>
      <c r="I646" s="35" t="str">
        <f>IFERROR(_xlfn.XLOOKUP(Table6[[#This Row],[Affected WTG]],'Basic Data'!$A:$A,'Basic Data'!$C:$C),"")</f>
        <v>GEDA</v>
      </c>
      <c r="J646" s="471">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292</v>
      </c>
      <c r="N646" s="475"/>
      <c r="O646" s="476">
        <v>0.84097222222222223</v>
      </c>
      <c r="P646" s="476">
        <v>0.84097222222222223</v>
      </c>
      <c r="Q646" s="477">
        <v>0.84236111111111112</v>
      </c>
      <c r="R646" s="472">
        <f>IF(Table6[[#This Row],[Work Start TimeStamp]]="","",(Table6[[#This Row],[Work Start TimeStamp]]-Table6[[#This Row],[Fault Start TimeStamp]])*24)</f>
        <v>0</v>
      </c>
      <c r="S646" s="472">
        <f>(Table6[[#This Row],[Fault Clearance time]]-Table6[[#This Row],[Work Start TimeStamp]])*24</f>
        <v>3.3333333333333215E-2</v>
      </c>
      <c r="T646" s="472">
        <f>(Table6[[#This Row],[Fault Clearance time]]-Table6[[#This Row],[Fault Start TimeStamp]])*24</f>
        <v>3.3333333333333215E-2</v>
      </c>
      <c r="U646" s="35" t="s">
        <v>1786</v>
      </c>
      <c r="V646" s="102" t="s">
        <v>293</v>
      </c>
      <c r="W646" s="478">
        <f>IFERROR(Table6[[#This Row],[Breakdown Time]]*Table6[[#This Row],[Plant Equivalent Weightage]],"")</f>
        <v>1.2820512820512771E-3</v>
      </c>
      <c r="X646" s="473" t="s">
        <v>294</v>
      </c>
      <c r="Y646" s="474" t="s">
        <v>313</v>
      </c>
      <c r="Z646" s="102">
        <v>7094</v>
      </c>
      <c r="AA646" s="468">
        <f>(Table6[[#This Row],[Paired WTG Generation for loss calculation]]/24)*Table6[[#This Row],[Breakdown Time]]</f>
        <v>9.8527777777777423</v>
      </c>
      <c r="AB646" s="102"/>
      <c r="AC646" s="35"/>
      <c r="AD646" s="35"/>
    </row>
    <row r="647" spans="1:30">
      <c r="A647" s="102">
        <f t="shared" si="10"/>
        <v>646</v>
      </c>
      <c r="B647" s="468">
        <f>YEAR(Table6[[#This Row],[Date]])+IF(MONTH(Table6[[#This Row],[Date]])&gt;=4,1,0)</f>
        <v>2026</v>
      </c>
      <c r="C647" s="102">
        <f>YEAR(Table6[[#This Row],[Date]])</f>
        <v>2025</v>
      </c>
      <c r="D647" s="102" t="s">
        <v>1992</v>
      </c>
      <c r="E647" s="469">
        <f>Table6[[#This Row],[Date]]-DAY(Table6[[#This Row],[Date]])+1</f>
        <v>45778</v>
      </c>
      <c r="F647" s="470">
        <v>45785</v>
      </c>
      <c r="G647" s="35" t="s">
        <v>87</v>
      </c>
      <c r="H647" s="35" t="str">
        <f>IFERROR(_xlfn.XLOOKUP(Table6[[#This Row],[Affected WTG]],'Basic Data'!$A:$A,'Basic Data'!$B:$B),"")</f>
        <v>TQGXIIPL</v>
      </c>
      <c r="I647" s="35" t="str">
        <f>IFERROR(_xlfn.XLOOKUP(Table6[[#This Row],[Affected WTG]],'Basic Data'!$A:$A,'Basic Data'!$C:$C),"")</f>
        <v>GEDA</v>
      </c>
      <c r="J647" s="471">
        <f>IFERROR(_xlfn.XLOOKUP(Table6[[#This Row],[Affected WTG]],'Basic Data'!$A:$A,'Basic Data'!$E:$E),"")</f>
        <v>3.846153846153845E-2</v>
      </c>
      <c r="K647" s="102">
        <v>72</v>
      </c>
      <c r="L647" s="35" t="str">
        <f>IFERROR(_xlfn.XLOOKUP(Table6[[#This Row],[Error Code]],'Basic Data'!$AA:$AA,'Basic Data'!$AB:$AB),"Incorrect Error Code")</f>
        <v>Outdoor temperature high</v>
      </c>
      <c r="M647" s="35" t="s">
        <v>291</v>
      </c>
      <c r="N647" s="475"/>
      <c r="O647" s="476">
        <v>0.84236111111111112</v>
      </c>
      <c r="P647" s="476">
        <v>0.84236111111111112</v>
      </c>
      <c r="Q647" s="477">
        <v>0.8569444444444444</v>
      </c>
      <c r="R647" s="472">
        <f>IF(Table6[[#This Row],[Work Start TimeStamp]]="","",(Table6[[#This Row],[Work Start TimeStamp]]-Table6[[#This Row],[Fault Start TimeStamp]])*24)</f>
        <v>0</v>
      </c>
      <c r="S647" s="472">
        <f>(Table6[[#This Row],[Fault Clearance time]]-Table6[[#This Row],[Work Start TimeStamp]])*24</f>
        <v>0.34999999999999876</v>
      </c>
      <c r="T647" s="472">
        <f>(Table6[[#This Row],[Fault Clearance time]]-Table6[[#This Row],[Fault Start TimeStamp]])*24</f>
        <v>0.34999999999999876</v>
      </c>
      <c r="U647" s="35" t="s">
        <v>1787</v>
      </c>
      <c r="V647" s="102" t="s">
        <v>293</v>
      </c>
      <c r="W647" s="478">
        <f>IFERROR(Table6[[#This Row],[Breakdown Time]]*Table6[[#This Row],[Plant Equivalent Weightage]],"")</f>
        <v>1.346153846153841E-2</v>
      </c>
      <c r="X647" s="473" t="s">
        <v>294</v>
      </c>
      <c r="Y647" s="474" t="s">
        <v>327</v>
      </c>
      <c r="Z647" s="102">
        <v>6716</v>
      </c>
      <c r="AA647" s="468">
        <f>(Table6[[#This Row],[Paired WTG Generation for loss calculation]]/24)*Table6[[#This Row],[Breakdown Time]]</f>
        <v>97.941666666666308</v>
      </c>
      <c r="AB647" s="102"/>
      <c r="AC647" s="35"/>
      <c r="AD647" s="35"/>
    </row>
    <row r="648" spans="1:30">
      <c r="A648" s="102">
        <f t="shared" si="10"/>
        <v>647</v>
      </c>
      <c r="B648" s="468">
        <f>YEAR(Table6[[#This Row],[Date]])+IF(MONTH(Table6[[#This Row],[Date]])&gt;=4,1,0)</f>
        <v>2026</v>
      </c>
      <c r="C648" s="102">
        <f>YEAR(Table6[[#This Row],[Date]])</f>
        <v>2025</v>
      </c>
      <c r="D648" s="102" t="s">
        <v>1992</v>
      </c>
      <c r="E648" s="469">
        <f>Table6[[#This Row],[Date]]-DAY(Table6[[#This Row],[Date]])+1</f>
        <v>45778</v>
      </c>
      <c r="F648" s="470">
        <v>45785</v>
      </c>
      <c r="G648" s="35" t="s">
        <v>89</v>
      </c>
      <c r="H648" s="35" t="str">
        <f>IFERROR(_xlfn.XLOOKUP(Table6[[#This Row],[Affected WTG]],'Basic Data'!$A:$A,'Basic Data'!$B:$B),"")</f>
        <v>TQGXIIPL</v>
      </c>
      <c r="I648" s="35" t="str">
        <f>IFERROR(_xlfn.XLOOKUP(Table6[[#This Row],[Affected WTG]],'Basic Data'!$A:$A,'Basic Data'!$C:$C),"")</f>
        <v>GEDA</v>
      </c>
      <c r="J648" s="471">
        <f>IFERROR(_xlfn.XLOOKUP(Table6[[#This Row],[Affected WTG]],'Basic Data'!$A:$A,'Basic Data'!$E:$E),"")</f>
        <v>3.846153846153845E-2</v>
      </c>
      <c r="K648" s="102">
        <v>55</v>
      </c>
      <c r="L648" s="35" t="str">
        <f>IFERROR(_xlfn.XLOOKUP(Table6[[#This Row],[Error Code]],'Basic Data'!$AA:$AA,'Basic Data'!$AB:$AB),"Incorrect Error Code")</f>
        <v>WTG shut down</v>
      </c>
      <c r="M648" s="35" t="s">
        <v>291</v>
      </c>
      <c r="N648" s="475"/>
      <c r="O648" s="476">
        <v>0.65625</v>
      </c>
      <c r="P648" s="476">
        <v>0.65625</v>
      </c>
      <c r="Q648" s="477">
        <v>0.67638888888888893</v>
      </c>
      <c r="R648" s="472">
        <f>IF(Table6[[#This Row],[Work Start TimeStamp]]="","",(Table6[[#This Row],[Work Start TimeStamp]]-Table6[[#This Row],[Fault Start TimeStamp]])*24)</f>
        <v>0</v>
      </c>
      <c r="S648" s="472">
        <f>(Table6[[#This Row],[Fault Clearance time]]-Table6[[#This Row],[Work Start TimeStamp]])*24</f>
        <v>0.48333333333333428</v>
      </c>
      <c r="T648" s="472">
        <f>(Table6[[#This Row],[Fault Clearance time]]-Table6[[#This Row],[Fault Start TimeStamp]])*24</f>
        <v>0.48333333333333428</v>
      </c>
      <c r="U648" s="35" t="s">
        <v>1788</v>
      </c>
      <c r="V648" s="102" t="s">
        <v>293</v>
      </c>
      <c r="W648" s="478">
        <f>IFERROR(Table6[[#This Row],[Breakdown Time]]*Table6[[#This Row],[Plant Equivalent Weightage]],"")</f>
        <v>1.8589743589743621E-2</v>
      </c>
      <c r="X648" s="473" t="s">
        <v>290</v>
      </c>
      <c r="Y648" s="474" t="s">
        <v>325</v>
      </c>
      <c r="Z648" s="102">
        <v>7764</v>
      </c>
      <c r="AA648" s="468">
        <f>(Table6[[#This Row],[Paired WTG Generation for loss calculation]]/24)*Table6[[#This Row],[Breakdown Time]]</f>
        <v>156.35833333333363</v>
      </c>
      <c r="AB648" s="102"/>
      <c r="AC648" s="35"/>
      <c r="AD648" s="35"/>
    </row>
    <row r="649" spans="1:30">
      <c r="A649" s="102">
        <f t="shared" si="10"/>
        <v>648</v>
      </c>
      <c r="B649" s="468">
        <f>YEAR(Table6[[#This Row],[Date]])+IF(MONTH(Table6[[#This Row],[Date]])&gt;=4,1,0)</f>
        <v>2026</v>
      </c>
      <c r="C649" s="102">
        <f>YEAR(Table6[[#This Row],[Date]])</f>
        <v>2025</v>
      </c>
      <c r="D649" s="102" t="s">
        <v>1992</v>
      </c>
      <c r="E649" s="469">
        <f>Table6[[#This Row],[Date]]-DAY(Table6[[#This Row],[Date]])+1</f>
        <v>45778</v>
      </c>
      <c r="F649" s="470">
        <v>45785</v>
      </c>
      <c r="G649" s="35" t="s">
        <v>90</v>
      </c>
      <c r="H649" s="35" t="str">
        <f>IFERROR(_xlfn.XLOOKUP(Table6[[#This Row],[Affected WTG]],'Basic Data'!$A:$A,'Basic Data'!$B:$B),"")</f>
        <v>TQGXIIPL</v>
      </c>
      <c r="I649" s="35" t="str">
        <f>IFERROR(_xlfn.XLOOKUP(Table6[[#This Row],[Affected WTG]],'Basic Data'!$A:$A,'Basic Data'!$C:$C),"")</f>
        <v>GEDA</v>
      </c>
      <c r="J649" s="471">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292</v>
      </c>
      <c r="N649" s="475"/>
      <c r="O649" s="476">
        <v>0.50277777777777777</v>
      </c>
      <c r="P649" s="476">
        <v>0.50277777777777777</v>
      </c>
      <c r="Q649" s="477">
        <v>0.50486111111111109</v>
      </c>
      <c r="R649" s="472">
        <f>IF(Table6[[#This Row],[Work Start TimeStamp]]="","",(Table6[[#This Row],[Work Start TimeStamp]]-Table6[[#This Row],[Fault Start TimeStamp]])*24)</f>
        <v>0</v>
      </c>
      <c r="S649" s="472">
        <f>(Table6[[#This Row],[Fault Clearance time]]-Table6[[#This Row],[Work Start TimeStamp]])*24</f>
        <v>4.9999999999999822E-2</v>
      </c>
      <c r="T649" s="472">
        <f>(Table6[[#This Row],[Fault Clearance time]]-Table6[[#This Row],[Fault Start TimeStamp]])*24</f>
        <v>4.9999999999999822E-2</v>
      </c>
      <c r="U649" s="35" t="s">
        <v>1786</v>
      </c>
      <c r="V649" s="102" t="s">
        <v>293</v>
      </c>
      <c r="W649" s="478">
        <f>IFERROR(Table6[[#This Row],[Breakdown Time]]*Table6[[#This Row],[Plant Equivalent Weightage]],"")</f>
        <v>1.9230769230769156E-3</v>
      </c>
      <c r="X649" s="473" t="s">
        <v>294</v>
      </c>
      <c r="Y649" s="474" t="s">
        <v>339</v>
      </c>
      <c r="Z649" s="102">
        <v>7733</v>
      </c>
      <c r="AA649" s="468">
        <f>(Table6[[#This Row],[Paired WTG Generation for loss calculation]]/24)*Table6[[#This Row],[Breakdown Time]]</f>
        <v>16.110416666666609</v>
      </c>
      <c r="AB649" s="102"/>
      <c r="AC649" s="35"/>
      <c r="AD649" s="35"/>
    </row>
    <row r="650" spans="1:30">
      <c r="A650" s="102">
        <f t="shared" si="10"/>
        <v>649</v>
      </c>
      <c r="B650" s="468">
        <f>YEAR(Table6[[#This Row],[Date]])+IF(MONTH(Table6[[#This Row],[Date]])&gt;=4,1,0)</f>
        <v>2026</v>
      </c>
      <c r="C650" s="102">
        <f>YEAR(Table6[[#This Row],[Date]])</f>
        <v>2025</v>
      </c>
      <c r="D650" s="102" t="s">
        <v>1992</v>
      </c>
      <c r="E650" s="469">
        <f>Table6[[#This Row],[Date]]-DAY(Table6[[#This Row],[Date]])+1</f>
        <v>45778</v>
      </c>
      <c r="F650" s="470">
        <v>45785</v>
      </c>
      <c r="G650" s="35" t="s">
        <v>93</v>
      </c>
      <c r="H650" s="35" t="str">
        <f>IFERROR(_xlfn.XLOOKUP(Table6[[#This Row],[Affected WTG]],'Basic Data'!$A:$A,'Basic Data'!$B:$B),"")</f>
        <v>TQGXIIPL</v>
      </c>
      <c r="I650" s="35" t="str">
        <f>IFERROR(_xlfn.XLOOKUP(Table6[[#This Row],[Affected WTG]],'Basic Data'!$A:$A,'Basic Data'!$C:$C),"")</f>
        <v>GEDA</v>
      </c>
      <c r="J650" s="471">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291</v>
      </c>
      <c r="N650" s="475"/>
      <c r="O650" s="476">
        <v>0</v>
      </c>
      <c r="P650" s="476">
        <v>0</v>
      </c>
      <c r="Q650" s="477">
        <v>0.15555555555555556</v>
      </c>
      <c r="R650" s="472">
        <f>IF(Table6[[#This Row],[Work Start TimeStamp]]="","",(Table6[[#This Row],[Work Start TimeStamp]]-Table6[[#This Row],[Fault Start TimeStamp]])*24)</f>
        <v>0</v>
      </c>
      <c r="S650" s="472">
        <f>(Table6[[#This Row],[Fault Clearance time]]-Table6[[#This Row],[Work Start TimeStamp]])*24</f>
        <v>3.7333333333333334</v>
      </c>
      <c r="T650" s="472">
        <f>(Table6[[#This Row],[Fault Clearance time]]-Table6[[#This Row],[Fault Start TimeStamp]])*24</f>
        <v>3.7333333333333334</v>
      </c>
      <c r="U650" s="35" t="s">
        <v>1789</v>
      </c>
      <c r="V650" s="102" t="s">
        <v>293</v>
      </c>
      <c r="W650" s="478">
        <f>IFERROR(Table6[[#This Row],[Breakdown Time]]*Table6[[#This Row],[Plant Equivalent Weightage]],"")</f>
        <v>0.14358974358974355</v>
      </c>
      <c r="X650" s="473" t="s">
        <v>290</v>
      </c>
      <c r="Y650" s="474" t="s">
        <v>314</v>
      </c>
      <c r="Z650" s="102">
        <v>9370</v>
      </c>
      <c r="AA650" s="468">
        <f>(Table6[[#This Row],[Paired WTG Generation for loss calculation]]/24)*Table6[[#This Row],[Breakdown Time]]</f>
        <v>1457.5555555555557</v>
      </c>
      <c r="AB650" s="102"/>
      <c r="AC650" s="35"/>
      <c r="AD650" s="35"/>
    </row>
    <row r="651" spans="1:30">
      <c r="A651" s="102">
        <f t="shared" si="10"/>
        <v>650</v>
      </c>
      <c r="B651" s="468">
        <f>YEAR(Table6[[#This Row],[Date]])+IF(MONTH(Table6[[#This Row],[Date]])&gt;=4,1,0)</f>
        <v>2026</v>
      </c>
      <c r="C651" s="102">
        <f>YEAR(Table6[[#This Row],[Date]])</f>
        <v>2025</v>
      </c>
      <c r="D651" s="102" t="s">
        <v>1992</v>
      </c>
      <c r="E651" s="469">
        <f>Table6[[#This Row],[Date]]-DAY(Table6[[#This Row],[Date]])+1</f>
        <v>45778</v>
      </c>
      <c r="F651" s="470">
        <v>45785</v>
      </c>
      <c r="G651" s="35" t="s">
        <v>93</v>
      </c>
      <c r="H651" s="35" t="str">
        <f>IFERROR(_xlfn.XLOOKUP(Table6[[#This Row],[Affected WTG]],'Basic Data'!$A:$A,'Basic Data'!$B:$B),"")</f>
        <v>TQGXIIPL</v>
      </c>
      <c r="I651" s="35" t="str">
        <f>IFERROR(_xlfn.XLOOKUP(Table6[[#This Row],[Affected WTG]],'Basic Data'!$A:$A,'Basic Data'!$C:$C),"")</f>
        <v>GEDA</v>
      </c>
      <c r="J651" s="471">
        <f>IFERROR(_xlfn.XLOOKUP(Table6[[#This Row],[Affected WTG]],'Basic Data'!$A:$A,'Basic Data'!$E:$E),"")</f>
        <v>3.846153846153845E-2</v>
      </c>
      <c r="K651" s="102">
        <v>55</v>
      </c>
      <c r="L651" s="35" t="str">
        <f>IFERROR(_xlfn.XLOOKUP(Table6[[#This Row],[Error Code]],'Basic Data'!$AA:$AA,'Basic Data'!$AB:$AB),"Incorrect Error Code")</f>
        <v>WTG shut down</v>
      </c>
      <c r="M651" s="35" t="s">
        <v>291</v>
      </c>
      <c r="N651" s="475"/>
      <c r="O651" s="476">
        <v>0.63888888888888884</v>
      </c>
      <c r="P651" s="476">
        <v>0.63888888888888884</v>
      </c>
      <c r="Q651" s="477">
        <v>0.69861111111111107</v>
      </c>
      <c r="R651" s="472">
        <f>IF(Table6[[#This Row],[Work Start TimeStamp]]="","",(Table6[[#This Row],[Work Start TimeStamp]]-Table6[[#This Row],[Fault Start TimeStamp]])*24)</f>
        <v>0</v>
      </c>
      <c r="S651" s="472">
        <f>(Table6[[#This Row],[Fault Clearance time]]-Table6[[#This Row],[Work Start TimeStamp]])*24</f>
        <v>1.4333333333333336</v>
      </c>
      <c r="T651" s="472">
        <f>(Table6[[#This Row],[Fault Clearance time]]-Table6[[#This Row],[Fault Start TimeStamp]])*24</f>
        <v>1.4333333333333336</v>
      </c>
      <c r="U651" s="35" t="s">
        <v>1788</v>
      </c>
      <c r="V651" s="102" t="s">
        <v>293</v>
      </c>
      <c r="W651" s="478">
        <f>IFERROR(Table6[[#This Row],[Breakdown Time]]*Table6[[#This Row],[Plant Equivalent Weightage]],"")</f>
        <v>5.512820512820512E-2</v>
      </c>
      <c r="X651" s="473" t="s">
        <v>290</v>
      </c>
      <c r="Y651" s="474" t="s">
        <v>314</v>
      </c>
      <c r="Z651" s="102">
        <v>9370</v>
      </c>
      <c r="AA651" s="468">
        <f>(Table6[[#This Row],[Paired WTG Generation for loss calculation]]/24)*Table6[[#This Row],[Breakdown Time]]</f>
        <v>559.59722222222229</v>
      </c>
      <c r="AB651" s="102"/>
      <c r="AC651" s="35"/>
      <c r="AD651" s="35"/>
    </row>
    <row r="652" spans="1:30">
      <c r="A652" s="102">
        <f t="shared" si="10"/>
        <v>651</v>
      </c>
      <c r="B652" s="468">
        <f>YEAR(Table6[[#This Row],[Date]])+IF(MONTH(Table6[[#This Row],[Date]])&gt;=4,1,0)</f>
        <v>2026</v>
      </c>
      <c r="C652" s="102">
        <f>YEAR(Table6[[#This Row],[Date]])</f>
        <v>2025</v>
      </c>
      <c r="D652" s="102" t="s">
        <v>1992</v>
      </c>
      <c r="E652" s="469">
        <f>Table6[[#This Row],[Date]]-DAY(Table6[[#This Row],[Date]])+1</f>
        <v>45778</v>
      </c>
      <c r="F652" s="470">
        <v>45785</v>
      </c>
      <c r="G652" s="35" t="s">
        <v>96</v>
      </c>
      <c r="H652" s="35" t="str">
        <f>IFERROR(_xlfn.XLOOKUP(Table6[[#This Row],[Affected WTG]],'Basic Data'!$A:$A,'Basic Data'!$B:$B),"")</f>
        <v>TQGXIIPL</v>
      </c>
      <c r="I652" s="35" t="str">
        <f>IFERROR(_xlfn.XLOOKUP(Table6[[#This Row],[Affected WTG]],'Basic Data'!$A:$A,'Basic Data'!$C:$C),"")</f>
        <v>GEDA</v>
      </c>
      <c r="J652" s="471">
        <f>IFERROR(_xlfn.XLOOKUP(Table6[[#This Row],[Affected WTG]],'Basic Data'!$A:$A,'Basic Data'!$E:$E),"")</f>
        <v>3.846153846153845E-2</v>
      </c>
      <c r="K652" s="102">
        <v>700</v>
      </c>
      <c r="L652" s="35" t="str">
        <f>IFERROR(_xlfn.XLOOKUP(Table6[[#This Row],[Error Code]],'Basic Data'!$AA:$AA,'Basic Data'!$AB:$AB),"Incorrect Error Code")</f>
        <v>Batt. undervoltage/overvoltage</v>
      </c>
      <c r="M652" s="35" t="s">
        <v>291</v>
      </c>
      <c r="N652" s="475"/>
      <c r="O652" s="476">
        <v>0.79166666666666663</v>
      </c>
      <c r="P652" s="476">
        <v>0.90763888888888888</v>
      </c>
      <c r="Q652" s="477">
        <v>0.96805555555555556</v>
      </c>
      <c r="R652" s="472">
        <f>IF(Table6[[#This Row],[Work Start TimeStamp]]="","",(Table6[[#This Row],[Work Start TimeStamp]]-Table6[[#This Row],[Fault Start TimeStamp]])*24)</f>
        <v>2.7833333333333341</v>
      </c>
      <c r="S652" s="472">
        <f>(Table6[[#This Row],[Fault Clearance time]]-Table6[[#This Row],[Work Start TimeStamp]])*24</f>
        <v>1.4500000000000002</v>
      </c>
      <c r="T652" s="472">
        <f>(Table6[[#This Row],[Fault Clearance time]]-Table6[[#This Row],[Fault Start TimeStamp]])*24</f>
        <v>4.2333333333333343</v>
      </c>
      <c r="U652" s="35" t="s">
        <v>1849</v>
      </c>
      <c r="V652" s="102" t="s">
        <v>293</v>
      </c>
      <c r="W652" s="478">
        <f>IFERROR(Table6[[#This Row],[Breakdown Time]]*Table6[[#This Row],[Plant Equivalent Weightage]],"")</f>
        <v>0.1628205128205128</v>
      </c>
      <c r="X652" s="473" t="s">
        <v>290</v>
      </c>
      <c r="Y652" s="474" t="s">
        <v>313</v>
      </c>
      <c r="Z652" s="102">
        <v>7094</v>
      </c>
      <c r="AA652" s="468">
        <f>(Table6[[#This Row],[Paired WTG Generation for loss calculation]]/24)*Table6[[#This Row],[Breakdown Time]]</f>
        <v>1251.3027777777779</v>
      </c>
      <c r="AB652" s="102"/>
      <c r="AC652" s="35"/>
      <c r="AD652" s="35"/>
    </row>
    <row r="653" spans="1:30">
      <c r="A653" s="102">
        <f t="shared" si="10"/>
        <v>652</v>
      </c>
      <c r="B653" s="468">
        <f>YEAR(Table6[[#This Row],[Date]])+IF(MONTH(Table6[[#This Row],[Date]])&gt;=4,1,0)</f>
        <v>2026</v>
      </c>
      <c r="C653" s="102">
        <f>YEAR(Table6[[#This Row],[Date]])</f>
        <v>2025</v>
      </c>
      <c r="D653" s="102" t="s">
        <v>1992</v>
      </c>
      <c r="E653" s="469">
        <f>Table6[[#This Row],[Date]]-DAY(Table6[[#This Row],[Date]])+1</f>
        <v>45778</v>
      </c>
      <c r="F653" s="470">
        <v>45785</v>
      </c>
      <c r="G653" s="35" t="s">
        <v>99</v>
      </c>
      <c r="H653" s="35" t="str">
        <f>IFERROR(_xlfn.XLOOKUP(Table6[[#This Row],[Affected WTG]],'Basic Data'!$A:$A,'Basic Data'!$B:$B),"")</f>
        <v>TQGXIIPL</v>
      </c>
      <c r="I653" s="35" t="str">
        <f>IFERROR(_xlfn.XLOOKUP(Table6[[#This Row],[Affected WTG]],'Basic Data'!$A:$A,'Basic Data'!$C:$C),"")</f>
        <v>GEDA</v>
      </c>
      <c r="J653" s="471">
        <f>IFERROR(_xlfn.XLOOKUP(Table6[[#This Row],[Affected WTG]],'Basic Data'!$A:$A,'Basic Data'!$E:$E),"")</f>
        <v>3.846153846153845E-2</v>
      </c>
      <c r="K653" s="102">
        <v>5510</v>
      </c>
      <c r="L653" s="35" t="str">
        <f>IFERROR(_xlfn.XLOOKUP(Table6[[#This Row],[Error Code]],'Basic Data'!$AA:$AA,'Basic Data'!$AB:$AB),"Incorrect Error Code")</f>
        <v>Low hydraulic pressure</v>
      </c>
      <c r="M653" s="35" t="s">
        <v>292</v>
      </c>
      <c r="N653" s="475"/>
      <c r="O653" s="476">
        <v>0.79027777777777775</v>
      </c>
      <c r="P653" s="476">
        <v>0.79027777777777775</v>
      </c>
      <c r="Q653" s="477">
        <v>0.79305555555555551</v>
      </c>
      <c r="R653" s="472">
        <f>IF(Table6[[#This Row],[Work Start TimeStamp]]="","",(Table6[[#This Row],[Work Start TimeStamp]]-Table6[[#This Row],[Fault Start TimeStamp]])*24)</f>
        <v>0</v>
      </c>
      <c r="S653" s="472">
        <f>(Table6[[#This Row],[Fault Clearance time]]-Table6[[#This Row],[Work Start TimeStamp]])*24</f>
        <v>6.666666666666643E-2</v>
      </c>
      <c r="T653" s="472">
        <f>(Table6[[#This Row],[Fault Clearance time]]-Table6[[#This Row],[Fault Start TimeStamp]])*24</f>
        <v>6.666666666666643E-2</v>
      </c>
      <c r="U653" s="35" t="s">
        <v>1786</v>
      </c>
      <c r="V653" s="102" t="s">
        <v>293</v>
      </c>
      <c r="W653" s="478">
        <f>IFERROR(Table6[[#This Row],[Breakdown Time]]*Table6[[#This Row],[Plant Equivalent Weightage]],"")</f>
        <v>2.5641025641025541E-3</v>
      </c>
      <c r="X653" s="473" t="s">
        <v>294</v>
      </c>
      <c r="Y653" s="474" t="s">
        <v>315</v>
      </c>
      <c r="Z653" s="102">
        <v>7575</v>
      </c>
      <c r="AA653" s="468">
        <f>(Table6[[#This Row],[Paired WTG Generation for loss calculation]]/24)*Table6[[#This Row],[Breakdown Time]]</f>
        <v>21.041666666666593</v>
      </c>
      <c r="AB653" s="102"/>
      <c r="AC653" s="35"/>
      <c r="AD653" s="35"/>
    </row>
    <row r="654" spans="1:30">
      <c r="A654" s="102">
        <f t="shared" ref="A654:A717" si="11">A653+1</f>
        <v>653</v>
      </c>
      <c r="B654" s="468">
        <f>YEAR(Table6[[#This Row],[Date]])+IF(MONTH(Table6[[#This Row],[Date]])&gt;=4,1,0)</f>
        <v>2026</v>
      </c>
      <c r="C654" s="102">
        <f>YEAR(Table6[[#This Row],[Date]])</f>
        <v>2025</v>
      </c>
      <c r="D654" s="102" t="s">
        <v>1992</v>
      </c>
      <c r="E654" s="469">
        <f>Table6[[#This Row],[Date]]-DAY(Table6[[#This Row],[Date]])+1</f>
        <v>45778</v>
      </c>
      <c r="F654" s="470">
        <v>45786</v>
      </c>
      <c r="G654" s="35" t="s">
        <v>75</v>
      </c>
      <c r="H654" s="35" t="str">
        <f>IFERROR(_xlfn.XLOOKUP(Table6[[#This Row],[Affected WTG]],'Basic Data'!$A:$A,'Basic Data'!$B:$B),"")</f>
        <v>TQGXIIPL</v>
      </c>
      <c r="I654" s="35" t="str">
        <f>IFERROR(_xlfn.XLOOKUP(Table6[[#This Row],[Affected WTG]],'Basic Data'!$A:$A,'Basic Data'!$C:$C),"")</f>
        <v>GEDA</v>
      </c>
      <c r="J654" s="471">
        <f>IFERROR(_xlfn.XLOOKUP(Table6[[#This Row],[Affected WTG]],'Basic Data'!$A:$A,'Basic Data'!$E:$E),"")</f>
        <v>3.846153846153845E-2</v>
      </c>
      <c r="K654" s="102">
        <v>55</v>
      </c>
      <c r="L654" s="35" t="str">
        <f>IFERROR(_xlfn.XLOOKUP(Table6[[#This Row],[Error Code]],'Basic Data'!$AA:$AA,'Basic Data'!$AB:$AB),"Incorrect Error Code")</f>
        <v>WTG shut down</v>
      </c>
      <c r="M654" s="35" t="s">
        <v>291</v>
      </c>
      <c r="N654" s="475"/>
      <c r="O654" s="476">
        <v>0.59791666666666665</v>
      </c>
      <c r="P654" s="476">
        <v>0.59791666666666665</v>
      </c>
      <c r="Q654" s="477">
        <v>0.59930555555555554</v>
      </c>
      <c r="R654" s="472">
        <f>IF(Table6[[#This Row],[Work Start TimeStamp]]="","",(Table6[[#This Row],[Work Start TimeStamp]]-Table6[[#This Row],[Fault Start TimeStamp]])*24)</f>
        <v>0</v>
      </c>
      <c r="S654" s="472">
        <f>(Table6[[#This Row],[Fault Clearance time]]-Table6[[#This Row],[Work Start TimeStamp]])*24</f>
        <v>3.3333333333333215E-2</v>
      </c>
      <c r="T654" s="472">
        <f>(Table6[[#This Row],[Fault Clearance time]]-Table6[[#This Row],[Fault Start TimeStamp]])*24</f>
        <v>3.3333333333333215E-2</v>
      </c>
      <c r="U654" s="35" t="s">
        <v>389</v>
      </c>
      <c r="V654" s="102" t="s">
        <v>293</v>
      </c>
      <c r="W654" s="478">
        <f>IFERROR(Table6[[#This Row],[Breakdown Time]]*Table6[[#This Row],[Plant Equivalent Weightage]],"")</f>
        <v>1.2820512820512771E-3</v>
      </c>
      <c r="X654" s="473" t="s">
        <v>290</v>
      </c>
      <c r="Y654" s="474" t="s">
        <v>318</v>
      </c>
      <c r="Z654" s="102">
        <v>11663</v>
      </c>
      <c r="AA654" s="468">
        <f>(Table6[[#This Row],[Paired WTG Generation for loss calculation]]/24)*Table6[[#This Row],[Breakdown Time]]</f>
        <v>16.198611111111052</v>
      </c>
      <c r="AB654" s="102"/>
      <c r="AC654" s="35"/>
      <c r="AD654" s="35"/>
    </row>
    <row r="655" spans="1:30">
      <c r="A655" s="102">
        <f t="shared" si="11"/>
        <v>654</v>
      </c>
      <c r="B655" s="468">
        <f>YEAR(Table6[[#This Row],[Date]])+IF(MONTH(Table6[[#This Row],[Date]])&gt;=4,1,0)</f>
        <v>2026</v>
      </c>
      <c r="C655" s="102">
        <f>YEAR(Table6[[#This Row],[Date]])</f>
        <v>2025</v>
      </c>
      <c r="D655" s="102" t="s">
        <v>1992</v>
      </c>
      <c r="E655" s="469">
        <f>Table6[[#This Row],[Date]]-DAY(Table6[[#This Row],[Date]])+1</f>
        <v>45778</v>
      </c>
      <c r="F655" s="470">
        <v>45786</v>
      </c>
      <c r="G655" s="35" t="s">
        <v>76</v>
      </c>
      <c r="H655" s="35" t="str">
        <f>IFERROR(_xlfn.XLOOKUP(Table6[[#This Row],[Affected WTG]],'Basic Data'!$A:$A,'Basic Data'!$B:$B),"")</f>
        <v>TQGXIIPL</v>
      </c>
      <c r="I655" s="35" t="str">
        <f>IFERROR(_xlfn.XLOOKUP(Table6[[#This Row],[Affected WTG]],'Basic Data'!$A:$A,'Basic Data'!$C:$C),"")</f>
        <v>GEDA</v>
      </c>
      <c r="J655" s="471">
        <f>IFERROR(_xlfn.XLOOKUP(Table6[[#This Row],[Affected WTG]],'Basic Data'!$A:$A,'Basic Data'!$E:$E),"")</f>
        <v>3.846153846153845E-2</v>
      </c>
      <c r="K655" s="102">
        <v>55</v>
      </c>
      <c r="L655" s="35" t="str">
        <f>IFERROR(_xlfn.XLOOKUP(Table6[[#This Row],[Error Code]],'Basic Data'!$AA:$AA,'Basic Data'!$AB:$AB),"Incorrect Error Code")</f>
        <v>WTG shut down</v>
      </c>
      <c r="M655" s="35" t="s">
        <v>291</v>
      </c>
      <c r="N655" s="475"/>
      <c r="O655" s="476">
        <v>0.60069444444444442</v>
      </c>
      <c r="P655" s="476">
        <v>0.60069444444444442</v>
      </c>
      <c r="Q655" s="477">
        <v>0.6020833333333333</v>
      </c>
      <c r="R655" s="472">
        <f>IF(Table6[[#This Row],[Work Start TimeStamp]]="","",(Table6[[#This Row],[Work Start TimeStamp]]-Table6[[#This Row],[Fault Start TimeStamp]])*24)</f>
        <v>0</v>
      </c>
      <c r="S655" s="472">
        <f>(Table6[[#This Row],[Fault Clearance time]]-Table6[[#This Row],[Work Start TimeStamp]])*24</f>
        <v>3.3333333333333215E-2</v>
      </c>
      <c r="T655" s="472">
        <f>(Table6[[#This Row],[Fault Clearance time]]-Table6[[#This Row],[Fault Start TimeStamp]])*24</f>
        <v>3.3333333333333215E-2</v>
      </c>
      <c r="U655" s="35" t="s">
        <v>389</v>
      </c>
      <c r="V655" s="102" t="s">
        <v>293</v>
      </c>
      <c r="W655" s="478">
        <f>IFERROR(Table6[[#This Row],[Breakdown Time]]*Table6[[#This Row],[Plant Equivalent Weightage]],"")</f>
        <v>1.2820512820512771E-3</v>
      </c>
      <c r="X655" s="473" t="s">
        <v>290</v>
      </c>
      <c r="Y655" s="474" t="s">
        <v>309</v>
      </c>
      <c r="Z655" s="102">
        <v>8780</v>
      </c>
      <c r="AA655" s="468">
        <f>(Table6[[#This Row],[Paired WTG Generation for loss calculation]]/24)*Table6[[#This Row],[Breakdown Time]]</f>
        <v>12.1944444444444</v>
      </c>
      <c r="AB655" s="102"/>
      <c r="AC655" s="35"/>
      <c r="AD655" s="35"/>
    </row>
    <row r="656" spans="1:30">
      <c r="A656" s="102">
        <f t="shared" si="11"/>
        <v>655</v>
      </c>
      <c r="B656" s="468">
        <f>YEAR(Table6[[#This Row],[Date]])+IF(MONTH(Table6[[#This Row],[Date]])&gt;=4,1,0)</f>
        <v>2026</v>
      </c>
      <c r="C656" s="102">
        <f>YEAR(Table6[[#This Row],[Date]])</f>
        <v>2025</v>
      </c>
      <c r="D656" s="102" t="s">
        <v>1992</v>
      </c>
      <c r="E656" s="469">
        <f>Table6[[#This Row],[Date]]-DAY(Table6[[#This Row],[Date]])+1</f>
        <v>45778</v>
      </c>
      <c r="F656" s="470">
        <v>45786</v>
      </c>
      <c r="G656" s="35" t="s">
        <v>77</v>
      </c>
      <c r="H656" s="35" t="str">
        <f>IFERROR(_xlfn.XLOOKUP(Table6[[#This Row],[Affected WTG]],'Basic Data'!$A:$A,'Basic Data'!$B:$B),"")</f>
        <v>TQGXIIPL</v>
      </c>
      <c r="I656" s="35" t="str">
        <f>IFERROR(_xlfn.XLOOKUP(Table6[[#This Row],[Affected WTG]],'Basic Data'!$A:$A,'Basic Data'!$C:$C),"")</f>
        <v>GEDA</v>
      </c>
      <c r="J656" s="471">
        <f>IFERROR(_xlfn.XLOOKUP(Table6[[#This Row],[Affected WTG]],'Basic Data'!$A:$A,'Basic Data'!$E:$E),"")</f>
        <v>3.846153846153845E-2</v>
      </c>
      <c r="K656" s="102">
        <v>55</v>
      </c>
      <c r="L656" s="35" t="str">
        <f>IFERROR(_xlfn.XLOOKUP(Table6[[#This Row],[Error Code]],'Basic Data'!$AA:$AA,'Basic Data'!$AB:$AB),"Incorrect Error Code")</f>
        <v>WTG shut down</v>
      </c>
      <c r="M656" s="35" t="s">
        <v>291</v>
      </c>
      <c r="N656" s="475"/>
      <c r="O656" s="476">
        <v>0.60972222222222228</v>
      </c>
      <c r="P656" s="476">
        <v>0.60972222222222228</v>
      </c>
      <c r="Q656" s="477">
        <v>0.6118055555555556</v>
      </c>
      <c r="R656" s="472">
        <f>IF(Table6[[#This Row],[Work Start TimeStamp]]="","",(Table6[[#This Row],[Work Start TimeStamp]]-Table6[[#This Row],[Fault Start TimeStamp]])*24)</f>
        <v>0</v>
      </c>
      <c r="S656" s="472">
        <f>(Table6[[#This Row],[Fault Clearance time]]-Table6[[#This Row],[Work Start TimeStamp]])*24</f>
        <v>4.9999999999999822E-2</v>
      </c>
      <c r="T656" s="472">
        <f>(Table6[[#This Row],[Fault Clearance time]]-Table6[[#This Row],[Fault Start TimeStamp]])*24</f>
        <v>4.9999999999999822E-2</v>
      </c>
      <c r="U656" s="35" t="s">
        <v>389</v>
      </c>
      <c r="V656" s="102" t="s">
        <v>293</v>
      </c>
      <c r="W656" s="478">
        <f>IFERROR(Table6[[#This Row],[Breakdown Time]]*Table6[[#This Row],[Plant Equivalent Weightage]],"")</f>
        <v>1.9230769230769156E-3</v>
      </c>
      <c r="X656" s="473" t="s">
        <v>290</v>
      </c>
      <c r="Y656" s="474" t="s">
        <v>310</v>
      </c>
      <c r="Z656" s="102">
        <v>4777</v>
      </c>
      <c r="AA656" s="468">
        <f>(Table6[[#This Row],[Paired WTG Generation for loss calculation]]/24)*Table6[[#This Row],[Breakdown Time]]</f>
        <v>9.952083333333297</v>
      </c>
      <c r="AB656" s="102"/>
      <c r="AC656" s="35"/>
      <c r="AD656" s="35"/>
    </row>
    <row r="657" spans="1:30">
      <c r="A657" s="102">
        <f t="shared" si="11"/>
        <v>656</v>
      </c>
      <c r="B657" s="468">
        <f>YEAR(Table6[[#This Row],[Date]])+IF(MONTH(Table6[[#This Row],[Date]])&gt;=4,1,0)</f>
        <v>2026</v>
      </c>
      <c r="C657" s="102">
        <f>YEAR(Table6[[#This Row],[Date]])</f>
        <v>2025</v>
      </c>
      <c r="D657" s="102" t="s">
        <v>1992</v>
      </c>
      <c r="E657" s="469">
        <f>Table6[[#This Row],[Date]]-DAY(Table6[[#This Row],[Date]])+1</f>
        <v>45778</v>
      </c>
      <c r="F657" s="470">
        <v>45786</v>
      </c>
      <c r="G657" s="35" t="s">
        <v>78</v>
      </c>
      <c r="H657" s="35" t="str">
        <f>IFERROR(_xlfn.XLOOKUP(Table6[[#This Row],[Affected WTG]],'Basic Data'!$A:$A,'Basic Data'!$B:$B),"")</f>
        <v>TQGXIIPL</v>
      </c>
      <c r="I657" s="35" t="str">
        <f>IFERROR(_xlfn.XLOOKUP(Table6[[#This Row],[Affected WTG]],'Basic Data'!$A:$A,'Basic Data'!$C:$C),"")</f>
        <v>GEDA</v>
      </c>
      <c r="J657" s="471">
        <f>IFERROR(_xlfn.XLOOKUP(Table6[[#This Row],[Affected WTG]],'Basic Data'!$A:$A,'Basic Data'!$E:$E),"")</f>
        <v>3.846153846153845E-2</v>
      </c>
      <c r="K657" s="102">
        <v>55</v>
      </c>
      <c r="L657" s="35" t="str">
        <f>IFERROR(_xlfn.XLOOKUP(Table6[[#This Row],[Error Code]],'Basic Data'!$AA:$AA,'Basic Data'!$AB:$AB),"Incorrect Error Code")</f>
        <v>WTG shut down</v>
      </c>
      <c r="M657" s="35" t="s">
        <v>291</v>
      </c>
      <c r="N657" s="475"/>
      <c r="O657" s="476">
        <v>0.62013888888888891</v>
      </c>
      <c r="P657" s="476">
        <v>0.62013888888888891</v>
      </c>
      <c r="Q657" s="477">
        <v>0.62152777777777779</v>
      </c>
      <c r="R657" s="472">
        <f>IF(Table6[[#This Row],[Work Start TimeStamp]]="","",(Table6[[#This Row],[Work Start TimeStamp]]-Table6[[#This Row],[Fault Start TimeStamp]])*24)</f>
        <v>0</v>
      </c>
      <c r="S657" s="472">
        <f>(Table6[[#This Row],[Fault Clearance time]]-Table6[[#This Row],[Work Start TimeStamp]])*24</f>
        <v>3.3333333333333215E-2</v>
      </c>
      <c r="T657" s="472">
        <f>(Table6[[#This Row],[Fault Clearance time]]-Table6[[#This Row],[Fault Start TimeStamp]])*24</f>
        <v>3.3333333333333215E-2</v>
      </c>
      <c r="U657" s="35" t="s">
        <v>389</v>
      </c>
      <c r="V657" s="102" t="s">
        <v>293</v>
      </c>
      <c r="W657" s="478">
        <f>IFERROR(Table6[[#This Row],[Breakdown Time]]*Table6[[#This Row],[Plant Equivalent Weightage]],"")</f>
        <v>1.2820512820512771E-3</v>
      </c>
      <c r="X657" s="473" t="s">
        <v>290</v>
      </c>
      <c r="Y657" s="474" t="s">
        <v>333</v>
      </c>
      <c r="Z657" s="102">
        <v>12509</v>
      </c>
      <c r="AA657" s="468">
        <f>(Table6[[#This Row],[Paired WTG Generation for loss calculation]]/24)*Table6[[#This Row],[Breakdown Time]]</f>
        <v>17.37361111111105</v>
      </c>
      <c r="AB657" s="102"/>
      <c r="AC657" s="35"/>
      <c r="AD657" s="35"/>
    </row>
    <row r="658" spans="1:30">
      <c r="A658" s="102">
        <f t="shared" si="11"/>
        <v>657</v>
      </c>
      <c r="B658" s="468">
        <f>YEAR(Table6[[#This Row],[Date]])+IF(MONTH(Table6[[#This Row],[Date]])&gt;=4,1,0)</f>
        <v>2026</v>
      </c>
      <c r="C658" s="102">
        <f>YEAR(Table6[[#This Row],[Date]])</f>
        <v>2025</v>
      </c>
      <c r="D658" s="102" t="s">
        <v>1992</v>
      </c>
      <c r="E658" s="469">
        <f>Table6[[#This Row],[Date]]-DAY(Table6[[#This Row],[Date]])+1</f>
        <v>45778</v>
      </c>
      <c r="F658" s="470">
        <v>45786</v>
      </c>
      <c r="G658" s="35" t="s">
        <v>79</v>
      </c>
      <c r="H658" s="35" t="str">
        <f>IFERROR(_xlfn.XLOOKUP(Table6[[#This Row],[Affected WTG]],'Basic Data'!$A:$A,'Basic Data'!$B:$B),"")</f>
        <v>TQGXIIPL</v>
      </c>
      <c r="I658" s="35" t="str">
        <f>IFERROR(_xlfn.XLOOKUP(Table6[[#This Row],[Affected WTG]],'Basic Data'!$A:$A,'Basic Data'!$C:$C),"")</f>
        <v>GEDA</v>
      </c>
      <c r="J658" s="471">
        <f>IFERROR(_xlfn.XLOOKUP(Table6[[#This Row],[Affected WTG]],'Basic Data'!$A:$A,'Basic Data'!$E:$E),"")</f>
        <v>3.846153846153845E-2</v>
      </c>
      <c r="K658" s="102">
        <v>55</v>
      </c>
      <c r="L658" s="35" t="str">
        <f>IFERROR(_xlfn.XLOOKUP(Table6[[#This Row],[Error Code]],'Basic Data'!$AA:$AA,'Basic Data'!$AB:$AB),"Incorrect Error Code")</f>
        <v>WTG shut down</v>
      </c>
      <c r="M658" s="35" t="s">
        <v>291</v>
      </c>
      <c r="N658" s="475"/>
      <c r="O658" s="476">
        <v>0.60416666666666663</v>
      </c>
      <c r="P658" s="476">
        <v>0.60416666666666663</v>
      </c>
      <c r="Q658" s="477">
        <v>0.60555555555555551</v>
      </c>
      <c r="R658" s="472">
        <f>IF(Table6[[#This Row],[Work Start TimeStamp]]="","",(Table6[[#This Row],[Work Start TimeStamp]]-Table6[[#This Row],[Fault Start TimeStamp]])*24)</f>
        <v>0</v>
      </c>
      <c r="S658" s="472">
        <f>(Table6[[#This Row],[Fault Clearance time]]-Table6[[#This Row],[Work Start TimeStamp]])*24</f>
        <v>3.3333333333333215E-2</v>
      </c>
      <c r="T658" s="472">
        <f>(Table6[[#This Row],[Fault Clearance time]]-Table6[[#This Row],[Fault Start TimeStamp]])*24</f>
        <v>3.3333333333333215E-2</v>
      </c>
      <c r="U658" s="35" t="s">
        <v>389</v>
      </c>
      <c r="V658" s="102" t="s">
        <v>293</v>
      </c>
      <c r="W658" s="478">
        <f>IFERROR(Table6[[#This Row],[Breakdown Time]]*Table6[[#This Row],[Plant Equivalent Weightage]],"")</f>
        <v>1.2820512820512771E-3</v>
      </c>
      <c r="X658" s="473" t="s">
        <v>290</v>
      </c>
      <c r="Y658" s="474" t="s">
        <v>325</v>
      </c>
      <c r="Z658" s="102">
        <v>5387</v>
      </c>
      <c r="AA658" s="468">
        <f>(Table6[[#This Row],[Paired WTG Generation for loss calculation]]/24)*Table6[[#This Row],[Breakdown Time]]</f>
        <v>7.4819444444444185</v>
      </c>
      <c r="AB658" s="102"/>
      <c r="AC658" s="35"/>
      <c r="AD658" s="35"/>
    </row>
    <row r="659" spans="1:30">
      <c r="A659" s="102">
        <f t="shared" si="11"/>
        <v>658</v>
      </c>
      <c r="B659" s="468">
        <f>YEAR(Table6[[#This Row],[Date]])+IF(MONTH(Table6[[#This Row],[Date]])&gt;=4,1,0)</f>
        <v>2026</v>
      </c>
      <c r="C659" s="102">
        <f>YEAR(Table6[[#This Row],[Date]])</f>
        <v>2025</v>
      </c>
      <c r="D659" s="102" t="s">
        <v>1992</v>
      </c>
      <c r="E659" s="469">
        <f>Table6[[#This Row],[Date]]-DAY(Table6[[#This Row],[Date]])+1</f>
        <v>45778</v>
      </c>
      <c r="F659" s="470">
        <v>45786</v>
      </c>
      <c r="G659" s="35" t="s">
        <v>80</v>
      </c>
      <c r="H659" s="35" t="str">
        <f>IFERROR(_xlfn.XLOOKUP(Table6[[#This Row],[Affected WTG]],'Basic Data'!$A:$A,'Basic Data'!$B:$B),"")</f>
        <v>TQGXIIPL</v>
      </c>
      <c r="I659" s="35" t="str">
        <f>IFERROR(_xlfn.XLOOKUP(Table6[[#This Row],[Affected WTG]],'Basic Data'!$A:$A,'Basic Data'!$C:$C),"")</f>
        <v>GEDA</v>
      </c>
      <c r="J659" s="471">
        <f>IFERROR(_xlfn.XLOOKUP(Table6[[#This Row],[Affected WTG]],'Basic Data'!$A:$A,'Basic Data'!$E:$E),"")</f>
        <v>3.846153846153845E-2</v>
      </c>
      <c r="K659" s="102">
        <v>55</v>
      </c>
      <c r="L659" s="35" t="str">
        <f>IFERROR(_xlfn.XLOOKUP(Table6[[#This Row],[Error Code]],'Basic Data'!$AA:$AA,'Basic Data'!$AB:$AB),"Incorrect Error Code")</f>
        <v>WTG shut down</v>
      </c>
      <c r="M659" s="35" t="s">
        <v>291</v>
      </c>
      <c r="N659" s="475"/>
      <c r="O659" s="476">
        <v>0.6333333333333333</v>
      </c>
      <c r="P659" s="476">
        <v>0.6333333333333333</v>
      </c>
      <c r="Q659" s="477">
        <v>0.64236111111111116</v>
      </c>
      <c r="R659" s="472">
        <f>IF(Table6[[#This Row],[Work Start TimeStamp]]="","",(Table6[[#This Row],[Work Start TimeStamp]]-Table6[[#This Row],[Fault Start TimeStamp]])*24)</f>
        <v>0</v>
      </c>
      <c r="S659" s="472">
        <f>(Table6[[#This Row],[Fault Clearance time]]-Table6[[#This Row],[Work Start TimeStamp]])*24</f>
        <v>0.21666666666666856</v>
      </c>
      <c r="T659" s="472">
        <f>(Table6[[#This Row],[Fault Clearance time]]-Table6[[#This Row],[Fault Start TimeStamp]])*24</f>
        <v>0.21666666666666856</v>
      </c>
      <c r="U659" s="35" t="s">
        <v>389</v>
      </c>
      <c r="V659" s="102" t="s">
        <v>293</v>
      </c>
      <c r="W659" s="478">
        <f>IFERROR(Table6[[#This Row],[Breakdown Time]]*Table6[[#This Row],[Plant Equivalent Weightage]],"")</f>
        <v>8.3333333333334043E-3</v>
      </c>
      <c r="X659" s="473" t="s">
        <v>290</v>
      </c>
      <c r="Y659" s="474" t="s">
        <v>317</v>
      </c>
      <c r="Z659" s="102">
        <v>5316</v>
      </c>
      <c r="AA659" s="468">
        <f>(Table6[[#This Row],[Paired WTG Generation for loss calculation]]/24)*Table6[[#This Row],[Breakdown Time]]</f>
        <v>47.991666666667086</v>
      </c>
      <c r="AB659" s="102"/>
      <c r="AC659" s="35"/>
      <c r="AD659" s="35"/>
    </row>
    <row r="660" spans="1:30">
      <c r="A660" s="102">
        <f t="shared" si="11"/>
        <v>659</v>
      </c>
      <c r="B660" s="468">
        <f>YEAR(Table6[[#This Row],[Date]])+IF(MONTH(Table6[[#This Row],[Date]])&gt;=4,1,0)</f>
        <v>2026</v>
      </c>
      <c r="C660" s="102">
        <f>YEAR(Table6[[#This Row],[Date]])</f>
        <v>2025</v>
      </c>
      <c r="D660" s="102" t="s">
        <v>1992</v>
      </c>
      <c r="E660" s="469">
        <f>Table6[[#This Row],[Date]]-DAY(Table6[[#This Row],[Date]])+1</f>
        <v>45778</v>
      </c>
      <c r="F660" s="470">
        <v>45786</v>
      </c>
      <c r="G660" s="35" t="s">
        <v>81</v>
      </c>
      <c r="H660" s="35" t="str">
        <f>IFERROR(_xlfn.XLOOKUP(Table6[[#This Row],[Affected WTG]],'Basic Data'!$A:$A,'Basic Data'!$B:$B),"")</f>
        <v>TQGXIIPL</v>
      </c>
      <c r="I660" s="35" t="str">
        <f>IFERROR(_xlfn.XLOOKUP(Table6[[#This Row],[Affected WTG]],'Basic Data'!$A:$A,'Basic Data'!$C:$C),"")</f>
        <v>GEDA</v>
      </c>
      <c r="J660" s="471">
        <f>IFERROR(_xlfn.XLOOKUP(Table6[[#This Row],[Affected WTG]],'Basic Data'!$A:$A,'Basic Data'!$E:$E),"")</f>
        <v>3.846153846153845E-2</v>
      </c>
      <c r="K660" s="102">
        <v>55</v>
      </c>
      <c r="L660" s="35" t="str">
        <f>IFERROR(_xlfn.XLOOKUP(Table6[[#This Row],[Error Code]],'Basic Data'!$AA:$AA,'Basic Data'!$AB:$AB),"Incorrect Error Code")</f>
        <v>WTG shut down</v>
      </c>
      <c r="M660" s="35" t="s">
        <v>291</v>
      </c>
      <c r="N660" s="475"/>
      <c r="O660" s="476">
        <v>0.64652777777777781</v>
      </c>
      <c r="P660" s="476">
        <v>0.64652777777777781</v>
      </c>
      <c r="Q660" s="477">
        <v>0.6479166666666667</v>
      </c>
      <c r="R660" s="472">
        <f>IF(Table6[[#This Row],[Work Start TimeStamp]]="","",(Table6[[#This Row],[Work Start TimeStamp]]-Table6[[#This Row],[Fault Start TimeStamp]])*24)</f>
        <v>0</v>
      </c>
      <c r="S660" s="472">
        <f>(Table6[[#This Row],[Fault Clearance time]]-Table6[[#This Row],[Work Start TimeStamp]])*24</f>
        <v>3.3333333333333215E-2</v>
      </c>
      <c r="T660" s="472">
        <f>(Table6[[#This Row],[Fault Clearance time]]-Table6[[#This Row],[Fault Start TimeStamp]])*24</f>
        <v>3.3333333333333215E-2</v>
      </c>
      <c r="U660" s="35" t="s">
        <v>389</v>
      </c>
      <c r="V660" s="102" t="s">
        <v>293</v>
      </c>
      <c r="W660" s="478">
        <f>IFERROR(Table6[[#This Row],[Breakdown Time]]*Table6[[#This Row],[Plant Equivalent Weightage]],"")</f>
        <v>1.2820512820512771E-3</v>
      </c>
      <c r="X660" s="473" t="s">
        <v>290</v>
      </c>
      <c r="Y660" s="474" t="s">
        <v>321</v>
      </c>
      <c r="Z660" s="102">
        <v>9743</v>
      </c>
      <c r="AA660" s="468">
        <f>(Table6[[#This Row],[Paired WTG Generation for loss calculation]]/24)*Table6[[#This Row],[Breakdown Time]]</f>
        <v>13.531944444444395</v>
      </c>
      <c r="AB660" s="102"/>
      <c r="AC660" s="35"/>
      <c r="AD660" s="35"/>
    </row>
    <row r="661" spans="1:30">
      <c r="A661" s="102">
        <f t="shared" si="11"/>
        <v>660</v>
      </c>
      <c r="B661" s="468">
        <f>YEAR(Table6[[#This Row],[Date]])+IF(MONTH(Table6[[#This Row],[Date]])&gt;=4,1,0)</f>
        <v>2026</v>
      </c>
      <c r="C661" s="102">
        <f>YEAR(Table6[[#This Row],[Date]])</f>
        <v>2025</v>
      </c>
      <c r="D661" s="102" t="s">
        <v>1992</v>
      </c>
      <c r="E661" s="469">
        <f>Table6[[#This Row],[Date]]-DAY(Table6[[#This Row],[Date]])+1</f>
        <v>45778</v>
      </c>
      <c r="F661" s="470">
        <v>45786</v>
      </c>
      <c r="G661" s="35" t="s">
        <v>74</v>
      </c>
      <c r="H661" s="35" t="str">
        <f>IFERROR(_xlfn.XLOOKUP(Table6[[#This Row],[Affected WTG]],'Basic Data'!$A:$A,'Basic Data'!$B:$B),"")</f>
        <v>TQGXIIPL</v>
      </c>
      <c r="I661" s="35" t="str">
        <f>IFERROR(_xlfn.XLOOKUP(Table6[[#This Row],[Affected WTG]],'Basic Data'!$A:$A,'Basic Data'!$C:$C),"")</f>
        <v>GEDA</v>
      </c>
      <c r="J661" s="471">
        <f>IFERROR(_xlfn.XLOOKUP(Table6[[#This Row],[Affected WTG]],'Basic Data'!$A:$A,'Basic Data'!$E:$E),"")</f>
        <v>3.846153846153845E-2</v>
      </c>
      <c r="K661" s="102">
        <v>55</v>
      </c>
      <c r="L661" s="35" t="str">
        <f>IFERROR(_xlfn.XLOOKUP(Table6[[#This Row],[Error Code]],'Basic Data'!$AA:$AA,'Basic Data'!$AB:$AB),"Incorrect Error Code")</f>
        <v>WTG shut down</v>
      </c>
      <c r="M661" s="35" t="s">
        <v>291</v>
      </c>
      <c r="N661" s="475"/>
      <c r="O661" s="476">
        <v>0.5854166666666667</v>
      </c>
      <c r="P661" s="476">
        <v>0.5854166666666667</v>
      </c>
      <c r="Q661" s="477">
        <v>0.58680555555555558</v>
      </c>
      <c r="R661" s="472">
        <f>IF(Table6[[#This Row],[Work Start TimeStamp]]="","",(Table6[[#This Row],[Work Start TimeStamp]]-Table6[[#This Row],[Fault Start TimeStamp]])*24)</f>
        <v>0</v>
      </c>
      <c r="S661" s="472">
        <f>(Table6[[#This Row],[Fault Clearance time]]-Table6[[#This Row],[Work Start TimeStamp]])*24</f>
        <v>3.3333333333333215E-2</v>
      </c>
      <c r="T661" s="472">
        <f>(Table6[[#This Row],[Fault Clearance time]]-Table6[[#This Row],[Fault Start TimeStamp]])*24</f>
        <v>3.3333333333333215E-2</v>
      </c>
      <c r="U661" s="35" t="s">
        <v>389</v>
      </c>
      <c r="V661" s="102" t="s">
        <v>293</v>
      </c>
      <c r="W661" s="478">
        <f>IFERROR(Table6[[#This Row],[Breakdown Time]]*Table6[[#This Row],[Plant Equivalent Weightage]],"")</f>
        <v>1.2820512820512771E-3</v>
      </c>
      <c r="X661" s="473" t="s">
        <v>290</v>
      </c>
      <c r="Y661" s="474" t="s">
        <v>321</v>
      </c>
      <c r="Z661" s="102">
        <v>9743</v>
      </c>
      <c r="AA661" s="468">
        <f>(Table6[[#This Row],[Paired WTG Generation for loss calculation]]/24)*Table6[[#This Row],[Breakdown Time]]</f>
        <v>13.531944444444395</v>
      </c>
      <c r="AB661" s="102"/>
      <c r="AC661" s="35"/>
      <c r="AD661" s="35"/>
    </row>
    <row r="662" spans="1:30">
      <c r="A662" s="102">
        <f t="shared" si="11"/>
        <v>661</v>
      </c>
      <c r="B662" s="468">
        <f>YEAR(Table6[[#This Row],[Date]])+IF(MONTH(Table6[[#This Row],[Date]])&gt;=4,1,0)</f>
        <v>2026</v>
      </c>
      <c r="C662" s="102">
        <f>YEAR(Table6[[#This Row],[Date]])</f>
        <v>2025</v>
      </c>
      <c r="D662" s="102" t="s">
        <v>1992</v>
      </c>
      <c r="E662" s="469">
        <f>Table6[[#This Row],[Date]]-DAY(Table6[[#This Row],[Date]])+1</f>
        <v>45778</v>
      </c>
      <c r="F662" s="470">
        <v>45786</v>
      </c>
      <c r="G662" s="35" t="s">
        <v>82</v>
      </c>
      <c r="H662" s="35" t="str">
        <f>IFERROR(_xlfn.XLOOKUP(Table6[[#This Row],[Affected WTG]],'Basic Data'!$A:$A,'Basic Data'!$B:$B),"")</f>
        <v>TQGXIIPL</v>
      </c>
      <c r="I662" s="35" t="str">
        <f>IFERROR(_xlfn.XLOOKUP(Table6[[#This Row],[Affected WTG]],'Basic Data'!$A:$A,'Basic Data'!$C:$C),"")</f>
        <v>GEDA</v>
      </c>
      <c r="J662" s="471">
        <f>IFERROR(_xlfn.XLOOKUP(Table6[[#This Row],[Affected WTG]],'Basic Data'!$A:$A,'Basic Data'!$E:$E),"")</f>
        <v>3.846153846153845E-2</v>
      </c>
      <c r="K662" s="102">
        <v>55</v>
      </c>
      <c r="L662" s="35" t="str">
        <f>IFERROR(_xlfn.XLOOKUP(Table6[[#This Row],[Error Code]],'Basic Data'!$AA:$AA,'Basic Data'!$AB:$AB),"Incorrect Error Code")</f>
        <v>WTG shut down</v>
      </c>
      <c r="M662" s="35" t="s">
        <v>291</v>
      </c>
      <c r="N662" s="475"/>
      <c r="O662" s="476">
        <v>0.64930555555555558</v>
      </c>
      <c r="P662" s="476">
        <v>0.64930555555555558</v>
      </c>
      <c r="Q662" s="477">
        <v>0.65069444444444446</v>
      </c>
      <c r="R662" s="472">
        <f>IF(Table6[[#This Row],[Work Start TimeStamp]]="","",(Table6[[#This Row],[Work Start TimeStamp]]-Table6[[#This Row],[Fault Start TimeStamp]])*24)</f>
        <v>0</v>
      </c>
      <c r="S662" s="472">
        <f>(Table6[[#This Row],[Fault Clearance time]]-Table6[[#This Row],[Work Start TimeStamp]])*24</f>
        <v>3.3333333333333215E-2</v>
      </c>
      <c r="T662" s="472">
        <f>(Table6[[#This Row],[Fault Clearance time]]-Table6[[#This Row],[Fault Start TimeStamp]])*24</f>
        <v>3.3333333333333215E-2</v>
      </c>
      <c r="U662" s="35" t="s">
        <v>389</v>
      </c>
      <c r="V662" s="102" t="s">
        <v>293</v>
      </c>
      <c r="W662" s="478">
        <f>IFERROR(Table6[[#This Row],[Breakdown Time]]*Table6[[#This Row],[Plant Equivalent Weightage]],"")</f>
        <v>1.2820512820512771E-3</v>
      </c>
      <c r="X662" s="473" t="s">
        <v>290</v>
      </c>
      <c r="Y662" s="474" t="s">
        <v>332</v>
      </c>
      <c r="Z662" s="102">
        <v>9207</v>
      </c>
      <c r="AA662" s="468">
        <f>(Table6[[#This Row],[Paired WTG Generation for loss calculation]]/24)*Table6[[#This Row],[Breakdown Time]]</f>
        <v>12.787499999999955</v>
      </c>
      <c r="AB662" s="102"/>
      <c r="AC662" s="35"/>
      <c r="AD662" s="35"/>
    </row>
    <row r="663" spans="1:30">
      <c r="A663" s="102">
        <f t="shared" si="11"/>
        <v>662</v>
      </c>
      <c r="B663" s="468">
        <f>YEAR(Table6[[#This Row],[Date]])+IF(MONTH(Table6[[#This Row],[Date]])&gt;=4,1,0)</f>
        <v>2026</v>
      </c>
      <c r="C663" s="102">
        <f>YEAR(Table6[[#This Row],[Date]])</f>
        <v>2025</v>
      </c>
      <c r="D663" s="102" t="s">
        <v>1992</v>
      </c>
      <c r="E663" s="469">
        <f>Table6[[#This Row],[Date]]-DAY(Table6[[#This Row],[Date]])+1</f>
        <v>45778</v>
      </c>
      <c r="F663" s="470">
        <v>45786</v>
      </c>
      <c r="G663" s="35" t="s">
        <v>83</v>
      </c>
      <c r="H663" s="35" t="str">
        <f>IFERROR(_xlfn.XLOOKUP(Table6[[#This Row],[Affected WTG]],'Basic Data'!$A:$A,'Basic Data'!$B:$B),"")</f>
        <v>TQGXIIPL</v>
      </c>
      <c r="I663" s="35" t="str">
        <f>IFERROR(_xlfn.XLOOKUP(Table6[[#This Row],[Affected WTG]],'Basic Data'!$A:$A,'Basic Data'!$C:$C),"")</f>
        <v>GEDA</v>
      </c>
      <c r="J663" s="471">
        <f>IFERROR(_xlfn.XLOOKUP(Table6[[#This Row],[Affected WTG]],'Basic Data'!$A:$A,'Basic Data'!$E:$E),"")</f>
        <v>3.846153846153845E-2</v>
      </c>
      <c r="K663" s="102">
        <v>55</v>
      </c>
      <c r="L663" s="35" t="str">
        <f>IFERROR(_xlfn.XLOOKUP(Table6[[#This Row],[Error Code]],'Basic Data'!$AA:$AA,'Basic Data'!$AB:$AB),"Incorrect Error Code")</f>
        <v>WTG shut down</v>
      </c>
      <c r="M663" s="35" t="s">
        <v>291</v>
      </c>
      <c r="N663" s="475"/>
      <c r="O663" s="476">
        <v>0.65138888888888891</v>
      </c>
      <c r="P663" s="476">
        <v>0.65138888888888891</v>
      </c>
      <c r="Q663" s="477">
        <v>0.66041666666666665</v>
      </c>
      <c r="R663" s="472">
        <f>IF(Table6[[#This Row],[Work Start TimeStamp]]="","",(Table6[[#This Row],[Work Start TimeStamp]]-Table6[[#This Row],[Fault Start TimeStamp]])*24)</f>
        <v>0</v>
      </c>
      <c r="S663" s="472">
        <f>(Table6[[#This Row],[Fault Clearance time]]-Table6[[#This Row],[Work Start TimeStamp]])*24</f>
        <v>0.2166666666666659</v>
      </c>
      <c r="T663" s="472">
        <f>(Table6[[#This Row],[Fault Clearance time]]-Table6[[#This Row],[Fault Start TimeStamp]])*24</f>
        <v>0.2166666666666659</v>
      </c>
      <c r="U663" s="35" t="s">
        <v>389</v>
      </c>
      <c r="V663" s="102" t="s">
        <v>293</v>
      </c>
      <c r="W663" s="478">
        <f>IFERROR(Table6[[#This Row],[Breakdown Time]]*Table6[[#This Row],[Plant Equivalent Weightage]],"")</f>
        <v>8.333333333333302E-3</v>
      </c>
      <c r="X663" s="473" t="s">
        <v>290</v>
      </c>
      <c r="Y663" s="474" t="s">
        <v>312</v>
      </c>
      <c r="Z663" s="102">
        <v>10040</v>
      </c>
      <c r="AA663" s="468">
        <f>(Table6[[#This Row],[Paired WTG Generation for loss calculation]]/24)*Table6[[#This Row],[Breakdown Time]]</f>
        <v>90.638888888888559</v>
      </c>
      <c r="AB663" s="102"/>
      <c r="AC663" s="35"/>
      <c r="AD663" s="35"/>
    </row>
    <row r="664" spans="1:30">
      <c r="A664" s="102">
        <f t="shared" si="11"/>
        <v>663</v>
      </c>
      <c r="B664" s="468">
        <f>YEAR(Table6[[#This Row],[Date]])+IF(MONTH(Table6[[#This Row],[Date]])&gt;=4,1,0)</f>
        <v>2026</v>
      </c>
      <c r="C664" s="102">
        <f>YEAR(Table6[[#This Row],[Date]])</f>
        <v>2025</v>
      </c>
      <c r="D664" s="102" t="s">
        <v>1992</v>
      </c>
      <c r="E664" s="469">
        <f>Table6[[#This Row],[Date]]-DAY(Table6[[#This Row],[Date]])+1</f>
        <v>45778</v>
      </c>
      <c r="F664" s="470">
        <v>45786</v>
      </c>
      <c r="G664" s="35" t="s">
        <v>84</v>
      </c>
      <c r="H664" s="35" t="str">
        <f>IFERROR(_xlfn.XLOOKUP(Table6[[#This Row],[Affected WTG]],'Basic Data'!$A:$A,'Basic Data'!$B:$B),"")</f>
        <v>TQGXIIPL</v>
      </c>
      <c r="I664" s="35" t="str">
        <f>IFERROR(_xlfn.XLOOKUP(Table6[[#This Row],[Affected WTG]],'Basic Data'!$A:$A,'Basic Data'!$C:$C),"")</f>
        <v>GEDA</v>
      </c>
      <c r="J664" s="471">
        <f>IFERROR(_xlfn.XLOOKUP(Table6[[#This Row],[Affected WTG]],'Basic Data'!$A:$A,'Basic Data'!$E:$E),"")</f>
        <v>3.846153846153845E-2</v>
      </c>
      <c r="K664" s="102">
        <v>741</v>
      </c>
      <c r="L664" s="35" t="str">
        <f>IFERROR(_xlfn.XLOOKUP(Table6[[#This Row],[Error Code]],'Basic Data'!$AA:$AA,'Basic Data'!$AB:$AB),"Incorrect Error Code")</f>
        <v>Battery drive trigger by HC</v>
      </c>
      <c r="M664" s="35" t="s">
        <v>292</v>
      </c>
      <c r="N664" s="475"/>
      <c r="O664" s="476">
        <v>0.46597222222222223</v>
      </c>
      <c r="P664" s="476">
        <v>0.46597222222222223</v>
      </c>
      <c r="Q664" s="477">
        <v>0.46944444444444444</v>
      </c>
      <c r="R664" s="472">
        <f>IF(Table6[[#This Row],[Work Start TimeStamp]]="","",(Table6[[#This Row],[Work Start TimeStamp]]-Table6[[#This Row],[Fault Start TimeStamp]])*24)</f>
        <v>0</v>
      </c>
      <c r="S664" s="472">
        <f>(Table6[[#This Row],[Fault Clearance time]]-Table6[[#This Row],[Work Start TimeStamp]])*24</f>
        <v>8.3333333333333037E-2</v>
      </c>
      <c r="T664" s="472">
        <f>(Table6[[#This Row],[Fault Clearance time]]-Table6[[#This Row],[Fault Start TimeStamp]])*24</f>
        <v>8.3333333333333037E-2</v>
      </c>
      <c r="U664" s="35" t="s">
        <v>336</v>
      </c>
      <c r="V664" s="102" t="s">
        <v>293</v>
      </c>
      <c r="W664" s="478">
        <f>IFERROR(Table6[[#This Row],[Breakdown Time]]*Table6[[#This Row],[Plant Equivalent Weightage]],"")</f>
        <v>3.2051282051281929E-3</v>
      </c>
      <c r="X664" s="473" t="s">
        <v>294</v>
      </c>
      <c r="Y664" s="474" t="s">
        <v>327</v>
      </c>
      <c r="Z664" s="102">
        <v>10322</v>
      </c>
      <c r="AA664" s="468">
        <f>(Table6[[#This Row],[Paired WTG Generation for loss calculation]]/24)*Table6[[#This Row],[Breakdown Time]]</f>
        <v>35.840277777777651</v>
      </c>
      <c r="AB664" s="102"/>
      <c r="AC664" s="35"/>
      <c r="AD664" s="35"/>
    </row>
    <row r="665" spans="1:30">
      <c r="A665" s="102">
        <f t="shared" si="11"/>
        <v>664</v>
      </c>
      <c r="B665" s="468">
        <f>YEAR(Table6[[#This Row],[Date]])+IF(MONTH(Table6[[#This Row],[Date]])&gt;=4,1,0)</f>
        <v>2026</v>
      </c>
      <c r="C665" s="102">
        <f>YEAR(Table6[[#This Row],[Date]])</f>
        <v>2025</v>
      </c>
      <c r="D665" s="102" t="s">
        <v>1992</v>
      </c>
      <c r="E665" s="469">
        <f>Table6[[#This Row],[Date]]-DAY(Table6[[#This Row],[Date]])+1</f>
        <v>45778</v>
      </c>
      <c r="F665" s="470">
        <v>45786</v>
      </c>
      <c r="G665" s="35" t="s">
        <v>84</v>
      </c>
      <c r="H665" s="35" t="str">
        <f>IFERROR(_xlfn.XLOOKUP(Table6[[#This Row],[Affected WTG]],'Basic Data'!$A:$A,'Basic Data'!$B:$B),"")</f>
        <v>TQGXIIPL</v>
      </c>
      <c r="I665" s="35" t="str">
        <f>IFERROR(_xlfn.XLOOKUP(Table6[[#This Row],[Affected WTG]],'Basic Data'!$A:$A,'Basic Data'!$C:$C),"")</f>
        <v>GEDA</v>
      </c>
      <c r="J665" s="471">
        <f>IFERROR(_xlfn.XLOOKUP(Table6[[#This Row],[Affected WTG]],'Basic Data'!$A:$A,'Basic Data'!$E:$E),"")</f>
        <v>3.846153846153845E-2</v>
      </c>
      <c r="K665" s="102">
        <v>55</v>
      </c>
      <c r="L665" s="35" t="str">
        <f>IFERROR(_xlfn.XLOOKUP(Table6[[#This Row],[Error Code]],'Basic Data'!$AA:$AA,'Basic Data'!$AB:$AB),"Incorrect Error Code")</f>
        <v>WTG shut down</v>
      </c>
      <c r="M665" s="35" t="s">
        <v>291</v>
      </c>
      <c r="N665" s="475"/>
      <c r="O665" s="476">
        <v>0.65972222222222221</v>
      </c>
      <c r="P665" s="476">
        <v>0.65972222222222221</v>
      </c>
      <c r="Q665" s="477">
        <v>0.66180555555555554</v>
      </c>
      <c r="R665" s="472">
        <f>IF(Table6[[#This Row],[Work Start TimeStamp]]="","",(Table6[[#This Row],[Work Start TimeStamp]]-Table6[[#This Row],[Fault Start TimeStamp]])*24)</f>
        <v>0</v>
      </c>
      <c r="S665" s="472">
        <f>(Table6[[#This Row],[Fault Clearance time]]-Table6[[#This Row],[Work Start TimeStamp]])*24</f>
        <v>4.9999999999999822E-2</v>
      </c>
      <c r="T665" s="472">
        <f>(Table6[[#This Row],[Fault Clearance time]]-Table6[[#This Row],[Fault Start TimeStamp]])*24</f>
        <v>4.9999999999999822E-2</v>
      </c>
      <c r="U665" s="35" t="s">
        <v>389</v>
      </c>
      <c r="V665" s="102" t="s">
        <v>293</v>
      </c>
      <c r="W665" s="478">
        <f>IFERROR(Table6[[#This Row],[Breakdown Time]]*Table6[[#This Row],[Plant Equivalent Weightage]],"")</f>
        <v>1.9230769230769156E-3</v>
      </c>
      <c r="X665" s="473" t="s">
        <v>290</v>
      </c>
      <c r="Y665" s="474" t="s">
        <v>327</v>
      </c>
      <c r="Z665" s="102">
        <v>10322</v>
      </c>
      <c r="AA665" s="468">
        <f>(Table6[[#This Row],[Paired WTG Generation for loss calculation]]/24)*Table6[[#This Row],[Breakdown Time]]</f>
        <v>21.504166666666588</v>
      </c>
      <c r="AB665" s="102"/>
      <c r="AC665" s="35"/>
      <c r="AD665" s="35"/>
    </row>
    <row r="666" spans="1:30">
      <c r="A666" s="102">
        <f t="shared" si="11"/>
        <v>665</v>
      </c>
      <c r="B666" s="468">
        <f>YEAR(Table6[[#This Row],[Date]])+IF(MONTH(Table6[[#This Row],[Date]])&gt;=4,1,0)</f>
        <v>2026</v>
      </c>
      <c r="C666" s="102">
        <f>YEAR(Table6[[#This Row],[Date]])</f>
        <v>2025</v>
      </c>
      <c r="D666" s="102" t="s">
        <v>1992</v>
      </c>
      <c r="E666" s="469">
        <f>Table6[[#This Row],[Date]]-DAY(Table6[[#This Row],[Date]])+1</f>
        <v>45778</v>
      </c>
      <c r="F666" s="470">
        <v>45786</v>
      </c>
      <c r="G666" s="35" t="s">
        <v>85</v>
      </c>
      <c r="H666" s="35" t="str">
        <f>IFERROR(_xlfn.XLOOKUP(Table6[[#This Row],[Affected WTG]],'Basic Data'!$A:$A,'Basic Data'!$B:$B),"")</f>
        <v>TQGXIIPL</v>
      </c>
      <c r="I666" s="35" t="str">
        <f>IFERROR(_xlfn.XLOOKUP(Table6[[#This Row],[Affected WTG]],'Basic Data'!$A:$A,'Basic Data'!$C:$C),"")</f>
        <v>GEDA</v>
      </c>
      <c r="J666" s="471">
        <f>IFERROR(_xlfn.XLOOKUP(Table6[[#This Row],[Affected WTG]],'Basic Data'!$A:$A,'Basic Data'!$E:$E),"")</f>
        <v>3.846153846153845E-2</v>
      </c>
      <c r="K666" s="102">
        <v>55</v>
      </c>
      <c r="L666" s="35" t="str">
        <f>IFERROR(_xlfn.XLOOKUP(Table6[[#This Row],[Error Code]],'Basic Data'!$AA:$AA,'Basic Data'!$AB:$AB),"Incorrect Error Code")</f>
        <v>WTG shut down</v>
      </c>
      <c r="M666" s="35" t="s">
        <v>291</v>
      </c>
      <c r="N666" s="475"/>
      <c r="O666" s="476">
        <v>0.66249999999999998</v>
      </c>
      <c r="P666" s="476">
        <v>0.66249999999999998</v>
      </c>
      <c r="Q666" s="477">
        <v>0.6645833333333333</v>
      </c>
      <c r="R666" s="472">
        <f>IF(Table6[[#This Row],[Work Start TimeStamp]]="","",(Table6[[#This Row],[Work Start TimeStamp]]-Table6[[#This Row],[Fault Start TimeStamp]])*24)</f>
        <v>0</v>
      </c>
      <c r="S666" s="472">
        <f>(Table6[[#This Row],[Fault Clearance time]]-Table6[[#This Row],[Work Start TimeStamp]])*24</f>
        <v>4.9999999999999822E-2</v>
      </c>
      <c r="T666" s="472">
        <f>(Table6[[#This Row],[Fault Clearance time]]-Table6[[#This Row],[Fault Start TimeStamp]])*24</f>
        <v>4.9999999999999822E-2</v>
      </c>
      <c r="U666" s="35" t="s">
        <v>389</v>
      </c>
      <c r="V666" s="102" t="s">
        <v>293</v>
      </c>
      <c r="W666" s="478">
        <f>IFERROR(Table6[[#This Row],[Breakdown Time]]*Table6[[#This Row],[Plant Equivalent Weightage]],"")</f>
        <v>1.9230769230769156E-3</v>
      </c>
      <c r="X666" s="473" t="s">
        <v>290</v>
      </c>
      <c r="Y666" s="474" t="s">
        <v>322</v>
      </c>
      <c r="Z666" s="102">
        <v>10289</v>
      </c>
      <c r="AA666" s="468">
        <f>(Table6[[#This Row],[Paired WTG Generation for loss calculation]]/24)*Table6[[#This Row],[Breakdown Time]]</f>
        <v>21.43541666666659</v>
      </c>
      <c r="AB666" s="102"/>
      <c r="AC666" s="35"/>
      <c r="AD666" s="35"/>
    </row>
    <row r="667" spans="1:30">
      <c r="A667" s="102">
        <f t="shared" si="11"/>
        <v>666</v>
      </c>
      <c r="B667" s="468">
        <f>YEAR(Table6[[#This Row],[Date]])+IF(MONTH(Table6[[#This Row],[Date]])&gt;=4,1,0)</f>
        <v>2026</v>
      </c>
      <c r="C667" s="102">
        <f>YEAR(Table6[[#This Row],[Date]])</f>
        <v>2025</v>
      </c>
      <c r="D667" s="102" t="s">
        <v>1992</v>
      </c>
      <c r="E667" s="469">
        <f>Table6[[#This Row],[Date]]-DAY(Table6[[#This Row],[Date]])+1</f>
        <v>45778</v>
      </c>
      <c r="F667" s="470">
        <v>45786</v>
      </c>
      <c r="G667" s="35" t="s">
        <v>86</v>
      </c>
      <c r="H667" s="35" t="str">
        <f>IFERROR(_xlfn.XLOOKUP(Table6[[#This Row],[Affected WTG]],'Basic Data'!$A:$A,'Basic Data'!$B:$B),"")</f>
        <v>TQGXIIPL</v>
      </c>
      <c r="I667" s="35" t="str">
        <f>IFERROR(_xlfn.XLOOKUP(Table6[[#This Row],[Affected WTG]],'Basic Data'!$A:$A,'Basic Data'!$C:$C),"")</f>
        <v>GEDA</v>
      </c>
      <c r="J667" s="471">
        <f>IFERROR(_xlfn.XLOOKUP(Table6[[#This Row],[Affected WTG]],'Basic Data'!$A:$A,'Basic Data'!$E:$E),"")</f>
        <v>3.846153846153845E-2</v>
      </c>
      <c r="K667" s="102">
        <v>55</v>
      </c>
      <c r="L667" s="35" t="str">
        <f>IFERROR(_xlfn.XLOOKUP(Table6[[#This Row],[Error Code]],'Basic Data'!$AA:$AA,'Basic Data'!$AB:$AB),"Incorrect Error Code")</f>
        <v>WTG shut down</v>
      </c>
      <c r="M667" s="35" t="s">
        <v>291</v>
      </c>
      <c r="N667" s="475"/>
      <c r="O667" s="476">
        <v>0.66527777777777775</v>
      </c>
      <c r="P667" s="476">
        <v>0.66527777777777775</v>
      </c>
      <c r="Q667" s="477">
        <v>0.66736111111111107</v>
      </c>
      <c r="R667" s="472">
        <f>IF(Table6[[#This Row],[Work Start TimeStamp]]="","",(Table6[[#This Row],[Work Start TimeStamp]]-Table6[[#This Row],[Fault Start TimeStamp]])*24)</f>
        <v>0</v>
      </c>
      <c r="S667" s="472">
        <f>(Table6[[#This Row],[Fault Clearance time]]-Table6[[#This Row],[Work Start TimeStamp]])*24</f>
        <v>4.9999999999999822E-2</v>
      </c>
      <c r="T667" s="472">
        <f>(Table6[[#This Row],[Fault Clearance time]]-Table6[[#This Row],[Fault Start TimeStamp]])*24</f>
        <v>4.9999999999999822E-2</v>
      </c>
      <c r="U667" s="35" t="s">
        <v>389</v>
      </c>
      <c r="V667" s="102" t="s">
        <v>293</v>
      </c>
      <c r="W667" s="478">
        <f>IFERROR(Table6[[#This Row],[Breakdown Time]]*Table6[[#This Row],[Plant Equivalent Weightage]],"")</f>
        <v>1.9230769230769156E-3</v>
      </c>
      <c r="X667" s="473" t="s">
        <v>290</v>
      </c>
      <c r="Y667" s="474" t="s">
        <v>313</v>
      </c>
      <c r="Z667" s="102">
        <v>9372</v>
      </c>
      <c r="AA667" s="468">
        <f>(Table6[[#This Row],[Paired WTG Generation for loss calculation]]/24)*Table6[[#This Row],[Breakdown Time]]</f>
        <v>19.524999999999931</v>
      </c>
      <c r="AB667" s="102"/>
      <c r="AC667" s="35"/>
      <c r="AD667" s="35"/>
    </row>
    <row r="668" spans="1:30">
      <c r="A668" s="102">
        <f t="shared" si="11"/>
        <v>667</v>
      </c>
      <c r="B668" s="468">
        <f>YEAR(Table6[[#This Row],[Date]])+IF(MONTH(Table6[[#This Row],[Date]])&gt;=4,1,0)</f>
        <v>2026</v>
      </c>
      <c r="C668" s="102">
        <f>YEAR(Table6[[#This Row],[Date]])</f>
        <v>2025</v>
      </c>
      <c r="D668" s="102" t="s">
        <v>1992</v>
      </c>
      <c r="E668" s="469">
        <f>Table6[[#This Row],[Date]]-DAY(Table6[[#This Row],[Date]])+1</f>
        <v>45778</v>
      </c>
      <c r="F668" s="470">
        <v>45786</v>
      </c>
      <c r="G668" s="35" t="s">
        <v>87</v>
      </c>
      <c r="H668" s="35" t="str">
        <f>IFERROR(_xlfn.XLOOKUP(Table6[[#This Row],[Affected WTG]],'Basic Data'!$A:$A,'Basic Data'!$B:$B),"")</f>
        <v>TQGXIIPL</v>
      </c>
      <c r="I668" s="35" t="str">
        <f>IFERROR(_xlfn.XLOOKUP(Table6[[#This Row],[Affected WTG]],'Basic Data'!$A:$A,'Basic Data'!$C:$C),"")</f>
        <v>GEDA</v>
      </c>
      <c r="J668" s="471">
        <f>IFERROR(_xlfn.XLOOKUP(Table6[[#This Row],[Affected WTG]],'Basic Data'!$A:$A,'Basic Data'!$E:$E),"")</f>
        <v>3.846153846153845E-2</v>
      </c>
      <c r="K668" s="102">
        <v>55</v>
      </c>
      <c r="L668" s="35" t="str">
        <f>IFERROR(_xlfn.XLOOKUP(Table6[[#This Row],[Error Code]],'Basic Data'!$AA:$AA,'Basic Data'!$AB:$AB),"Incorrect Error Code")</f>
        <v>WTG shut down</v>
      </c>
      <c r="M668" s="35" t="s">
        <v>291</v>
      </c>
      <c r="N668" s="475"/>
      <c r="O668" s="476">
        <v>0.66805555555555551</v>
      </c>
      <c r="P668" s="476">
        <v>0.66805555555555551</v>
      </c>
      <c r="Q668" s="477">
        <v>0.67083333333333328</v>
      </c>
      <c r="R668" s="472">
        <f>IF(Table6[[#This Row],[Work Start TimeStamp]]="","",(Table6[[#This Row],[Work Start TimeStamp]]-Table6[[#This Row],[Fault Start TimeStamp]])*24)</f>
        <v>0</v>
      </c>
      <c r="S668" s="472">
        <f>(Table6[[#This Row],[Fault Clearance time]]-Table6[[#This Row],[Work Start TimeStamp]])*24</f>
        <v>6.666666666666643E-2</v>
      </c>
      <c r="T668" s="472">
        <f>(Table6[[#This Row],[Fault Clearance time]]-Table6[[#This Row],[Fault Start TimeStamp]])*24</f>
        <v>6.666666666666643E-2</v>
      </c>
      <c r="U668" s="35" t="s">
        <v>389</v>
      </c>
      <c r="V668" s="102" t="s">
        <v>293</v>
      </c>
      <c r="W668" s="478">
        <f>IFERROR(Table6[[#This Row],[Breakdown Time]]*Table6[[#This Row],[Plant Equivalent Weightage]],"")</f>
        <v>2.5641025641025541E-3</v>
      </c>
      <c r="X668" s="473" t="s">
        <v>290</v>
      </c>
      <c r="Y668" s="474" t="s">
        <v>327</v>
      </c>
      <c r="Z668" s="102">
        <v>10322</v>
      </c>
      <c r="AA668" s="468">
        <f>(Table6[[#This Row],[Paired WTG Generation for loss calculation]]/24)*Table6[[#This Row],[Breakdown Time]]</f>
        <v>28.672222222222118</v>
      </c>
      <c r="AB668" s="102"/>
      <c r="AC668" s="35"/>
      <c r="AD668" s="35"/>
    </row>
    <row r="669" spans="1:30">
      <c r="A669" s="102">
        <f t="shared" si="11"/>
        <v>668</v>
      </c>
      <c r="B669" s="468">
        <f>YEAR(Table6[[#This Row],[Date]])+IF(MONTH(Table6[[#This Row],[Date]])&gt;=4,1,0)</f>
        <v>2026</v>
      </c>
      <c r="C669" s="102">
        <f>YEAR(Table6[[#This Row],[Date]])</f>
        <v>2025</v>
      </c>
      <c r="D669" s="102" t="s">
        <v>1992</v>
      </c>
      <c r="E669" s="469">
        <f>Table6[[#This Row],[Date]]-DAY(Table6[[#This Row],[Date]])+1</f>
        <v>45778</v>
      </c>
      <c r="F669" s="470">
        <v>45786</v>
      </c>
      <c r="G669" s="35" t="s">
        <v>88</v>
      </c>
      <c r="H669" s="35" t="str">
        <f>IFERROR(_xlfn.XLOOKUP(Table6[[#This Row],[Affected WTG]],'Basic Data'!$A:$A,'Basic Data'!$B:$B),"")</f>
        <v>TQGXIIPL</v>
      </c>
      <c r="I669" s="35" t="str">
        <f>IFERROR(_xlfn.XLOOKUP(Table6[[#This Row],[Affected WTG]],'Basic Data'!$A:$A,'Basic Data'!$C:$C),"")</f>
        <v>GEDA</v>
      </c>
      <c r="J669" s="471">
        <f>IFERROR(_xlfn.XLOOKUP(Table6[[#This Row],[Affected WTG]],'Basic Data'!$A:$A,'Basic Data'!$E:$E),"")</f>
        <v>3.846153846153845E-2</v>
      </c>
      <c r="K669" s="102">
        <v>55</v>
      </c>
      <c r="L669" s="35" t="str">
        <f>IFERROR(_xlfn.XLOOKUP(Table6[[#This Row],[Error Code]],'Basic Data'!$AA:$AA,'Basic Data'!$AB:$AB),"Incorrect Error Code")</f>
        <v>WTG shut down</v>
      </c>
      <c r="M669" s="35" t="s">
        <v>291</v>
      </c>
      <c r="N669" s="475"/>
      <c r="O669" s="476">
        <v>0.67152777777777772</v>
      </c>
      <c r="P669" s="476">
        <v>0.67152777777777772</v>
      </c>
      <c r="Q669" s="477">
        <v>0.6743055555555556</v>
      </c>
      <c r="R669" s="472">
        <f>IF(Table6[[#This Row],[Work Start TimeStamp]]="","",(Table6[[#This Row],[Work Start TimeStamp]]-Table6[[#This Row],[Fault Start TimeStamp]])*24)</f>
        <v>0</v>
      </c>
      <c r="S669" s="472">
        <f>(Table6[[#This Row],[Fault Clearance time]]-Table6[[#This Row],[Work Start TimeStamp]])*24</f>
        <v>6.6666666666669094E-2</v>
      </c>
      <c r="T669" s="472">
        <f>(Table6[[#This Row],[Fault Clearance time]]-Table6[[#This Row],[Fault Start TimeStamp]])*24</f>
        <v>6.6666666666669094E-2</v>
      </c>
      <c r="U669" s="35" t="s">
        <v>389</v>
      </c>
      <c r="V669" s="102" t="s">
        <v>293</v>
      </c>
      <c r="W669" s="478">
        <f>IFERROR(Table6[[#This Row],[Breakdown Time]]*Table6[[#This Row],[Plant Equivalent Weightage]],"")</f>
        <v>2.5641025641026569E-3</v>
      </c>
      <c r="X669" s="473" t="s">
        <v>290</v>
      </c>
      <c r="Y669" s="474" t="s">
        <v>323</v>
      </c>
      <c r="Z669" s="102">
        <v>9374</v>
      </c>
      <c r="AA669" s="468">
        <f>(Table6[[#This Row],[Paired WTG Generation for loss calculation]]/24)*Table6[[#This Row],[Breakdown Time]]</f>
        <v>26.038888888889836</v>
      </c>
      <c r="AB669" s="102"/>
      <c r="AC669" s="35"/>
      <c r="AD669" s="35"/>
    </row>
    <row r="670" spans="1:30">
      <c r="A670" s="102">
        <f t="shared" si="11"/>
        <v>669</v>
      </c>
      <c r="B670" s="468">
        <f>YEAR(Table6[[#This Row],[Date]])+IF(MONTH(Table6[[#This Row],[Date]])&gt;=4,1,0)</f>
        <v>2026</v>
      </c>
      <c r="C670" s="102">
        <f>YEAR(Table6[[#This Row],[Date]])</f>
        <v>2025</v>
      </c>
      <c r="D670" s="102" t="s">
        <v>1992</v>
      </c>
      <c r="E670" s="469">
        <f>Table6[[#This Row],[Date]]-DAY(Table6[[#This Row],[Date]])+1</f>
        <v>45778</v>
      </c>
      <c r="F670" s="470">
        <v>45786</v>
      </c>
      <c r="G670" s="35" t="s">
        <v>89</v>
      </c>
      <c r="H670" s="35" t="str">
        <f>IFERROR(_xlfn.XLOOKUP(Table6[[#This Row],[Affected WTG]],'Basic Data'!$A:$A,'Basic Data'!$B:$B),"")</f>
        <v>TQGXIIPL</v>
      </c>
      <c r="I670" s="35" t="str">
        <f>IFERROR(_xlfn.XLOOKUP(Table6[[#This Row],[Affected WTG]],'Basic Data'!$A:$A,'Basic Data'!$C:$C),"")</f>
        <v>GEDA</v>
      </c>
      <c r="J670" s="471">
        <f>IFERROR(_xlfn.XLOOKUP(Table6[[#This Row],[Affected WTG]],'Basic Data'!$A:$A,'Basic Data'!$E:$E),"")</f>
        <v>3.846153846153845E-2</v>
      </c>
      <c r="K670" s="102">
        <v>55</v>
      </c>
      <c r="L670" s="35" t="str">
        <f>IFERROR(_xlfn.XLOOKUP(Table6[[#This Row],[Error Code]],'Basic Data'!$AA:$AA,'Basic Data'!$AB:$AB),"Incorrect Error Code")</f>
        <v>WTG shut down</v>
      </c>
      <c r="M670" s="35" t="s">
        <v>291</v>
      </c>
      <c r="N670" s="475"/>
      <c r="O670" s="476">
        <v>0.67500000000000004</v>
      </c>
      <c r="P670" s="476">
        <v>0.67500000000000004</v>
      </c>
      <c r="Q670" s="477">
        <v>0.67708333333333337</v>
      </c>
      <c r="R670" s="472">
        <f>IF(Table6[[#This Row],[Work Start TimeStamp]]="","",(Table6[[#This Row],[Work Start TimeStamp]]-Table6[[#This Row],[Fault Start TimeStamp]])*24)</f>
        <v>0</v>
      </c>
      <c r="S670" s="472">
        <f>(Table6[[#This Row],[Fault Clearance time]]-Table6[[#This Row],[Work Start TimeStamp]])*24</f>
        <v>4.9999999999999822E-2</v>
      </c>
      <c r="T670" s="472">
        <f>(Table6[[#This Row],[Fault Clearance time]]-Table6[[#This Row],[Fault Start TimeStamp]])*24</f>
        <v>4.9999999999999822E-2</v>
      </c>
      <c r="U670" s="35" t="s">
        <v>389</v>
      </c>
      <c r="V670" s="102" t="s">
        <v>293</v>
      </c>
      <c r="W670" s="478">
        <f>IFERROR(Table6[[#This Row],[Breakdown Time]]*Table6[[#This Row],[Plant Equivalent Weightage]],"")</f>
        <v>1.9230769230769156E-3</v>
      </c>
      <c r="X670" s="473" t="s">
        <v>290</v>
      </c>
      <c r="Y670" s="474" t="s">
        <v>325</v>
      </c>
      <c r="Z670" s="102">
        <v>5387</v>
      </c>
      <c r="AA670" s="468">
        <f>(Table6[[#This Row],[Paired WTG Generation for loss calculation]]/24)*Table6[[#This Row],[Breakdown Time]]</f>
        <v>11.222916666666627</v>
      </c>
      <c r="AB670" s="102"/>
      <c r="AC670" s="35"/>
      <c r="AD670" s="35"/>
    </row>
    <row r="671" spans="1:30">
      <c r="A671" s="102">
        <f t="shared" si="11"/>
        <v>670</v>
      </c>
      <c r="B671" s="468">
        <f>YEAR(Table6[[#This Row],[Date]])+IF(MONTH(Table6[[#This Row],[Date]])&gt;=4,1,0)</f>
        <v>2026</v>
      </c>
      <c r="C671" s="102">
        <f>YEAR(Table6[[#This Row],[Date]])</f>
        <v>2025</v>
      </c>
      <c r="D671" s="102" t="s">
        <v>1992</v>
      </c>
      <c r="E671" s="469">
        <f>Table6[[#This Row],[Date]]-DAY(Table6[[#This Row],[Date]])+1</f>
        <v>45778</v>
      </c>
      <c r="F671" s="470">
        <v>45786</v>
      </c>
      <c r="G671" s="35" t="s">
        <v>92</v>
      </c>
      <c r="H671" s="35" t="str">
        <f>IFERROR(_xlfn.XLOOKUP(Table6[[#This Row],[Affected WTG]],'Basic Data'!$A:$A,'Basic Data'!$B:$B),"")</f>
        <v>TQGXIIPL</v>
      </c>
      <c r="I671" s="35" t="str">
        <f>IFERROR(_xlfn.XLOOKUP(Table6[[#This Row],[Affected WTG]],'Basic Data'!$A:$A,'Basic Data'!$C:$C),"")</f>
        <v>GEDA</v>
      </c>
      <c r="J671" s="471">
        <f>IFERROR(_xlfn.XLOOKUP(Table6[[#This Row],[Affected WTG]],'Basic Data'!$A:$A,'Basic Data'!$E:$E),"")</f>
        <v>3.846153846153845E-2</v>
      </c>
      <c r="K671" s="102">
        <v>55</v>
      </c>
      <c r="L671" s="35" t="str">
        <f>IFERROR(_xlfn.XLOOKUP(Table6[[#This Row],[Error Code]],'Basic Data'!$AA:$AA,'Basic Data'!$AB:$AB),"Incorrect Error Code")</f>
        <v>WTG shut down</v>
      </c>
      <c r="M671" s="35" t="s">
        <v>291</v>
      </c>
      <c r="N671" s="475"/>
      <c r="O671" s="476">
        <v>0.67708333333333337</v>
      </c>
      <c r="P671" s="476">
        <v>0.67708333333333337</v>
      </c>
      <c r="Q671" s="477">
        <v>0.68055555555555558</v>
      </c>
      <c r="R671" s="472">
        <f>IF(Table6[[#This Row],[Work Start TimeStamp]]="","",(Table6[[#This Row],[Work Start TimeStamp]]-Table6[[#This Row],[Fault Start TimeStamp]])*24)</f>
        <v>0</v>
      </c>
      <c r="S671" s="472">
        <f>(Table6[[#This Row],[Fault Clearance time]]-Table6[[#This Row],[Work Start TimeStamp]])*24</f>
        <v>8.3333333333333037E-2</v>
      </c>
      <c r="T671" s="472">
        <f>(Table6[[#This Row],[Fault Clearance time]]-Table6[[#This Row],[Fault Start TimeStamp]])*24</f>
        <v>8.3333333333333037E-2</v>
      </c>
      <c r="U671" s="35" t="s">
        <v>389</v>
      </c>
      <c r="V671" s="102" t="s">
        <v>293</v>
      </c>
      <c r="W671" s="478">
        <f>IFERROR(Table6[[#This Row],[Breakdown Time]]*Table6[[#This Row],[Plant Equivalent Weightage]],"")</f>
        <v>3.2051282051281929E-3</v>
      </c>
      <c r="X671" s="473" t="s">
        <v>290</v>
      </c>
      <c r="Y671" s="474" t="s">
        <v>310</v>
      </c>
      <c r="Z671" s="102">
        <v>4777</v>
      </c>
      <c r="AA671" s="468">
        <f>(Table6[[#This Row],[Paired WTG Generation for loss calculation]]/24)*Table6[[#This Row],[Breakdown Time]]</f>
        <v>16.586805555555497</v>
      </c>
      <c r="AB671" s="102"/>
      <c r="AC671" s="35"/>
      <c r="AD671" s="35"/>
    </row>
    <row r="672" spans="1:30">
      <c r="A672" s="102">
        <f t="shared" si="11"/>
        <v>671</v>
      </c>
      <c r="B672" s="468">
        <f>YEAR(Table6[[#This Row],[Date]])+IF(MONTH(Table6[[#This Row],[Date]])&gt;=4,1,0)</f>
        <v>2026</v>
      </c>
      <c r="C672" s="102">
        <f>YEAR(Table6[[#This Row],[Date]])</f>
        <v>2025</v>
      </c>
      <c r="D672" s="102" t="s">
        <v>1992</v>
      </c>
      <c r="E672" s="469">
        <f>Table6[[#This Row],[Date]]-DAY(Table6[[#This Row],[Date]])+1</f>
        <v>45778</v>
      </c>
      <c r="F672" s="470">
        <v>45786</v>
      </c>
      <c r="G672" s="35" t="s">
        <v>93</v>
      </c>
      <c r="H672" s="35" t="str">
        <f>IFERROR(_xlfn.XLOOKUP(Table6[[#This Row],[Affected WTG]],'Basic Data'!$A:$A,'Basic Data'!$B:$B),"")</f>
        <v>TQGXIIPL</v>
      </c>
      <c r="I672" s="35" t="str">
        <f>IFERROR(_xlfn.XLOOKUP(Table6[[#This Row],[Affected WTG]],'Basic Data'!$A:$A,'Basic Data'!$C:$C),"")</f>
        <v>GEDA</v>
      </c>
      <c r="J672" s="471">
        <f>IFERROR(_xlfn.XLOOKUP(Table6[[#This Row],[Affected WTG]],'Basic Data'!$A:$A,'Basic Data'!$E:$E),"")</f>
        <v>3.846153846153845E-2</v>
      </c>
      <c r="K672" s="102">
        <v>55</v>
      </c>
      <c r="L672" s="35" t="str">
        <f>IFERROR(_xlfn.XLOOKUP(Table6[[#This Row],[Error Code]],'Basic Data'!$AA:$AA,'Basic Data'!$AB:$AB),"Incorrect Error Code")</f>
        <v>WTG shut down</v>
      </c>
      <c r="M672" s="35" t="s">
        <v>291</v>
      </c>
      <c r="N672" s="475"/>
      <c r="O672" s="476">
        <v>0.67777777777777781</v>
      </c>
      <c r="P672" s="476">
        <v>0.67777777777777781</v>
      </c>
      <c r="Q672" s="477">
        <v>0.68680555555555556</v>
      </c>
      <c r="R672" s="472">
        <f>IF(Table6[[#This Row],[Work Start TimeStamp]]="","",(Table6[[#This Row],[Work Start TimeStamp]]-Table6[[#This Row],[Fault Start TimeStamp]])*24)</f>
        <v>0</v>
      </c>
      <c r="S672" s="472">
        <f>(Table6[[#This Row],[Fault Clearance time]]-Table6[[#This Row],[Work Start TimeStamp]])*24</f>
        <v>0.2166666666666659</v>
      </c>
      <c r="T672" s="472">
        <f>(Table6[[#This Row],[Fault Clearance time]]-Table6[[#This Row],[Fault Start TimeStamp]])*24</f>
        <v>0.2166666666666659</v>
      </c>
      <c r="U672" s="35" t="s">
        <v>389</v>
      </c>
      <c r="V672" s="102" t="s">
        <v>293</v>
      </c>
      <c r="W672" s="478">
        <f>IFERROR(Table6[[#This Row],[Breakdown Time]]*Table6[[#This Row],[Plant Equivalent Weightage]],"")</f>
        <v>8.333333333333302E-3</v>
      </c>
      <c r="X672" s="473" t="s">
        <v>290</v>
      </c>
      <c r="Y672" s="474" t="s">
        <v>314</v>
      </c>
      <c r="Z672" s="102">
        <v>7052</v>
      </c>
      <c r="AA672" s="468">
        <f>(Table6[[#This Row],[Paired WTG Generation for loss calculation]]/24)*Table6[[#This Row],[Breakdown Time]]</f>
        <v>63.663888888888657</v>
      </c>
      <c r="AB672" s="102"/>
      <c r="AC672" s="35"/>
      <c r="AD672" s="35"/>
    </row>
    <row r="673" spans="1:30">
      <c r="A673" s="102">
        <f t="shared" si="11"/>
        <v>672</v>
      </c>
      <c r="B673" s="468">
        <f>YEAR(Table6[[#This Row],[Date]])+IF(MONTH(Table6[[#This Row],[Date]])&gt;=4,1,0)</f>
        <v>2026</v>
      </c>
      <c r="C673" s="102">
        <f>YEAR(Table6[[#This Row],[Date]])</f>
        <v>2025</v>
      </c>
      <c r="D673" s="102" t="s">
        <v>1992</v>
      </c>
      <c r="E673" s="469">
        <f>Table6[[#This Row],[Date]]-DAY(Table6[[#This Row],[Date]])+1</f>
        <v>45778</v>
      </c>
      <c r="F673" s="470">
        <v>45786</v>
      </c>
      <c r="G673" s="35" t="s">
        <v>94</v>
      </c>
      <c r="H673" s="35" t="str">
        <f>IFERROR(_xlfn.XLOOKUP(Table6[[#This Row],[Affected WTG]],'Basic Data'!$A:$A,'Basic Data'!$B:$B),"")</f>
        <v>TQGXIIPL</v>
      </c>
      <c r="I673" s="35" t="str">
        <f>IFERROR(_xlfn.XLOOKUP(Table6[[#This Row],[Affected WTG]],'Basic Data'!$A:$A,'Basic Data'!$C:$C),"")</f>
        <v>GEDA</v>
      </c>
      <c r="J673" s="471">
        <f>IFERROR(_xlfn.XLOOKUP(Table6[[#This Row],[Affected WTG]],'Basic Data'!$A:$A,'Basic Data'!$E:$E),"")</f>
        <v>3.846153846153845E-2</v>
      </c>
      <c r="K673" s="102">
        <v>55</v>
      </c>
      <c r="L673" s="35" t="str">
        <f>IFERROR(_xlfn.XLOOKUP(Table6[[#This Row],[Error Code]],'Basic Data'!$AA:$AA,'Basic Data'!$AB:$AB),"Incorrect Error Code")</f>
        <v>WTG shut down</v>
      </c>
      <c r="M673" s="35" t="s">
        <v>291</v>
      </c>
      <c r="N673" s="475"/>
      <c r="O673" s="476">
        <v>0.69722222222222219</v>
      </c>
      <c r="P673" s="476">
        <v>0.69722222222222219</v>
      </c>
      <c r="Q673" s="477">
        <v>0.69861111111111107</v>
      </c>
      <c r="R673" s="472">
        <f>IF(Table6[[#This Row],[Work Start TimeStamp]]="","",(Table6[[#This Row],[Work Start TimeStamp]]-Table6[[#This Row],[Fault Start TimeStamp]])*24)</f>
        <v>0</v>
      </c>
      <c r="S673" s="472">
        <f>(Table6[[#This Row],[Fault Clearance time]]-Table6[[#This Row],[Work Start TimeStamp]])*24</f>
        <v>3.3333333333333215E-2</v>
      </c>
      <c r="T673" s="472">
        <f>(Table6[[#This Row],[Fault Clearance time]]-Table6[[#This Row],[Fault Start TimeStamp]])*24</f>
        <v>3.3333333333333215E-2</v>
      </c>
      <c r="U673" s="35" t="s">
        <v>389</v>
      </c>
      <c r="V673" s="102" t="s">
        <v>293</v>
      </c>
      <c r="W673" s="478">
        <f>IFERROR(Table6[[#This Row],[Breakdown Time]]*Table6[[#This Row],[Plant Equivalent Weightage]],"")</f>
        <v>1.2820512820512771E-3</v>
      </c>
      <c r="X673" s="473" t="s">
        <v>290</v>
      </c>
      <c r="Y673" s="474" t="s">
        <v>319</v>
      </c>
      <c r="Z673" s="102">
        <v>6891</v>
      </c>
      <c r="AA673" s="468">
        <f>(Table6[[#This Row],[Paired WTG Generation for loss calculation]]/24)*Table6[[#This Row],[Breakdown Time]]</f>
        <v>9.5708333333332991</v>
      </c>
      <c r="AB673" s="102"/>
      <c r="AC673" s="35"/>
      <c r="AD673" s="35"/>
    </row>
    <row r="674" spans="1:30">
      <c r="A674" s="102">
        <f t="shared" si="11"/>
        <v>673</v>
      </c>
      <c r="B674" s="468">
        <f>YEAR(Table6[[#This Row],[Date]])+IF(MONTH(Table6[[#This Row],[Date]])&gt;=4,1,0)</f>
        <v>2026</v>
      </c>
      <c r="C674" s="102">
        <f>YEAR(Table6[[#This Row],[Date]])</f>
        <v>2025</v>
      </c>
      <c r="D674" s="102" t="s">
        <v>1992</v>
      </c>
      <c r="E674" s="469">
        <f>Table6[[#This Row],[Date]]-DAY(Table6[[#This Row],[Date]])+1</f>
        <v>45778</v>
      </c>
      <c r="F674" s="470">
        <v>45786</v>
      </c>
      <c r="G674" s="35" t="s">
        <v>95</v>
      </c>
      <c r="H674" s="35" t="str">
        <f>IFERROR(_xlfn.XLOOKUP(Table6[[#This Row],[Affected WTG]],'Basic Data'!$A:$A,'Basic Data'!$B:$B),"")</f>
        <v>TQGXIIPL</v>
      </c>
      <c r="I674" s="35" t="str">
        <f>IFERROR(_xlfn.XLOOKUP(Table6[[#This Row],[Affected WTG]],'Basic Data'!$A:$A,'Basic Data'!$C:$C),"")</f>
        <v>GEDA</v>
      </c>
      <c r="J674" s="471">
        <f>IFERROR(_xlfn.XLOOKUP(Table6[[#This Row],[Affected WTG]],'Basic Data'!$A:$A,'Basic Data'!$E:$E),"")</f>
        <v>3.846153846153845E-2</v>
      </c>
      <c r="K674" s="102">
        <v>55</v>
      </c>
      <c r="L674" s="35" t="str">
        <f>IFERROR(_xlfn.XLOOKUP(Table6[[#This Row],[Error Code]],'Basic Data'!$AA:$AA,'Basic Data'!$AB:$AB),"Incorrect Error Code")</f>
        <v>WTG shut down</v>
      </c>
      <c r="M674" s="35" t="s">
        <v>291</v>
      </c>
      <c r="N674" s="475"/>
      <c r="O674" s="476">
        <v>0.70347222222222228</v>
      </c>
      <c r="P674" s="476">
        <v>0.70347222222222228</v>
      </c>
      <c r="Q674" s="477">
        <v>0.7055555555555556</v>
      </c>
      <c r="R674" s="472">
        <f>IF(Table6[[#This Row],[Work Start TimeStamp]]="","",(Table6[[#This Row],[Work Start TimeStamp]]-Table6[[#This Row],[Fault Start TimeStamp]])*24)</f>
        <v>0</v>
      </c>
      <c r="S674" s="472">
        <f>(Table6[[#This Row],[Fault Clearance time]]-Table6[[#This Row],[Work Start TimeStamp]])*24</f>
        <v>4.9999999999999822E-2</v>
      </c>
      <c r="T674" s="472">
        <f>(Table6[[#This Row],[Fault Clearance time]]-Table6[[#This Row],[Fault Start TimeStamp]])*24</f>
        <v>4.9999999999999822E-2</v>
      </c>
      <c r="U674" s="35" t="s">
        <v>389</v>
      </c>
      <c r="V674" s="102" t="s">
        <v>293</v>
      </c>
      <c r="W674" s="478">
        <f>IFERROR(Table6[[#This Row],[Breakdown Time]]*Table6[[#This Row],[Plant Equivalent Weightage]],"")</f>
        <v>1.9230769230769156E-3</v>
      </c>
      <c r="X674" s="473" t="s">
        <v>290</v>
      </c>
      <c r="Y674" s="474" t="s">
        <v>319</v>
      </c>
      <c r="Z674" s="102">
        <v>6891</v>
      </c>
      <c r="AA674" s="468">
        <f>(Table6[[#This Row],[Paired WTG Generation for loss calculation]]/24)*Table6[[#This Row],[Breakdown Time]]</f>
        <v>14.35624999999995</v>
      </c>
      <c r="AB674" s="102"/>
      <c r="AC674" s="35"/>
      <c r="AD674" s="35"/>
    </row>
    <row r="675" spans="1:30">
      <c r="A675" s="102">
        <f t="shared" si="11"/>
        <v>674</v>
      </c>
      <c r="B675" s="468">
        <f>YEAR(Table6[[#This Row],[Date]])+IF(MONTH(Table6[[#This Row],[Date]])&gt;=4,1,0)</f>
        <v>2026</v>
      </c>
      <c r="C675" s="102">
        <f>YEAR(Table6[[#This Row],[Date]])</f>
        <v>2025</v>
      </c>
      <c r="D675" s="102" t="s">
        <v>1992</v>
      </c>
      <c r="E675" s="469">
        <f>Table6[[#This Row],[Date]]-DAY(Table6[[#This Row],[Date]])+1</f>
        <v>45778</v>
      </c>
      <c r="F675" s="470">
        <v>45786</v>
      </c>
      <c r="G675" s="35" t="s">
        <v>96</v>
      </c>
      <c r="H675" s="35" t="str">
        <f>IFERROR(_xlfn.XLOOKUP(Table6[[#This Row],[Affected WTG]],'Basic Data'!$A:$A,'Basic Data'!$B:$B),"")</f>
        <v>TQGXIIPL</v>
      </c>
      <c r="I675" s="35" t="str">
        <f>IFERROR(_xlfn.XLOOKUP(Table6[[#This Row],[Affected WTG]],'Basic Data'!$A:$A,'Basic Data'!$C:$C),"")</f>
        <v>GEDA</v>
      </c>
      <c r="J675" s="471">
        <f>IFERROR(_xlfn.XLOOKUP(Table6[[#This Row],[Affected WTG]],'Basic Data'!$A:$A,'Basic Data'!$E:$E),"")</f>
        <v>3.846153846153845E-2</v>
      </c>
      <c r="K675" s="102">
        <v>6056</v>
      </c>
      <c r="L675" s="35" t="str">
        <f>IFERROR(_xlfn.XLOOKUP(Table6[[#This Row],[Error Code]],'Basic Data'!$AA:$AA,'Basic Data'!$AB:$AB),"Incorrect Error Code")</f>
        <v>High yaw load</v>
      </c>
      <c r="M675" s="35" t="s">
        <v>292</v>
      </c>
      <c r="N675" s="475"/>
      <c r="O675" s="476">
        <v>0.55000000000000004</v>
      </c>
      <c r="P675" s="476">
        <v>0.55000000000000004</v>
      </c>
      <c r="Q675" s="477">
        <v>0.55208333333333337</v>
      </c>
      <c r="R675" s="472">
        <f>IF(Table6[[#This Row],[Work Start TimeStamp]]="","",(Table6[[#This Row],[Work Start TimeStamp]]-Table6[[#This Row],[Fault Start TimeStamp]])*24)</f>
        <v>0</v>
      </c>
      <c r="S675" s="472">
        <f>(Table6[[#This Row],[Fault Clearance time]]-Table6[[#This Row],[Work Start TimeStamp]])*24</f>
        <v>4.9999999999999822E-2</v>
      </c>
      <c r="T675" s="472">
        <f>(Table6[[#This Row],[Fault Clearance time]]-Table6[[#This Row],[Fault Start TimeStamp]])*24</f>
        <v>4.9999999999999822E-2</v>
      </c>
      <c r="U675" s="35" t="s">
        <v>336</v>
      </c>
      <c r="V675" s="102" t="s">
        <v>293</v>
      </c>
      <c r="W675" s="478">
        <f>IFERROR(Table6[[#This Row],[Breakdown Time]]*Table6[[#This Row],[Plant Equivalent Weightage]],"")</f>
        <v>1.9230769230769156E-3</v>
      </c>
      <c r="X675" s="473" t="s">
        <v>290</v>
      </c>
      <c r="Y675" s="474" t="s">
        <v>313</v>
      </c>
      <c r="Z675" s="102">
        <v>9372</v>
      </c>
      <c r="AA675" s="468">
        <f>(Table6[[#This Row],[Paired WTG Generation for loss calculation]]/24)*Table6[[#This Row],[Breakdown Time]]</f>
        <v>19.524999999999931</v>
      </c>
      <c r="AB675" s="102"/>
      <c r="AC675" s="35"/>
      <c r="AD675" s="35"/>
    </row>
    <row r="676" spans="1:30">
      <c r="A676" s="102">
        <f t="shared" si="11"/>
        <v>675</v>
      </c>
      <c r="B676" s="468">
        <f>YEAR(Table6[[#This Row],[Date]])+IF(MONTH(Table6[[#This Row],[Date]])&gt;=4,1,0)</f>
        <v>2026</v>
      </c>
      <c r="C676" s="102">
        <f>YEAR(Table6[[#This Row],[Date]])</f>
        <v>2025</v>
      </c>
      <c r="D676" s="102" t="s">
        <v>1992</v>
      </c>
      <c r="E676" s="469">
        <f>Table6[[#This Row],[Date]]-DAY(Table6[[#This Row],[Date]])+1</f>
        <v>45778</v>
      </c>
      <c r="F676" s="470">
        <v>45786</v>
      </c>
      <c r="G676" s="35" t="s">
        <v>96</v>
      </c>
      <c r="H676" s="35" t="str">
        <f>IFERROR(_xlfn.XLOOKUP(Table6[[#This Row],[Affected WTG]],'Basic Data'!$A:$A,'Basic Data'!$B:$B),"")</f>
        <v>TQGXIIPL</v>
      </c>
      <c r="I676" s="35" t="str">
        <f>IFERROR(_xlfn.XLOOKUP(Table6[[#This Row],[Affected WTG]],'Basic Data'!$A:$A,'Basic Data'!$C:$C),"")</f>
        <v>GEDA</v>
      </c>
      <c r="J676" s="471">
        <f>IFERROR(_xlfn.XLOOKUP(Table6[[#This Row],[Affected WTG]],'Basic Data'!$A:$A,'Basic Data'!$E:$E),"")</f>
        <v>3.846153846153845E-2</v>
      </c>
      <c r="K676" s="102">
        <v>55</v>
      </c>
      <c r="L676" s="35" t="str">
        <f>IFERROR(_xlfn.XLOOKUP(Table6[[#This Row],[Error Code]],'Basic Data'!$AA:$AA,'Basic Data'!$AB:$AB),"Incorrect Error Code")</f>
        <v>WTG shut down</v>
      </c>
      <c r="M676" s="35" t="s">
        <v>291</v>
      </c>
      <c r="N676" s="475"/>
      <c r="O676" s="476">
        <v>0.6875</v>
      </c>
      <c r="P676" s="476">
        <v>0.6875</v>
      </c>
      <c r="Q676" s="477">
        <v>0.68958333333333333</v>
      </c>
      <c r="R676" s="472">
        <f>IF(Table6[[#This Row],[Work Start TimeStamp]]="","",(Table6[[#This Row],[Work Start TimeStamp]]-Table6[[#This Row],[Fault Start TimeStamp]])*24)</f>
        <v>0</v>
      </c>
      <c r="S676" s="472">
        <f>(Table6[[#This Row],[Fault Clearance time]]-Table6[[#This Row],[Work Start TimeStamp]])*24</f>
        <v>4.9999999999999822E-2</v>
      </c>
      <c r="T676" s="472">
        <f>(Table6[[#This Row],[Fault Clearance time]]-Table6[[#This Row],[Fault Start TimeStamp]])*24</f>
        <v>4.9999999999999822E-2</v>
      </c>
      <c r="U676" s="35" t="s">
        <v>389</v>
      </c>
      <c r="V676" s="102" t="s">
        <v>293</v>
      </c>
      <c r="W676" s="478">
        <f>IFERROR(Table6[[#This Row],[Breakdown Time]]*Table6[[#This Row],[Plant Equivalent Weightage]],"")</f>
        <v>1.9230769230769156E-3</v>
      </c>
      <c r="X676" s="473" t="s">
        <v>294</v>
      </c>
      <c r="Y676" s="474" t="s">
        <v>313</v>
      </c>
      <c r="Z676" s="102">
        <v>9372</v>
      </c>
      <c r="AA676" s="468">
        <f>(Table6[[#This Row],[Paired WTG Generation for loss calculation]]/24)*Table6[[#This Row],[Breakdown Time]]</f>
        <v>19.524999999999931</v>
      </c>
      <c r="AB676" s="102"/>
      <c r="AC676" s="35"/>
      <c r="AD676" s="35"/>
    </row>
    <row r="677" spans="1:30">
      <c r="A677" s="102">
        <f t="shared" si="11"/>
        <v>676</v>
      </c>
      <c r="B677" s="468">
        <f>YEAR(Table6[[#This Row],[Date]])+IF(MONTH(Table6[[#This Row],[Date]])&gt;=4,1,0)</f>
        <v>2026</v>
      </c>
      <c r="C677" s="102">
        <f>YEAR(Table6[[#This Row],[Date]])</f>
        <v>2025</v>
      </c>
      <c r="D677" s="102" t="s">
        <v>1992</v>
      </c>
      <c r="E677" s="469">
        <f>Table6[[#This Row],[Date]]-DAY(Table6[[#This Row],[Date]])+1</f>
        <v>45778</v>
      </c>
      <c r="F677" s="470">
        <v>45786</v>
      </c>
      <c r="G677" s="35" t="s">
        <v>97</v>
      </c>
      <c r="H677" s="35" t="str">
        <f>IFERROR(_xlfn.XLOOKUP(Table6[[#This Row],[Affected WTG]],'Basic Data'!$A:$A,'Basic Data'!$B:$B),"")</f>
        <v>TQGXIIPL</v>
      </c>
      <c r="I677" s="35" t="str">
        <f>IFERROR(_xlfn.XLOOKUP(Table6[[#This Row],[Affected WTG]],'Basic Data'!$A:$A,'Basic Data'!$C:$C),"")</f>
        <v>GEDA</v>
      </c>
      <c r="J677" s="471">
        <f>IFERROR(_xlfn.XLOOKUP(Table6[[#This Row],[Affected WTG]],'Basic Data'!$A:$A,'Basic Data'!$E:$E),"")</f>
        <v>3.846153846153845E-2</v>
      </c>
      <c r="K677" s="102">
        <v>55</v>
      </c>
      <c r="L677" s="35" t="str">
        <f>IFERROR(_xlfn.XLOOKUP(Table6[[#This Row],[Error Code]],'Basic Data'!$AA:$AA,'Basic Data'!$AB:$AB),"Incorrect Error Code")</f>
        <v>WTG shut down</v>
      </c>
      <c r="M677" s="35" t="s">
        <v>291</v>
      </c>
      <c r="N677" s="475"/>
      <c r="O677" s="476">
        <v>0.68819444444444444</v>
      </c>
      <c r="P677" s="476">
        <v>0.68819444444444444</v>
      </c>
      <c r="Q677" s="477">
        <v>0.69027777777777777</v>
      </c>
      <c r="R677" s="472">
        <f>IF(Table6[[#This Row],[Work Start TimeStamp]]="","",(Table6[[#This Row],[Work Start TimeStamp]]-Table6[[#This Row],[Fault Start TimeStamp]])*24)</f>
        <v>0</v>
      </c>
      <c r="S677" s="472">
        <f>(Table6[[#This Row],[Fault Clearance time]]-Table6[[#This Row],[Work Start TimeStamp]])*24</f>
        <v>4.9999999999999822E-2</v>
      </c>
      <c r="T677" s="472">
        <f>(Table6[[#This Row],[Fault Clearance time]]-Table6[[#This Row],[Fault Start TimeStamp]])*24</f>
        <v>4.9999999999999822E-2</v>
      </c>
      <c r="U677" s="35" t="s">
        <v>389</v>
      </c>
      <c r="V677" s="102" t="s">
        <v>293</v>
      </c>
      <c r="W677" s="478">
        <f>IFERROR(Table6[[#This Row],[Breakdown Time]]*Table6[[#This Row],[Plant Equivalent Weightage]],"")</f>
        <v>1.9230769230769156E-3</v>
      </c>
      <c r="X677" s="473" t="s">
        <v>290</v>
      </c>
      <c r="Y677" s="474" t="s">
        <v>320</v>
      </c>
      <c r="Z677" s="102">
        <v>6597</v>
      </c>
      <c r="AA677" s="468">
        <f>(Table6[[#This Row],[Paired WTG Generation for loss calculation]]/24)*Table6[[#This Row],[Breakdown Time]]</f>
        <v>13.743749999999951</v>
      </c>
      <c r="AB677" s="102"/>
      <c r="AC677" s="35"/>
      <c r="AD677" s="35"/>
    </row>
    <row r="678" spans="1:30">
      <c r="A678" s="102">
        <f t="shared" si="11"/>
        <v>677</v>
      </c>
      <c r="B678" s="468">
        <f>YEAR(Table6[[#This Row],[Date]])+IF(MONTH(Table6[[#This Row],[Date]])&gt;=4,1,0)</f>
        <v>2026</v>
      </c>
      <c r="C678" s="102">
        <f>YEAR(Table6[[#This Row],[Date]])</f>
        <v>2025</v>
      </c>
      <c r="D678" s="102" t="s">
        <v>1992</v>
      </c>
      <c r="E678" s="469">
        <f>Table6[[#This Row],[Date]]-DAY(Table6[[#This Row],[Date]])+1</f>
        <v>45778</v>
      </c>
      <c r="F678" s="470">
        <v>45786</v>
      </c>
      <c r="G678" s="35" t="s">
        <v>98</v>
      </c>
      <c r="H678" s="35" t="str">
        <f>IFERROR(_xlfn.XLOOKUP(Table6[[#This Row],[Affected WTG]],'Basic Data'!$A:$A,'Basic Data'!$B:$B),"")</f>
        <v>TQGXIIPL</v>
      </c>
      <c r="I678" s="35" t="str">
        <f>IFERROR(_xlfn.XLOOKUP(Table6[[#This Row],[Affected WTG]],'Basic Data'!$A:$A,'Basic Data'!$C:$C),"")</f>
        <v>GEDA</v>
      </c>
      <c r="J678" s="471">
        <f>IFERROR(_xlfn.XLOOKUP(Table6[[#This Row],[Affected WTG]],'Basic Data'!$A:$A,'Basic Data'!$E:$E),"")</f>
        <v>3.846153846153845E-2</v>
      </c>
      <c r="K678" s="102">
        <v>55</v>
      </c>
      <c r="L678" s="35" t="str">
        <f>IFERROR(_xlfn.XLOOKUP(Table6[[#This Row],[Error Code]],'Basic Data'!$AA:$AA,'Basic Data'!$AB:$AB),"Incorrect Error Code")</f>
        <v>WTG shut down</v>
      </c>
      <c r="M678" s="35" t="s">
        <v>291</v>
      </c>
      <c r="N678" s="475"/>
      <c r="O678" s="476">
        <v>0.69027777777777777</v>
      </c>
      <c r="P678" s="476">
        <v>0.69027777777777777</v>
      </c>
      <c r="Q678" s="477">
        <v>0.69236111111111109</v>
      </c>
      <c r="R678" s="472">
        <f>IF(Table6[[#This Row],[Work Start TimeStamp]]="","",(Table6[[#This Row],[Work Start TimeStamp]]-Table6[[#This Row],[Fault Start TimeStamp]])*24)</f>
        <v>0</v>
      </c>
      <c r="S678" s="472">
        <f>(Table6[[#This Row],[Fault Clearance time]]-Table6[[#This Row],[Work Start TimeStamp]])*24</f>
        <v>4.9999999999999822E-2</v>
      </c>
      <c r="T678" s="472">
        <f>(Table6[[#This Row],[Fault Clearance time]]-Table6[[#This Row],[Fault Start TimeStamp]])*24</f>
        <v>4.9999999999999822E-2</v>
      </c>
      <c r="U678" s="35" t="s">
        <v>389</v>
      </c>
      <c r="V678" s="102" t="s">
        <v>293</v>
      </c>
      <c r="W678" s="478">
        <f>IFERROR(Table6[[#This Row],[Breakdown Time]]*Table6[[#This Row],[Plant Equivalent Weightage]],"")</f>
        <v>1.9230769230769156E-3</v>
      </c>
      <c r="X678" s="473" t="s">
        <v>290</v>
      </c>
      <c r="Y678" s="474" t="s">
        <v>315</v>
      </c>
      <c r="Z678" s="102">
        <v>9128</v>
      </c>
      <c r="AA678" s="468">
        <f>(Table6[[#This Row],[Paired WTG Generation for loss calculation]]/24)*Table6[[#This Row],[Breakdown Time]]</f>
        <v>19.016666666666598</v>
      </c>
      <c r="AB678" s="102"/>
      <c r="AC678" s="35"/>
      <c r="AD678" s="35"/>
    </row>
    <row r="679" spans="1:30">
      <c r="A679" s="102">
        <f t="shared" si="11"/>
        <v>678</v>
      </c>
      <c r="B679" s="468">
        <f>YEAR(Table6[[#This Row],[Date]])+IF(MONTH(Table6[[#This Row],[Date]])&gt;=4,1,0)</f>
        <v>2026</v>
      </c>
      <c r="C679" s="102">
        <f>YEAR(Table6[[#This Row],[Date]])</f>
        <v>2025</v>
      </c>
      <c r="D679" s="102" t="s">
        <v>1992</v>
      </c>
      <c r="E679" s="469">
        <f>Table6[[#This Row],[Date]]-DAY(Table6[[#This Row],[Date]])+1</f>
        <v>45778</v>
      </c>
      <c r="F679" s="470">
        <v>45786</v>
      </c>
      <c r="G679" s="35" t="s">
        <v>99</v>
      </c>
      <c r="H679" s="35" t="str">
        <f>IFERROR(_xlfn.XLOOKUP(Table6[[#This Row],[Affected WTG]],'Basic Data'!$A:$A,'Basic Data'!$B:$B),"")</f>
        <v>TQGXIIPL</v>
      </c>
      <c r="I679" s="35" t="str">
        <f>IFERROR(_xlfn.XLOOKUP(Table6[[#This Row],[Affected WTG]],'Basic Data'!$A:$A,'Basic Data'!$C:$C),"")</f>
        <v>GEDA</v>
      </c>
      <c r="J679" s="471">
        <f>IFERROR(_xlfn.XLOOKUP(Table6[[#This Row],[Affected WTG]],'Basic Data'!$A:$A,'Basic Data'!$E:$E),"")</f>
        <v>3.846153846153845E-2</v>
      </c>
      <c r="K679" s="102">
        <v>55</v>
      </c>
      <c r="L679" s="35" t="str">
        <f>IFERROR(_xlfn.XLOOKUP(Table6[[#This Row],[Error Code]],'Basic Data'!$AA:$AA,'Basic Data'!$AB:$AB),"Incorrect Error Code")</f>
        <v>WTG shut down</v>
      </c>
      <c r="M679" s="35" t="s">
        <v>291</v>
      </c>
      <c r="N679" s="475"/>
      <c r="O679" s="476">
        <v>0.69027777777777777</v>
      </c>
      <c r="P679" s="476">
        <v>0.69027777777777777</v>
      </c>
      <c r="Q679" s="477">
        <v>0.69236111111111109</v>
      </c>
      <c r="R679" s="472">
        <f>IF(Table6[[#This Row],[Work Start TimeStamp]]="","",(Table6[[#This Row],[Work Start TimeStamp]]-Table6[[#This Row],[Fault Start TimeStamp]])*24)</f>
        <v>0</v>
      </c>
      <c r="S679" s="472">
        <f>(Table6[[#This Row],[Fault Clearance time]]-Table6[[#This Row],[Work Start TimeStamp]])*24</f>
        <v>4.9999999999999822E-2</v>
      </c>
      <c r="T679" s="472">
        <f>(Table6[[#This Row],[Fault Clearance time]]-Table6[[#This Row],[Fault Start TimeStamp]])*24</f>
        <v>4.9999999999999822E-2</v>
      </c>
      <c r="U679" s="35" t="s">
        <v>389</v>
      </c>
      <c r="V679" s="102" t="s">
        <v>293</v>
      </c>
      <c r="W679" s="478">
        <f>IFERROR(Table6[[#This Row],[Breakdown Time]]*Table6[[#This Row],[Plant Equivalent Weightage]],"")</f>
        <v>1.9230769230769156E-3</v>
      </c>
      <c r="X679" s="473" t="s">
        <v>290</v>
      </c>
      <c r="Y679" s="474" t="s">
        <v>315</v>
      </c>
      <c r="Z679" s="102">
        <v>9128</v>
      </c>
      <c r="AA679" s="468">
        <f>(Table6[[#This Row],[Paired WTG Generation for loss calculation]]/24)*Table6[[#This Row],[Breakdown Time]]</f>
        <v>19.016666666666598</v>
      </c>
      <c r="AB679" s="102"/>
      <c r="AC679" s="35"/>
      <c r="AD679" s="35"/>
    </row>
    <row r="680" spans="1:30">
      <c r="A680" s="102">
        <f t="shared" si="11"/>
        <v>679</v>
      </c>
      <c r="B680" s="468">
        <f>YEAR(Table6[[#This Row],[Date]])+IF(MONTH(Table6[[#This Row],[Date]])&gt;=4,1,0)</f>
        <v>2026</v>
      </c>
      <c r="C680" s="102">
        <f>YEAR(Table6[[#This Row],[Date]])</f>
        <v>2025</v>
      </c>
      <c r="D680" s="102" t="s">
        <v>1992</v>
      </c>
      <c r="E680" s="469">
        <f>Table6[[#This Row],[Date]]-DAY(Table6[[#This Row],[Date]])+1</f>
        <v>45778</v>
      </c>
      <c r="F680" s="470">
        <v>45787</v>
      </c>
      <c r="G680" s="35" t="s">
        <v>81</v>
      </c>
      <c r="H680" s="35" t="str">
        <f>IFERROR(_xlfn.XLOOKUP(Table6[[#This Row],[Affected WTG]],'Basic Data'!$A:$A,'Basic Data'!$B:$B),"")</f>
        <v>TQGXIIPL</v>
      </c>
      <c r="I680" s="35" t="str">
        <f>IFERROR(_xlfn.XLOOKUP(Table6[[#This Row],[Affected WTG]],'Basic Data'!$A:$A,'Basic Data'!$C:$C),"")</f>
        <v>GEDA</v>
      </c>
      <c r="J680" s="471">
        <f>IFERROR(_xlfn.XLOOKUP(Table6[[#This Row],[Affected WTG]],'Basic Data'!$A:$A,'Basic Data'!$E:$E),"")</f>
        <v>3.846153846153845E-2</v>
      </c>
      <c r="K680" s="102">
        <v>6210</v>
      </c>
      <c r="L680" s="35" t="str">
        <f>IFERROR(_xlfn.XLOOKUP(Table6[[#This Row],[Error Code]],'Basic Data'!$AA:$AA,'Basic Data'!$AB:$AB),"Incorrect Error Code")</f>
        <v>Max. cable twistangle</v>
      </c>
      <c r="M680" s="35" t="s">
        <v>291</v>
      </c>
      <c r="N680" s="475"/>
      <c r="O680" s="476">
        <v>0.18819444444444444</v>
      </c>
      <c r="P680" s="476">
        <v>0.18819444444444444</v>
      </c>
      <c r="Q680" s="477">
        <v>0.24583333333333332</v>
      </c>
      <c r="R680" s="472">
        <f>IF(Table6[[#This Row],[Work Start TimeStamp]]="","",(Table6[[#This Row],[Work Start TimeStamp]]-Table6[[#This Row],[Fault Start TimeStamp]])*24)</f>
        <v>0</v>
      </c>
      <c r="S680" s="472">
        <f>(Table6[[#This Row],[Fault Clearance time]]-Table6[[#This Row],[Work Start TimeStamp]])*24</f>
        <v>1.3833333333333331</v>
      </c>
      <c r="T680" s="472">
        <f>(Table6[[#This Row],[Fault Clearance time]]-Table6[[#This Row],[Fault Start TimeStamp]])*24</f>
        <v>1.3833333333333331</v>
      </c>
      <c r="U680" s="35" t="s">
        <v>1799</v>
      </c>
      <c r="V680" s="102" t="s">
        <v>293</v>
      </c>
      <c r="W680" s="478">
        <f>IFERROR(Table6[[#This Row],[Breakdown Time]]*Table6[[#This Row],[Plant Equivalent Weightage]],"")</f>
        <v>5.3205128205128183E-2</v>
      </c>
      <c r="X680" s="473" t="s">
        <v>290</v>
      </c>
      <c r="Y680" s="474" t="s">
        <v>321</v>
      </c>
      <c r="Z680" s="102">
        <v>14169</v>
      </c>
      <c r="AA680" s="468">
        <f>(Table6[[#This Row],[Paired WTG Generation for loss calculation]]/24)*Table6[[#This Row],[Breakdown Time]]</f>
        <v>816.68541666666647</v>
      </c>
      <c r="AB680" s="102"/>
      <c r="AC680" s="35"/>
      <c r="AD680" s="35"/>
    </row>
    <row r="681" spans="1:30">
      <c r="A681" s="102">
        <f t="shared" si="11"/>
        <v>680</v>
      </c>
      <c r="B681" s="468">
        <f>YEAR(Table6[[#This Row],[Date]])+IF(MONTH(Table6[[#This Row],[Date]])&gt;=4,1,0)</f>
        <v>2026</v>
      </c>
      <c r="C681" s="102">
        <f>YEAR(Table6[[#This Row],[Date]])</f>
        <v>2025</v>
      </c>
      <c r="D681" s="102" t="s">
        <v>1992</v>
      </c>
      <c r="E681" s="469">
        <f>Table6[[#This Row],[Date]]-DAY(Table6[[#This Row],[Date]])+1</f>
        <v>45778</v>
      </c>
      <c r="F681" s="470">
        <v>45787</v>
      </c>
      <c r="G681" s="35" t="s">
        <v>81</v>
      </c>
      <c r="H681" s="35" t="str">
        <f>IFERROR(_xlfn.XLOOKUP(Table6[[#This Row],[Affected WTG]],'Basic Data'!$A:$A,'Basic Data'!$B:$B),"")</f>
        <v>TQGXIIPL</v>
      </c>
      <c r="I681" s="35" t="str">
        <f>IFERROR(_xlfn.XLOOKUP(Table6[[#This Row],[Affected WTG]],'Basic Data'!$A:$A,'Basic Data'!$C:$C),"")</f>
        <v>GEDA</v>
      </c>
      <c r="J681" s="471">
        <f>IFERROR(_xlfn.XLOOKUP(Table6[[#This Row],[Affected WTG]],'Basic Data'!$A:$A,'Basic Data'!$E:$E),"")</f>
        <v>3.846153846153845E-2</v>
      </c>
      <c r="K681" s="102">
        <v>55</v>
      </c>
      <c r="L681" s="35" t="str">
        <f>IFERROR(_xlfn.XLOOKUP(Table6[[#This Row],[Error Code]],'Basic Data'!$AA:$AA,'Basic Data'!$AB:$AB),"Incorrect Error Code")</f>
        <v>WTG shut down</v>
      </c>
      <c r="M681" s="35" t="s">
        <v>291</v>
      </c>
      <c r="N681" s="475"/>
      <c r="O681" s="476">
        <v>0.46388888888888891</v>
      </c>
      <c r="P681" s="476">
        <v>0.46388888888888891</v>
      </c>
      <c r="Q681" s="477">
        <v>0.61458333333333337</v>
      </c>
      <c r="R681" s="472">
        <f>IF(Table6[[#This Row],[Work Start TimeStamp]]="","",(Table6[[#This Row],[Work Start TimeStamp]]-Table6[[#This Row],[Fault Start TimeStamp]])*24)</f>
        <v>0</v>
      </c>
      <c r="S681" s="472">
        <f>(Table6[[#This Row],[Fault Clearance time]]-Table6[[#This Row],[Work Start TimeStamp]])*24</f>
        <v>3.6166666666666671</v>
      </c>
      <c r="T681" s="472">
        <f>(Table6[[#This Row],[Fault Clearance time]]-Table6[[#This Row],[Fault Start TimeStamp]])*24</f>
        <v>3.6166666666666671</v>
      </c>
      <c r="U681" s="35" t="s">
        <v>1800</v>
      </c>
      <c r="V681" s="102" t="s">
        <v>293</v>
      </c>
      <c r="W681" s="478">
        <f>IFERROR(Table6[[#This Row],[Breakdown Time]]*Table6[[#This Row],[Plant Equivalent Weightage]],"")</f>
        <v>0.13910256410256408</v>
      </c>
      <c r="X681" s="473" t="s">
        <v>290</v>
      </c>
      <c r="Y681" s="474" t="s">
        <v>321</v>
      </c>
      <c r="Z681" s="102">
        <v>14169</v>
      </c>
      <c r="AA681" s="468">
        <f>(Table6[[#This Row],[Paired WTG Generation for loss calculation]]/24)*Table6[[#This Row],[Breakdown Time]]</f>
        <v>2135.1895833333338</v>
      </c>
      <c r="AB681" s="102"/>
      <c r="AC681" s="35"/>
      <c r="AD681" s="35"/>
    </row>
    <row r="682" spans="1:30">
      <c r="A682" s="102">
        <f t="shared" si="11"/>
        <v>681</v>
      </c>
      <c r="B682" s="468">
        <f>YEAR(Table6[[#This Row],[Date]])+IF(MONTH(Table6[[#This Row],[Date]])&gt;=4,1,0)</f>
        <v>2026</v>
      </c>
      <c r="C682" s="102">
        <f>YEAR(Table6[[#This Row],[Date]])</f>
        <v>2025</v>
      </c>
      <c r="D682" s="102" t="s">
        <v>1992</v>
      </c>
      <c r="E682" s="469">
        <f>Table6[[#This Row],[Date]]-DAY(Table6[[#This Row],[Date]])+1</f>
        <v>45778</v>
      </c>
      <c r="F682" s="470">
        <v>45787</v>
      </c>
      <c r="G682" s="35" t="s">
        <v>90</v>
      </c>
      <c r="H682" s="35" t="str">
        <f>IFERROR(_xlfn.XLOOKUP(Table6[[#This Row],[Affected WTG]],'Basic Data'!$A:$A,'Basic Data'!$B:$B),"")</f>
        <v>TQGXIIPL</v>
      </c>
      <c r="I682" s="35" t="str">
        <f>IFERROR(_xlfn.XLOOKUP(Table6[[#This Row],[Affected WTG]],'Basic Data'!$A:$A,'Basic Data'!$C:$C),"")</f>
        <v>GEDA</v>
      </c>
      <c r="J682" s="471">
        <f>IFERROR(_xlfn.XLOOKUP(Table6[[#This Row],[Affected WTG]],'Basic Data'!$A:$A,'Basic Data'!$E:$E),"")</f>
        <v>3.846153846153845E-2</v>
      </c>
      <c r="K682" s="102">
        <v>55</v>
      </c>
      <c r="L682" s="35" t="str">
        <f>IFERROR(_xlfn.XLOOKUP(Table6[[#This Row],[Error Code]],'Basic Data'!$AA:$AA,'Basic Data'!$AB:$AB),"Incorrect Error Code")</f>
        <v>WTG shut down</v>
      </c>
      <c r="M682" s="35" t="s">
        <v>291</v>
      </c>
      <c r="N682" s="475"/>
      <c r="O682" s="476">
        <v>0.50277777777777777</v>
      </c>
      <c r="P682" s="476">
        <v>0.50277777777777777</v>
      </c>
      <c r="Q682" s="477">
        <v>0.54166666666666663</v>
      </c>
      <c r="R682" s="472">
        <f>IF(Table6[[#This Row],[Work Start TimeStamp]]="","",(Table6[[#This Row],[Work Start TimeStamp]]-Table6[[#This Row],[Fault Start TimeStamp]])*24)</f>
        <v>0</v>
      </c>
      <c r="S682" s="472">
        <f>(Table6[[#This Row],[Fault Clearance time]]-Table6[[#This Row],[Work Start TimeStamp]])*24</f>
        <v>0.93333333333333268</v>
      </c>
      <c r="T682" s="472">
        <f>(Table6[[#This Row],[Fault Clearance time]]-Table6[[#This Row],[Fault Start TimeStamp]])*24</f>
        <v>0.93333333333333268</v>
      </c>
      <c r="U682" s="35" t="s">
        <v>1801</v>
      </c>
      <c r="V682" s="102" t="s">
        <v>293</v>
      </c>
      <c r="W682" s="478">
        <f>IFERROR(Table6[[#This Row],[Breakdown Time]]*Table6[[#This Row],[Plant Equivalent Weightage]],"")</f>
        <v>3.589743589743586E-2</v>
      </c>
      <c r="X682" s="473" t="s">
        <v>290</v>
      </c>
      <c r="Y682" s="474" t="s">
        <v>339</v>
      </c>
      <c r="Z682" s="102">
        <v>15068</v>
      </c>
      <c r="AA682" s="468">
        <f>(Table6[[#This Row],[Paired WTG Generation for loss calculation]]/24)*Table6[[#This Row],[Breakdown Time]]</f>
        <v>585.97777777777742</v>
      </c>
      <c r="AB682" s="102"/>
      <c r="AC682" s="35"/>
      <c r="AD682" s="35"/>
    </row>
    <row r="683" spans="1:30">
      <c r="A683" s="102">
        <f t="shared" si="11"/>
        <v>682</v>
      </c>
      <c r="B683" s="468">
        <f>YEAR(Table6[[#This Row],[Date]])+IF(MONTH(Table6[[#This Row],[Date]])&gt;=4,1,0)</f>
        <v>2026</v>
      </c>
      <c r="C683" s="102">
        <f>YEAR(Table6[[#This Row],[Date]])</f>
        <v>2025</v>
      </c>
      <c r="D683" s="102" t="s">
        <v>1992</v>
      </c>
      <c r="E683" s="469">
        <f>Table6[[#This Row],[Date]]-DAY(Table6[[#This Row],[Date]])+1</f>
        <v>45778</v>
      </c>
      <c r="F683" s="470">
        <v>45787</v>
      </c>
      <c r="G683" s="35" t="s">
        <v>90</v>
      </c>
      <c r="H683" s="35" t="str">
        <f>IFERROR(_xlfn.XLOOKUP(Table6[[#This Row],[Affected WTG]],'Basic Data'!$A:$A,'Basic Data'!$B:$B),"")</f>
        <v>TQGXIIPL</v>
      </c>
      <c r="I683" s="35" t="str">
        <f>IFERROR(_xlfn.XLOOKUP(Table6[[#This Row],[Affected WTG]],'Basic Data'!$A:$A,'Basic Data'!$C:$C),"")</f>
        <v>GEDA</v>
      </c>
      <c r="J683" s="471">
        <f>IFERROR(_xlfn.XLOOKUP(Table6[[#This Row],[Affected WTG]],'Basic Data'!$A:$A,'Basic Data'!$E:$E),"")</f>
        <v>3.846153846153845E-2</v>
      </c>
      <c r="K683" s="102">
        <v>55</v>
      </c>
      <c r="L683" s="35" t="str">
        <f>IFERROR(_xlfn.XLOOKUP(Table6[[#This Row],[Error Code]],'Basic Data'!$AA:$AA,'Basic Data'!$AB:$AB),"Incorrect Error Code")</f>
        <v>WTG shut down</v>
      </c>
      <c r="M683" s="35" t="s">
        <v>291</v>
      </c>
      <c r="N683" s="475"/>
      <c r="O683" s="476">
        <v>0.69374999999999998</v>
      </c>
      <c r="P683" s="476">
        <v>0.69374999999999998</v>
      </c>
      <c r="Q683" s="477">
        <v>0.71875</v>
      </c>
      <c r="R683" s="472">
        <f>IF(Table6[[#This Row],[Work Start TimeStamp]]="","",(Table6[[#This Row],[Work Start TimeStamp]]-Table6[[#This Row],[Fault Start TimeStamp]])*24)</f>
        <v>0</v>
      </c>
      <c r="S683" s="472">
        <f>(Table6[[#This Row],[Fault Clearance time]]-Table6[[#This Row],[Work Start TimeStamp]])*24</f>
        <v>0.60000000000000053</v>
      </c>
      <c r="T683" s="472">
        <f>(Table6[[#This Row],[Fault Clearance time]]-Table6[[#This Row],[Fault Start TimeStamp]])*24</f>
        <v>0.60000000000000053</v>
      </c>
      <c r="U683" s="35" t="s">
        <v>1802</v>
      </c>
      <c r="V683" s="102" t="s">
        <v>293</v>
      </c>
      <c r="W683" s="478">
        <f>IFERROR(Table6[[#This Row],[Breakdown Time]]*Table6[[#This Row],[Plant Equivalent Weightage]],"")</f>
        <v>2.3076923076923092E-2</v>
      </c>
      <c r="X683" s="473" t="s">
        <v>290</v>
      </c>
      <c r="Y683" s="474" t="s">
        <v>339</v>
      </c>
      <c r="Z683" s="102">
        <v>15068</v>
      </c>
      <c r="AA683" s="468">
        <f>(Table6[[#This Row],[Paired WTG Generation for loss calculation]]/24)*Table6[[#This Row],[Breakdown Time]]</f>
        <v>376.70000000000033</v>
      </c>
      <c r="AB683" s="102"/>
      <c r="AC683" s="35"/>
      <c r="AD683" s="35"/>
    </row>
    <row r="684" spans="1:30">
      <c r="A684" s="102">
        <f t="shared" si="11"/>
        <v>683</v>
      </c>
      <c r="B684" s="468">
        <f>YEAR(Table6[[#This Row],[Date]])+IF(MONTH(Table6[[#This Row],[Date]])&gt;=4,1,0)</f>
        <v>2026</v>
      </c>
      <c r="C684" s="102">
        <f>YEAR(Table6[[#This Row],[Date]])</f>
        <v>2025</v>
      </c>
      <c r="D684" s="102" t="s">
        <v>1992</v>
      </c>
      <c r="E684" s="469">
        <f>Table6[[#This Row],[Date]]-DAY(Table6[[#This Row],[Date]])+1</f>
        <v>45778</v>
      </c>
      <c r="F684" s="470">
        <v>45787</v>
      </c>
      <c r="G684" s="35" t="s">
        <v>96</v>
      </c>
      <c r="H684" s="35" t="str">
        <f>IFERROR(_xlfn.XLOOKUP(Table6[[#This Row],[Affected WTG]],'Basic Data'!$A:$A,'Basic Data'!$B:$B),"")</f>
        <v>TQGXIIPL</v>
      </c>
      <c r="I684" s="35" t="str">
        <f>IFERROR(_xlfn.XLOOKUP(Table6[[#This Row],[Affected WTG]],'Basic Data'!$A:$A,'Basic Data'!$C:$C),"")</f>
        <v>GEDA</v>
      </c>
      <c r="J684" s="471">
        <f>IFERROR(_xlfn.XLOOKUP(Table6[[#This Row],[Affected WTG]],'Basic Data'!$A:$A,'Basic Data'!$E:$E),"")</f>
        <v>3.846153846153845E-2</v>
      </c>
      <c r="K684" s="102">
        <v>5510</v>
      </c>
      <c r="L684" s="35" t="str">
        <f>IFERROR(_xlfn.XLOOKUP(Table6[[#This Row],[Error Code]],'Basic Data'!$AA:$AA,'Basic Data'!$AB:$AB),"Incorrect Error Code")</f>
        <v>Low hydraulic pressure</v>
      </c>
      <c r="M684" s="35" t="s">
        <v>291</v>
      </c>
      <c r="N684" s="475"/>
      <c r="O684" s="476">
        <v>0.12847222222222221</v>
      </c>
      <c r="P684" s="476">
        <v>0.15416666666666667</v>
      </c>
      <c r="Q684" s="477">
        <v>0.21527777777777779</v>
      </c>
      <c r="R684" s="472">
        <f>IF(Table6[[#This Row],[Work Start TimeStamp]]="","",(Table6[[#This Row],[Work Start TimeStamp]]-Table6[[#This Row],[Fault Start TimeStamp]])*24)</f>
        <v>0.61666666666666714</v>
      </c>
      <c r="S684" s="472">
        <f>(Table6[[#This Row],[Fault Clearance time]]-Table6[[#This Row],[Work Start TimeStamp]])*24</f>
        <v>1.4666666666666668</v>
      </c>
      <c r="T684" s="472">
        <f>(Table6[[#This Row],[Fault Clearance time]]-Table6[[#This Row],[Fault Start TimeStamp]])*24</f>
        <v>2.0833333333333339</v>
      </c>
      <c r="U684" s="35" t="s">
        <v>1803</v>
      </c>
      <c r="V684" s="102" t="s">
        <v>293</v>
      </c>
      <c r="W684" s="478">
        <f>IFERROR(Table6[[#This Row],[Breakdown Time]]*Table6[[#This Row],[Plant Equivalent Weightage]],"")</f>
        <v>8.0128205128205121E-2</v>
      </c>
      <c r="X684" s="473" t="s">
        <v>290</v>
      </c>
      <c r="Y684" s="474" t="s">
        <v>313</v>
      </c>
      <c r="Z684" s="102">
        <v>13194</v>
      </c>
      <c r="AA684" s="468">
        <f>(Table6[[#This Row],[Paired WTG Generation for loss calculation]]/24)*Table6[[#This Row],[Breakdown Time]]</f>
        <v>1145.3125000000002</v>
      </c>
      <c r="AB684" s="102"/>
      <c r="AC684" s="35"/>
      <c r="AD684" s="35"/>
    </row>
    <row r="685" spans="1:30">
      <c r="A685" s="102">
        <f t="shared" si="11"/>
        <v>684</v>
      </c>
      <c r="B685" s="468">
        <f>YEAR(Table6[[#This Row],[Date]])+IF(MONTH(Table6[[#This Row],[Date]])&gt;=4,1,0)</f>
        <v>2026</v>
      </c>
      <c r="C685" s="102">
        <f>YEAR(Table6[[#This Row],[Date]])</f>
        <v>2025</v>
      </c>
      <c r="D685" s="102" t="s">
        <v>1992</v>
      </c>
      <c r="E685" s="469">
        <f>Table6[[#This Row],[Date]]-DAY(Table6[[#This Row],[Date]])+1</f>
        <v>45778</v>
      </c>
      <c r="F685" s="470">
        <v>45788</v>
      </c>
      <c r="G685" s="35" t="s">
        <v>74</v>
      </c>
      <c r="H685" s="35" t="str">
        <f>IFERROR(_xlfn.XLOOKUP(Table6[[#This Row],[Affected WTG]],'Basic Data'!$A:$A,'Basic Data'!$B:$B),"")</f>
        <v>TQGXIIPL</v>
      </c>
      <c r="I685" s="35" t="str">
        <f>IFERROR(_xlfn.XLOOKUP(Table6[[#This Row],[Affected WTG]],'Basic Data'!$A:$A,'Basic Data'!$C:$C),"")</f>
        <v>GEDA</v>
      </c>
      <c r="J685" s="471">
        <f>IFERROR(_xlfn.XLOOKUP(Table6[[#This Row],[Affected WTG]],'Basic Data'!$A:$A,'Basic Data'!$E:$E),"")</f>
        <v>3.846153846153845E-2</v>
      </c>
      <c r="K685" s="102">
        <v>55</v>
      </c>
      <c r="L685" s="35" t="str">
        <f>IFERROR(_xlfn.XLOOKUP(Table6[[#This Row],[Error Code]],'Basic Data'!$AA:$AA,'Basic Data'!$AB:$AB),"Incorrect Error Code")</f>
        <v>WTG shut down</v>
      </c>
      <c r="M685" s="35" t="s">
        <v>330</v>
      </c>
      <c r="N685" s="475"/>
      <c r="O685" s="476">
        <v>0.69652777777777775</v>
      </c>
      <c r="P685" s="476">
        <v>0.69652777777777775</v>
      </c>
      <c r="Q685" s="477">
        <v>0.71944444444444444</v>
      </c>
      <c r="R685" s="472">
        <f>IF(Table6[[#This Row],[Work Start TimeStamp]]="","",(Table6[[#This Row],[Work Start TimeStamp]]-Table6[[#This Row],[Fault Start TimeStamp]])*24)</f>
        <v>0</v>
      </c>
      <c r="S685" s="472">
        <f>(Table6[[#This Row],[Fault Clearance time]]-Table6[[#This Row],[Work Start TimeStamp]])*24</f>
        <v>0.55000000000000071</v>
      </c>
      <c r="T685" s="472">
        <f>(Table6[[#This Row],[Fault Clearance time]]-Table6[[#This Row],[Fault Start TimeStamp]])*24</f>
        <v>0.55000000000000071</v>
      </c>
      <c r="U685" s="35" t="s">
        <v>1744</v>
      </c>
      <c r="V685" s="102" t="s">
        <v>293</v>
      </c>
      <c r="W685" s="478">
        <f>IFERROR(Table6[[#This Row],[Breakdown Time]]*Table6[[#This Row],[Plant Equivalent Weightage]],"")</f>
        <v>2.1153846153846176E-2</v>
      </c>
      <c r="X685" s="473" t="s">
        <v>294</v>
      </c>
      <c r="Y685" s="474" t="s">
        <v>321</v>
      </c>
      <c r="Z685" s="102">
        <v>10027</v>
      </c>
      <c r="AA685" s="468">
        <f>(Table6[[#This Row],[Paired WTG Generation for loss calculation]]/24)*Table6[[#This Row],[Breakdown Time]]</f>
        <v>229.78541666666698</v>
      </c>
      <c r="AB685" s="102"/>
      <c r="AC685" s="35"/>
      <c r="AD685" s="35"/>
    </row>
    <row r="686" spans="1:30">
      <c r="A686" s="102">
        <f t="shared" si="11"/>
        <v>685</v>
      </c>
      <c r="B686" s="468">
        <f>YEAR(Table6[[#This Row],[Date]])+IF(MONTH(Table6[[#This Row],[Date]])&gt;=4,1,0)</f>
        <v>2026</v>
      </c>
      <c r="C686" s="102">
        <f>YEAR(Table6[[#This Row],[Date]])</f>
        <v>2025</v>
      </c>
      <c r="D686" s="102" t="s">
        <v>1992</v>
      </c>
      <c r="E686" s="469">
        <f>Table6[[#This Row],[Date]]-DAY(Table6[[#This Row],[Date]])+1</f>
        <v>45778</v>
      </c>
      <c r="F686" s="470">
        <v>45788</v>
      </c>
      <c r="G686" s="35" t="s">
        <v>77</v>
      </c>
      <c r="H686" s="35" t="str">
        <f>IFERROR(_xlfn.XLOOKUP(Table6[[#This Row],[Affected WTG]],'Basic Data'!$A:$A,'Basic Data'!$B:$B),"")</f>
        <v>TQGXIIPL</v>
      </c>
      <c r="I686" s="35" t="str">
        <f>IFERROR(_xlfn.XLOOKUP(Table6[[#This Row],[Affected WTG]],'Basic Data'!$A:$A,'Basic Data'!$C:$C),"")</f>
        <v>GEDA</v>
      </c>
      <c r="J686" s="471">
        <f>IFERROR(_xlfn.XLOOKUP(Table6[[#This Row],[Affected WTG]],'Basic Data'!$A:$A,'Basic Data'!$E:$E),"")</f>
        <v>3.846153846153845E-2</v>
      </c>
      <c r="K686" s="102">
        <v>55</v>
      </c>
      <c r="L686" s="35" t="str">
        <f>IFERROR(_xlfn.XLOOKUP(Table6[[#This Row],[Error Code]],'Basic Data'!$AA:$AA,'Basic Data'!$AB:$AB),"Incorrect Error Code")</f>
        <v>WTG shut down</v>
      </c>
      <c r="M686" s="35" t="s">
        <v>308</v>
      </c>
      <c r="N686" s="475"/>
      <c r="O686" s="476">
        <v>0.72638888888888886</v>
      </c>
      <c r="P686" s="476">
        <v>0.72638888888888886</v>
      </c>
      <c r="Q686" s="477">
        <v>0.73750000000000004</v>
      </c>
      <c r="R686" s="472">
        <f>IF(Table6[[#This Row],[Work Start TimeStamp]]="","",(Table6[[#This Row],[Work Start TimeStamp]]-Table6[[#This Row],[Fault Start TimeStamp]])*24)</f>
        <v>0</v>
      </c>
      <c r="S686" s="472">
        <f>(Table6[[#This Row],[Fault Clearance time]]-Table6[[#This Row],[Work Start TimeStamp]])*24</f>
        <v>0.26666666666666838</v>
      </c>
      <c r="T686" s="472">
        <f>(Table6[[#This Row],[Fault Clearance time]]-Table6[[#This Row],[Fault Start TimeStamp]])*24</f>
        <v>0.26666666666666838</v>
      </c>
      <c r="U686" s="35" t="s">
        <v>1804</v>
      </c>
      <c r="V686" s="102" t="s">
        <v>293</v>
      </c>
      <c r="W686" s="478">
        <f>IFERROR(Table6[[#This Row],[Breakdown Time]]*Table6[[#This Row],[Plant Equivalent Weightage]],"")</f>
        <v>1.0256410256410319E-2</v>
      </c>
      <c r="X686" s="473" t="s">
        <v>290</v>
      </c>
      <c r="Y686" s="474" t="s">
        <v>310</v>
      </c>
      <c r="Z686" s="102">
        <v>12314</v>
      </c>
      <c r="AA686" s="468">
        <f>(Table6[[#This Row],[Paired WTG Generation for loss calculation]]/24)*Table6[[#This Row],[Breakdown Time]]</f>
        <v>136.8222222222231</v>
      </c>
      <c r="AB686" s="102"/>
      <c r="AC686" s="35"/>
      <c r="AD686" s="35"/>
    </row>
    <row r="687" spans="1:30">
      <c r="A687" s="102">
        <f t="shared" si="11"/>
        <v>686</v>
      </c>
      <c r="B687" s="468">
        <f>YEAR(Table6[[#This Row],[Date]])+IF(MONTH(Table6[[#This Row],[Date]])&gt;=4,1,0)</f>
        <v>2026</v>
      </c>
      <c r="C687" s="102">
        <f>YEAR(Table6[[#This Row],[Date]])</f>
        <v>2025</v>
      </c>
      <c r="D687" s="102" t="s">
        <v>1992</v>
      </c>
      <c r="E687" s="469">
        <f>Table6[[#This Row],[Date]]-DAY(Table6[[#This Row],[Date]])+1</f>
        <v>45778</v>
      </c>
      <c r="F687" s="470">
        <v>45788</v>
      </c>
      <c r="G687" s="35" t="s">
        <v>79</v>
      </c>
      <c r="H687" s="35" t="str">
        <f>IFERROR(_xlfn.XLOOKUP(Table6[[#This Row],[Affected WTG]],'Basic Data'!$A:$A,'Basic Data'!$B:$B),"")</f>
        <v>TQGXIIPL</v>
      </c>
      <c r="I687" s="35" t="str">
        <f>IFERROR(_xlfn.XLOOKUP(Table6[[#This Row],[Affected WTG]],'Basic Data'!$A:$A,'Basic Data'!$C:$C),"")</f>
        <v>GEDA</v>
      </c>
      <c r="J687" s="471">
        <f>IFERROR(_xlfn.XLOOKUP(Table6[[#This Row],[Affected WTG]],'Basic Data'!$A:$A,'Basic Data'!$E:$E),"")</f>
        <v>3.846153846153845E-2</v>
      </c>
      <c r="K687" s="102">
        <v>55</v>
      </c>
      <c r="L687" s="35" t="str">
        <f>IFERROR(_xlfn.XLOOKUP(Table6[[#This Row],[Error Code]],'Basic Data'!$AA:$AA,'Basic Data'!$AB:$AB),"Incorrect Error Code")</f>
        <v>WTG shut down</v>
      </c>
      <c r="M687" s="35" t="s">
        <v>308</v>
      </c>
      <c r="N687" s="475"/>
      <c r="O687" s="476">
        <v>0.72638888888888886</v>
      </c>
      <c r="P687" s="476">
        <v>0.72638888888888886</v>
      </c>
      <c r="Q687" s="477">
        <v>0.73472222222222228</v>
      </c>
      <c r="R687" s="472">
        <f>IF(Table6[[#This Row],[Work Start TimeStamp]]="","",(Table6[[#This Row],[Work Start TimeStamp]]-Table6[[#This Row],[Fault Start TimeStamp]])*24)</f>
        <v>0</v>
      </c>
      <c r="S687" s="472">
        <f>(Table6[[#This Row],[Fault Clearance time]]-Table6[[#This Row],[Work Start TimeStamp]])*24</f>
        <v>0.20000000000000195</v>
      </c>
      <c r="T687" s="472">
        <f>(Table6[[#This Row],[Fault Clearance time]]-Table6[[#This Row],[Fault Start TimeStamp]])*24</f>
        <v>0.20000000000000195</v>
      </c>
      <c r="U687" s="35" t="s">
        <v>1804</v>
      </c>
      <c r="V687" s="102" t="s">
        <v>293</v>
      </c>
      <c r="W687" s="478">
        <f>IFERROR(Table6[[#This Row],[Breakdown Time]]*Table6[[#This Row],[Plant Equivalent Weightage]],"")</f>
        <v>7.6923076923077647E-3</v>
      </c>
      <c r="X687" s="473" t="s">
        <v>290</v>
      </c>
      <c r="Y687" s="474" t="s">
        <v>325</v>
      </c>
      <c r="Z687" s="102">
        <v>9404</v>
      </c>
      <c r="AA687" s="468">
        <f>(Table6[[#This Row],[Paired WTG Generation for loss calculation]]/24)*Table6[[#This Row],[Breakdown Time]]</f>
        <v>78.366666666667427</v>
      </c>
      <c r="AB687" s="102"/>
      <c r="AC687" s="35"/>
      <c r="AD687" s="35"/>
    </row>
    <row r="688" spans="1:30">
      <c r="A688" s="102">
        <f t="shared" si="11"/>
        <v>687</v>
      </c>
      <c r="B688" s="468">
        <f>YEAR(Table6[[#This Row],[Date]])+IF(MONTH(Table6[[#This Row],[Date]])&gt;=4,1,0)</f>
        <v>2026</v>
      </c>
      <c r="C688" s="102">
        <f>YEAR(Table6[[#This Row],[Date]])</f>
        <v>2025</v>
      </c>
      <c r="D688" s="102" t="s">
        <v>1992</v>
      </c>
      <c r="E688" s="469">
        <f>Table6[[#This Row],[Date]]-DAY(Table6[[#This Row],[Date]])+1</f>
        <v>45778</v>
      </c>
      <c r="F688" s="470">
        <v>45788</v>
      </c>
      <c r="G688" s="35" t="s">
        <v>80</v>
      </c>
      <c r="H688" s="35" t="str">
        <f>IFERROR(_xlfn.XLOOKUP(Table6[[#This Row],[Affected WTG]],'Basic Data'!$A:$A,'Basic Data'!$B:$B),"")</f>
        <v>TQGXIIPL</v>
      </c>
      <c r="I688" s="35" t="str">
        <f>IFERROR(_xlfn.XLOOKUP(Table6[[#This Row],[Affected WTG]],'Basic Data'!$A:$A,'Basic Data'!$C:$C),"")</f>
        <v>GEDA</v>
      </c>
      <c r="J688" s="471">
        <f>IFERROR(_xlfn.XLOOKUP(Table6[[#This Row],[Affected WTG]],'Basic Data'!$A:$A,'Basic Data'!$E:$E),"")</f>
        <v>3.846153846153845E-2</v>
      </c>
      <c r="K688" s="102">
        <v>55</v>
      </c>
      <c r="L688" s="35" t="str">
        <f>IFERROR(_xlfn.XLOOKUP(Table6[[#This Row],[Error Code]],'Basic Data'!$AA:$AA,'Basic Data'!$AB:$AB),"Incorrect Error Code")</f>
        <v>WTG shut down</v>
      </c>
      <c r="M688" s="35" t="s">
        <v>308</v>
      </c>
      <c r="N688" s="475"/>
      <c r="O688" s="476">
        <v>0.72638888888888886</v>
      </c>
      <c r="P688" s="476">
        <v>0.72638888888888886</v>
      </c>
      <c r="Q688" s="477">
        <v>0.7368055555555556</v>
      </c>
      <c r="R688" s="472">
        <f>IF(Table6[[#This Row],[Work Start TimeStamp]]="","",(Table6[[#This Row],[Work Start TimeStamp]]-Table6[[#This Row],[Fault Start TimeStamp]])*24)</f>
        <v>0</v>
      </c>
      <c r="S688" s="472">
        <f>(Table6[[#This Row],[Fault Clearance time]]-Table6[[#This Row],[Work Start TimeStamp]])*24</f>
        <v>0.25000000000000178</v>
      </c>
      <c r="T688" s="472">
        <f>(Table6[[#This Row],[Fault Clearance time]]-Table6[[#This Row],[Fault Start TimeStamp]])*24</f>
        <v>0.25000000000000178</v>
      </c>
      <c r="U688" s="35" t="s">
        <v>1804</v>
      </c>
      <c r="V688" s="102" t="s">
        <v>293</v>
      </c>
      <c r="W688" s="478">
        <f>IFERROR(Table6[[#This Row],[Breakdown Time]]*Table6[[#This Row],[Plant Equivalent Weightage]],"")</f>
        <v>9.6153846153846801E-3</v>
      </c>
      <c r="X688" s="473" t="s">
        <v>290</v>
      </c>
      <c r="Y688" s="474" t="s">
        <v>317</v>
      </c>
      <c r="Z688" s="102">
        <v>14944</v>
      </c>
      <c r="AA688" s="468">
        <f>(Table6[[#This Row],[Paired WTG Generation for loss calculation]]/24)*Table6[[#This Row],[Breakdown Time]]</f>
        <v>155.66666666666777</v>
      </c>
      <c r="AB688" s="102"/>
      <c r="AC688" s="35"/>
      <c r="AD688" s="35"/>
    </row>
    <row r="689" spans="1:30">
      <c r="A689" s="102">
        <f t="shared" si="11"/>
        <v>688</v>
      </c>
      <c r="B689" s="468">
        <f>YEAR(Table6[[#This Row],[Date]])+IF(MONTH(Table6[[#This Row],[Date]])&gt;=4,1,0)</f>
        <v>2026</v>
      </c>
      <c r="C689" s="102">
        <f>YEAR(Table6[[#This Row],[Date]])</f>
        <v>2025</v>
      </c>
      <c r="D689" s="102" t="s">
        <v>1992</v>
      </c>
      <c r="E689" s="469">
        <f>Table6[[#This Row],[Date]]-DAY(Table6[[#This Row],[Date]])+1</f>
        <v>45778</v>
      </c>
      <c r="F689" s="470">
        <v>45788</v>
      </c>
      <c r="G689" s="35" t="s">
        <v>85</v>
      </c>
      <c r="H689" s="35" t="str">
        <f>IFERROR(_xlfn.XLOOKUP(Table6[[#This Row],[Affected WTG]],'Basic Data'!$A:$A,'Basic Data'!$B:$B),"")</f>
        <v>TQGXIIPL</v>
      </c>
      <c r="I689" s="35" t="str">
        <f>IFERROR(_xlfn.XLOOKUP(Table6[[#This Row],[Affected WTG]],'Basic Data'!$A:$A,'Basic Data'!$C:$C),"")</f>
        <v>GEDA</v>
      </c>
      <c r="J689" s="471">
        <f>IFERROR(_xlfn.XLOOKUP(Table6[[#This Row],[Affected WTG]],'Basic Data'!$A:$A,'Basic Data'!$E:$E),"")</f>
        <v>3.846153846153845E-2</v>
      </c>
      <c r="K689" s="102">
        <v>5506</v>
      </c>
      <c r="L689" s="35" t="str">
        <f>IFERROR(_xlfn.XLOOKUP(Table6[[#This Row],[Error Code]],'Basic Data'!$AA:$AA,'Basic Data'!$AB:$AB),"Incorrect Error Code")</f>
        <v>Rot.br. press. high</v>
      </c>
      <c r="M689" s="35" t="s">
        <v>291</v>
      </c>
      <c r="N689" s="475"/>
      <c r="O689" s="476">
        <v>0.76597222222222228</v>
      </c>
      <c r="P689" s="476">
        <v>0.76597222222222228</v>
      </c>
      <c r="Q689" s="477">
        <v>1</v>
      </c>
      <c r="R689" s="472">
        <f>IF(Table6[[#This Row],[Work Start TimeStamp]]="","",(Table6[[#This Row],[Work Start TimeStamp]]-Table6[[#This Row],[Fault Start TimeStamp]])*24)</f>
        <v>0</v>
      </c>
      <c r="S689" s="472">
        <f>(Table6[[#This Row],[Fault Clearance time]]-Table6[[#This Row],[Work Start TimeStamp]])*24</f>
        <v>5.6166666666666654</v>
      </c>
      <c r="T689" s="472">
        <f>(Table6[[#This Row],[Fault Clearance time]]-Table6[[#This Row],[Fault Start TimeStamp]])*24</f>
        <v>5.6166666666666654</v>
      </c>
      <c r="U689" s="35" t="s">
        <v>1805</v>
      </c>
      <c r="V689" s="102" t="s">
        <v>338</v>
      </c>
      <c r="W689" s="478">
        <f>IFERROR(Table6[[#This Row],[Breakdown Time]]*Table6[[#This Row],[Plant Equivalent Weightage]],"")</f>
        <v>0.2160256410256409</v>
      </c>
      <c r="X689" s="473" t="s">
        <v>290</v>
      </c>
      <c r="Y689" s="474" t="s">
        <v>322</v>
      </c>
      <c r="Z689" s="102">
        <v>10415</v>
      </c>
      <c r="AA689" s="468">
        <f>(Table6[[#This Row],[Paired WTG Generation for loss calculation]]/24)*Table6[[#This Row],[Breakdown Time]]</f>
        <v>2437.3993055555547</v>
      </c>
      <c r="AB689" s="102"/>
      <c r="AC689" s="35"/>
      <c r="AD689" s="35"/>
    </row>
    <row r="690" spans="1:30">
      <c r="A690" s="102">
        <f t="shared" si="11"/>
        <v>689</v>
      </c>
      <c r="B690" s="468">
        <f>YEAR(Table6[[#This Row],[Date]])+IF(MONTH(Table6[[#This Row],[Date]])&gt;=4,1,0)</f>
        <v>2026</v>
      </c>
      <c r="C690" s="102">
        <f>YEAR(Table6[[#This Row],[Date]])</f>
        <v>2025</v>
      </c>
      <c r="D690" s="102" t="s">
        <v>1992</v>
      </c>
      <c r="E690" s="469">
        <f>Table6[[#This Row],[Date]]-DAY(Table6[[#This Row],[Date]])+1</f>
        <v>45778</v>
      </c>
      <c r="F690" s="470">
        <v>45788</v>
      </c>
      <c r="G690" s="35" t="s">
        <v>89</v>
      </c>
      <c r="H690" s="35" t="str">
        <f>IFERROR(_xlfn.XLOOKUP(Table6[[#This Row],[Affected WTG]],'Basic Data'!$A:$A,'Basic Data'!$B:$B),"")</f>
        <v>TQGXIIPL</v>
      </c>
      <c r="I690" s="35" t="str">
        <f>IFERROR(_xlfn.XLOOKUP(Table6[[#This Row],[Affected WTG]],'Basic Data'!$A:$A,'Basic Data'!$C:$C),"")</f>
        <v>GEDA</v>
      </c>
      <c r="J690" s="471">
        <f>IFERROR(_xlfn.XLOOKUP(Table6[[#This Row],[Affected WTG]],'Basic Data'!$A:$A,'Basic Data'!$E:$E),"")</f>
        <v>3.846153846153845E-2</v>
      </c>
      <c r="K690" s="102">
        <v>675</v>
      </c>
      <c r="L690" s="35" t="str">
        <f>IFERROR(_xlfn.XLOOKUP(Table6[[#This Row],[Error Code]],'Basic Data'!$AA:$AA,'Basic Data'!$AB:$AB),"Incorrect Error Code")</f>
        <v>Pitch measuring system 1&gt;&lt;2</v>
      </c>
      <c r="M690" s="35" t="s">
        <v>291</v>
      </c>
      <c r="N690" s="475"/>
      <c r="O690" s="476">
        <v>0.72638888888888886</v>
      </c>
      <c r="P690" s="476">
        <v>0.72638888888888886</v>
      </c>
      <c r="Q690" s="477">
        <v>0.76041666666666663</v>
      </c>
      <c r="R690" s="472">
        <f>IF(Table6[[#This Row],[Work Start TimeStamp]]="","",(Table6[[#This Row],[Work Start TimeStamp]]-Table6[[#This Row],[Fault Start TimeStamp]])*24)</f>
        <v>0</v>
      </c>
      <c r="S690" s="472">
        <f>(Table6[[#This Row],[Fault Clearance time]]-Table6[[#This Row],[Work Start TimeStamp]])*24</f>
        <v>0.81666666666666643</v>
      </c>
      <c r="T690" s="472">
        <f>(Table6[[#This Row],[Fault Clearance time]]-Table6[[#This Row],[Fault Start TimeStamp]])*24</f>
        <v>0.81666666666666643</v>
      </c>
      <c r="U690" s="35" t="s">
        <v>1806</v>
      </c>
      <c r="V690" s="102" t="s">
        <v>293</v>
      </c>
      <c r="W690" s="478">
        <f>IFERROR(Table6[[#This Row],[Breakdown Time]]*Table6[[#This Row],[Plant Equivalent Weightage]],"")</f>
        <v>3.1410256410256389E-2</v>
      </c>
      <c r="X690" s="473" t="s">
        <v>290</v>
      </c>
      <c r="Y690" s="474" t="s">
        <v>325</v>
      </c>
      <c r="Z690" s="102">
        <v>9404</v>
      </c>
      <c r="AA690" s="468">
        <f>(Table6[[#This Row],[Paired WTG Generation for loss calculation]]/24)*Table6[[#This Row],[Breakdown Time]]</f>
        <v>319.99722222222209</v>
      </c>
      <c r="AB690" s="102"/>
      <c r="AC690" s="35"/>
      <c r="AD690" s="35"/>
    </row>
    <row r="691" spans="1:30">
      <c r="A691" s="102">
        <f t="shared" si="11"/>
        <v>690</v>
      </c>
      <c r="B691" s="468">
        <f>YEAR(Table6[[#This Row],[Date]])+IF(MONTH(Table6[[#This Row],[Date]])&gt;=4,1,0)</f>
        <v>2026</v>
      </c>
      <c r="C691" s="102">
        <f>YEAR(Table6[[#This Row],[Date]])</f>
        <v>2025</v>
      </c>
      <c r="D691" s="102" t="s">
        <v>1992</v>
      </c>
      <c r="E691" s="469">
        <f>Table6[[#This Row],[Date]]-DAY(Table6[[#This Row],[Date]])+1</f>
        <v>45778</v>
      </c>
      <c r="F691" s="470">
        <v>45788</v>
      </c>
      <c r="G691" s="35" t="s">
        <v>94</v>
      </c>
      <c r="H691" s="35" t="str">
        <f>IFERROR(_xlfn.XLOOKUP(Table6[[#This Row],[Affected WTG]],'Basic Data'!$A:$A,'Basic Data'!$B:$B),"")</f>
        <v>TQGXIIPL</v>
      </c>
      <c r="I691" s="35" t="str">
        <f>IFERROR(_xlfn.XLOOKUP(Table6[[#This Row],[Affected WTG]],'Basic Data'!$A:$A,'Basic Data'!$C:$C),"")</f>
        <v>GEDA</v>
      </c>
      <c r="J691" s="471">
        <f>IFERROR(_xlfn.XLOOKUP(Table6[[#This Row],[Affected WTG]],'Basic Data'!$A:$A,'Basic Data'!$E:$E),"")</f>
        <v>3.846153846153845E-2</v>
      </c>
      <c r="K691" s="102">
        <v>3500</v>
      </c>
      <c r="L691" s="35" t="str">
        <f>IFERROR(_xlfn.XLOOKUP(Table6[[#This Row],[Error Code]],'Basic Data'!$AA:$AA,'Basic Data'!$AB:$AB),"Incorrect Error Code")</f>
        <v>Grid loss</v>
      </c>
      <c r="M691" s="35" t="s">
        <v>308</v>
      </c>
      <c r="N691" s="475"/>
      <c r="O691" s="476">
        <v>0.72638888888888886</v>
      </c>
      <c r="P691" s="476">
        <v>0.72638888888888886</v>
      </c>
      <c r="Q691" s="477">
        <v>0.75069444444444444</v>
      </c>
      <c r="R691" s="472">
        <f>IF(Table6[[#This Row],[Work Start TimeStamp]]="","",(Table6[[#This Row],[Work Start TimeStamp]]-Table6[[#This Row],[Fault Start TimeStamp]])*24)</f>
        <v>0</v>
      </c>
      <c r="S691" s="472">
        <f>(Table6[[#This Row],[Fault Clearance time]]-Table6[[#This Row],[Work Start TimeStamp]])*24</f>
        <v>0.58333333333333393</v>
      </c>
      <c r="T691" s="472">
        <f>(Table6[[#This Row],[Fault Clearance time]]-Table6[[#This Row],[Fault Start TimeStamp]])*24</f>
        <v>0.58333333333333393</v>
      </c>
      <c r="U691" s="35" t="s">
        <v>1804</v>
      </c>
      <c r="V691" s="102" t="s">
        <v>293</v>
      </c>
      <c r="W691" s="478">
        <f>IFERROR(Table6[[#This Row],[Breakdown Time]]*Table6[[#This Row],[Plant Equivalent Weightage]],"")</f>
        <v>2.2435897435897453E-2</v>
      </c>
      <c r="X691" s="473" t="s">
        <v>290</v>
      </c>
      <c r="Y691" s="474" t="s">
        <v>319</v>
      </c>
      <c r="Z691" s="102">
        <v>12050</v>
      </c>
      <c r="AA691" s="468">
        <f>(Table6[[#This Row],[Paired WTG Generation for loss calculation]]/24)*Table6[[#This Row],[Breakdown Time]]</f>
        <v>292.88194444444474</v>
      </c>
      <c r="AB691" s="102"/>
      <c r="AC691" s="35"/>
      <c r="AD691" s="35"/>
    </row>
    <row r="692" spans="1:30">
      <c r="A692" s="102">
        <f t="shared" si="11"/>
        <v>691</v>
      </c>
      <c r="B692" s="468">
        <f>YEAR(Table6[[#This Row],[Date]])+IF(MONTH(Table6[[#This Row],[Date]])&gt;=4,1,0)</f>
        <v>2026</v>
      </c>
      <c r="C692" s="102">
        <f>YEAR(Table6[[#This Row],[Date]])</f>
        <v>2025</v>
      </c>
      <c r="D692" s="102" t="s">
        <v>1992</v>
      </c>
      <c r="E692" s="469">
        <f>Table6[[#This Row],[Date]]-DAY(Table6[[#This Row],[Date]])+1</f>
        <v>45778</v>
      </c>
      <c r="F692" s="470">
        <v>45788</v>
      </c>
      <c r="G692" s="35" t="s">
        <v>92</v>
      </c>
      <c r="H692" s="35" t="str">
        <f>IFERROR(_xlfn.XLOOKUP(Table6[[#This Row],[Affected WTG]],'Basic Data'!$A:$A,'Basic Data'!$B:$B),"")</f>
        <v>TQGXIIPL</v>
      </c>
      <c r="I692" s="35" t="str">
        <f>IFERROR(_xlfn.XLOOKUP(Table6[[#This Row],[Affected WTG]],'Basic Data'!$A:$A,'Basic Data'!$C:$C),"")</f>
        <v>GEDA</v>
      </c>
      <c r="J692" s="471">
        <f>IFERROR(_xlfn.XLOOKUP(Table6[[#This Row],[Affected WTG]],'Basic Data'!$A:$A,'Basic Data'!$E:$E),"")</f>
        <v>3.846153846153845E-2</v>
      </c>
      <c r="K692" s="102">
        <v>660</v>
      </c>
      <c r="L692" s="35" t="str">
        <f>IFERROR(_xlfn.XLOOKUP(Table6[[#This Row],[Error Code]],'Basic Data'!$AA:$AA,'Basic Data'!$AB:$AB),"Incorrect Error Code")</f>
        <v>Limit switches error 91°</v>
      </c>
      <c r="M692" s="35" t="s">
        <v>291</v>
      </c>
      <c r="N692" s="475"/>
      <c r="O692" s="476">
        <v>0.80625000000000002</v>
      </c>
      <c r="P692" s="476">
        <v>0.80625000000000002</v>
      </c>
      <c r="Q692" s="477">
        <v>0.91527777777777775</v>
      </c>
      <c r="R692" s="472">
        <f>IF(Table6[[#This Row],[Work Start TimeStamp]]="","",(Table6[[#This Row],[Work Start TimeStamp]]-Table6[[#This Row],[Fault Start TimeStamp]])*24)</f>
        <v>0</v>
      </c>
      <c r="S692" s="472">
        <f>(Table6[[#This Row],[Fault Clearance time]]-Table6[[#This Row],[Work Start TimeStamp]])*24</f>
        <v>2.6166666666666654</v>
      </c>
      <c r="T692" s="472">
        <f>(Table6[[#This Row],[Fault Clearance time]]-Table6[[#This Row],[Fault Start TimeStamp]])*24</f>
        <v>2.6166666666666654</v>
      </c>
      <c r="U692" s="35" t="s">
        <v>1807</v>
      </c>
      <c r="V692" s="102" t="s">
        <v>293</v>
      </c>
      <c r="W692" s="478">
        <f>IFERROR(Table6[[#This Row],[Breakdown Time]]*Table6[[#This Row],[Plant Equivalent Weightage]],"")</f>
        <v>0.10064102564102556</v>
      </c>
      <c r="X692" s="473" t="s">
        <v>290</v>
      </c>
      <c r="Y692" s="474" t="s">
        <v>310</v>
      </c>
      <c r="Z692" s="102">
        <v>12314</v>
      </c>
      <c r="AA692" s="468">
        <f>(Table6[[#This Row],[Paired WTG Generation for loss calculation]]/24)*Table6[[#This Row],[Breakdown Time]]</f>
        <v>1342.568055555555</v>
      </c>
      <c r="AB692" s="102"/>
      <c r="AC692" s="35"/>
      <c r="AD692" s="35"/>
    </row>
    <row r="693" spans="1:30">
      <c r="A693" s="102">
        <f t="shared" si="11"/>
        <v>692</v>
      </c>
      <c r="B693" s="468">
        <f>YEAR(Table6[[#This Row],[Date]])+IF(MONTH(Table6[[#This Row],[Date]])&gt;=4,1,0)</f>
        <v>2026</v>
      </c>
      <c r="C693" s="102">
        <f>YEAR(Table6[[#This Row],[Date]])</f>
        <v>2025</v>
      </c>
      <c r="D693" s="102" t="s">
        <v>1992</v>
      </c>
      <c r="E693" s="469">
        <f>Table6[[#This Row],[Date]]-DAY(Table6[[#This Row],[Date]])+1</f>
        <v>45778</v>
      </c>
      <c r="F693" s="470">
        <v>45788</v>
      </c>
      <c r="G693" s="35" t="s">
        <v>93</v>
      </c>
      <c r="H693" s="35" t="str">
        <f>IFERROR(_xlfn.XLOOKUP(Table6[[#This Row],[Affected WTG]],'Basic Data'!$A:$A,'Basic Data'!$B:$B),"")</f>
        <v>TQGXIIPL</v>
      </c>
      <c r="I693" s="35" t="str">
        <f>IFERROR(_xlfn.XLOOKUP(Table6[[#This Row],[Affected WTG]],'Basic Data'!$A:$A,'Basic Data'!$C:$C),"")</f>
        <v>GEDA</v>
      </c>
      <c r="J693" s="471">
        <f>IFERROR(_xlfn.XLOOKUP(Table6[[#This Row],[Affected WTG]],'Basic Data'!$A:$A,'Basic Data'!$E:$E),"")</f>
        <v>3.846153846153845E-2</v>
      </c>
      <c r="K693" s="102">
        <v>55</v>
      </c>
      <c r="L693" s="35" t="str">
        <f>IFERROR(_xlfn.XLOOKUP(Table6[[#This Row],[Error Code]],'Basic Data'!$AA:$AA,'Basic Data'!$AB:$AB),"Incorrect Error Code")</f>
        <v>WTG shut down</v>
      </c>
      <c r="M693" s="35" t="s">
        <v>308</v>
      </c>
      <c r="N693" s="475"/>
      <c r="O693" s="476">
        <v>0.72638888888888886</v>
      </c>
      <c r="P693" s="476">
        <v>0.72638888888888886</v>
      </c>
      <c r="Q693" s="477">
        <v>0.73611111111111116</v>
      </c>
      <c r="R693" s="472">
        <f>IF(Table6[[#This Row],[Work Start TimeStamp]]="","",(Table6[[#This Row],[Work Start TimeStamp]]-Table6[[#This Row],[Fault Start TimeStamp]])*24)</f>
        <v>0</v>
      </c>
      <c r="S693" s="472">
        <f>(Table6[[#This Row],[Fault Clearance time]]-Table6[[#This Row],[Work Start TimeStamp]])*24</f>
        <v>0.23333333333333517</v>
      </c>
      <c r="T693" s="472">
        <f>(Table6[[#This Row],[Fault Clearance time]]-Table6[[#This Row],[Fault Start TimeStamp]])*24</f>
        <v>0.23333333333333517</v>
      </c>
      <c r="U693" s="35" t="s">
        <v>1804</v>
      </c>
      <c r="V693" s="102" t="s">
        <v>293</v>
      </c>
      <c r="W693" s="478">
        <f>IFERROR(Table6[[#This Row],[Breakdown Time]]*Table6[[#This Row],[Plant Equivalent Weightage]],"")</f>
        <v>8.9743589743590414E-3</v>
      </c>
      <c r="X693" s="473" t="s">
        <v>290</v>
      </c>
      <c r="Y693" s="474" t="s">
        <v>314</v>
      </c>
      <c r="Z693" s="102">
        <v>10039</v>
      </c>
      <c r="AA693" s="468">
        <f>(Table6[[#This Row],[Paired WTG Generation for loss calculation]]/24)*Table6[[#This Row],[Breakdown Time]]</f>
        <v>97.601388888889659</v>
      </c>
      <c r="AB693" s="102"/>
      <c r="AC693" s="35"/>
      <c r="AD693" s="35"/>
    </row>
    <row r="694" spans="1:30">
      <c r="A694" s="102">
        <f t="shared" si="11"/>
        <v>693</v>
      </c>
      <c r="B694" s="468">
        <f>YEAR(Table6[[#This Row],[Date]])+IF(MONTH(Table6[[#This Row],[Date]])&gt;=4,1,0)</f>
        <v>2026</v>
      </c>
      <c r="C694" s="102">
        <f>YEAR(Table6[[#This Row],[Date]])</f>
        <v>2025</v>
      </c>
      <c r="D694" s="102" t="s">
        <v>1992</v>
      </c>
      <c r="E694" s="469">
        <f>Table6[[#This Row],[Date]]-DAY(Table6[[#This Row],[Date]])+1</f>
        <v>45778</v>
      </c>
      <c r="F694" s="470">
        <v>45788</v>
      </c>
      <c r="G694" s="35" t="s">
        <v>95</v>
      </c>
      <c r="H694" s="35" t="str">
        <f>IFERROR(_xlfn.XLOOKUP(Table6[[#This Row],[Affected WTG]],'Basic Data'!$A:$A,'Basic Data'!$B:$B),"")</f>
        <v>TQGXIIPL</v>
      </c>
      <c r="I694" s="35" t="str">
        <f>IFERROR(_xlfn.XLOOKUP(Table6[[#This Row],[Affected WTG]],'Basic Data'!$A:$A,'Basic Data'!$C:$C),"")</f>
        <v>GEDA</v>
      </c>
      <c r="J694" s="471">
        <f>IFERROR(_xlfn.XLOOKUP(Table6[[#This Row],[Affected WTG]],'Basic Data'!$A:$A,'Basic Data'!$E:$E),"")</f>
        <v>3.846153846153845E-2</v>
      </c>
      <c r="K694" s="102">
        <v>55</v>
      </c>
      <c r="L694" s="35" t="str">
        <f>IFERROR(_xlfn.XLOOKUP(Table6[[#This Row],[Error Code]],'Basic Data'!$AA:$AA,'Basic Data'!$AB:$AB),"Incorrect Error Code")</f>
        <v>WTG shut down</v>
      </c>
      <c r="M694" s="35" t="s">
        <v>308</v>
      </c>
      <c r="N694" s="475"/>
      <c r="O694" s="476">
        <v>0.72638888888888886</v>
      </c>
      <c r="P694" s="476">
        <v>0.72638888888888886</v>
      </c>
      <c r="Q694" s="477">
        <v>0.75</v>
      </c>
      <c r="R694" s="472">
        <f>IF(Table6[[#This Row],[Work Start TimeStamp]]="","",(Table6[[#This Row],[Work Start TimeStamp]]-Table6[[#This Row],[Fault Start TimeStamp]])*24)</f>
        <v>0</v>
      </c>
      <c r="S694" s="472">
        <f>(Table6[[#This Row],[Fault Clearance time]]-Table6[[#This Row],[Work Start TimeStamp]])*24</f>
        <v>0.56666666666666732</v>
      </c>
      <c r="T694" s="472">
        <f>(Table6[[#This Row],[Fault Clearance time]]-Table6[[#This Row],[Fault Start TimeStamp]])*24</f>
        <v>0.56666666666666732</v>
      </c>
      <c r="U694" s="35" t="s">
        <v>1804</v>
      </c>
      <c r="V694" s="102" t="s">
        <v>293</v>
      </c>
      <c r="W694" s="478">
        <f>IFERROR(Table6[[#This Row],[Breakdown Time]]*Table6[[#This Row],[Plant Equivalent Weightage]],"")</f>
        <v>2.1794871794871815E-2</v>
      </c>
      <c r="X694" s="473" t="s">
        <v>290</v>
      </c>
      <c r="Y694" s="474" t="s">
        <v>319</v>
      </c>
      <c r="Z694" s="102">
        <v>12050</v>
      </c>
      <c r="AA694" s="468">
        <f>(Table6[[#This Row],[Paired WTG Generation for loss calculation]]/24)*Table6[[#This Row],[Breakdown Time]]</f>
        <v>284.5138888888892</v>
      </c>
      <c r="AB694" s="102"/>
      <c r="AC694" s="35"/>
      <c r="AD694" s="35"/>
    </row>
    <row r="695" spans="1:30">
      <c r="A695" s="102">
        <f t="shared" si="11"/>
        <v>694</v>
      </c>
      <c r="B695" s="468">
        <f>YEAR(Table6[[#This Row],[Date]])+IF(MONTH(Table6[[#This Row],[Date]])&gt;=4,1,0)</f>
        <v>2026</v>
      </c>
      <c r="C695" s="102">
        <f>YEAR(Table6[[#This Row],[Date]])</f>
        <v>2025</v>
      </c>
      <c r="D695" s="102" t="s">
        <v>1992</v>
      </c>
      <c r="E695" s="469">
        <f>Table6[[#This Row],[Date]]-DAY(Table6[[#This Row],[Date]])+1</f>
        <v>45778</v>
      </c>
      <c r="F695" s="470">
        <v>45788</v>
      </c>
      <c r="G695" s="35" t="s">
        <v>96</v>
      </c>
      <c r="H695" s="35" t="str">
        <f>IFERROR(_xlfn.XLOOKUP(Table6[[#This Row],[Affected WTG]],'Basic Data'!$A:$A,'Basic Data'!$B:$B),"")</f>
        <v>TQGXIIPL</v>
      </c>
      <c r="I695" s="35" t="str">
        <f>IFERROR(_xlfn.XLOOKUP(Table6[[#This Row],[Affected WTG]],'Basic Data'!$A:$A,'Basic Data'!$C:$C),"")</f>
        <v>GEDA</v>
      </c>
      <c r="J695" s="471">
        <f>IFERROR(_xlfn.XLOOKUP(Table6[[#This Row],[Affected WTG]],'Basic Data'!$A:$A,'Basic Data'!$E:$E),"")</f>
        <v>3.846153846153845E-2</v>
      </c>
      <c r="K695" s="102">
        <v>159</v>
      </c>
      <c r="L695" s="35" t="str">
        <f>IFERROR(_xlfn.XLOOKUP(Table6[[#This Row],[Error Code]],'Basic Data'!$AA:$AA,'Basic Data'!$AB:$AB),"Incorrect Error Code")</f>
        <v>SLC SF emergency stop</v>
      </c>
      <c r="M695" s="35" t="s">
        <v>291</v>
      </c>
      <c r="N695" s="475"/>
      <c r="O695" s="476">
        <v>0.58819444444444446</v>
      </c>
      <c r="P695" s="476">
        <v>0.58819444444444446</v>
      </c>
      <c r="Q695" s="477">
        <v>0.66249999999999998</v>
      </c>
      <c r="R695" s="472">
        <f>IF(Table6[[#This Row],[Work Start TimeStamp]]="","",(Table6[[#This Row],[Work Start TimeStamp]]-Table6[[#This Row],[Fault Start TimeStamp]])*24)</f>
        <v>0</v>
      </c>
      <c r="S695" s="472">
        <f>(Table6[[#This Row],[Fault Clearance time]]-Table6[[#This Row],[Work Start TimeStamp]])*24</f>
        <v>1.7833333333333323</v>
      </c>
      <c r="T695" s="472">
        <f>(Table6[[#This Row],[Fault Clearance time]]-Table6[[#This Row],[Fault Start TimeStamp]])*24</f>
        <v>1.7833333333333323</v>
      </c>
      <c r="U695" s="35" t="s">
        <v>1808</v>
      </c>
      <c r="V695" s="102" t="s">
        <v>293</v>
      </c>
      <c r="W695" s="478">
        <f>IFERROR(Table6[[#This Row],[Breakdown Time]]*Table6[[#This Row],[Plant Equivalent Weightage]],"")</f>
        <v>6.8589743589743526E-2</v>
      </c>
      <c r="X695" s="473" t="s">
        <v>290</v>
      </c>
      <c r="Y695" s="474" t="s">
        <v>313</v>
      </c>
      <c r="Z695" s="102">
        <v>10160</v>
      </c>
      <c r="AA695" s="468">
        <f>(Table6[[#This Row],[Paired WTG Generation for loss calculation]]/24)*Table6[[#This Row],[Breakdown Time]]</f>
        <v>754.944444444444</v>
      </c>
      <c r="AB695" s="102"/>
      <c r="AC695" s="35"/>
      <c r="AD695" s="35"/>
    </row>
    <row r="696" spans="1:30">
      <c r="A696" s="102">
        <f t="shared" si="11"/>
        <v>695</v>
      </c>
      <c r="B696" s="468">
        <f>YEAR(Table6[[#This Row],[Date]])+IF(MONTH(Table6[[#This Row],[Date]])&gt;=4,1,0)</f>
        <v>2026</v>
      </c>
      <c r="C696" s="102">
        <f>YEAR(Table6[[#This Row],[Date]])</f>
        <v>2025</v>
      </c>
      <c r="D696" s="102" t="s">
        <v>1992</v>
      </c>
      <c r="E696" s="469">
        <f>Table6[[#This Row],[Date]]-DAY(Table6[[#This Row],[Date]])+1</f>
        <v>45778</v>
      </c>
      <c r="F696" s="470">
        <v>45788</v>
      </c>
      <c r="G696" s="35" t="s">
        <v>99</v>
      </c>
      <c r="H696" s="35" t="str">
        <f>IFERROR(_xlfn.XLOOKUP(Table6[[#This Row],[Affected WTG]],'Basic Data'!$A:$A,'Basic Data'!$B:$B),"")</f>
        <v>TQGXIIPL</v>
      </c>
      <c r="I696" s="35" t="str">
        <f>IFERROR(_xlfn.XLOOKUP(Table6[[#This Row],[Affected WTG]],'Basic Data'!$A:$A,'Basic Data'!$C:$C),"")</f>
        <v>GEDA</v>
      </c>
      <c r="J696" s="471">
        <f>IFERROR(_xlfn.XLOOKUP(Table6[[#This Row],[Affected WTG]],'Basic Data'!$A:$A,'Basic Data'!$E:$E),"")</f>
        <v>3.846153846153845E-2</v>
      </c>
      <c r="K696" s="102">
        <v>55</v>
      </c>
      <c r="L696" s="35" t="str">
        <f>IFERROR(_xlfn.XLOOKUP(Table6[[#This Row],[Error Code]],'Basic Data'!$AA:$AA,'Basic Data'!$AB:$AB),"Incorrect Error Code")</f>
        <v>WTG shut down</v>
      </c>
      <c r="M696" s="35" t="s">
        <v>330</v>
      </c>
      <c r="N696" s="475"/>
      <c r="O696" s="476">
        <v>0.69722222222222219</v>
      </c>
      <c r="P696" s="476">
        <v>0.69722222222222219</v>
      </c>
      <c r="Q696" s="477">
        <v>0.71875</v>
      </c>
      <c r="R696" s="472">
        <f>IF(Table6[[#This Row],[Work Start TimeStamp]]="","",(Table6[[#This Row],[Work Start TimeStamp]]-Table6[[#This Row],[Fault Start TimeStamp]])*24)</f>
        <v>0</v>
      </c>
      <c r="S696" s="472">
        <f>(Table6[[#This Row],[Fault Clearance time]]-Table6[[#This Row],[Work Start TimeStamp]])*24</f>
        <v>0.5166666666666675</v>
      </c>
      <c r="T696" s="472">
        <f>(Table6[[#This Row],[Fault Clearance time]]-Table6[[#This Row],[Fault Start TimeStamp]])*24</f>
        <v>0.5166666666666675</v>
      </c>
      <c r="U696" s="35" t="s">
        <v>1744</v>
      </c>
      <c r="V696" s="102" t="s">
        <v>293</v>
      </c>
      <c r="W696" s="478">
        <f>IFERROR(Table6[[#This Row],[Breakdown Time]]*Table6[[#This Row],[Plant Equivalent Weightage]],"")</f>
        <v>1.9871794871794898E-2</v>
      </c>
      <c r="X696" s="473" t="s">
        <v>290</v>
      </c>
      <c r="Y696" s="474" t="s">
        <v>315</v>
      </c>
      <c r="Z696" s="102">
        <v>11784</v>
      </c>
      <c r="AA696" s="468">
        <f>(Table6[[#This Row],[Paired WTG Generation for loss calculation]]/24)*Table6[[#This Row],[Breakdown Time]]</f>
        <v>253.68333333333374</v>
      </c>
      <c r="AB696" s="102"/>
      <c r="AC696" s="35"/>
      <c r="AD696" s="35"/>
    </row>
    <row r="697" spans="1:30">
      <c r="A697" s="102">
        <f t="shared" si="11"/>
        <v>696</v>
      </c>
      <c r="B697" s="468">
        <f>YEAR(Table6[[#This Row],[Date]])+IF(MONTH(Table6[[#This Row],[Date]])&gt;=4,1,0)</f>
        <v>2026</v>
      </c>
      <c r="C697" s="102">
        <f>YEAR(Table6[[#This Row],[Date]])</f>
        <v>2025</v>
      </c>
      <c r="D697" s="102" t="s">
        <v>1992</v>
      </c>
      <c r="E697" s="469">
        <f>Table6[[#This Row],[Date]]-DAY(Table6[[#This Row],[Date]])+1</f>
        <v>45778</v>
      </c>
      <c r="F697" s="470">
        <v>45789</v>
      </c>
      <c r="G697" s="35" t="s">
        <v>74</v>
      </c>
      <c r="H697" s="35" t="str">
        <f>IFERROR(_xlfn.XLOOKUP(Table6[[#This Row],[Affected WTG]],'Basic Data'!$A:$A,'Basic Data'!$B:$B),"")</f>
        <v>TQGXIIPL</v>
      </c>
      <c r="I697" s="35" t="str">
        <f>IFERROR(_xlfn.XLOOKUP(Table6[[#This Row],[Affected WTG]],'Basic Data'!$A:$A,'Basic Data'!$C:$C),"")</f>
        <v>GEDA</v>
      </c>
      <c r="J697" s="471">
        <f>IFERROR(_xlfn.XLOOKUP(Table6[[#This Row],[Affected WTG]],'Basic Data'!$A:$A,'Basic Data'!$E:$E),"")</f>
        <v>3.846153846153845E-2</v>
      </c>
      <c r="K697" s="102">
        <v>55</v>
      </c>
      <c r="L697" s="35" t="str">
        <f>IFERROR(_xlfn.XLOOKUP(Table6[[#This Row],[Error Code]],'Basic Data'!$AA:$AA,'Basic Data'!$AB:$AB),"Incorrect Error Code")</f>
        <v>WTG shut down</v>
      </c>
      <c r="M697" s="35" t="s">
        <v>330</v>
      </c>
      <c r="N697" s="475"/>
      <c r="O697" s="476">
        <v>0.65347222222222223</v>
      </c>
      <c r="P697" s="476">
        <v>0.65347222222222223</v>
      </c>
      <c r="Q697" s="477">
        <v>0.66388888888888886</v>
      </c>
      <c r="R697" s="472">
        <f>IF(Table6[[#This Row],[Work Start TimeStamp]]="","",(Table6[[#This Row],[Work Start TimeStamp]]-Table6[[#This Row],[Fault Start TimeStamp]])*24)</f>
        <v>0</v>
      </c>
      <c r="S697" s="472">
        <f>(Table6[[#This Row],[Fault Clearance time]]-Table6[[#This Row],[Work Start TimeStamp]])*24</f>
        <v>0.24999999999999911</v>
      </c>
      <c r="T697" s="472">
        <f>(Table6[[#This Row],[Fault Clearance time]]-Table6[[#This Row],[Fault Start TimeStamp]])*24</f>
        <v>0.24999999999999911</v>
      </c>
      <c r="U697" s="35" t="s">
        <v>1744</v>
      </c>
      <c r="V697" s="102" t="s">
        <v>293</v>
      </c>
      <c r="W697" s="478">
        <f>IFERROR(Table6[[#This Row],[Breakdown Time]]*Table6[[#This Row],[Plant Equivalent Weightage]],"")</f>
        <v>9.6153846153845778E-3</v>
      </c>
      <c r="X697" s="473" t="s">
        <v>290</v>
      </c>
      <c r="Y697" s="474" t="s">
        <v>321</v>
      </c>
      <c r="Z697" s="102">
        <v>13322</v>
      </c>
      <c r="AA697" s="468">
        <f>(Table6[[#This Row],[Paired WTG Generation for loss calculation]]/24)*Table6[[#This Row],[Breakdown Time]]</f>
        <v>138.77083333333286</v>
      </c>
      <c r="AB697" s="102"/>
      <c r="AC697" s="35"/>
      <c r="AD697" s="35"/>
    </row>
    <row r="698" spans="1:30">
      <c r="A698" s="102">
        <f t="shared" si="11"/>
        <v>697</v>
      </c>
      <c r="B698" s="468">
        <f>YEAR(Table6[[#This Row],[Date]])+IF(MONTH(Table6[[#This Row],[Date]])&gt;=4,1,0)</f>
        <v>2026</v>
      </c>
      <c r="C698" s="102">
        <f>YEAR(Table6[[#This Row],[Date]])</f>
        <v>2025</v>
      </c>
      <c r="D698" s="102" t="s">
        <v>1992</v>
      </c>
      <c r="E698" s="469">
        <f>Table6[[#This Row],[Date]]-DAY(Table6[[#This Row],[Date]])+1</f>
        <v>45778</v>
      </c>
      <c r="F698" s="470">
        <v>45789</v>
      </c>
      <c r="G698" s="35" t="s">
        <v>74</v>
      </c>
      <c r="H698" s="35" t="str">
        <f>IFERROR(_xlfn.XLOOKUP(Table6[[#This Row],[Affected WTG]],'Basic Data'!$A:$A,'Basic Data'!$B:$B),"")</f>
        <v>TQGXIIPL</v>
      </c>
      <c r="I698" s="35" t="str">
        <f>IFERROR(_xlfn.XLOOKUP(Table6[[#This Row],[Affected WTG]],'Basic Data'!$A:$A,'Basic Data'!$C:$C),"")</f>
        <v>GEDA</v>
      </c>
      <c r="J698" s="471">
        <f>IFERROR(_xlfn.XLOOKUP(Table6[[#This Row],[Affected WTG]],'Basic Data'!$A:$A,'Basic Data'!$E:$E),"")</f>
        <v>3.846153846153845E-2</v>
      </c>
      <c r="K698" s="102">
        <v>6130</v>
      </c>
      <c r="L698" s="35" t="str">
        <f>IFERROR(_xlfn.XLOOKUP(Table6[[#This Row],[Error Code]],'Basic Data'!$AA:$AA,'Basic Data'!$AB:$AB),"Incorrect Error Code")</f>
        <v>Yaw speed high</v>
      </c>
      <c r="M698" s="35" t="s">
        <v>292</v>
      </c>
      <c r="N698" s="475"/>
      <c r="O698" s="476">
        <v>0.67361111111111116</v>
      </c>
      <c r="P698" s="476">
        <v>0.67361111111111116</v>
      </c>
      <c r="Q698" s="477">
        <v>0.67777777777777781</v>
      </c>
      <c r="R698" s="472">
        <f>IF(Table6[[#This Row],[Work Start TimeStamp]]="","",(Table6[[#This Row],[Work Start TimeStamp]]-Table6[[#This Row],[Fault Start TimeStamp]])*24)</f>
        <v>0</v>
      </c>
      <c r="S698" s="472">
        <f>(Table6[[#This Row],[Fault Clearance time]]-Table6[[#This Row],[Work Start TimeStamp]])*24</f>
        <v>9.9999999999999645E-2</v>
      </c>
      <c r="T698" s="472">
        <f>(Table6[[#This Row],[Fault Clearance time]]-Table6[[#This Row],[Fault Start TimeStamp]])*24</f>
        <v>9.9999999999999645E-2</v>
      </c>
      <c r="U698" s="35" t="s">
        <v>336</v>
      </c>
      <c r="V698" s="102" t="s">
        <v>293</v>
      </c>
      <c r="W698" s="478">
        <f>IFERROR(Table6[[#This Row],[Breakdown Time]]*Table6[[#This Row],[Plant Equivalent Weightage]],"")</f>
        <v>3.8461538461538312E-3</v>
      </c>
      <c r="X698" s="473" t="s">
        <v>294</v>
      </c>
      <c r="Y698" s="474" t="s">
        <v>321</v>
      </c>
      <c r="Z698" s="102">
        <v>13322</v>
      </c>
      <c r="AA698" s="468">
        <f>(Table6[[#This Row],[Paired WTG Generation for loss calculation]]/24)*Table6[[#This Row],[Breakdown Time]]</f>
        <v>55.508333333333141</v>
      </c>
      <c r="AB698" s="102"/>
      <c r="AC698" s="35"/>
      <c r="AD698" s="35"/>
    </row>
    <row r="699" spans="1:30">
      <c r="A699" s="102">
        <f t="shared" si="11"/>
        <v>698</v>
      </c>
      <c r="B699" s="468">
        <f>YEAR(Table6[[#This Row],[Date]])+IF(MONTH(Table6[[#This Row],[Date]])&gt;=4,1,0)</f>
        <v>2026</v>
      </c>
      <c r="C699" s="102">
        <f>YEAR(Table6[[#This Row],[Date]])</f>
        <v>2025</v>
      </c>
      <c r="D699" s="102" t="s">
        <v>1992</v>
      </c>
      <c r="E699" s="469">
        <f>Table6[[#This Row],[Date]]-DAY(Table6[[#This Row],[Date]])+1</f>
        <v>45778</v>
      </c>
      <c r="F699" s="470">
        <v>45789</v>
      </c>
      <c r="G699" s="35" t="s">
        <v>85</v>
      </c>
      <c r="H699" s="35" t="str">
        <f>IFERROR(_xlfn.XLOOKUP(Table6[[#This Row],[Affected WTG]],'Basic Data'!$A:$A,'Basic Data'!$B:$B),"")</f>
        <v>TQGXIIPL</v>
      </c>
      <c r="I699" s="35" t="str">
        <f>IFERROR(_xlfn.XLOOKUP(Table6[[#This Row],[Affected WTG]],'Basic Data'!$A:$A,'Basic Data'!$C:$C),"")</f>
        <v>GEDA</v>
      </c>
      <c r="J699" s="471">
        <f>IFERROR(_xlfn.XLOOKUP(Table6[[#This Row],[Affected WTG]],'Basic Data'!$A:$A,'Basic Data'!$E:$E),"")</f>
        <v>3.846153846153845E-2</v>
      </c>
      <c r="K699" s="102">
        <v>5506</v>
      </c>
      <c r="L699" s="35" t="str">
        <f>IFERROR(_xlfn.XLOOKUP(Table6[[#This Row],[Error Code]],'Basic Data'!$AA:$AA,'Basic Data'!$AB:$AB),"Incorrect Error Code")</f>
        <v>Rot.br. press. high</v>
      </c>
      <c r="M699" s="35" t="s">
        <v>291</v>
      </c>
      <c r="N699" s="475"/>
      <c r="O699" s="476">
        <v>0</v>
      </c>
      <c r="P699" s="476">
        <v>0</v>
      </c>
      <c r="Q699" s="477">
        <v>0.12013888888888889</v>
      </c>
      <c r="R699" s="472">
        <f>IF(Table6[[#This Row],[Work Start TimeStamp]]="","",(Table6[[#This Row],[Work Start TimeStamp]]-Table6[[#This Row],[Fault Start TimeStamp]])*24)</f>
        <v>0</v>
      </c>
      <c r="S699" s="472">
        <f>(Table6[[#This Row],[Fault Clearance time]]-Table6[[#This Row],[Work Start TimeStamp]])*24</f>
        <v>2.8833333333333333</v>
      </c>
      <c r="T699" s="472">
        <f>(Table6[[#This Row],[Fault Clearance time]]-Table6[[#This Row],[Fault Start TimeStamp]])*24</f>
        <v>2.8833333333333333</v>
      </c>
      <c r="U699" s="35" t="s">
        <v>1813</v>
      </c>
      <c r="V699" s="102" t="s">
        <v>293</v>
      </c>
      <c r="W699" s="478">
        <f>IFERROR(Table6[[#This Row],[Breakdown Time]]*Table6[[#This Row],[Plant Equivalent Weightage]],"")</f>
        <v>0.11089743589743586</v>
      </c>
      <c r="X699" s="473" t="s">
        <v>290</v>
      </c>
      <c r="Y699" s="474" t="s">
        <v>322</v>
      </c>
      <c r="Z699" s="102">
        <v>11238</v>
      </c>
      <c r="AA699" s="468">
        <f>(Table6[[#This Row],[Paired WTG Generation for loss calculation]]/24)*Table6[[#This Row],[Breakdown Time]]</f>
        <v>1350.1208333333334</v>
      </c>
      <c r="AB699" s="102"/>
      <c r="AC699" s="35"/>
      <c r="AD699" s="35"/>
    </row>
    <row r="700" spans="1:30">
      <c r="A700" s="102">
        <f t="shared" si="11"/>
        <v>699</v>
      </c>
      <c r="B700" s="468">
        <f>YEAR(Table6[[#This Row],[Date]])+IF(MONTH(Table6[[#This Row],[Date]])&gt;=4,1,0)</f>
        <v>2026</v>
      </c>
      <c r="C700" s="102">
        <f>YEAR(Table6[[#This Row],[Date]])</f>
        <v>2025</v>
      </c>
      <c r="D700" s="102" t="s">
        <v>1992</v>
      </c>
      <c r="E700" s="469">
        <f>Table6[[#This Row],[Date]]-DAY(Table6[[#This Row],[Date]])+1</f>
        <v>45778</v>
      </c>
      <c r="F700" s="470">
        <v>45789</v>
      </c>
      <c r="G700" s="35" t="s">
        <v>93</v>
      </c>
      <c r="H700" s="35" t="str">
        <f>IFERROR(_xlfn.XLOOKUP(Table6[[#This Row],[Affected WTG]],'Basic Data'!$A:$A,'Basic Data'!$B:$B),"")</f>
        <v>TQGXIIPL</v>
      </c>
      <c r="I700" s="35" t="str">
        <f>IFERROR(_xlfn.XLOOKUP(Table6[[#This Row],[Affected WTG]],'Basic Data'!$A:$A,'Basic Data'!$C:$C),"")</f>
        <v>GEDA</v>
      </c>
      <c r="J700" s="471">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292</v>
      </c>
      <c r="N700" s="475"/>
      <c r="O700" s="476">
        <v>0.4465277777777778</v>
      </c>
      <c r="P700" s="476">
        <v>0.4465277777777778</v>
      </c>
      <c r="Q700" s="477">
        <v>0.44791666666666669</v>
      </c>
      <c r="R700" s="472">
        <f>IF(Table6[[#This Row],[Work Start TimeStamp]]="","",(Table6[[#This Row],[Work Start TimeStamp]]-Table6[[#This Row],[Fault Start TimeStamp]])*24)</f>
        <v>0</v>
      </c>
      <c r="S700" s="472">
        <f>(Table6[[#This Row],[Fault Clearance time]]-Table6[[#This Row],[Work Start TimeStamp]])*24</f>
        <v>3.3333333333333215E-2</v>
      </c>
      <c r="T700" s="472">
        <f>(Table6[[#This Row],[Fault Clearance time]]-Table6[[#This Row],[Fault Start TimeStamp]])*24</f>
        <v>3.3333333333333215E-2</v>
      </c>
      <c r="U700" s="35" t="s">
        <v>346</v>
      </c>
      <c r="V700" s="102" t="s">
        <v>293</v>
      </c>
      <c r="W700" s="478">
        <f>IFERROR(Table6[[#This Row],[Breakdown Time]]*Table6[[#This Row],[Plant Equivalent Weightage]],"")</f>
        <v>1.2820512820512771E-3</v>
      </c>
      <c r="X700" s="473" t="s">
        <v>294</v>
      </c>
      <c r="Y700" s="474" t="s">
        <v>314</v>
      </c>
      <c r="Z700" s="102">
        <v>10435</v>
      </c>
      <c r="AA700" s="468">
        <f>(Table6[[#This Row],[Paired WTG Generation for loss calculation]]/24)*Table6[[#This Row],[Breakdown Time]]</f>
        <v>14.493055555555504</v>
      </c>
      <c r="AB700" s="102"/>
      <c r="AC700" s="35"/>
      <c r="AD700" s="35"/>
    </row>
    <row r="701" spans="1:30">
      <c r="A701" s="102">
        <f t="shared" si="11"/>
        <v>700</v>
      </c>
      <c r="B701" s="468">
        <f>YEAR(Table6[[#This Row],[Date]])+IF(MONTH(Table6[[#This Row],[Date]])&gt;=4,1,0)</f>
        <v>2026</v>
      </c>
      <c r="C701" s="102">
        <f>YEAR(Table6[[#This Row],[Date]])</f>
        <v>2025</v>
      </c>
      <c r="D701" s="102" t="s">
        <v>1992</v>
      </c>
      <c r="E701" s="469">
        <f>Table6[[#This Row],[Date]]-DAY(Table6[[#This Row],[Date]])+1</f>
        <v>45778</v>
      </c>
      <c r="F701" s="470">
        <v>45789</v>
      </c>
      <c r="G701" s="35" t="s">
        <v>95</v>
      </c>
      <c r="H701" s="35" t="str">
        <f>IFERROR(_xlfn.XLOOKUP(Table6[[#This Row],[Affected WTG]],'Basic Data'!$A:$A,'Basic Data'!$B:$B),"")</f>
        <v>TQGXIIPL</v>
      </c>
      <c r="I701" s="35" t="str">
        <f>IFERROR(_xlfn.XLOOKUP(Table6[[#This Row],[Affected WTG]],'Basic Data'!$A:$A,'Basic Data'!$C:$C),"")</f>
        <v>GEDA</v>
      </c>
      <c r="J701" s="471">
        <f>IFERROR(_xlfn.XLOOKUP(Table6[[#This Row],[Affected WTG]],'Basic Data'!$A:$A,'Basic Data'!$E:$E),"")</f>
        <v>3.846153846153845E-2</v>
      </c>
      <c r="K701" s="102">
        <v>5510</v>
      </c>
      <c r="L701" s="35" t="str">
        <f>IFERROR(_xlfn.XLOOKUP(Table6[[#This Row],[Error Code]],'Basic Data'!$AA:$AA,'Basic Data'!$AB:$AB),"Incorrect Error Code")</f>
        <v>Low hydraulic pressure</v>
      </c>
      <c r="M701" s="35" t="s">
        <v>292</v>
      </c>
      <c r="N701" s="475"/>
      <c r="O701" s="476">
        <v>0.73750000000000004</v>
      </c>
      <c r="P701" s="476">
        <v>0.73750000000000004</v>
      </c>
      <c r="Q701" s="477">
        <v>0.73958333333333337</v>
      </c>
      <c r="R701" s="472">
        <f>IF(Table6[[#This Row],[Work Start TimeStamp]]="","",(Table6[[#This Row],[Work Start TimeStamp]]-Table6[[#This Row],[Fault Start TimeStamp]])*24)</f>
        <v>0</v>
      </c>
      <c r="S701" s="472">
        <f>(Table6[[#This Row],[Fault Clearance time]]-Table6[[#This Row],[Work Start TimeStamp]])*24</f>
        <v>4.9999999999999822E-2</v>
      </c>
      <c r="T701" s="472">
        <f>(Table6[[#This Row],[Fault Clearance time]]-Table6[[#This Row],[Fault Start TimeStamp]])*24</f>
        <v>4.9999999999999822E-2</v>
      </c>
      <c r="U701" s="35" t="s">
        <v>346</v>
      </c>
      <c r="V701" s="102" t="s">
        <v>293</v>
      </c>
      <c r="W701" s="478">
        <f>IFERROR(Table6[[#This Row],[Breakdown Time]]*Table6[[#This Row],[Plant Equivalent Weightage]],"")</f>
        <v>1.9230769230769156E-3</v>
      </c>
      <c r="X701" s="473" t="s">
        <v>294</v>
      </c>
      <c r="Y701" s="474" t="s">
        <v>319</v>
      </c>
      <c r="Z701" s="102">
        <v>11228</v>
      </c>
      <c r="AA701" s="468">
        <f>(Table6[[#This Row],[Paired WTG Generation for loss calculation]]/24)*Table6[[#This Row],[Breakdown Time]]</f>
        <v>23.391666666666584</v>
      </c>
      <c r="AB701" s="102"/>
      <c r="AC701" s="35"/>
      <c r="AD701" s="35"/>
    </row>
    <row r="702" spans="1:30">
      <c r="A702" s="102">
        <f t="shared" si="11"/>
        <v>701</v>
      </c>
      <c r="B702" s="468">
        <f>YEAR(Table6[[#This Row],[Date]])+IF(MONTH(Table6[[#This Row],[Date]])&gt;=4,1,0)</f>
        <v>2026</v>
      </c>
      <c r="C702" s="102">
        <f>YEAR(Table6[[#This Row],[Date]])</f>
        <v>2025</v>
      </c>
      <c r="D702" s="102" t="s">
        <v>1992</v>
      </c>
      <c r="E702" s="469">
        <f>Table6[[#This Row],[Date]]-DAY(Table6[[#This Row],[Date]])+1</f>
        <v>45778</v>
      </c>
      <c r="F702" s="470">
        <v>45789</v>
      </c>
      <c r="G702" s="35" t="s">
        <v>99</v>
      </c>
      <c r="H702" s="35" t="str">
        <f>IFERROR(_xlfn.XLOOKUP(Table6[[#This Row],[Affected WTG]],'Basic Data'!$A:$A,'Basic Data'!$B:$B),"")</f>
        <v>TQGXIIPL</v>
      </c>
      <c r="I702" s="35" t="str">
        <f>IFERROR(_xlfn.XLOOKUP(Table6[[#This Row],[Affected WTG]],'Basic Data'!$A:$A,'Basic Data'!$C:$C),"")</f>
        <v>GEDA</v>
      </c>
      <c r="J702" s="471">
        <f>IFERROR(_xlfn.XLOOKUP(Table6[[#This Row],[Affected WTG]],'Basic Data'!$A:$A,'Basic Data'!$E:$E),"")</f>
        <v>3.846153846153845E-2</v>
      </c>
      <c r="K702" s="102">
        <v>55</v>
      </c>
      <c r="L702" s="35" t="str">
        <f>IFERROR(_xlfn.XLOOKUP(Table6[[#This Row],[Error Code]],'Basic Data'!$AA:$AA,'Basic Data'!$AB:$AB),"Incorrect Error Code")</f>
        <v>WTG shut down</v>
      </c>
      <c r="M702" s="35" t="s">
        <v>330</v>
      </c>
      <c r="N702" s="475"/>
      <c r="O702" s="476">
        <v>0.65416666666666667</v>
      </c>
      <c r="P702" s="476">
        <v>0.65416666666666667</v>
      </c>
      <c r="Q702" s="477">
        <v>0.66388888888888886</v>
      </c>
      <c r="R702" s="472">
        <f>IF(Table6[[#This Row],[Work Start TimeStamp]]="","",(Table6[[#This Row],[Work Start TimeStamp]]-Table6[[#This Row],[Fault Start TimeStamp]])*24)</f>
        <v>0</v>
      </c>
      <c r="S702" s="472">
        <f>(Table6[[#This Row],[Fault Clearance time]]-Table6[[#This Row],[Work Start TimeStamp]])*24</f>
        <v>0.2333333333333325</v>
      </c>
      <c r="T702" s="472">
        <f>(Table6[[#This Row],[Fault Clearance time]]-Table6[[#This Row],[Fault Start TimeStamp]])*24</f>
        <v>0.2333333333333325</v>
      </c>
      <c r="U702" s="35" t="s">
        <v>1744</v>
      </c>
      <c r="V702" s="102" t="s">
        <v>293</v>
      </c>
      <c r="W702" s="478">
        <f>IFERROR(Table6[[#This Row],[Breakdown Time]]*Table6[[#This Row],[Plant Equivalent Weightage]],"")</f>
        <v>8.974358974358939E-3</v>
      </c>
      <c r="X702" s="473" t="s">
        <v>290</v>
      </c>
      <c r="Y702" s="474" t="s">
        <v>315</v>
      </c>
      <c r="Z702" s="102">
        <v>13179</v>
      </c>
      <c r="AA702" s="468">
        <f>(Table6[[#This Row],[Paired WTG Generation for loss calculation]]/24)*Table6[[#This Row],[Breakdown Time]]</f>
        <v>128.12916666666621</v>
      </c>
      <c r="AB702" s="102"/>
      <c r="AC702" s="35"/>
      <c r="AD702" s="35"/>
    </row>
    <row r="703" spans="1:30">
      <c r="A703" s="102">
        <f t="shared" si="11"/>
        <v>702</v>
      </c>
      <c r="B703" s="468">
        <f>YEAR(Table6[[#This Row],[Date]])+IF(MONTH(Table6[[#This Row],[Date]])&gt;=4,1,0)</f>
        <v>2026</v>
      </c>
      <c r="C703" s="102">
        <f>YEAR(Table6[[#This Row],[Date]])</f>
        <v>2025</v>
      </c>
      <c r="D703" s="102" t="s">
        <v>1992</v>
      </c>
      <c r="E703" s="469">
        <f>Table6[[#This Row],[Date]]-DAY(Table6[[#This Row],[Date]])+1</f>
        <v>45778</v>
      </c>
      <c r="F703" s="470">
        <v>45790</v>
      </c>
      <c r="G703" s="35" t="s">
        <v>74</v>
      </c>
      <c r="H703" s="35" t="str">
        <f>IFERROR(_xlfn.XLOOKUP(Table6[[#This Row],[Affected WTG]],'Basic Data'!$A:$A,'Basic Data'!$B:$B),"")</f>
        <v>TQGXIIPL</v>
      </c>
      <c r="I703" s="35" t="str">
        <f>IFERROR(_xlfn.XLOOKUP(Table6[[#This Row],[Affected WTG]],'Basic Data'!$A:$A,'Basic Data'!$C:$C),"")</f>
        <v>GEDA</v>
      </c>
      <c r="J703" s="471">
        <f>IFERROR(_xlfn.XLOOKUP(Table6[[#This Row],[Affected WTG]],'Basic Data'!$A:$A,'Basic Data'!$E:$E),"")</f>
        <v>3.846153846153845E-2</v>
      </c>
      <c r="K703" s="102">
        <v>55</v>
      </c>
      <c r="L703" s="35" t="str">
        <f>IFERROR(_xlfn.XLOOKUP(Table6[[#This Row],[Error Code]],'Basic Data'!$AA:$AA,'Basic Data'!$AB:$AB),"Incorrect Error Code")</f>
        <v>WTG shut down</v>
      </c>
      <c r="M703" s="35" t="s">
        <v>328</v>
      </c>
      <c r="N703" s="475"/>
      <c r="O703" s="476">
        <v>0.37777777777777777</v>
      </c>
      <c r="P703" s="476">
        <v>0.37777777777777777</v>
      </c>
      <c r="Q703" s="477">
        <v>0.75</v>
      </c>
      <c r="R703" s="472">
        <f>IF(Table6[[#This Row],[Work Start TimeStamp]]="","",(Table6[[#This Row],[Work Start TimeStamp]]-Table6[[#This Row],[Fault Start TimeStamp]])*24)</f>
        <v>0</v>
      </c>
      <c r="S703" s="472">
        <f>(Table6[[#This Row],[Fault Clearance time]]-Table6[[#This Row],[Work Start TimeStamp]])*24</f>
        <v>8.9333333333333336</v>
      </c>
      <c r="T703" s="472">
        <f>(Table6[[#This Row],[Fault Clearance time]]-Table6[[#This Row],[Fault Start TimeStamp]])*24</f>
        <v>8.9333333333333336</v>
      </c>
      <c r="U703" s="35" t="s">
        <v>1842</v>
      </c>
      <c r="V703" s="102" t="s">
        <v>293</v>
      </c>
      <c r="W703" s="478">
        <f>IFERROR(Table6[[#This Row],[Breakdown Time]]*Table6[[#This Row],[Plant Equivalent Weightage]],"")</f>
        <v>0.34358974358974348</v>
      </c>
      <c r="X703" s="473" t="s">
        <v>290</v>
      </c>
      <c r="Y703" s="474" t="s">
        <v>321</v>
      </c>
      <c r="Z703" s="102">
        <v>15898</v>
      </c>
      <c r="AA703" s="468">
        <f>(Table6[[#This Row],[Paired WTG Generation for loss calculation]]/24)*Table6[[#This Row],[Breakdown Time]]</f>
        <v>5917.5888888888885</v>
      </c>
      <c r="AB703" s="102"/>
      <c r="AC703" s="35"/>
      <c r="AD703" s="35"/>
    </row>
    <row r="704" spans="1:30">
      <c r="A704" s="102">
        <f t="shared" si="11"/>
        <v>703</v>
      </c>
      <c r="B704" s="468">
        <f>YEAR(Table6[[#This Row],[Date]])+IF(MONTH(Table6[[#This Row],[Date]])&gt;=4,1,0)</f>
        <v>2026</v>
      </c>
      <c r="C704" s="102">
        <f>YEAR(Table6[[#This Row],[Date]])</f>
        <v>2025</v>
      </c>
      <c r="D704" s="102" t="s">
        <v>1992</v>
      </c>
      <c r="E704" s="469">
        <f>Table6[[#This Row],[Date]]-DAY(Table6[[#This Row],[Date]])+1</f>
        <v>45778</v>
      </c>
      <c r="F704" s="470">
        <v>45790</v>
      </c>
      <c r="G704" s="35" t="s">
        <v>78</v>
      </c>
      <c r="H704" s="35" t="str">
        <f>IFERROR(_xlfn.XLOOKUP(Table6[[#This Row],[Affected WTG]],'Basic Data'!$A:$A,'Basic Data'!$B:$B),"")</f>
        <v>TQGXIIPL</v>
      </c>
      <c r="I704" s="35" t="str">
        <f>IFERROR(_xlfn.XLOOKUP(Table6[[#This Row],[Affected WTG]],'Basic Data'!$A:$A,'Basic Data'!$C:$C),"")</f>
        <v>GEDA</v>
      </c>
      <c r="J704" s="471">
        <f>IFERROR(_xlfn.XLOOKUP(Table6[[#This Row],[Affected WTG]],'Basic Data'!$A:$A,'Basic Data'!$E:$E),"")</f>
        <v>3.846153846153845E-2</v>
      </c>
      <c r="K704" s="102">
        <v>2521</v>
      </c>
      <c r="L704" s="35" t="str">
        <f>IFERROR(_xlfn.XLOOKUP(Table6[[#This Row],[Error Code]],'Basic Data'!$AA:$AA,'Basic Data'!$AB:$AB),"Incorrect Error Code")</f>
        <v>Gen.sp.analog &lt;&lt;&gt;&gt; gearb.sp.</v>
      </c>
      <c r="M704" s="35" t="s">
        <v>292</v>
      </c>
      <c r="N704" s="475"/>
      <c r="O704" s="476">
        <v>0.62361111111111112</v>
      </c>
      <c r="P704" s="476">
        <v>0.62361111111111112</v>
      </c>
      <c r="Q704" s="477">
        <v>0.62569444444444444</v>
      </c>
      <c r="R704" s="472">
        <f>IF(Table6[[#This Row],[Work Start TimeStamp]]="","",(Table6[[#This Row],[Work Start TimeStamp]]-Table6[[#This Row],[Fault Start TimeStamp]])*24)</f>
        <v>0</v>
      </c>
      <c r="S704" s="472">
        <f>(Table6[[#This Row],[Fault Clearance time]]-Table6[[#This Row],[Work Start TimeStamp]])*24</f>
        <v>4.9999999999999822E-2</v>
      </c>
      <c r="T704" s="472">
        <f>(Table6[[#This Row],[Fault Clearance time]]-Table6[[#This Row],[Fault Start TimeStamp]])*24</f>
        <v>4.9999999999999822E-2</v>
      </c>
      <c r="U704" s="35" t="s">
        <v>1816</v>
      </c>
      <c r="V704" s="102" t="s">
        <v>293</v>
      </c>
      <c r="W704" s="478">
        <f>IFERROR(Table6[[#This Row],[Breakdown Time]]*Table6[[#This Row],[Plant Equivalent Weightage]],"")</f>
        <v>1.9230769230769156E-3</v>
      </c>
      <c r="X704" s="473" t="s">
        <v>294</v>
      </c>
      <c r="Y704" s="474" t="s">
        <v>333</v>
      </c>
      <c r="Z704" s="102">
        <v>18876</v>
      </c>
      <c r="AA704" s="468">
        <f>(Table6[[#This Row],[Paired WTG Generation for loss calculation]]/24)*Table6[[#This Row],[Breakdown Time]]</f>
        <v>39.324999999999861</v>
      </c>
      <c r="AB704" s="102"/>
      <c r="AC704" s="35"/>
      <c r="AD704" s="35"/>
    </row>
    <row r="705" spans="1:30">
      <c r="A705" s="102">
        <f t="shared" si="11"/>
        <v>704</v>
      </c>
      <c r="B705" s="468">
        <f>YEAR(Table6[[#This Row],[Date]])+IF(MONTH(Table6[[#This Row],[Date]])&gt;=4,1,0)</f>
        <v>2026</v>
      </c>
      <c r="C705" s="102">
        <f>YEAR(Table6[[#This Row],[Date]])</f>
        <v>2025</v>
      </c>
      <c r="D705" s="102" t="s">
        <v>1992</v>
      </c>
      <c r="E705" s="469">
        <f>Table6[[#This Row],[Date]]-DAY(Table6[[#This Row],[Date]])+1</f>
        <v>45778</v>
      </c>
      <c r="F705" s="470">
        <v>45790</v>
      </c>
      <c r="G705" s="35" t="s">
        <v>98</v>
      </c>
      <c r="H705" s="35" t="str">
        <f>IFERROR(_xlfn.XLOOKUP(Table6[[#This Row],[Affected WTG]],'Basic Data'!$A:$A,'Basic Data'!$B:$B),"")</f>
        <v>TQGXIIPL</v>
      </c>
      <c r="I705" s="35" t="str">
        <f>IFERROR(_xlfn.XLOOKUP(Table6[[#This Row],[Affected WTG]],'Basic Data'!$A:$A,'Basic Data'!$C:$C),"")</f>
        <v>GEDA</v>
      </c>
      <c r="J705" s="471">
        <f>IFERROR(_xlfn.XLOOKUP(Table6[[#This Row],[Affected WTG]],'Basic Data'!$A:$A,'Basic Data'!$E:$E),"")</f>
        <v>3.846153846153845E-2</v>
      </c>
      <c r="K705" s="102">
        <v>55</v>
      </c>
      <c r="L705" s="35" t="str">
        <f>IFERROR(_xlfn.XLOOKUP(Table6[[#This Row],[Error Code]],'Basic Data'!$AA:$AA,'Basic Data'!$AB:$AB),"Incorrect Error Code")</f>
        <v>WTG shut down</v>
      </c>
      <c r="M705" s="35" t="s">
        <v>330</v>
      </c>
      <c r="N705" s="475"/>
      <c r="O705" s="476">
        <v>0.85277777777777775</v>
      </c>
      <c r="P705" s="476">
        <v>0.85277777777777775</v>
      </c>
      <c r="Q705" s="477">
        <v>0.87152777777777779</v>
      </c>
      <c r="R705" s="472">
        <f>IF(Table6[[#This Row],[Work Start TimeStamp]]="","",(Table6[[#This Row],[Work Start TimeStamp]]-Table6[[#This Row],[Fault Start TimeStamp]])*24)</f>
        <v>0</v>
      </c>
      <c r="S705" s="472">
        <f>(Table6[[#This Row],[Fault Clearance time]]-Table6[[#This Row],[Work Start TimeStamp]])*24</f>
        <v>0.45000000000000107</v>
      </c>
      <c r="T705" s="472">
        <f>(Table6[[#This Row],[Fault Clearance time]]-Table6[[#This Row],[Fault Start TimeStamp]])*24</f>
        <v>0.45000000000000107</v>
      </c>
      <c r="U705" s="35" t="s">
        <v>1744</v>
      </c>
      <c r="V705" s="102" t="s">
        <v>293</v>
      </c>
      <c r="W705" s="478">
        <f>IFERROR(Table6[[#This Row],[Breakdown Time]]*Table6[[#This Row],[Plant Equivalent Weightage]],"")</f>
        <v>1.7307692307692343E-2</v>
      </c>
      <c r="X705" s="473" t="s">
        <v>294</v>
      </c>
      <c r="Y705" s="474" t="s">
        <v>315</v>
      </c>
      <c r="Z705" s="102">
        <v>15857</v>
      </c>
      <c r="AA705" s="468">
        <f>(Table6[[#This Row],[Paired WTG Generation for loss calculation]]/24)*Table6[[#This Row],[Breakdown Time]]</f>
        <v>297.3187500000007</v>
      </c>
      <c r="AB705" s="102"/>
      <c r="AC705" s="35"/>
      <c r="AD705" s="35"/>
    </row>
    <row r="706" spans="1:30">
      <c r="A706" s="102">
        <f t="shared" si="11"/>
        <v>705</v>
      </c>
      <c r="B706" s="468">
        <f>YEAR(Table6[[#This Row],[Date]])+IF(MONTH(Table6[[#This Row],[Date]])&gt;=4,1,0)</f>
        <v>2026</v>
      </c>
      <c r="C706" s="102">
        <f>YEAR(Table6[[#This Row],[Date]])</f>
        <v>2025</v>
      </c>
      <c r="D706" s="102" t="s">
        <v>1992</v>
      </c>
      <c r="E706" s="469">
        <f>Table6[[#This Row],[Date]]-DAY(Table6[[#This Row],[Date]])+1</f>
        <v>45778</v>
      </c>
      <c r="F706" s="470">
        <v>45791</v>
      </c>
      <c r="G706" s="35" t="s">
        <v>74</v>
      </c>
      <c r="H706" s="35" t="str">
        <f>IFERROR(_xlfn.XLOOKUP(Table6[[#This Row],[Affected WTG]],'Basic Data'!$A:$A,'Basic Data'!$B:$B),"")</f>
        <v>TQGXIIPL</v>
      </c>
      <c r="I706" s="35" t="str">
        <f>IFERROR(_xlfn.XLOOKUP(Table6[[#This Row],[Affected WTG]],'Basic Data'!$A:$A,'Basic Data'!$C:$C),"")</f>
        <v>GEDA</v>
      </c>
      <c r="J706" s="471">
        <f>IFERROR(_xlfn.XLOOKUP(Table6[[#This Row],[Affected WTG]],'Basic Data'!$A:$A,'Basic Data'!$E:$E),"")</f>
        <v>3.846153846153845E-2</v>
      </c>
      <c r="K706" s="102">
        <v>55</v>
      </c>
      <c r="L706" s="35" t="str">
        <f>IFERROR(_xlfn.XLOOKUP(Table6[[#This Row],[Error Code]],'Basic Data'!$AA:$AA,'Basic Data'!$AB:$AB),"Incorrect Error Code")</f>
        <v>WTG shut down</v>
      </c>
      <c r="M706" s="35" t="s">
        <v>328</v>
      </c>
      <c r="N706" s="475"/>
      <c r="O706" s="476">
        <v>0.70902777777777781</v>
      </c>
      <c r="P706" s="476">
        <v>0.7270833333333333</v>
      </c>
      <c r="Q706" s="477">
        <v>0.74791666666666667</v>
      </c>
      <c r="R706" s="472">
        <f>IF(Table6[[#This Row],[Work Start TimeStamp]]="","",(Table6[[#This Row],[Work Start TimeStamp]]-Table6[[#This Row],[Fault Start TimeStamp]])*24)</f>
        <v>0.43333333333333179</v>
      </c>
      <c r="S706" s="472">
        <f>(Table6[[#This Row],[Fault Clearance time]]-Table6[[#This Row],[Work Start TimeStamp]])*24</f>
        <v>0.50000000000000089</v>
      </c>
      <c r="T706" s="472">
        <f>(Table6[[#This Row],[Fault Clearance time]]-Table6[[#This Row],[Fault Start TimeStamp]])*24</f>
        <v>0.93333333333333268</v>
      </c>
      <c r="U706" s="35" t="s">
        <v>1818</v>
      </c>
      <c r="V706" s="102" t="s">
        <v>293</v>
      </c>
      <c r="W706" s="478">
        <f>IFERROR(Table6[[#This Row],[Breakdown Time]]*Table6[[#This Row],[Plant Equivalent Weightage]],"")</f>
        <v>3.589743589743586E-2</v>
      </c>
      <c r="X706" s="473" t="s">
        <v>294</v>
      </c>
      <c r="Y706" s="474" t="s">
        <v>321</v>
      </c>
      <c r="Z706" s="102">
        <v>15454</v>
      </c>
      <c r="AA706" s="468">
        <f>(Table6[[#This Row],[Paired WTG Generation for loss calculation]]/24)*Table6[[#This Row],[Breakdown Time]]</f>
        <v>600.98888888888848</v>
      </c>
      <c r="AB706" s="102"/>
      <c r="AC706" s="35"/>
      <c r="AD706" s="35"/>
    </row>
    <row r="707" spans="1:30">
      <c r="A707" s="102">
        <f t="shared" si="11"/>
        <v>706</v>
      </c>
      <c r="B707" s="468">
        <f>YEAR(Table6[[#This Row],[Date]])+IF(MONTH(Table6[[#This Row],[Date]])&gt;=4,1,0)</f>
        <v>2026</v>
      </c>
      <c r="C707" s="102">
        <f>YEAR(Table6[[#This Row],[Date]])</f>
        <v>2025</v>
      </c>
      <c r="D707" s="102" t="s">
        <v>1992</v>
      </c>
      <c r="E707" s="469">
        <f>Table6[[#This Row],[Date]]-DAY(Table6[[#This Row],[Date]])+1</f>
        <v>45778</v>
      </c>
      <c r="F707" s="470">
        <v>45791</v>
      </c>
      <c r="G707" s="35" t="s">
        <v>78</v>
      </c>
      <c r="H707" s="35" t="str">
        <f>IFERROR(_xlfn.XLOOKUP(Table6[[#This Row],[Affected WTG]],'Basic Data'!$A:$A,'Basic Data'!$B:$B),"")</f>
        <v>TQGXIIPL</v>
      </c>
      <c r="I707" s="35" t="str">
        <f>IFERROR(_xlfn.XLOOKUP(Table6[[#This Row],[Affected WTG]],'Basic Data'!$A:$A,'Basic Data'!$C:$C),"")</f>
        <v>GEDA</v>
      </c>
      <c r="J707" s="471">
        <f>IFERROR(_xlfn.XLOOKUP(Table6[[#This Row],[Affected WTG]],'Basic Data'!$A:$A,'Basic Data'!$E:$E),"")</f>
        <v>3.846153846153845E-2</v>
      </c>
      <c r="K707" s="102">
        <v>3211</v>
      </c>
      <c r="L707" s="35" t="str">
        <f>IFERROR(_xlfn.XLOOKUP(Table6[[#This Row],[Error Code]],'Basic Data'!$AA:$AA,'Basic Data'!$AB:$AB),"Incorrect Error Code")</f>
        <v>Conv. load shedding (CAN)</v>
      </c>
      <c r="M707" s="35" t="s">
        <v>292</v>
      </c>
      <c r="N707" s="475"/>
      <c r="O707" s="476">
        <v>0.34791666666666665</v>
      </c>
      <c r="P707" s="476">
        <v>0.34791666666666665</v>
      </c>
      <c r="Q707" s="477">
        <v>0.35069444444444442</v>
      </c>
      <c r="R707" s="472">
        <f>IF(Table6[[#This Row],[Work Start TimeStamp]]="","",(Table6[[#This Row],[Work Start TimeStamp]]-Table6[[#This Row],[Fault Start TimeStamp]])*24)</f>
        <v>0</v>
      </c>
      <c r="S707" s="472">
        <f>(Table6[[#This Row],[Fault Clearance time]]-Table6[[#This Row],[Work Start TimeStamp]])*24</f>
        <v>6.666666666666643E-2</v>
      </c>
      <c r="T707" s="472">
        <f>(Table6[[#This Row],[Fault Clearance time]]-Table6[[#This Row],[Fault Start TimeStamp]])*24</f>
        <v>6.666666666666643E-2</v>
      </c>
      <c r="U707" s="35" t="s">
        <v>1816</v>
      </c>
      <c r="V707" s="102" t="s">
        <v>293</v>
      </c>
      <c r="W707" s="478">
        <f>IFERROR(Table6[[#This Row],[Breakdown Time]]*Table6[[#This Row],[Plant Equivalent Weightage]],"")</f>
        <v>2.5641025641025541E-3</v>
      </c>
      <c r="X707" s="473" t="s">
        <v>294</v>
      </c>
      <c r="Y707" s="474" t="s">
        <v>333</v>
      </c>
      <c r="Z707" s="102">
        <v>18583</v>
      </c>
      <c r="AA707" s="468">
        <f>(Table6[[#This Row],[Paired WTG Generation for loss calculation]]/24)*Table6[[#This Row],[Breakdown Time]]</f>
        <v>51.619444444444255</v>
      </c>
      <c r="AB707" s="102"/>
      <c r="AC707" s="35"/>
      <c r="AD707" s="35"/>
    </row>
    <row r="708" spans="1:30">
      <c r="A708" s="102">
        <f t="shared" si="11"/>
        <v>707</v>
      </c>
      <c r="B708" s="468">
        <f>YEAR(Table6[[#This Row],[Date]])+IF(MONTH(Table6[[#This Row],[Date]])&gt;=4,1,0)</f>
        <v>2026</v>
      </c>
      <c r="C708" s="102">
        <f>YEAR(Table6[[#This Row],[Date]])</f>
        <v>2025</v>
      </c>
      <c r="D708" s="102" t="s">
        <v>1992</v>
      </c>
      <c r="E708" s="469">
        <f>Table6[[#This Row],[Date]]-DAY(Table6[[#This Row],[Date]])+1</f>
        <v>45778</v>
      </c>
      <c r="F708" s="470">
        <v>45791</v>
      </c>
      <c r="G708" s="35" t="s">
        <v>78</v>
      </c>
      <c r="H708" s="35" t="str">
        <f>IFERROR(_xlfn.XLOOKUP(Table6[[#This Row],[Affected WTG]],'Basic Data'!$A:$A,'Basic Data'!$B:$B),"")</f>
        <v>TQGXIIPL</v>
      </c>
      <c r="I708" s="35" t="str">
        <f>IFERROR(_xlfn.XLOOKUP(Table6[[#This Row],[Affected WTG]],'Basic Data'!$A:$A,'Basic Data'!$C:$C),"")</f>
        <v>GEDA</v>
      </c>
      <c r="J708" s="471">
        <f>IFERROR(_xlfn.XLOOKUP(Table6[[#This Row],[Affected WTG]],'Basic Data'!$A:$A,'Basic Data'!$E:$E),"")</f>
        <v>3.846153846153845E-2</v>
      </c>
      <c r="K708" s="102">
        <v>55</v>
      </c>
      <c r="L708" s="35" t="str">
        <f>IFERROR(_xlfn.XLOOKUP(Table6[[#This Row],[Error Code]],'Basic Data'!$AA:$AA,'Basic Data'!$AB:$AB),"Incorrect Error Code")</f>
        <v>WTG shut down</v>
      </c>
      <c r="M708" s="35" t="s">
        <v>330</v>
      </c>
      <c r="N708" s="475"/>
      <c r="O708" s="476">
        <v>0.80277777777777781</v>
      </c>
      <c r="P708" s="476">
        <v>0.80277777777777781</v>
      </c>
      <c r="Q708" s="477">
        <v>0.85069444444444442</v>
      </c>
      <c r="R708" s="472">
        <f>IF(Table6[[#This Row],[Work Start TimeStamp]]="","",(Table6[[#This Row],[Work Start TimeStamp]]-Table6[[#This Row],[Fault Start TimeStamp]])*24)</f>
        <v>0</v>
      </c>
      <c r="S708" s="472">
        <f>(Table6[[#This Row],[Fault Clearance time]]-Table6[[#This Row],[Work Start TimeStamp]])*24</f>
        <v>1.1499999999999986</v>
      </c>
      <c r="T708" s="472">
        <f>(Table6[[#This Row],[Fault Clearance time]]-Table6[[#This Row],[Fault Start TimeStamp]])*24</f>
        <v>1.1499999999999986</v>
      </c>
      <c r="U708" s="35" t="s">
        <v>1744</v>
      </c>
      <c r="V708" s="102" t="s">
        <v>293</v>
      </c>
      <c r="W708" s="478">
        <f>IFERROR(Table6[[#This Row],[Breakdown Time]]*Table6[[#This Row],[Plant Equivalent Weightage]],"")</f>
        <v>4.4230769230769164E-2</v>
      </c>
      <c r="X708" s="473" t="s">
        <v>294</v>
      </c>
      <c r="Y708" s="474" t="s">
        <v>333</v>
      </c>
      <c r="Z708" s="102">
        <v>18583</v>
      </c>
      <c r="AA708" s="468">
        <f>(Table6[[#This Row],[Paired WTG Generation for loss calculation]]/24)*Table6[[#This Row],[Breakdown Time]]</f>
        <v>890.43541666666556</v>
      </c>
      <c r="AB708" s="102"/>
      <c r="AC708" s="35"/>
      <c r="AD708" s="35"/>
    </row>
    <row r="709" spans="1:30">
      <c r="A709" s="102">
        <f t="shared" si="11"/>
        <v>708</v>
      </c>
      <c r="B709" s="468">
        <f>YEAR(Table6[[#This Row],[Date]])+IF(MONTH(Table6[[#This Row],[Date]])&gt;=4,1,0)</f>
        <v>2026</v>
      </c>
      <c r="C709" s="102">
        <f>YEAR(Table6[[#This Row],[Date]])</f>
        <v>2025</v>
      </c>
      <c r="D709" s="102" t="s">
        <v>1992</v>
      </c>
      <c r="E709" s="469">
        <f>Table6[[#This Row],[Date]]-DAY(Table6[[#This Row],[Date]])+1</f>
        <v>45778</v>
      </c>
      <c r="F709" s="470">
        <v>45791</v>
      </c>
      <c r="G709" s="35" t="s">
        <v>82</v>
      </c>
      <c r="H709" s="35" t="str">
        <f>IFERROR(_xlfn.XLOOKUP(Table6[[#This Row],[Affected WTG]],'Basic Data'!$A:$A,'Basic Data'!$B:$B),"")</f>
        <v>TQGXIIPL</v>
      </c>
      <c r="I709" s="35" t="str">
        <f>IFERROR(_xlfn.XLOOKUP(Table6[[#This Row],[Affected WTG]],'Basic Data'!$A:$A,'Basic Data'!$C:$C),"")</f>
        <v>GEDA</v>
      </c>
      <c r="J709" s="471">
        <f>IFERROR(_xlfn.XLOOKUP(Table6[[#This Row],[Affected WTG]],'Basic Data'!$A:$A,'Basic Data'!$E:$E),"")</f>
        <v>3.846153846153845E-2</v>
      </c>
      <c r="K709" s="102">
        <v>88</v>
      </c>
      <c r="L709" s="35" t="str">
        <f>IFERROR(_xlfn.XLOOKUP(Table6[[#This Row],[Error Code]],'Basic Data'!$AA:$AA,'Basic Data'!$AB:$AB),"Incorrect Error Code")</f>
        <v>Outs.temp. nacelle implaus.</v>
      </c>
      <c r="M709" s="35" t="s">
        <v>292</v>
      </c>
      <c r="N709" s="475"/>
      <c r="O709" s="476">
        <v>0.65416666666666667</v>
      </c>
      <c r="P709" s="476">
        <v>0.65416666666666667</v>
      </c>
      <c r="Q709" s="477">
        <v>0.65625</v>
      </c>
      <c r="R709" s="472">
        <f>IF(Table6[[#This Row],[Work Start TimeStamp]]="","",(Table6[[#This Row],[Work Start TimeStamp]]-Table6[[#This Row],[Fault Start TimeStamp]])*24)</f>
        <v>0</v>
      </c>
      <c r="S709" s="472">
        <f>(Table6[[#This Row],[Fault Clearance time]]-Table6[[#This Row],[Work Start TimeStamp]])*24</f>
        <v>4.9999999999999822E-2</v>
      </c>
      <c r="T709" s="472">
        <f>(Table6[[#This Row],[Fault Clearance time]]-Table6[[#This Row],[Fault Start TimeStamp]])*24</f>
        <v>4.9999999999999822E-2</v>
      </c>
      <c r="U709" s="35" t="s">
        <v>346</v>
      </c>
      <c r="V709" s="102" t="s">
        <v>293</v>
      </c>
      <c r="W709" s="478">
        <f>IFERROR(Table6[[#This Row],[Breakdown Time]]*Table6[[#This Row],[Plant Equivalent Weightage]],"")</f>
        <v>1.9230769230769156E-3</v>
      </c>
      <c r="X709" s="473" t="s">
        <v>294</v>
      </c>
      <c r="Y709" s="474" t="s">
        <v>332</v>
      </c>
      <c r="Z709" s="102">
        <v>14080</v>
      </c>
      <c r="AA709" s="468">
        <f>(Table6[[#This Row],[Paired WTG Generation for loss calculation]]/24)*Table6[[#This Row],[Breakdown Time]]</f>
        <v>29.333333333333226</v>
      </c>
      <c r="AB709" s="102"/>
      <c r="AC709" s="35"/>
      <c r="AD709" s="35"/>
    </row>
    <row r="710" spans="1:30">
      <c r="A710" s="102">
        <f t="shared" si="11"/>
        <v>709</v>
      </c>
      <c r="B710" s="468">
        <f>YEAR(Table6[[#This Row],[Date]])+IF(MONTH(Table6[[#This Row],[Date]])&gt;=4,1,0)</f>
        <v>2026</v>
      </c>
      <c r="C710" s="102">
        <f>YEAR(Table6[[#This Row],[Date]])</f>
        <v>2025</v>
      </c>
      <c r="D710" s="102" t="s">
        <v>1992</v>
      </c>
      <c r="E710" s="469">
        <f>Table6[[#This Row],[Date]]-DAY(Table6[[#This Row],[Date]])+1</f>
        <v>45778</v>
      </c>
      <c r="F710" s="470">
        <v>45791</v>
      </c>
      <c r="G710" s="35" t="s">
        <v>82</v>
      </c>
      <c r="H710" s="35" t="str">
        <f>IFERROR(_xlfn.XLOOKUP(Table6[[#This Row],[Affected WTG]],'Basic Data'!$A:$A,'Basic Data'!$B:$B),"")</f>
        <v>TQGXIIPL</v>
      </c>
      <c r="I710" s="35" t="str">
        <f>IFERROR(_xlfn.XLOOKUP(Table6[[#This Row],[Affected WTG]],'Basic Data'!$A:$A,'Basic Data'!$C:$C),"")</f>
        <v>GEDA</v>
      </c>
      <c r="J710" s="471">
        <f>IFERROR(_xlfn.XLOOKUP(Table6[[#This Row],[Affected WTG]],'Basic Data'!$A:$A,'Basic Data'!$E:$E),"")</f>
        <v>3.846153846153845E-2</v>
      </c>
      <c r="K710" s="102">
        <v>6690</v>
      </c>
      <c r="L710" s="35" t="str">
        <f>IFERROR(_xlfn.XLOOKUP(Table6[[#This Row],[Error Code]],'Basic Data'!$AA:$AA,'Basic Data'!$AB:$AB),"Incorrect Error Code")</f>
        <v>Icing (stop)</v>
      </c>
      <c r="M710" s="35" t="s">
        <v>292</v>
      </c>
      <c r="N710" s="475"/>
      <c r="O710" s="476">
        <v>0.65833333333333333</v>
      </c>
      <c r="P710" s="476">
        <v>0.65833333333333333</v>
      </c>
      <c r="Q710" s="477">
        <v>0.66111111111111109</v>
      </c>
      <c r="R710" s="472">
        <f>IF(Table6[[#This Row],[Work Start TimeStamp]]="","",(Table6[[#This Row],[Work Start TimeStamp]]-Table6[[#This Row],[Fault Start TimeStamp]])*24)</f>
        <v>0</v>
      </c>
      <c r="S710" s="472">
        <f>(Table6[[#This Row],[Fault Clearance time]]-Table6[[#This Row],[Work Start TimeStamp]])*24</f>
        <v>6.666666666666643E-2</v>
      </c>
      <c r="T710" s="472">
        <f>(Table6[[#This Row],[Fault Clearance time]]-Table6[[#This Row],[Fault Start TimeStamp]])*24</f>
        <v>6.666666666666643E-2</v>
      </c>
      <c r="U710" s="35" t="s">
        <v>346</v>
      </c>
      <c r="V710" s="102" t="s">
        <v>293</v>
      </c>
      <c r="W710" s="478">
        <f>IFERROR(Table6[[#This Row],[Breakdown Time]]*Table6[[#This Row],[Plant Equivalent Weightage]],"")</f>
        <v>2.5641025641025541E-3</v>
      </c>
      <c r="X710" s="473" t="s">
        <v>294</v>
      </c>
      <c r="Y710" s="474" t="s">
        <v>332</v>
      </c>
      <c r="Z710" s="102">
        <v>14080</v>
      </c>
      <c r="AA710" s="468">
        <f>(Table6[[#This Row],[Paired WTG Generation for loss calculation]]/24)*Table6[[#This Row],[Breakdown Time]]</f>
        <v>39.111111111110972</v>
      </c>
      <c r="AB710" s="102"/>
      <c r="AC710" s="35"/>
      <c r="AD710" s="35"/>
    </row>
    <row r="711" spans="1:30">
      <c r="A711" s="102">
        <f t="shared" si="11"/>
        <v>710</v>
      </c>
      <c r="B711" s="468">
        <f>YEAR(Table6[[#This Row],[Date]])+IF(MONTH(Table6[[#This Row],[Date]])&gt;=4,1,0)</f>
        <v>2026</v>
      </c>
      <c r="C711" s="102">
        <f>YEAR(Table6[[#This Row],[Date]])</f>
        <v>2025</v>
      </c>
      <c r="D711" s="102" t="s">
        <v>1992</v>
      </c>
      <c r="E711" s="469">
        <f>Table6[[#This Row],[Date]]-DAY(Table6[[#This Row],[Date]])+1</f>
        <v>45778</v>
      </c>
      <c r="F711" s="470">
        <v>45791</v>
      </c>
      <c r="G711" s="35" t="s">
        <v>82</v>
      </c>
      <c r="H711" s="35" t="str">
        <f>IFERROR(_xlfn.XLOOKUP(Table6[[#This Row],[Affected WTG]],'Basic Data'!$A:$A,'Basic Data'!$B:$B),"")</f>
        <v>TQGXIIPL</v>
      </c>
      <c r="I711" s="35" t="str">
        <f>IFERROR(_xlfn.XLOOKUP(Table6[[#This Row],[Affected WTG]],'Basic Data'!$A:$A,'Basic Data'!$C:$C),"")</f>
        <v>GEDA</v>
      </c>
      <c r="J711" s="471">
        <f>IFERROR(_xlfn.XLOOKUP(Table6[[#This Row],[Affected WTG]],'Basic Data'!$A:$A,'Basic Data'!$E:$E),"")</f>
        <v>3.846153846153845E-2</v>
      </c>
      <c r="K711" s="102">
        <v>88</v>
      </c>
      <c r="L711" s="35" t="str">
        <f>IFERROR(_xlfn.XLOOKUP(Table6[[#This Row],[Error Code]],'Basic Data'!$AA:$AA,'Basic Data'!$AB:$AB),"Incorrect Error Code")</f>
        <v>Outs.temp. nacelle implaus.</v>
      </c>
      <c r="M711" s="35" t="s">
        <v>291</v>
      </c>
      <c r="N711" s="475"/>
      <c r="O711" s="476">
        <v>0.6791666666666667</v>
      </c>
      <c r="P711" s="476">
        <v>0.6791666666666667</v>
      </c>
      <c r="Q711" s="477">
        <v>0.71180555555555558</v>
      </c>
      <c r="R711" s="472">
        <f>IF(Table6[[#This Row],[Work Start TimeStamp]]="","",(Table6[[#This Row],[Work Start TimeStamp]]-Table6[[#This Row],[Fault Start TimeStamp]])*24)</f>
        <v>0</v>
      </c>
      <c r="S711" s="472">
        <f>(Table6[[#This Row],[Fault Clearance time]]-Table6[[#This Row],[Work Start TimeStamp]])*24</f>
        <v>0.78333333333333321</v>
      </c>
      <c r="T711" s="472">
        <f>(Table6[[#This Row],[Fault Clearance time]]-Table6[[#This Row],[Fault Start TimeStamp]])*24</f>
        <v>0.78333333333333321</v>
      </c>
      <c r="U711" s="35" t="s">
        <v>343</v>
      </c>
      <c r="V711" s="102" t="s">
        <v>293</v>
      </c>
      <c r="W711" s="478">
        <f>IFERROR(Table6[[#This Row],[Breakdown Time]]*Table6[[#This Row],[Plant Equivalent Weightage]],"")</f>
        <v>3.0128205128205115E-2</v>
      </c>
      <c r="X711" s="473" t="s">
        <v>294</v>
      </c>
      <c r="Y711" s="474" t="s">
        <v>332</v>
      </c>
      <c r="Z711" s="102">
        <v>14080</v>
      </c>
      <c r="AA711" s="468">
        <f>(Table6[[#This Row],[Paired WTG Generation for loss calculation]]/24)*Table6[[#This Row],[Breakdown Time]]</f>
        <v>459.55555555555543</v>
      </c>
      <c r="AB711" s="102"/>
      <c r="AC711" s="35"/>
      <c r="AD711" s="35"/>
    </row>
    <row r="712" spans="1:30">
      <c r="A712" s="102">
        <f t="shared" si="11"/>
        <v>711</v>
      </c>
      <c r="B712" s="468">
        <f>YEAR(Table6[[#This Row],[Date]])+IF(MONTH(Table6[[#This Row],[Date]])&gt;=4,1,0)</f>
        <v>2026</v>
      </c>
      <c r="C712" s="102">
        <f>YEAR(Table6[[#This Row],[Date]])</f>
        <v>2025</v>
      </c>
      <c r="D712" s="102" t="s">
        <v>1992</v>
      </c>
      <c r="E712" s="469">
        <f>Table6[[#This Row],[Date]]-DAY(Table6[[#This Row],[Date]])+1</f>
        <v>45778</v>
      </c>
      <c r="F712" s="470">
        <v>45791</v>
      </c>
      <c r="G712" s="35" t="s">
        <v>83</v>
      </c>
      <c r="H712" s="35" t="str">
        <f>IFERROR(_xlfn.XLOOKUP(Table6[[#This Row],[Affected WTG]],'Basic Data'!$A:$A,'Basic Data'!$B:$B),"")</f>
        <v>TQGXIIPL</v>
      </c>
      <c r="I712" s="35" t="str">
        <f>IFERROR(_xlfn.XLOOKUP(Table6[[#This Row],[Affected WTG]],'Basic Data'!$A:$A,'Basic Data'!$C:$C),"")</f>
        <v>GEDA</v>
      </c>
      <c r="J712" s="471">
        <f>IFERROR(_xlfn.XLOOKUP(Table6[[#This Row],[Affected WTG]],'Basic Data'!$A:$A,'Basic Data'!$E:$E),"")</f>
        <v>3.846153846153845E-2</v>
      </c>
      <c r="K712" s="102">
        <v>4970</v>
      </c>
      <c r="L712" s="35" t="str">
        <f>IFERROR(_xlfn.XLOOKUP(Table6[[#This Row],[Error Code]],'Basic Data'!$AA:$AA,'Basic Data'!$AB:$AB),"Incorrect Error Code")</f>
        <v>Tower oscillation XF</v>
      </c>
      <c r="M712" s="35" t="s">
        <v>291</v>
      </c>
      <c r="N712" s="475"/>
      <c r="O712" s="476">
        <v>0.79374999999999996</v>
      </c>
      <c r="P712" s="476">
        <v>0.79374999999999996</v>
      </c>
      <c r="Q712" s="477">
        <v>0.80277777777777781</v>
      </c>
      <c r="R712" s="472">
        <f>IF(Table6[[#This Row],[Work Start TimeStamp]]="","",(Table6[[#This Row],[Work Start TimeStamp]]-Table6[[#This Row],[Fault Start TimeStamp]])*24)</f>
        <v>0</v>
      </c>
      <c r="S712" s="472">
        <f>(Table6[[#This Row],[Fault Clearance time]]-Table6[[#This Row],[Work Start TimeStamp]])*24</f>
        <v>0.21666666666666856</v>
      </c>
      <c r="T712" s="472">
        <f>(Table6[[#This Row],[Fault Clearance time]]-Table6[[#This Row],[Fault Start TimeStamp]])*24</f>
        <v>0.21666666666666856</v>
      </c>
      <c r="U712" s="35" t="s">
        <v>343</v>
      </c>
      <c r="V712" s="102" t="s">
        <v>293</v>
      </c>
      <c r="W712" s="478">
        <f>IFERROR(Table6[[#This Row],[Breakdown Time]]*Table6[[#This Row],[Plant Equivalent Weightage]],"")</f>
        <v>8.3333333333334043E-3</v>
      </c>
      <c r="X712" s="473" t="s">
        <v>294</v>
      </c>
      <c r="Y712" s="474" t="s">
        <v>312</v>
      </c>
      <c r="Z712" s="102">
        <v>15173</v>
      </c>
      <c r="AA712" s="468">
        <f>(Table6[[#This Row],[Paired WTG Generation for loss calculation]]/24)*Table6[[#This Row],[Breakdown Time]]</f>
        <v>136.97847222222342</v>
      </c>
      <c r="AB712" s="102"/>
      <c r="AC712" s="35"/>
      <c r="AD712" s="35"/>
    </row>
    <row r="713" spans="1:30">
      <c r="A713" s="102">
        <f t="shared" si="11"/>
        <v>712</v>
      </c>
      <c r="B713" s="468">
        <f>YEAR(Table6[[#This Row],[Date]])+IF(MONTH(Table6[[#This Row],[Date]])&gt;=4,1,0)</f>
        <v>2026</v>
      </c>
      <c r="C713" s="102">
        <f>YEAR(Table6[[#This Row],[Date]])</f>
        <v>2025</v>
      </c>
      <c r="D713" s="102" t="s">
        <v>1992</v>
      </c>
      <c r="E713" s="469">
        <f>Table6[[#This Row],[Date]]-DAY(Table6[[#This Row],[Date]])+1</f>
        <v>45778</v>
      </c>
      <c r="F713" s="470">
        <v>45791</v>
      </c>
      <c r="G713" s="35" t="s">
        <v>85</v>
      </c>
      <c r="H713" s="35" t="str">
        <f>IFERROR(_xlfn.XLOOKUP(Table6[[#This Row],[Affected WTG]],'Basic Data'!$A:$A,'Basic Data'!$B:$B),"")</f>
        <v>TQGXIIPL</v>
      </c>
      <c r="I713" s="35" t="str">
        <f>IFERROR(_xlfn.XLOOKUP(Table6[[#This Row],[Affected WTG]],'Basic Data'!$A:$A,'Basic Data'!$C:$C),"")</f>
        <v>GEDA</v>
      </c>
      <c r="J713" s="471">
        <f>IFERROR(_xlfn.XLOOKUP(Table6[[#This Row],[Affected WTG]],'Basic Data'!$A:$A,'Basic Data'!$E:$E),"")</f>
        <v>3.846153846153845E-2</v>
      </c>
      <c r="K713" s="102">
        <v>6130</v>
      </c>
      <c r="L713" s="35" t="str">
        <f>IFERROR(_xlfn.XLOOKUP(Table6[[#This Row],[Error Code]],'Basic Data'!$AA:$AA,'Basic Data'!$AB:$AB),"Incorrect Error Code")</f>
        <v>Yaw speed high</v>
      </c>
      <c r="M713" s="35" t="s">
        <v>292</v>
      </c>
      <c r="N713" s="475"/>
      <c r="O713" s="476">
        <v>0.44236111111111109</v>
      </c>
      <c r="P713" s="476">
        <v>0.44236111111111109</v>
      </c>
      <c r="Q713" s="477">
        <v>0.44305555555555554</v>
      </c>
      <c r="R713" s="472">
        <f>IF(Table6[[#This Row],[Work Start TimeStamp]]="","",(Table6[[#This Row],[Work Start TimeStamp]]-Table6[[#This Row],[Fault Start TimeStamp]])*24)</f>
        <v>0</v>
      </c>
      <c r="S713" s="472">
        <f>(Table6[[#This Row],[Fault Clearance time]]-Table6[[#This Row],[Work Start TimeStamp]])*24</f>
        <v>1.6666666666666607E-2</v>
      </c>
      <c r="T713" s="472">
        <f>(Table6[[#This Row],[Fault Clearance time]]-Table6[[#This Row],[Fault Start TimeStamp]])*24</f>
        <v>1.6666666666666607E-2</v>
      </c>
      <c r="U713" s="35" t="s">
        <v>346</v>
      </c>
      <c r="V713" s="102" t="s">
        <v>293</v>
      </c>
      <c r="W713" s="478">
        <f>IFERROR(Table6[[#This Row],[Breakdown Time]]*Table6[[#This Row],[Plant Equivalent Weightage]],"")</f>
        <v>6.4102564102563853E-4</v>
      </c>
      <c r="X713" s="473" t="s">
        <v>294</v>
      </c>
      <c r="Y713" s="474" t="s">
        <v>322</v>
      </c>
      <c r="Z713" s="102">
        <v>14700</v>
      </c>
      <c r="AA713" s="468">
        <f>(Table6[[#This Row],[Paired WTG Generation for loss calculation]]/24)*Table6[[#This Row],[Breakdown Time]]</f>
        <v>10.208333333333297</v>
      </c>
      <c r="AB713" s="102"/>
      <c r="AC713" s="35"/>
      <c r="AD713" s="35"/>
    </row>
    <row r="714" spans="1:30">
      <c r="A714" s="102">
        <f t="shared" si="11"/>
        <v>713</v>
      </c>
      <c r="B714" s="468">
        <f>YEAR(Table6[[#This Row],[Date]])+IF(MONTH(Table6[[#This Row],[Date]])&gt;=4,1,0)</f>
        <v>2026</v>
      </c>
      <c r="C714" s="102">
        <f>YEAR(Table6[[#This Row],[Date]])</f>
        <v>2025</v>
      </c>
      <c r="D714" s="102" t="s">
        <v>1992</v>
      </c>
      <c r="E714" s="469">
        <f>Table6[[#This Row],[Date]]-DAY(Table6[[#This Row],[Date]])+1</f>
        <v>45778</v>
      </c>
      <c r="F714" s="470">
        <v>45791</v>
      </c>
      <c r="G714" s="35" t="s">
        <v>96</v>
      </c>
      <c r="H714" s="35" t="str">
        <f>IFERROR(_xlfn.XLOOKUP(Table6[[#This Row],[Affected WTG]],'Basic Data'!$A:$A,'Basic Data'!$B:$B),"")</f>
        <v>TQGXIIPL</v>
      </c>
      <c r="I714" s="35" t="str">
        <f>IFERROR(_xlfn.XLOOKUP(Table6[[#This Row],[Affected WTG]],'Basic Data'!$A:$A,'Basic Data'!$C:$C),"")</f>
        <v>GEDA</v>
      </c>
      <c r="J714" s="471">
        <f>IFERROR(_xlfn.XLOOKUP(Table6[[#This Row],[Affected WTG]],'Basic Data'!$A:$A,'Basic Data'!$E:$E),"")</f>
        <v>3.846153846153845E-2</v>
      </c>
      <c r="K714" s="102">
        <v>55</v>
      </c>
      <c r="L714" s="35" t="str">
        <f>IFERROR(_xlfn.XLOOKUP(Table6[[#This Row],[Error Code]],'Basic Data'!$AA:$AA,'Basic Data'!$AB:$AB),"Incorrect Error Code")</f>
        <v>WTG shut down</v>
      </c>
      <c r="M714" s="35" t="s">
        <v>328</v>
      </c>
      <c r="N714" s="475"/>
      <c r="O714" s="476">
        <v>0.62152777777777779</v>
      </c>
      <c r="P714" s="476">
        <v>0.62152777777777779</v>
      </c>
      <c r="Q714" s="477">
        <v>0.69236111111111109</v>
      </c>
      <c r="R714" s="472">
        <f>IF(Table6[[#This Row],[Work Start TimeStamp]]="","",(Table6[[#This Row],[Work Start TimeStamp]]-Table6[[#This Row],[Fault Start TimeStamp]])*24)</f>
        <v>0</v>
      </c>
      <c r="S714" s="472">
        <f>(Table6[[#This Row],[Fault Clearance time]]-Table6[[#This Row],[Work Start TimeStamp]])*24</f>
        <v>1.6999999999999993</v>
      </c>
      <c r="T714" s="472">
        <f>(Table6[[#This Row],[Fault Clearance time]]-Table6[[#This Row],[Fault Start TimeStamp]])*24</f>
        <v>1.6999999999999993</v>
      </c>
      <c r="U714" s="35" t="s">
        <v>1819</v>
      </c>
      <c r="V714" s="102" t="s">
        <v>293</v>
      </c>
      <c r="W714" s="478">
        <f>IFERROR(Table6[[#This Row],[Breakdown Time]]*Table6[[#This Row],[Plant Equivalent Weightage]],"")</f>
        <v>6.5384615384615333E-2</v>
      </c>
      <c r="X714" s="473" t="s">
        <v>294</v>
      </c>
      <c r="Y714" s="474" t="s">
        <v>313</v>
      </c>
      <c r="Z714" s="102">
        <v>14181</v>
      </c>
      <c r="AA714" s="468">
        <f>(Table6[[#This Row],[Paired WTG Generation for loss calculation]]/24)*Table6[[#This Row],[Breakdown Time]]</f>
        <v>1004.4874999999996</v>
      </c>
      <c r="AB714" s="102"/>
      <c r="AC714" s="35"/>
      <c r="AD714" s="35"/>
    </row>
    <row r="715" spans="1:30">
      <c r="A715" s="102">
        <f t="shared" si="11"/>
        <v>714</v>
      </c>
      <c r="B715" s="468">
        <f>YEAR(Table6[[#This Row],[Date]])+IF(MONTH(Table6[[#This Row],[Date]])&gt;=4,1,0)</f>
        <v>2026</v>
      </c>
      <c r="C715" s="102">
        <f>YEAR(Table6[[#This Row],[Date]])</f>
        <v>2025</v>
      </c>
      <c r="D715" s="102" t="s">
        <v>1992</v>
      </c>
      <c r="E715" s="469">
        <f>Table6[[#This Row],[Date]]-DAY(Table6[[#This Row],[Date]])+1</f>
        <v>45778</v>
      </c>
      <c r="F715" s="470">
        <v>45791</v>
      </c>
      <c r="G715" s="35" t="s">
        <v>96</v>
      </c>
      <c r="H715" s="35" t="str">
        <f>IFERROR(_xlfn.XLOOKUP(Table6[[#This Row],[Affected WTG]],'Basic Data'!$A:$A,'Basic Data'!$B:$B),"")</f>
        <v>TQGXIIPL</v>
      </c>
      <c r="I715" s="35" t="str">
        <f>IFERROR(_xlfn.XLOOKUP(Table6[[#This Row],[Affected WTG]],'Basic Data'!$A:$A,'Basic Data'!$C:$C),"")</f>
        <v>GEDA</v>
      </c>
      <c r="J715" s="471">
        <f>IFERROR(_xlfn.XLOOKUP(Table6[[#This Row],[Affected WTG]],'Basic Data'!$A:$A,'Basic Data'!$E:$E),"")</f>
        <v>3.846153846153845E-2</v>
      </c>
      <c r="K715" s="102">
        <v>4970</v>
      </c>
      <c r="L715" s="35" t="str">
        <f>IFERROR(_xlfn.XLOOKUP(Table6[[#This Row],[Error Code]],'Basic Data'!$AA:$AA,'Basic Data'!$AB:$AB),"Incorrect Error Code")</f>
        <v>Tower oscillation XF</v>
      </c>
      <c r="M715" s="35" t="s">
        <v>291</v>
      </c>
      <c r="N715" s="475"/>
      <c r="O715" s="476">
        <v>0.79166666666666663</v>
      </c>
      <c r="P715" s="476">
        <v>0.79166666666666663</v>
      </c>
      <c r="Q715" s="477">
        <v>0.80208333333333337</v>
      </c>
      <c r="R715" s="472">
        <f>IF(Table6[[#This Row],[Work Start TimeStamp]]="","",(Table6[[#This Row],[Work Start TimeStamp]]-Table6[[#This Row],[Fault Start TimeStamp]])*24)</f>
        <v>0</v>
      </c>
      <c r="S715" s="472">
        <f>(Table6[[#This Row],[Fault Clearance time]]-Table6[[#This Row],[Work Start TimeStamp]])*24</f>
        <v>0.25000000000000178</v>
      </c>
      <c r="T715" s="472">
        <f>(Table6[[#This Row],[Fault Clearance time]]-Table6[[#This Row],[Fault Start TimeStamp]])*24</f>
        <v>0.25000000000000178</v>
      </c>
      <c r="U715" s="35" t="s">
        <v>343</v>
      </c>
      <c r="V715" s="102" t="s">
        <v>293</v>
      </c>
      <c r="W715" s="478">
        <f>IFERROR(Table6[[#This Row],[Breakdown Time]]*Table6[[#This Row],[Plant Equivalent Weightage]],"")</f>
        <v>9.6153846153846801E-3</v>
      </c>
      <c r="X715" s="473" t="s">
        <v>294</v>
      </c>
      <c r="Y715" s="474" t="s">
        <v>313</v>
      </c>
      <c r="Z715" s="102">
        <v>14181</v>
      </c>
      <c r="AA715" s="468">
        <f>(Table6[[#This Row],[Paired WTG Generation for loss calculation]]/24)*Table6[[#This Row],[Breakdown Time]]</f>
        <v>147.71875000000105</v>
      </c>
      <c r="AB715" s="102"/>
      <c r="AC715" s="35"/>
      <c r="AD715" s="35"/>
    </row>
    <row r="716" spans="1:30">
      <c r="A716" s="102">
        <f t="shared" si="11"/>
        <v>715</v>
      </c>
      <c r="B716" s="468">
        <f>YEAR(Table6[[#This Row],[Date]])+IF(MONTH(Table6[[#This Row],[Date]])&gt;=4,1,0)</f>
        <v>2026</v>
      </c>
      <c r="C716" s="102">
        <f>YEAR(Table6[[#This Row],[Date]])</f>
        <v>2025</v>
      </c>
      <c r="D716" s="102" t="s">
        <v>1992</v>
      </c>
      <c r="E716" s="469">
        <f>Table6[[#This Row],[Date]]-DAY(Table6[[#This Row],[Date]])+1</f>
        <v>45778</v>
      </c>
      <c r="F716" s="470">
        <v>45791</v>
      </c>
      <c r="G716" s="35" t="s">
        <v>98</v>
      </c>
      <c r="H716" s="35" t="str">
        <f>IFERROR(_xlfn.XLOOKUP(Table6[[#This Row],[Affected WTG]],'Basic Data'!$A:$A,'Basic Data'!$B:$B),"")</f>
        <v>TQGXIIPL</v>
      </c>
      <c r="I716" s="35" t="str">
        <f>IFERROR(_xlfn.XLOOKUP(Table6[[#This Row],[Affected WTG]],'Basic Data'!$A:$A,'Basic Data'!$C:$C),"")</f>
        <v>GEDA</v>
      </c>
      <c r="J716" s="471">
        <f>IFERROR(_xlfn.XLOOKUP(Table6[[#This Row],[Affected WTG]],'Basic Data'!$A:$A,'Basic Data'!$E:$E),"")</f>
        <v>3.846153846153845E-2</v>
      </c>
      <c r="K716" s="102">
        <v>55</v>
      </c>
      <c r="L716" s="35" t="str">
        <f>IFERROR(_xlfn.XLOOKUP(Table6[[#This Row],[Error Code]],'Basic Data'!$AA:$AA,'Basic Data'!$AB:$AB),"Incorrect Error Code")</f>
        <v>WTG shut down</v>
      </c>
      <c r="M716" s="35" t="s">
        <v>330</v>
      </c>
      <c r="N716" s="475"/>
      <c r="O716" s="476">
        <v>0.79236111111111107</v>
      </c>
      <c r="P716" s="476">
        <v>0.79236111111111107</v>
      </c>
      <c r="Q716" s="477">
        <v>0.80347222222222225</v>
      </c>
      <c r="R716" s="472">
        <f>IF(Table6[[#This Row],[Work Start TimeStamp]]="","",(Table6[[#This Row],[Work Start TimeStamp]]-Table6[[#This Row],[Fault Start TimeStamp]])*24)</f>
        <v>0</v>
      </c>
      <c r="S716" s="472">
        <f>(Table6[[#This Row],[Fault Clearance time]]-Table6[[#This Row],[Work Start TimeStamp]])*24</f>
        <v>0.26666666666666838</v>
      </c>
      <c r="T716" s="472">
        <f>(Table6[[#This Row],[Fault Clearance time]]-Table6[[#This Row],[Fault Start TimeStamp]])*24</f>
        <v>0.26666666666666838</v>
      </c>
      <c r="U716" s="35" t="s">
        <v>1744</v>
      </c>
      <c r="V716" s="102" t="s">
        <v>293</v>
      </c>
      <c r="W716" s="478">
        <f>IFERROR(Table6[[#This Row],[Breakdown Time]]*Table6[[#This Row],[Plant Equivalent Weightage]],"")</f>
        <v>1.0256410256410319E-2</v>
      </c>
      <c r="X716" s="473" t="s">
        <v>294</v>
      </c>
      <c r="Y716" s="474" t="s">
        <v>315</v>
      </c>
      <c r="Z716" s="102">
        <v>16319</v>
      </c>
      <c r="AA716" s="468">
        <f>(Table6[[#This Row],[Paired WTG Generation for loss calculation]]/24)*Table6[[#This Row],[Breakdown Time]]</f>
        <v>181.32222222222339</v>
      </c>
      <c r="AB716" s="102"/>
      <c r="AC716" s="35"/>
      <c r="AD716" s="35"/>
    </row>
    <row r="717" spans="1:30">
      <c r="A717" s="102">
        <f t="shared" si="11"/>
        <v>716</v>
      </c>
      <c r="B717" s="468">
        <f>YEAR(Table6[[#This Row],[Date]])+IF(MONTH(Table6[[#This Row],[Date]])&gt;=4,1,0)</f>
        <v>2026</v>
      </c>
      <c r="C717" s="102">
        <f>YEAR(Table6[[#This Row],[Date]])</f>
        <v>2025</v>
      </c>
      <c r="D717" s="102" t="s">
        <v>1992</v>
      </c>
      <c r="E717" s="469">
        <f>Table6[[#This Row],[Date]]-DAY(Table6[[#This Row],[Date]])+1</f>
        <v>45778</v>
      </c>
      <c r="F717" s="470">
        <v>45791</v>
      </c>
      <c r="G717" s="35" t="s">
        <v>98</v>
      </c>
      <c r="H717" s="35" t="str">
        <f>IFERROR(_xlfn.XLOOKUP(Table6[[#This Row],[Affected WTG]],'Basic Data'!$A:$A,'Basic Data'!$B:$B),"")</f>
        <v>TQGXIIPL</v>
      </c>
      <c r="I717" s="35" t="str">
        <f>IFERROR(_xlfn.XLOOKUP(Table6[[#This Row],[Affected WTG]],'Basic Data'!$A:$A,'Basic Data'!$C:$C),"")</f>
        <v>GEDA</v>
      </c>
      <c r="J717" s="471">
        <f>IFERROR(_xlfn.XLOOKUP(Table6[[#This Row],[Affected WTG]],'Basic Data'!$A:$A,'Basic Data'!$E:$E),"")</f>
        <v>3.846153846153845E-2</v>
      </c>
      <c r="K717" s="102">
        <v>55</v>
      </c>
      <c r="L717" s="35" t="str">
        <f>IFERROR(_xlfn.XLOOKUP(Table6[[#This Row],[Error Code]],'Basic Data'!$AA:$AA,'Basic Data'!$AB:$AB),"Incorrect Error Code")</f>
        <v>WTG shut down</v>
      </c>
      <c r="M717" s="35" t="s">
        <v>330</v>
      </c>
      <c r="N717" s="475"/>
      <c r="O717" s="476">
        <v>0.80833333333333335</v>
      </c>
      <c r="P717" s="476">
        <v>0.80833333333333335</v>
      </c>
      <c r="Q717" s="477">
        <v>0.83333333333333337</v>
      </c>
      <c r="R717" s="472">
        <f>IF(Table6[[#This Row],[Work Start TimeStamp]]="","",(Table6[[#This Row],[Work Start TimeStamp]]-Table6[[#This Row],[Fault Start TimeStamp]])*24)</f>
        <v>0</v>
      </c>
      <c r="S717" s="472">
        <f>(Table6[[#This Row],[Fault Clearance time]]-Table6[[#This Row],[Work Start TimeStamp]])*24</f>
        <v>0.60000000000000053</v>
      </c>
      <c r="T717" s="472">
        <f>(Table6[[#This Row],[Fault Clearance time]]-Table6[[#This Row],[Fault Start TimeStamp]])*24</f>
        <v>0.60000000000000053</v>
      </c>
      <c r="U717" s="35" t="s">
        <v>1744</v>
      </c>
      <c r="V717" s="102" t="s">
        <v>293</v>
      </c>
      <c r="W717" s="478">
        <f>IFERROR(Table6[[#This Row],[Breakdown Time]]*Table6[[#This Row],[Plant Equivalent Weightage]],"")</f>
        <v>2.3076923076923092E-2</v>
      </c>
      <c r="X717" s="473" t="s">
        <v>294</v>
      </c>
      <c r="Y717" s="474" t="s">
        <v>315</v>
      </c>
      <c r="Z717" s="102">
        <v>16319</v>
      </c>
      <c r="AA717" s="468">
        <f>(Table6[[#This Row],[Paired WTG Generation for loss calculation]]/24)*Table6[[#This Row],[Breakdown Time]]</f>
        <v>407.97500000000036</v>
      </c>
      <c r="AB717" s="102"/>
      <c r="AC717" s="35"/>
      <c r="AD717" s="35"/>
    </row>
    <row r="718" spans="1:30">
      <c r="A718" s="102">
        <f t="shared" ref="A718:A781" si="12">A717+1</f>
        <v>717</v>
      </c>
      <c r="B718" s="468">
        <f>YEAR(Table6[[#This Row],[Date]])+IF(MONTH(Table6[[#This Row],[Date]])&gt;=4,1,0)</f>
        <v>2026</v>
      </c>
      <c r="C718" s="102">
        <f>YEAR(Table6[[#This Row],[Date]])</f>
        <v>2025</v>
      </c>
      <c r="D718" s="102" t="s">
        <v>1992</v>
      </c>
      <c r="E718" s="469">
        <f>Table6[[#This Row],[Date]]-DAY(Table6[[#This Row],[Date]])+1</f>
        <v>45778</v>
      </c>
      <c r="F718" s="470">
        <v>45792</v>
      </c>
      <c r="G718" s="35" t="s">
        <v>74</v>
      </c>
      <c r="H718" s="35" t="str">
        <f>IFERROR(_xlfn.XLOOKUP(Table6[[#This Row],[Affected WTG]],'Basic Data'!$A:$A,'Basic Data'!$B:$B),"")</f>
        <v>TQGXIIPL</v>
      </c>
      <c r="I718" s="35" t="str">
        <f>IFERROR(_xlfn.XLOOKUP(Table6[[#This Row],[Affected WTG]],'Basic Data'!$A:$A,'Basic Data'!$C:$C),"")</f>
        <v>GEDA</v>
      </c>
      <c r="J718" s="471">
        <f>IFERROR(_xlfn.XLOOKUP(Table6[[#This Row],[Affected WTG]],'Basic Data'!$A:$A,'Basic Data'!$E:$E),"")</f>
        <v>3.846153846153845E-2</v>
      </c>
      <c r="K718" s="102">
        <v>6130</v>
      </c>
      <c r="L718" s="35" t="str">
        <f>IFERROR(_xlfn.XLOOKUP(Table6[[#This Row],[Error Code]],'Basic Data'!$AA:$AA,'Basic Data'!$AB:$AB),"Incorrect Error Code")</f>
        <v>Yaw speed high</v>
      </c>
      <c r="M718" s="35" t="s">
        <v>291</v>
      </c>
      <c r="N718" s="475"/>
      <c r="O718" s="476">
        <v>0.76875000000000004</v>
      </c>
      <c r="P718" s="476">
        <v>0.76875000000000004</v>
      </c>
      <c r="Q718" s="477">
        <v>0.7729166666666667</v>
      </c>
      <c r="R718" s="472">
        <f>IF(Table6[[#This Row],[Work Start TimeStamp]]="","",(Table6[[#This Row],[Work Start TimeStamp]]-Table6[[#This Row],[Fault Start TimeStamp]])*24)</f>
        <v>0</v>
      </c>
      <c r="S718" s="472">
        <f>(Table6[[#This Row],[Fault Clearance time]]-Table6[[#This Row],[Work Start TimeStamp]])*24</f>
        <v>9.9999999999999645E-2</v>
      </c>
      <c r="T718" s="472">
        <f>(Table6[[#This Row],[Fault Clearance time]]-Table6[[#This Row],[Fault Start TimeStamp]])*24</f>
        <v>9.9999999999999645E-2</v>
      </c>
      <c r="U718" s="35" t="s">
        <v>343</v>
      </c>
      <c r="V718" s="102" t="s">
        <v>293</v>
      </c>
      <c r="W718" s="478">
        <f>IFERROR(Table6[[#This Row],[Breakdown Time]]*Table6[[#This Row],[Plant Equivalent Weightage]],"")</f>
        <v>3.8461538461538312E-3</v>
      </c>
      <c r="X718" s="473" t="s">
        <v>294</v>
      </c>
      <c r="Y718" s="474" t="s">
        <v>321</v>
      </c>
      <c r="Z718" s="102">
        <v>11056</v>
      </c>
      <c r="AA718" s="468">
        <f>(Table6[[#This Row],[Paired WTG Generation for loss calculation]]/24)*Table6[[#This Row],[Breakdown Time]]</f>
        <v>46.066666666666507</v>
      </c>
      <c r="AB718" s="102"/>
      <c r="AC718" s="35"/>
      <c r="AD718" s="35"/>
    </row>
    <row r="719" spans="1:30">
      <c r="A719" s="102">
        <f t="shared" si="12"/>
        <v>718</v>
      </c>
      <c r="B719" s="468">
        <f>YEAR(Table6[[#This Row],[Date]])+IF(MONTH(Table6[[#This Row],[Date]])&gt;=4,1,0)</f>
        <v>2026</v>
      </c>
      <c r="C719" s="102">
        <f>YEAR(Table6[[#This Row],[Date]])</f>
        <v>2025</v>
      </c>
      <c r="D719" s="102" t="s">
        <v>1992</v>
      </c>
      <c r="E719" s="469">
        <f>Table6[[#This Row],[Date]]-DAY(Table6[[#This Row],[Date]])+1</f>
        <v>45778</v>
      </c>
      <c r="F719" s="470">
        <v>45792</v>
      </c>
      <c r="G719" s="35" t="s">
        <v>78</v>
      </c>
      <c r="H719" s="35" t="str">
        <f>IFERROR(_xlfn.XLOOKUP(Table6[[#This Row],[Affected WTG]],'Basic Data'!$A:$A,'Basic Data'!$B:$B),"")</f>
        <v>TQGXIIPL</v>
      </c>
      <c r="I719" s="35" t="str">
        <f>IFERROR(_xlfn.XLOOKUP(Table6[[#This Row],[Affected WTG]],'Basic Data'!$A:$A,'Basic Data'!$C:$C),"")</f>
        <v>GEDA</v>
      </c>
      <c r="J719" s="471">
        <f>IFERROR(_xlfn.XLOOKUP(Table6[[#This Row],[Affected WTG]],'Basic Data'!$A:$A,'Basic Data'!$E:$E),"")</f>
        <v>3.846153846153845E-2</v>
      </c>
      <c r="K719" s="102">
        <v>3110</v>
      </c>
      <c r="L719" s="35" t="str">
        <f>IFERROR(_xlfn.XLOOKUP(Table6[[#This Row],[Error Code]],'Basic Data'!$AA:$AA,'Basic Data'!$AB:$AB),"Incorrect Error Code")</f>
        <v>Frequency converter error</v>
      </c>
      <c r="M719" s="35" t="s">
        <v>291</v>
      </c>
      <c r="N719" s="475"/>
      <c r="O719" s="476">
        <v>0.12708333333333333</v>
      </c>
      <c r="P719" s="476">
        <v>0.12708333333333333</v>
      </c>
      <c r="Q719" s="477">
        <v>0.15</v>
      </c>
      <c r="R719" s="472">
        <f>IF(Table6[[#This Row],[Work Start TimeStamp]]="","",(Table6[[#This Row],[Work Start TimeStamp]]-Table6[[#This Row],[Fault Start TimeStamp]])*24)</f>
        <v>0</v>
      </c>
      <c r="S719" s="472">
        <f>(Table6[[#This Row],[Fault Clearance time]]-Table6[[#This Row],[Work Start TimeStamp]])*24</f>
        <v>0.55000000000000004</v>
      </c>
      <c r="T719" s="472">
        <f>(Table6[[#This Row],[Fault Clearance time]]-Table6[[#This Row],[Fault Start TimeStamp]])*24</f>
        <v>0.55000000000000004</v>
      </c>
      <c r="U719" s="35" t="s">
        <v>343</v>
      </c>
      <c r="V719" s="102" t="s">
        <v>293</v>
      </c>
      <c r="W719" s="478">
        <f>IFERROR(Table6[[#This Row],[Breakdown Time]]*Table6[[#This Row],[Plant Equivalent Weightage]],"")</f>
        <v>2.1153846153846148E-2</v>
      </c>
      <c r="X719" s="473" t="s">
        <v>294</v>
      </c>
      <c r="Y719" s="474" t="s">
        <v>333</v>
      </c>
      <c r="Z719" s="102">
        <v>13755</v>
      </c>
      <c r="AA719" s="468">
        <f>(Table6[[#This Row],[Paired WTG Generation for loss calculation]]/24)*Table6[[#This Row],[Breakdown Time]]</f>
        <v>315.21875</v>
      </c>
      <c r="AB719" s="102"/>
      <c r="AC719" s="35"/>
      <c r="AD719" s="35"/>
    </row>
    <row r="720" spans="1:30">
      <c r="A720" s="102">
        <f t="shared" si="12"/>
        <v>719</v>
      </c>
      <c r="B720" s="468">
        <f>YEAR(Table6[[#This Row],[Date]])+IF(MONTH(Table6[[#This Row],[Date]])&gt;=4,1,0)</f>
        <v>2026</v>
      </c>
      <c r="C720" s="102">
        <f>YEAR(Table6[[#This Row],[Date]])</f>
        <v>2025</v>
      </c>
      <c r="D720" s="102" t="s">
        <v>1992</v>
      </c>
      <c r="E720" s="469">
        <f>Table6[[#This Row],[Date]]-DAY(Table6[[#This Row],[Date]])+1</f>
        <v>45778</v>
      </c>
      <c r="F720" s="470">
        <v>45792</v>
      </c>
      <c r="G720" s="35" t="s">
        <v>78</v>
      </c>
      <c r="H720" s="35" t="str">
        <f>IFERROR(_xlfn.XLOOKUP(Table6[[#This Row],[Affected WTG]],'Basic Data'!$A:$A,'Basic Data'!$B:$B),"")</f>
        <v>TQGXIIPL</v>
      </c>
      <c r="I720" s="35" t="str">
        <f>IFERROR(_xlfn.XLOOKUP(Table6[[#This Row],[Affected WTG]],'Basic Data'!$A:$A,'Basic Data'!$C:$C),"")</f>
        <v>GEDA</v>
      </c>
      <c r="J720" s="471">
        <f>IFERROR(_xlfn.XLOOKUP(Table6[[#This Row],[Affected WTG]],'Basic Data'!$A:$A,'Basic Data'!$E:$E),"")</f>
        <v>3.846153846153845E-2</v>
      </c>
      <c r="K720" s="102">
        <v>55</v>
      </c>
      <c r="L720" s="35" t="str">
        <f>IFERROR(_xlfn.XLOOKUP(Table6[[#This Row],[Error Code]],'Basic Data'!$AA:$AA,'Basic Data'!$AB:$AB),"Incorrect Error Code")</f>
        <v>WTG shut down</v>
      </c>
      <c r="M720" s="35" t="s">
        <v>328</v>
      </c>
      <c r="N720" s="475"/>
      <c r="O720" s="476">
        <v>0.45763888888888887</v>
      </c>
      <c r="P720" s="476">
        <v>0.45763888888888887</v>
      </c>
      <c r="Q720" s="477">
        <v>0.77361111111111114</v>
      </c>
      <c r="R720" s="472">
        <f>IF(Table6[[#This Row],[Work Start TimeStamp]]="","",(Table6[[#This Row],[Work Start TimeStamp]]-Table6[[#This Row],[Fault Start TimeStamp]])*24)</f>
        <v>0</v>
      </c>
      <c r="S720" s="472">
        <f>(Table6[[#This Row],[Fault Clearance time]]-Table6[[#This Row],[Work Start TimeStamp]])*24</f>
        <v>7.5833333333333339</v>
      </c>
      <c r="T720" s="472">
        <f>(Table6[[#This Row],[Fault Clearance time]]-Table6[[#This Row],[Fault Start TimeStamp]])*24</f>
        <v>7.5833333333333339</v>
      </c>
      <c r="U720" s="35" t="s">
        <v>1843</v>
      </c>
      <c r="V720" s="102" t="s">
        <v>293</v>
      </c>
      <c r="W720" s="478">
        <f>IFERROR(Table6[[#This Row],[Breakdown Time]]*Table6[[#This Row],[Plant Equivalent Weightage]],"")</f>
        <v>0.29166666666666657</v>
      </c>
      <c r="X720" s="473" t="s">
        <v>290</v>
      </c>
      <c r="Y720" s="474" t="s">
        <v>333</v>
      </c>
      <c r="Z720" s="102">
        <v>13755</v>
      </c>
      <c r="AA720" s="468">
        <f>(Table6[[#This Row],[Paired WTG Generation for loss calculation]]/24)*Table6[[#This Row],[Breakdown Time]]</f>
        <v>4346.197916666667</v>
      </c>
      <c r="AB720" s="102"/>
      <c r="AC720" s="35"/>
      <c r="AD720" s="35"/>
    </row>
    <row r="721" spans="1:30">
      <c r="A721" s="102">
        <f t="shared" si="12"/>
        <v>720</v>
      </c>
      <c r="B721" s="468">
        <f>YEAR(Table6[[#This Row],[Date]])+IF(MONTH(Table6[[#This Row],[Date]])&gt;=4,1,0)</f>
        <v>2026</v>
      </c>
      <c r="C721" s="102">
        <f>YEAR(Table6[[#This Row],[Date]])</f>
        <v>2025</v>
      </c>
      <c r="D721" s="102" t="s">
        <v>1992</v>
      </c>
      <c r="E721" s="469">
        <f>Table6[[#This Row],[Date]]-DAY(Table6[[#This Row],[Date]])+1</f>
        <v>45778</v>
      </c>
      <c r="F721" s="470">
        <v>45792</v>
      </c>
      <c r="G721" s="35" t="s">
        <v>80</v>
      </c>
      <c r="H721" s="35" t="str">
        <f>IFERROR(_xlfn.XLOOKUP(Table6[[#This Row],[Affected WTG]],'Basic Data'!$A:$A,'Basic Data'!$B:$B),"")</f>
        <v>TQGXIIPL</v>
      </c>
      <c r="I721" s="35" t="str">
        <f>IFERROR(_xlfn.XLOOKUP(Table6[[#This Row],[Affected WTG]],'Basic Data'!$A:$A,'Basic Data'!$C:$C),"")</f>
        <v>GEDA</v>
      </c>
      <c r="J721" s="471">
        <f>IFERROR(_xlfn.XLOOKUP(Table6[[#This Row],[Affected WTG]],'Basic Data'!$A:$A,'Basic Data'!$E:$E),"")</f>
        <v>3.846153846153845E-2</v>
      </c>
      <c r="K721" s="102">
        <v>3800</v>
      </c>
      <c r="L721" s="35" t="str">
        <f>IFERROR(_xlfn.XLOOKUP(Table6[[#This Row],[Error Code]],'Basic Data'!$AA:$AA,'Basic Data'!$AB:$AB),"Incorrect Error Code")</f>
        <v>Circuit breaker</v>
      </c>
      <c r="M721" s="35" t="s">
        <v>295</v>
      </c>
      <c r="N721" s="475"/>
      <c r="O721" s="476">
        <v>0.11597222222222223</v>
      </c>
      <c r="P721" s="476">
        <v>0.11597222222222223</v>
      </c>
      <c r="Q721" s="477">
        <v>0.53749999999999998</v>
      </c>
      <c r="R721" s="472">
        <f>IF(Table6[[#This Row],[Work Start TimeStamp]]="","",(Table6[[#This Row],[Work Start TimeStamp]]-Table6[[#This Row],[Fault Start TimeStamp]])*24)</f>
        <v>0</v>
      </c>
      <c r="S721" s="472">
        <f>(Table6[[#This Row],[Fault Clearance time]]-Table6[[#This Row],[Work Start TimeStamp]])*24</f>
        <v>10.116666666666665</v>
      </c>
      <c r="T721" s="472">
        <f>(Table6[[#This Row],[Fault Clearance time]]-Table6[[#This Row],[Fault Start TimeStamp]])*24</f>
        <v>10.116666666666665</v>
      </c>
      <c r="U721" s="35" t="s">
        <v>1822</v>
      </c>
      <c r="V721" s="102" t="s">
        <v>293</v>
      </c>
      <c r="W721" s="478">
        <f>IFERROR(Table6[[#This Row],[Breakdown Time]]*Table6[[#This Row],[Plant Equivalent Weightage]],"")</f>
        <v>0.38910256410256394</v>
      </c>
      <c r="X721" s="473" t="s">
        <v>290</v>
      </c>
      <c r="Y721" s="474" t="s">
        <v>317</v>
      </c>
      <c r="Z721" s="102">
        <v>10727</v>
      </c>
      <c r="AA721" s="468">
        <f>(Table6[[#This Row],[Paired WTG Generation for loss calculation]]/24)*Table6[[#This Row],[Breakdown Time]]</f>
        <v>4521.7284722222212</v>
      </c>
      <c r="AB721" s="102"/>
      <c r="AC721" s="35"/>
      <c r="AD721" s="35"/>
    </row>
    <row r="722" spans="1:30">
      <c r="A722" s="102">
        <f t="shared" si="12"/>
        <v>721</v>
      </c>
      <c r="B722" s="468">
        <f>YEAR(Table6[[#This Row],[Date]])+IF(MONTH(Table6[[#This Row],[Date]])&gt;=4,1,0)</f>
        <v>2026</v>
      </c>
      <c r="C722" s="102">
        <f>YEAR(Table6[[#This Row],[Date]])</f>
        <v>2025</v>
      </c>
      <c r="D722" s="102" t="s">
        <v>1992</v>
      </c>
      <c r="E722" s="469">
        <f>Table6[[#This Row],[Date]]-DAY(Table6[[#This Row],[Date]])+1</f>
        <v>45778</v>
      </c>
      <c r="F722" s="470">
        <v>45792</v>
      </c>
      <c r="G722" s="35" t="s">
        <v>80</v>
      </c>
      <c r="H722" s="35" t="str">
        <f>IFERROR(_xlfn.XLOOKUP(Table6[[#This Row],[Affected WTG]],'Basic Data'!$A:$A,'Basic Data'!$B:$B),"")</f>
        <v>TQGXIIPL</v>
      </c>
      <c r="I722" s="35" t="str">
        <f>IFERROR(_xlfn.XLOOKUP(Table6[[#This Row],[Affected WTG]],'Basic Data'!$A:$A,'Basic Data'!$C:$C),"")</f>
        <v>GEDA</v>
      </c>
      <c r="J722" s="471">
        <f>IFERROR(_xlfn.XLOOKUP(Table6[[#This Row],[Affected WTG]],'Basic Data'!$A:$A,'Basic Data'!$E:$E),"")</f>
        <v>3.846153846153845E-2</v>
      </c>
      <c r="K722" s="102">
        <v>3800</v>
      </c>
      <c r="L722" s="35" t="str">
        <f>IFERROR(_xlfn.XLOOKUP(Table6[[#This Row],[Error Code]],'Basic Data'!$AA:$AA,'Basic Data'!$AB:$AB),"Incorrect Error Code")</f>
        <v>Circuit breaker</v>
      </c>
      <c r="M722" s="35" t="s">
        <v>291</v>
      </c>
      <c r="N722" s="475"/>
      <c r="O722" s="476">
        <v>0.93055555555555558</v>
      </c>
      <c r="P722" s="476">
        <v>0.93055555555555558</v>
      </c>
      <c r="Q722" s="477">
        <v>0.99998842592592596</v>
      </c>
      <c r="R722" s="472">
        <f>IF(Table6[[#This Row],[Work Start TimeStamp]]="","",(Table6[[#This Row],[Work Start TimeStamp]]-Table6[[#This Row],[Fault Start TimeStamp]])*24)</f>
        <v>0</v>
      </c>
      <c r="S722" s="472">
        <f>(Table6[[#This Row],[Fault Clearance time]]-Table6[[#This Row],[Work Start TimeStamp]])*24</f>
        <v>1.6663888888888891</v>
      </c>
      <c r="T722" s="472">
        <f>(Table6[[#This Row],[Fault Clearance time]]-Table6[[#This Row],[Fault Start TimeStamp]])*24</f>
        <v>1.6663888888888891</v>
      </c>
      <c r="U722" s="35" t="s">
        <v>1823</v>
      </c>
      <c r="V722" s="102" t="s">
        <v>293</v>
      </c>
      <c r="W722" s="478">
        <f>IFERROR(Table6[[#This Row],[Breakdown Time]]*Table6[[#This Row],[Plant Equivalent Weightage]],"")</f>
        <v>6.4091880341880333E-2</v>
      </c>
      <c r="X722" s="473" t="s">
        <v>290</v>
      </c>
      <c r="Y722" s="474" t="s">
        <v>317</v>
      </c>
      <c r="Z722" s="102">
        <v>10727</v>
      </c>
      <c r="AA722" s="468">
        <f>(Table6[[#This Row],[Paired WTG Generation for loss calculation]]/24)*Table6[[#This Row],[Breakdown Time]]</f>
        <v>744.8064004629631</v>
      </c>
      <c r="AB722" s="102"/>
      <c r="AC722" s="35"/>
      <c r="AD722" s="35"/>
    </row>
    <row r="723" spans="1:30">
      <c r="A723" s="102">
        <f t="shared" si="12"/>
        <v>722</v>
      </c>
      <c r="B723" s="468">
        <f>YEAR(Table6[[#This Row],[Date]])+IF(MONTH(Table6[[#This Row],[Date]])&gt;=4,1,0)</f>
        <v>2026</v>
      </c>
      <c r="C723" s="102">
        <f>YEAR(Table6[[#This Row],[Date]])</f>
        <v>2025</v>
      </c>
      <c r="D723" s="102" t="s">
        <v>1992</v>
      </c>
      <c r="E723" s="469">
        <f>Table6[[#This Row],[Date]]-DAY(Table6[[#This Row],[Date]])+1</f>
        <v>45778</v>
      </c>
      <c r="F723" s="470">
        <v>45792</v>
      </c>
      <c r="G723" s="35" t="s">
        <v>81</v>
      </c>
      <c r="H723" s="35" t="str">
        <f>IFERROR(_xlfn.XLOOKUP(Table6[[#This Row],[Affected WTG]],'Basic Data'!$A:$A,'Basic Data'!$B:$B),"")</f>
        <v>TQGXIIPL</v>
      </c>
      <c r="I723" s="35" t="str">
        <f>IFERROR(_xlfn.XLOOKUP(Table6[[#This Row],[Affected WTG]],'Basic Data'!$A:$A,'Basic Data'!$C:$C),"")</f>
        <v>GEDA</v>
      </c>
      <c r="J723" s="471">
        <f>IFERROR(_xlfn.XLOOKUP(Table6[[#This Row],[Affected WTG]],'Basic Data'!$A:$A,'Basic Data'!$E:$E),"")</f>
        <v>3.846153846153845E-2</v>
      </c>
      <c r="K723" s="102">
        <v>55</v>
      </c>
      <c r="L723" s="35" t="str">
        <f>IFERROR(_xlfn.XLOOKUP(Table6[[#This Row],[Error Code]],'Basic Data'!$AA:$AA,'Basic Data'!$AB:$AB),"Incorrect Error Code")</f>
        <v>WTG shut down</v>
      </c>
      <c r="M723" s="35" t="s">
        <v>330</v>
      </c>
      <c r="N723" s="475"/>
      <c r="O723" s="476">
        <v>0.82638888888888884</v>
      </c>
      <c r="P723" s="476">
        <v>0.82638888888888884</v>
      </c>
      <c r="Q723" s="477">
        <v>0.84166666666666667</v>
      </c>
      <c r="R723" s="472">
        <f>IF(Table6[[#This Row],[Work Start TimeStamp]]="","",(Table6[[#This Row],[Work Start TimeStamp]]-Table6[[#This Row],[Fault Start TimeStamp]])*24)</f>
        <v>0</v>
      </c>
      <c r="S723" s="472">
        <f>(Table6[[#This Row],[Fault Clearance time]]-Table6[[#This Row],[Work Start TimeStamp]])*24</f>
        <v>0.36666666666666803</v>
      </c>
      <c r="T723" s="472">
        <f>(Table6[[#This Row],[Fault Clearance time]]-Table6[[#This Row],[Fault Start TimeStamp]])*24</f>
        <v>0.36666666666666803</v>
      </c>
      <c r="U723" s="35" t="s">
        <v>1744</v>
      </c>
      <c r="V723" s="102" t="s">
        <v>293</v>
      </c>
      <c r="W723" s="478">
        <f>IFERROR(Table6[[#This Row],[Breakdown Time]]*Table6[[#This Row],[Plant Equivalent Weightage]],"")</f>
        <v>1.4102564102564151E-2</v>
      </c>
      <c r="X723" s="473" t="s">
        <v>294</v>
      </c>
      <c r="Y723" s="474" t="s">
        <v>321</v>
      </c>
      <c r="Z723" s="102">
        <v>11056</v>
      </c>
      <c r="AA723" s="468">
        <f>(Table6[[#This Row],[Paired WTG Generation for loss calculation]]/24)*Table6[[#This Row],[Breakdown Time]]</f>
        <v>168.91111111111175</v>
      </c>
      <c r="AB723" s="102"/>
      <c r="AC723" s="35"/>
      <c r="AD723" s="35"/>
    </row>
    <row r="724" spans="1:30">
      <c r="A724" s="102">
        <f t="shared" si="12"/>
        <v>723</v>
      </c>
      <c r="B724" s="468">
        <f>YEAR(Table6[[#This Row],[Date]])+IF(MONTH(Table6[[#This Row],[Date]])&gt;=4,1,0)</f>
        <v>2026</v>
      </c>
      <c r="C724" s="102">
        <f>YEAR(Table6[[#This Row],[Date]])</f>
        <v>2025</v>
      </c>
      <c r="D724" s="102" t="s">
        <v>1992</v>
      </c>
      <c r="E724" s="469">
        <f>Table6[[#This Row],[Date]]-DAY(Table6[[#This Row],[Date]])+1</f>
        <v>45778</v>
      </c>
      <c r="F724" s="470">
        <v>45792</v>
      </c>
      <c r="G724" s="35" t="s">
        <v>88</v>
      </c>
      <c r="H724" s="35" t="str">
        <f>IFERROR(_xlfn.XLOOKUP(Table6[[#This Row],[Affected WTG]],'Basic Data'!$A:$A,'Basic Data'!$B:$B),"")</f>
        <v>TQGXIIPL</v>
      </c>
      <c r="I724" s="35" t="str">
        <f>IFERROR(_xlfn.XLOOKUP(Table6[[#This Row],[Affected WTG]],'Basic Data'!$A:$A,'Basic Data'!$C:$C),"")</f>
        <v>GEDA</v>
      </c>
      <c r="J724" s="471">
        <f>IFERROR(_xlfn.XLOOKUP(Table6[[#This Row],[Affected WTG]],'Basic Data'!$A:$A,'Basic Data'!$E:$E),"")</f>
        <v>3.846153846153845E-2</v>
      </c>
      <c r="K724" s="102">
        <v>58</v>
      </c>
      <c r="L724" s="35" t="str">
        <f>IFERROR(_xlfn.XLOOKUP(Table6[[#This Row],[Error Code]],'Basic Data'!$AA:$AA,'Basic Data'!$AB:$AB),"Incorrect Error Code")</f>
        <v>Wind dir.dev. level 2</v>
      </c>
      <c r="M724" s="35" t="s">
        <v>291</v>
      </c>
      <c r="N724" s="475"/>
      <c r="O724" s="476">
        <v>0.7104166666666667</v>
      </c>
      <c r="P724" s="476">
        <v>0.7104166666666667</v>
      </c>
      <c r="Q724" s="477">
        <v>0.71250000000000002</v>
      </c>
      <c r="R724" s="472">
        <f>IF(Table6[[#This Row],[Work Start TimeStamp]]="","",(Table6[[#This Row],[Work Start TimeStamp]]-Table6[[#This Row],[Fault Start TimeStamp]])*24)</f>
        <v>0</v>
      </c>
      <c r="S724" s="472">
        <f>(Table6[[#This Row],[Fault Clearance time]]-Table6[[#This Row],[Work Start TimeStamp]])*24</f>
        <v>4.9999999999999822E-2</v>
      </c>
      <c r="T724" s="472">
        <f>(Table6[[#This Row],[Fault Clearance time]]-Table6[[#This Row],[Fault Start TimeStamp]])*24</f>
        <v>4.9999999999999822E-2</v>
      </c>
      <c r="U724" s="35" t="s">
        <v>343</v>
      </c>
      <c r="V724" s="102" t="s">
        <v>293</v>
      </c>
      <c r="W724" s="478">
        <f>IFERROR(Table6[[#This Row],[Breakdown Time]]*Table6[[#This Row],[Plant Equivalent Weightage]],"")</f>
        <v>1.9230769230769156E-3</v>
      </c>
      <c r="X724" s="473" t="s">
        <v>294</v>
      </c>
      <c r="Y724" s="474" t="s">
        <v>323</v>
      </c>
      <c r="Z724" s="102">
        <v>9261</v>
      </c>
      <c r="AA724" s="468">
        <f>(Table6[[#This Row],[Paired WTG Generation for loss calculation]]/24)*Table6[[#This Row],[Breakdown Time]]</f>
        <v>19.293749999999932</v>
      </c>
      <c r="AB724" s="102"/>
      <c r="AC724" s="35"/>
      <c r="AD724" s="35"/>
    </row>
    <row r="725" spans="1:30">
      <c r="A725" s="102">
        <f t="shared" si="12"/>
        <v>724</v>
      </c>
      <c r="B725" s="468">
        <f>YEAR(Table6[[#This Row],[Date]])+IF(MONTH(Table6[[#This Row],[Date]])&gt;=4,1,0)</f>
        <v>2026</v>
      </c>
      <c r="C725" s="102">
        <f>YEAR(Table6[[#This Row],[Date]])</f>
        <v>2025</v>
      </c>
      <c r="D725" s="102" t="s">
        <v>1992</v>
      </c>
      <c r="E725" s="469">
        <f>Table6[[#This Row],[Date]]-DAY(Table6[[#This Row],[Date]])+1</f>
        <v>45778</v>
      </c>
      <c r="F725" s="470">
        <v>45792</v>
      </c>
      <c r="G725" s="35" t="s">
        <v>89</v>
      </c>
      <c r="H725" s="35" t="str">
        <f>IFERROR(_xlfn.XLOOKUP(Table6[[#This Row],[Affected WTG]],'Basic Data'!$A:$A,'Basic Data'!$B:$B),"")</f>
        <v>TQGXIIPL</v>
      </c>
      <c r="I725" s="35" t="str">
        <f>IFERROR(_xlfn.XLOOKUP(Table6[[#This Row],[Affected WTG]],'Basic Data'!$A:$A,'Basic Data'!$C:$C),"")</f>
        <v>GEDA</v>
      </c>
      <c r="J725" s="471">
        <f>IFERROR(_xlfn.XLOOKUP(Table6[[#This Row],[Affected WTG]],'Basic Data'!$A:$A,'Basic Data'!$E:$E),"")</f>
        <v>3.846153846153845E-2</v>
      </c>
      <c r="K725" s="102">
        <v>5510</v>
      </c>
      <c r="L725" s="35" t="str">
        <f>IFERROR(_xlfn.XLOOKUP(Table6[[#This Row],[Error Code]],'Basic Data'!$AA:$AA,'Basic Data'!$AB:$AB),"Incorrect Error Code")</f>
        <v>Low hydraulic pressure</v>
      </c>
      <c r="M725" s="35" t="s">
        <v>291</v>
      </c>
      <c r="N725" s="475"/>
      <c r="O725" s="476">
        <v>0.77500000000000002</v>
      </c>
      <c r="P725" s="476">
        <v>0.77500000000000002</v>
      </c>
      <c r="Q725" s="477">
        <v>0.77708333333333335</v>
      </c>
      <c r="R725" s="472">
        <f>IF(Table6[[#This Row],[Work Start TimeStamp]]="","",(Table6[[#This Row],[Work Start TimeStamp]]-Table6[[#This Row],[Fault Start TimeStamp]])*24)</f>
        <v>0</v>
      </c>
      <c r="S725" s="472">
        <f>(Table6[[#This Row],[Fault Clearance time]]-Table6[[#This Row],[Work Start TimeStamp]])*24</f>
        <v>4.9999999999999822E-2</v>
      </c>
      <c r="T725" s="472">
        <f>(Table6[[#This Row],[Fault Clearance time]]-Table6[[#This Row],[Fault Start TimeStamp]])*24</f>
        <v>4.9999999999999822E-2</v>
      </c>
      <c r="U725" s="35" t="s">
        <v>343</v>
      </c>
      <c r="V725" s="102" t="s">
        <v>293</v>
      </c>
      <c r="W725" s="478">
        <f>IFERROR(Table6[[#This Row],[Breakdown Time]]*Table6[[#This Row],[Plant Equivalent Weightage]],"")</f>
        <v>1.9230769230769156E-3</v>
      </c>
      <c r="X725" s="473" t="s">
        <v>294</v>
      </c>
      <c r="Y725" s="474" t="s">
        <v>325</v>
      </c>
      <c r="Z725" s="102">
        <v>8783</v>
      </c>
      <c r="AA725" s="468">
        <f>(Table6[[#This Row],[Paired WTG Generation for loss calculation]]/24)*Table6[[#This Row],[Breakdown Time]]</f>
        <v>18.297916666666602</v>
      </c>
      <c r="AB725" s="102"/>
      <c r="AC725" s="35"/>
      <c r="AD725" s="35"/>
    </row>
    <row r="726" spans="1:30">
      <c r="A726" s="102">
        <f t="shared" si="12"/>
        <v>725</v>
      </c>
      <c r="B726" s="468">
        <f>YEAR(Table6[[#This Row],[Date]])+IF(MONTH(Table6[[#This Row],[Date]])&gt;=4,1,0)</f>
        <v>2026</v>
      </c>
      <c r="C726" s="102">
        <f>YEAR(Table6[[#This Row],[Date]])</f>
        <v>2025</v>
      </c>
      <c r="D726" s="102" t="s">
        <v>1992</v>
      </c>
      <c r="E726" s="469">
        <f>Table6[[#This Row],[Date]]-DAY(Table6[[#This Row],[Date]])+1</f>
        <v>45778</v>
      </c>
      <c r="F726" s="470">
        <v>45792</v>
      </c>
      <c r="G726" s="35" t="s">
        <v>96</v>
      </c>
      <c r="H726" s="35" t="str">
        <f>IFERROR(_xlfn.XLOOKUP(Table6[[#This Row],[Affected WTG]],'Basic Data'!$A:$A,'Basic Data'!$B:$B),"")</f>
        <v>TQGXIIPL</v>
      </c>
      <c r="I726" s="35" t="str">
        <f>IFERROR(_xlfn.XLOOKUP(Table6[[#This Row],[Affected WTG]],'Basic Data'!$A:$A,'Basic Data'!$C:$C),"")</f>
        <v>GEDA</v>
      </c>
      <c r="J726" s="471">
        <f>IFERROR(_xlfn.XLOOKUP(Table6[[#This Row],[Affected WTG]],'Basic Data'!$A:$A,'Basic Data'!$E:$E),"")</f>
        <v>3.846153846153845E-2</v>
      </c>
      <c r="K726" s="102">
        <v>55</v>
      </c>
      <c r="L726" s="35" t="str">
        <f>IFERROR(_xlfn.XLOOKUP(Table6[[#This Row],[Error Code]],'Basic Data'!$AA:$AA,'Basic Data'!$AB:$AB),"Incorrect Error Code")</f>
        <v>WTG shut down</v>
      </c>
      <c r="M726" s="35" t="s">
        <v>330</v>
      </c>
      <c r="N726" s="475"/>
      <c r="O726" s="476">
        <v>0.82152777777777775</v>
      </c>
      <c r="P726" s="476">
        <v>0.82152777777777775</v>
      </c>
      <c r="Q726" s="477">
        <v>0.84583333333333333</v>
      </c>
      <c r="R726" s="472">
        <f>IF(Table6[[#This Row],[Work Start TimeStamp]]="","",(Table6[[#This Row],[Work Start TimeStamp]]-Table6[[#This Row],[Fault Start TimeStamp]])*24)</f>
        <v>0</v>
      </c>
      <c r="S726" s="472">
        <f>(Table6[[#This Row],[Fault Clearance time]]-Table6[[#This Row],[Work Start TimeStamp]])*24</f>
        <v>0.58333333333333393</v>
      </c>
      <c r="T726" s="472">
        <f>(Table6[[#This Row],[Fault Clearance time]]-Table6[[#This Row],[Fault Start TimeStamp]])*24</f>
        <v>0.58333333333333393</v>
      </c>
      <c r="U726" s="35" t="s">
        <v>1744</v>
      </c>
      <c r="V726" s="102" t="s">
        <v>293</v>
      </c>
      <c r="W726" s="478">
        <f>IFERROR(Table6[[#This Row],[Breakdown Time]]*Table6[[#This Row],[Plant Equivalent Weightage]],"")</f>
        <v>2.2435897435897453E-2</v>
      </c>
      <c r="X726" s="473" t="s">
        <v>294</v>
      </c>
      <c r="Y726" s="474" t="s">
        <v>313</v>
      </c>
      <c r="Z726" s="102">
        <v>9679</v>
      </c>
      <c r="AA726" s="468">
        <f>(Table6[[#This Row],[Paired WTG Generation for loss calculation]]/24)*Table6[[#This Row],[Breakdown Time]]</f>
        <v>235.25347222222248</v>
      </c>
      <c r="AB726" s="102"/>
      <c r="AC726" s="35"/>
      <c r="AD726" s="35"/>
    </row>
    <row r="727" spans="1:30">
      <c r="A727" s="102">
        <f t="shared" si="12"/>
        <v>726</v>
      </c>
      <c r="B727" s="468">
        <f>YEAR(Table6[[#This Row],[Date]])+IF(MONTH(Table6[[#This Row],[Date]])&gt;=4,1,0)</f>
        <v>2026</v>
      </c>
      <c r="C727" s="102">
        <f>YEAR(Table6[[#This Row],[Date]])</f>
        <v>2025</v>
      </c>
      <c r="D727" s="102" t="s">
        <v>1992</v>
      </c>
      <c r="E727" s="469">
        <f>Table6[[#This Row],[Date]]-DAY(Table6[[#This Row],[Date]])+1</f>
        <v>45778</v>
      </c>
      <c r="F727" s="470">
        <v>45793</v>
      </c>
      <c r="G727" s="35" t="s">
        <v>74</v>
      </c>
      <c r="H727" s="35" t="str">
        <f>IFERROR(_xlfn.XLOOKUP(Table6[[#This Row],[Affected WTG]],'Basic Data'!$A:$A,'Basic Data'!$B:$B),"")</f>
        <v>TQGXIIPL</v>
      </c>
      <c r="I727" s="35" t="str">
        <f>IFERROR(_xlfn.XLOOKUP(Table6[[#This Row],[Affected WTG]],'Basic Data'!$A:$A,'Basic Data'!$C:$C),"")</f>
        <v>GEDA</v>
      </c>
      <c r="J727" s="471">
        <f>IFERROR(_xlfn.XLOOKUP(Table6[[#This Row],[Affected WTG]],'Basic Data'!$A:$A,'Basic Data'!$E:$E),"")</f>
        <v>3.846153846153845E-2</v>
      </c>
      <c r="K727" s="102">
        <v>6130</v>
      </c>
      <c r="L727" s="35" t="str">
        <f>IFERROR(_xlfn.XLOOKUP(Table6[[#This Row],[Error Code]],'Basic Data'!$AA:$AA,'Basic Data'!$AB:$AB),"Incorrect Error Code")</f>
        <v>Yaw speed high</v>
      </c>
      <c r="M727" s="35" t="s">
        <v>291</v>
      </c>
      <c r="N727" s="475"/>
      <c r="O727" s="476">
        <v>0.7104166666666667</v>
      </c>
      <c r="P727" s="476">
        <v>0.7104166666666667</v>
      </c>
      <c r="Q727" s="477">
        <v>0.71250000000000002</v>
      </c>
      <c r="R727" s="472">
        <f>IF(Table6[[#This Row],[Work Start TimeStamp]]="","",(Table6[[#This Row],[Work Start TimeStamp]]-Table6[[#This Row],[Fault Start TimeStamp]])*24)</f>
        <v>0</v>
      </c>
      <c r="S727" s="472">
        <f>(Table6[[#This Row],[Fault Clearance time]]-Table6[[#This Row],[Work Start TimeStamp]])*24</f>
        <v>4.9999999999999822E-2</v>
      </c>
      <c r="T727" s="472">
        <f>(Table6[[#This Row],[Fault Clearance time]]-Table6[[#This Row],[Fault Start TimeStamp]])*24</f>
        <v>4.9999999999999822E-2</v>
      </c>
      <c r="U727" s="35" t="s">
        <v>343</v>
      </c>
      <c r="V727" s="102" t="s">
        <v>293</v>
      </c>
      <c r="W727" s="478">
        <f>IFERROR(Table6[[#This Row],[Breakdown Time]]*Table6[[#This Row],[Plant Equivalent Weightage]],"")</f>
        <v>1.9230769230769156E-3</v>
      </c>
      <c r="X727" s="473" t="s">
        <v>294</v>
      </c>
      <c r="Y727" s="474" t="s">
        <v>321</v>
      </c>
      <c r="Z727" s="102">
        <v>17902</v>
      </c>
      <c r="AA727" s="468">
        <f>(Table6[[#This Row],[Paired WTG Generation for loss calculation]]/24)*Table6[[#This Row],[Breakdown Time]]</f>
        <v>37.295833333333199</v>
      </c>
      <c r="AB727" s="102"/>
      <c r="AC727" s="35"/>
      <c r="AD727" s="35"/>
    </row>
    <row r="728" spans="1:30">
      <c r="A728" s="102">
        <f t="shared" si="12"/>
        <v>727</v>
      </c>
      <c r="B728" s="468">
        <f>YEAR(Table6[[#This Row],[Date]])+IF(MONTH(Table6[[#This Row],[Date]])&gt;=4,1,0)</f>
        <v>2026</v>
      </c>
      <c r="C728" s="102">
        <f>YEAR(Table6[[#This Row],[Date]])</f>
        <v>2025</v>
      </c>
      <c r="D728" s="102" t="s">
        <v>1992</v>
      </c>
      <c r="E728" s="469">
        <f>Table6[[#This Row],[Date]]-DAY(Table6[[#This Row],[Date]])+1</f>
        <v>45778</v>
      </c>
      <c r="F728" s="470">
        <v>45793</v>
      </c>
      <c r="G728" s="35" t="s">
        <v>74</v>
      </c>
      <c r="H728" s="35" t="str">
        <f>IFERROR(_xlfn.XLOOKUP(Table6[[#This Row],[Affected WTG]],'Basic Data'!$A:$A,'Basic Data'!$B:$B),"")</f>
        <v>TQGXIIPL</v>
      </c>
      <c r="I728" s="35" t="str">
        <f>IFERROR(_xlfn.XLOOKUP(Table6[[#This Row],[Affected WTG]],'Basic Data'!$A:$A,'Basic Data'!$C:$C),"")</f>
        <v>GEDA</v>
      </c>
      <c r="J728" s="471">
        <f>IFERROR(_xlfn.XLOOKUP(Table6[[#This Row],[Affected WTG]],'Basic Data'!$A:$A,'Basic Data'!$E:$E),"")</f>
        <v>3.846153846153845E-2</v>
      </c>
      <c r="K728" s="102">
        <v>55</v>
      </c>
      <c r="L728" s="35" t="str">
        <f>IFERROR(_xlfn.XLOOKUP(Table6[[#This Row],[Error Code]],'Basic Data'!$AA:$AA,'Basic Data'!$AB:$AB),"Incorrect Error Code")</f>
        <v>WTG shut down</v>
      </c>
      <c r="M728" s="35" t="s">
        <v>330</v>
      </c>
      <c r="N728" s="475"/>
      <c r="O728" s="476">
        <v>0.76666666666666672</v>
      </c>
      <c r="P728" s="476">
        <v>0.76666666666666672</v>
      </c>
      <c r="Q728" s="477">
        <v>0.79166666666666663</v>
      </c>
      <c r="R728" s="472">
        <f>IF(Table6[[#This Row],[Work Start TimeStamp]]="","",(Table6[[#This Row],[Work Start TimeStamp]]-Table6[[#This Row],[Fault Start TimeStamp]])*24)</f>
        <v>0</v>
      </c>
      <c r="S728" s="472">
        <f>(Table6[[#This Row],[Fault Clearance time]]-Table6[[#This Row],[Work Start TimeStamp]])*24</f>
        <v>0.59999999999999787</v>
      </c>
      <c r="T728" s="472">
        <f>(Table6[[#This Row],[Fault Clearance time]]-Table6[[#This Row],[Fault Start TimeStamp]])*24</f>
        <v>0.59999999999999787</v>
      </c>
      <c r="U728" s="35" t="s">
        <v>1744</v>
      </c>
      <c r="V728" s="102" t="s">
        <v>293</v>
      </c>
      <c r="W728" s="478">
        <f>IFERROR(Table6[[#This Row],[Breakdown Time]]*Table6[[#This Row],[Plant Equivalent Weightage]],"")</f>
        <v>2.3076923076922988E-2</v>
      </c>
      <c r="X728" s="473" t="s">
        <v>294</v>
      </c>
      <c r="Y728" s="474" t="s">
        <v>321</v>
      </c>
      <c r="Z728" s="102">
        <v>17902</v>
      </c>
      <c r="AA728" s="468">
        <f>(Table6[[#This Row],[Paired WTG Generation for loss calculation]]/24)*Table6[[#This Row],[Breakdown Time]]</f>
        <v>447.54999999999836</v>
      </c>
      <c r="AB728" s="102"/>
      <c r="AC728" s="35"/>
      <c r="AD728" s="35"/>
    </row>
    <row r="729" spans="1:30">
      <c r="A729" s="102">
        <f t="shared" si="12"/>
        <v>728</v>
      </c>
      <c r="B729" s="468">
        <f>YEAR(Table6[[#This Row],[Date]])+IF(MONTH(Table6[[#This Row],[Date]])&gt;=4,1,0)</f>
        <v>2026</v>
      </c>
      <c r="C729" s="102">
        <f>YEAR(Table6[[#This Row],[Date]])</f>
        <v>2025</v>
      </c>
      <c r="D729" s="102" t="s">
        <v>1992</v>
      </c>
      <c r="E729" s="469">
        <f>Table6[[#This Row],[Date]]-DAY(Table6[[#This Row],[Date]])+1</f>
        <v>45778</v>
      </c>
      <c r="F729" s="470">
        <v>45793</v>
      </c>
      <c r="G729" s="35" t="s">
        <v>75</v>
      </c>
      <c r="H729" s="35" t="str">
        <f>IFERROR(_xlfn.XLOOKUP(Table6[[#This Row],[Affected WTG]],'Basic Data'!$A:$A,'Basic Data'!$B:$B),"")</f>
        <v>TQGXIIPL</v>
      </c>
      <c r="I729" s="35" t="str">
        <f>IFERROR(_xlfn.XLOOKUP(Table6[[#This Row],[Affected WTG]],'Basic Data'!$A:$A,'Basic Data'!$C:$C),"")</f>
        <v>GEDA</v>
      </c>
      <c r="J729" s="471">
        <f>IFERROR(_xlfn.XLOOKUP(Table6[[#This Row],[Affected WTG]],'Basic Data'!$A:$A,'Basic Data'!$E:$E),"")</f>
        <v>3.846153846153845E-2</v>
      </c>
      <c r="K729" s="102">
        <v>4960</v>
      </c>
      <c r="L729" s="35" t="str">
        <f>IFERROR(_xlfn.XLOOKUP(Table6[[#This Row],[Error Code]],'Basic Data'!$AA:$AA,'Basic Data'!$AB:$AB),"Incorrect Error Code")</f>
        <v>Tower oscillation YF</v>
      </c>
      <c r="M729" s="35" t="s">
        <v>291</v>
      </c>
      <c r="N729" s="475"/>
      <c r="O729" s="476">
        <v>0.69930555555555551</v>
      </c>
      <c r="P729" s="476">
        <v>0.69930555555555551</v>
      </c>
      <c r="Q729" s="477">
        <v>0.7104166666666667</v>
      </c>
      <c r="R729" s="472">
        <f>IF(Table6[[#This Row],[Work Start TimeStamp]]="","",(Table6[[#This Row],[Work Start TimeStamp]]-Table6[[#This Row],[Fault Start TimeStamp]])*24)</f>
        <v>0</v>
      </c>
      <c r="S729" s="472">
        <f>(Table6[[#This Row],[Fault Clearance time]]-Table6[[#This Row],[Work Start TimeStamp]])*24</f>
        <v>0.26666666666666838</v>
      </c>
      <c r="T729" s="472">
        <f>(Table6[[#This Row],[Fault Clearance time]]-Table6[[#This Row],[Fault Start TimeStamp]])*24</f>
        <v>0.26666666666666838</v>
      </c>
      <c r="U729" s="35" t="s">
        <v>343</v>
      </c>
      <c r="V729" s="102" t="s">
        <v>293</v>
      </c>
      <c r="W729" s="478">
        <f>IFERROR(Table6[[#This Row],[Breakdown Time]]*Table6[[#This Row],[Plant Equivalent Weightage]],"")</f>
        <v>1.0256410256410319E-2</v>
      </c>
      <c r="X729" s="473" t="s">
        <v>294</v>
      </c>
      <c r="Y729" s="474" t="s">
        <v>318</v>
      </c>
      <c r="Z729" s="102">
        <v>17636</v>
      </c>
      <c r="AA729" s="468">
        <f>(Table6[[#This Row],[Paired WTG Generation for loss calculation]]/24)*Table6[[#This Row],[Breakdown Time]]</f>
        <v>195.95555555555683</v>
      </c>
      <c r="AB729" s="102"/>
      <c r="AC729" s="35"/>
      <c r="AD729" s="35"/>
    </row>
    <row r="730" spans="1:30">
      <c r="A730" s="102">
        <f t="shared" si="12"/>
        <v>729</v>
      </c>
      <c r="B730" s="468">
        <f>YEAR(Table6[[#This Row],[Date]])+IF(MONTH(Table6[[#This Row],[Date]])&gt;=4,1,0)</f>
        <v>2026</v>
      </c>
      <c r="C730" s="102">
        <f>YEAR(Table6[[#This Row],[Date]])</f>
        <v>2025</v>
      </c>
      <c r="D730" s="102" t="s">
        <v>1992</v>
      </c>
      <c r="E730" s="469">
        <f>Table6[[#This Row],[Date]]-DAY(Table6[[#This Row],[Date]])+1</f>
        <v>45778</v>
      </c>
      <c r="F730" s="470">
        <v>45793</v>
      </c>
      <c r="G730" s="35" t="s">
        <v>78</v>
      </c>
      <c r="H730" s="35" t="str">
        <f>IFERROR(_xlfn.XLOOKUP(Table6[[#This Row],[Affected WTG]],'Basic Data'!$A:$A,'Basic Data'!$B:$B),"")</f>
        <v>TQGXIIPL</v>
      </c>
      <c r="I730" s="35" t="str">
        <f>IFERROR(_xlfn.XLOOKUP(Table6[[#This Row],[Affected WTG]],'Basic Data'!$A:$A,'Basic Data'!$C:$C),"")</f>
        <v>GEDA</v>
      </c>
      <c r="J730" s="471">
        <f>IFERROR(_xlfn.XLOOKUP(Table6[[#This Row],[Affected WTG]],'Basic Data'!$A:$A,'Basic Data'!$E:$E),"")</f>
        <v>3.846153846153845E-2</v>
      </c>
      <c r="K730" s="102">
        <v>4960</v>
      </c>
      <c r="L730" s="35" t="str">
        <f>IFERROR(_xlfn.XLOOKUP(Table6[[#This Row],[Error Code]],'Basic Data'!$AA:$AA,'Basic Data'!$AB:$AB),"Incorrect Error Code")</f>
        <v>Tower oscillation YF</v>
      </c>
      <c r="M730" s="35" t="s">
        <v>291</v>
      </c>
      <c r="N730" s="475"/>
      <c r="O730" s="476">
        <v>0.71458333333333335</v>
      </c>
      <c r="P730" s="476">
        <v>0.71458333333333335</v>
      </c>
      <c r="Q730" s="477">
        <v>0.71875</v>
      </c>
      <c r="R730" s="472">
        <f>IF(Table6[[#This Row],[Work Start TimeStamp]]="","",(Table6[[#This Row],[Work Start TimeStamp]]-Table6[[#This Row],[Fault Start TimeStamp]])*24)</f>
        <v>0</v>
      </c>
      <c r="S730" s="472">
        <f>(Table6[[#This Row],[Fault Clearance time]]-Table6[[#This Row],[Work Start TimeStamp]])*24</f>
        <v>9.9999999999999645E-2</v>
      </c>
      <c r="T730" s="472">
        <f>(Table6[[#This Row],[Fault Clearance time]]-Table6[[#This Row],[Fault Start TimeStamp]])*24</f>
        <v>9.9999999999999645E-2</v>
      </c>
      <c r="U730" s="35" t="s">
        <v>343</v>
      </c>
      <c r="V730" s="102" t="s">
        <v>293</v>
      </c>
      <c r="W730" s="478">
        <f>IFERROR(Table6[[#This Row],[Breakdown Time]]*Table6[[#This Row],[Plant Equivalent Weightage]],"")</f>
        <v>3.8461538461538312E-3</v>
      </c>
      <c r="X730" s="473" t="s">
        <v>294</v>
      </c>
      <c r="Y730" s="474" t="s">
        <v>333</v>
      </c>
      <c r="Z730" s="102">
        <v>18473</v>
      </c>
      <c r="AA730" s="468">
        <f>(Table6[[#This Row],[Paired WTG Generation for loss calculation]]/24)*Table6[[#This Row],[Breakdown Time]]</f>
        <v>76.970833333333061</v>
      </c>
      <c r="AB730" s="102"/>
      <c r="AC730" s="35"/>
      <c r="AD730" s="35"/>
    </row>
    <row r="731" spans="1:30">
      <c r="A731" s="102">
        <f t="shared" si="12"/>
        <v>730</v>
      </c>
      <c r="B731" s="468">
        <f>YEAR(Table6[[#This Row],[Date]])+IF(MONTH(Table6[[#This Row],[Date]])&gt;=4,1,0)</f>
        <v>2026</v>
      </c>
      <c r="C731" s="102">
        <f>YEAR(Table6[[#This Row],[Date]])</f>
        <v>2025</v>
      </c>
      <c r="D731" s="102" t="s">
        <v>1992</v>
      </c>
      <c r="E731" s="469">
        <f>Table6[[#This Row],[Date]]-DAY(Table6[[#This Row],[Date]])+1</f>
        <v>45778</v>
      </c>
      <c r="F731" s="470">
        <v>45793</v>
      </c>
      <c r="G731" s="35" t="s">
        <v>78</v>
      </c>
      <c r="H731" s="35" t="str">
        <f>IFERROR(_xlfn.XLOOKUP(Table6[[#This Row],[Affected WTG]],'Basic Data'!$A:$A,'Basic Data'!$B:$B),"")</f>
        <v>TQGXIIPL</v>
      </c>
      <c r="I731" s="35" t="str">
        <f>IFERROR(_xlfn.XLOOKUP(Table6[[#This Row],[Affected WTG]],'Basic Data'!$A:$A,'Basic Data'!$C:$C),"")</f>
        <v>GEDA</v>
      </c>
      <c r="J731" s="471">
        <f>IFERROR(_xlfn.XLOOKUP(Table6[[#This Row],[Affected WTG]],'Basic Data'!$A:$A,'Basic Data'!$E:$E),"")</f>
        <v>3.846153846153845E-2</v>
      </c>
      <c r="K731" s="102">
        <v>6605</v>
      </c>
      <c r="L731" s="35" t="str">
        <f>IFERROR(_xlfn.XLOOKUP(Table6[[#This Row],[Error Code]],'Basic Data'!$AA:$AA,'Basic Data'!$AB:$AB),"Incorrect Error Code")</f>
        <v>Wind.dir. diff. level 2</v>
      </c>
      <c r="M731" s="35" t="s">
        <v>291</v>
      </c>
      <c r="N731" s="475"/>
      <c r="O731" s="476">
        <v>0.74722222222222223</v>
      </c>
      <c r="P731" s="476">
        <v>0.74722222222222223</v>
      </c>
      <c r="Q731" s="477">
        <v>0.74861111111111112</v>
      </c>
      <c r="R731" s="472">
        <f>IF(Table6[[#This Row],[Work Start TimeStamp]]="","",(Table6[[#This Row],[Work Start TimeStamp]]-Table6[[#This Row],[Fault Start TimeStamp]])*24)</f>
        <v>0</v>
      </c>
      <c r="S731" s="472">
        <f>(Table6[[#This Row],[Fault Clearance time]]-Table6[[#This Row],[Work Start TimeStamp]])*24</f>
        <v>3.3333333333333215E-2</v>
      </c>
      <c r="T731" s="472">
        <f>(Table6[[#This Row],[Fault Clearance time]]-Table6[[#This Row],[Fault Start TimeStamp]])*24</f>
        <v>3.3333333333333215E-2</v>
      </c>
      <c r="U731" s="35" t="s">
        <v>343</v>
      </c>
      <c r="V731" s="102" t="s">
        <v>293</v>
      </c>
      <c r="W731" s="478">
        <f>IFERROR(Table6[[#This Row],[Breakdown Time]]*Table6[[#This Row],[Plant Equivalent Weightage]],"")</f>
        <v>1.2820512820512771E-3</v>
      </c>
      <c r="X731" s="473" t="s">
        <v>294</v>
      </c>
      <c r="Y731" s="474" t="s">
        <v>333</v>
      </c>
      <c r="Z731" s="102">
        <v>18473</v>
      </c>
      <c r="AA731" s="468">
        <f>(Table6[[#This Row],[Paired WTG Generation for loss calculation]]/24)*Table6[[#This Row],[Breakdown Time]]</f>
        <v>25.656944444444356</v>
      </c>
      <c r="AB731" s="102"/>
      <c r="AC731" s="35"/>
      <c r="AD731" s="35"/>
    </row>
    <row r="732" spans="1:30">
      <c r="A732" s="102">
        <f t="shared" si="12"/>
        <v>731</v>
      </c>
      <c r="B732" s="468">
        <f>YEAR(Table6[[#This Row],[Date]])+IF(MONTH(Table6[[#This Row],[Date]])&gt;=4,1,0)</f>
        <v>2026</v>
      </c>
      <c r="C732" s="102">
        <f>YEAR(Table6[[#This Row],[Date]])</f>
        <v>2025</v>
      </c>
      <c r="D732" s="102" t="s">
        <v>1992</v>
      </c>
      <c r="E732" s="469">
        <f>Table6[[#This Row],[Date]]-DAY(Table6[[#This Row],[Date]])+1</f>
        <v>45778</v>
      </c>
      <c r="F732" s="470">
        <v>45793</v>
      </c>
      <c r="G732" s="35" t="s">
        <v>80</v>
      </c>
      <c r="H732" s="35" t="str">
        <f>IFERROR(_xlfn.XLOOKUP(Table6[[#This Row],[Affected WTG]],'Basic Data'!$A:$A,'Basic Data'!$B:$B),"")</f>
        <v>TQGXIIPL</v>
      </c>
      <c r="I732" s="35" t="str">
        <f>IFERROR(_xlfn.XLOOKUP(Table6[[#This Row],[Affected WTG]],'Basic Data'!$A:$A,'Basic Data'!$C:$C),"")</f>
        <v>GEDA</v>
      </c>
      <c r="J732" s="471">
        <f>IFERROR(_xlfn.XLOOKUP(Table6[[#This Row],[Affected WTG]],'Basic Data'!$A:$A,'Basic Data'!$E:$E),"")</f>
        <v>3.846153846153845E-2</v>
      </c>
      <c r="K732" s="102">
        <v>3800</v>
      </c>
      <c r="L732" s="35" t="str">
        <f>IFERROR(_xlfn.XLOOKUP(Table6[[#This Row],[Error Code]],'Basic Data'!$AA:$AA,'Basic Data'!$AB:$AB),"Incorrect Error Code")</f>
        <v>Circuit breaker</v>
      </c>
      <c r="M732" s="35" t="s">
        <v>295</v>
      </c>
      <c r="N732" s="475"/>
      <c r="O732" s="476">
        <v>0</v>
      </c>
      <c r="P732" s="476">
        <v>0</v>
      </c>
      <c r="Q732" s="477">
        <v>0.69444444444444442</v>
      </c>
      <c r="R732" s="472">
        <f>IF(Table6[[#This Row],[Work Start TimeStamp]]="","",(Table6[[#This Row],[Work Start TimeStamp]]-Table6[[#This Row],[Fault Start TimeStamp]])*24)</f>
        <v>0</v>
      </c>
      <c r="S732" s="472">
        <f>(Table6[[#This Row],[Fault Clearance time]]-Table6[[#This Row],[Work Start TimeStamp]])*24</f>
        <v>16.666666666666664</v>
      </c>
      <c r="T732" s="472">
        <f>(Table6[[#This Row],[Fault Clearance time]]-Table6[[#This Row],[Fault Start TimeStamp]])*24</f>
        <v>16.666666666666664</v>
      </c>
      <c r="U732" s="35" t="s">
        <v>1828</v>
      </c>
      <c r="V732" s="102" t="s">
        <v>338</v>
      </c>
      <c r="W732" s="478">
        <f>IFERROR(Table6[[#This Row],[Breakdown Time]]*Table6[[#This Row],[Plant Equivalent Weightage]],"")</f>
        <v>0.64102564102564075</v>
      </c>
      <c r="X732" s="473" t="s">
        <v>290</v>
      </c>
      <c r="Y732" s="474" t="s">
        <v>317</v>
      </c>
      <c r="Z732" s="102">
        <v>13328</v>
      </c>
      <c r="AA732" s="468">
        <f>(Table6[[#This Row],[Paired WTG Generation for loss calculation]]/24)*Table6[[#This Row],[Breakdown Time]]</f>
        <v>9255.5555555555547</v>
      </c>
      <c r="AB732" s="102"/>
      <c r="AC732" s="35"/>
      <c r="AD732" s="35"/>
    </row>
    <row r="733" spans="1:30">
      <c r="A733" s="102">
        <f t="shared" si="12"/>
        <v>732</v>
      </c>
      <c r="B733" s="468">
        <f>YEAR(Table6[[#This Row],[Date]])+IF(MONTH(Table6[[#This Row],[Date]])&gt;=4,1,0)</f>
        <v>2026</v>
      </c>
      <c r="C733" s="102">
        <f>YEAR(Table6[[#This Row],[Date]])</f>
        <v>2025</v>
      </c>
      <c r="D733" s="102" t="s">
        <v>1992</v>
      </c>
      <c r="E733" s="469">
        <f>Table6[[#This Row],[Date]]-DAY(Table6[[#This Row],[Date]])+1</f>
        <v>45778</v>
      </c>
      <c r="F733" s="470">
        <v>45793</v>
      </c>
      <c r="G733" s="35" t="s">
        <v>80</v>
      </c>
      <c r="H733" s="35" t="str">
        <f>IFERROR(_xlfn.XLOOKUP(Table6[[#This Row],[Affected WTG]],'Basic Data'!$A:$A,'Basic Data'!$B:$B),"")</f>
        <v>TQGXIIPL</v>
      </c>
      <c r="I733" s="35" t="str">
        <f>IFERROR(_xlfn.XLOOKUP(Table6[[#This Row],[Affected WTG]],'Basic Data'!$A:$A,'Basic Data'!$C:$C),"")</f>
        <v>GEDA</v>
      </c>
      <c r="J733" s="471">
        <f>IFERROR(_xlfn.XLOOKUP(Table6[[#This Row],[Affected WTG]],'Basic Data'!$A:$A,'Basic Data'!$E:$E),"")</f>
        <v>3.846153846153845E-2</v>
      </c>
      <c r="K733" s="102">
        <v>3800</v>
      </c>
      <c r="L733" s="35" t="str">
        <f>IFERROR(_xlfn.XLOOKUP(Table6[[#This Row],[Error Code]],'Basic Data'!$AA:$AA,'Basic Data'!$AB:$AB),"Incorrect Error Code")</f>
        <v>Circuit breaker</v>
      </c>
      <c r="M733" s="35" t="s">
        <v>295</v>
      </c>
      <c r="N733" s="475"/>
      <c r="O733" s="476">
        <v>0.7993055555555556</v>
      </c>
      <c r="P733" s="476">
        <v>0.7993055555555556</v>
      </c>
      <c r="Q733" s="477">
        <v>0.99998842592592596</v>
      </c>
      <c r="R733" s="472">
        <f>IF(Table6[[#This Row],[Work Start TimeStamp]]="","",(Table6[[#This Row],[Work Start TimeStamp]]-Table6[[#This Row],[Fault Start TimeStamp]])*24)</f>
        <v>0</v>
      </c>
      <c r="S733" s="472">
        <f>(Table6[[#This Row],[Fault Clearance time]]-Table6[[#This Row],[Work Start TimeStamp]])*24</f>
        <v>4.8163888888888886</v>
      </c>
      <c r="T733" s="472">
        <f>(Table6[[#This Row],[Fault Clearance time]]-Table6[[#This Row],[Fault Start TimeStamp]])*24</f>
        <v>4.8163888888888886</v>
      </c>
      <c r="U733" s="35" t="s">
        <v>1828</v>
      </c>
      <c r="V733" s="102" t="s">
        <v>338</v>
      </c>
      <c r="W733" s="478">
        <f>IFERROR(Table6[[#This Row],[Breakdown Time]]*Table6[[#This Row],[Plant Equivalent Weightage]],"")</f>
        <v>0.18524572649572643</v>
      </c>
      <c r="X733" s="473" t="s">
        <v>290</v>
      </c>
      <c r="Y733" s="474" t="s">
        <v>317</v>
      </c>
      <c r="Z733" s="102">
        <v>13328</v>
      </c>
      <c r="AA733" s="468">
        <f>(Table6[[#This Row],[Paired WTG Generation for loss calculation]]/24)*Table6[[#This Row],[Breakdown Time]]</f>
        <v>2674.7012962962963</v>
      </c>
      <c r="AB733" s="102"/>
      <c r="AC733" s="35"/>
      <c r="AD733" s="35"/>
    </row>
    <row r="734" spans="1:30">
      <c r="A734" s="102">
        <f t="shared" si="12"/>
        <v>733</v>
      </c>
      <c r="B734" s="468">
        <f>YEAR(Table6[[#This Row],[Date]])+IF(MONTH(Table6[[#This Row],[Date]])&gt;=4,1,0)</f>
        <v>2026</v>
      </c>
      <c r="C734" s="102">
        <f>YEAR(Table6[[#This Row],[Date]])</f>
        <v>2025</v>
      </c>
      <c r="D734" s="102" t="s">
        <v>1992</v>
      </c>
      <c r="E734" s="469">
        <f>Table6[[#This Row],[Date]]-DAY(Table6[[#This Row],[Date]])+1</f>
        <v>45778</v>
      </c>
      <c r="F734" s="470">
        <v>45793</v>
      </c>
      <c r="G734" s="35" t="s">
        <v>82</v>
      </c>
      <c r="H734" s="35" t="str">
        <f>IFERROR(_xlfn.XLOOKUP(Table6[[#This Row],[Affected WTG]],'Basic Data'!$A:$A,'Basic Data'!$B:$B),"")</f>
        <v>TQGXIIPL</v>
      </c>
      <c r="I734" s="35" t="str">
        <f>IFERROR(_xlfn.XLOOKUP(Table6[[#This Row],[Affected WTG]],'Basic Data'!$A:$A,'Basic Data'!$C:$C),"")</f>
        <v>GEDA</v>
      </c>
      <c r="J734" s="471">
        <f>IFERROR(_xlfn.XLOOKUP(Table6[[#This Row],[Affected WTG]],'Basic Data'!$A:$A,'Basic Data'!$E:$E),"")</f>
        <v>3.846153846153845E-2</v>
      </c>
      <c r="K734" s="102">
        <v>6690</v>
      </c>
      <c r="L734" s="35" t="str">
        <f>IFERROR(_xlfn.XLOOKUP(Table6[[#This Row],[Error Code]],'Basic Data'!$AA:$AA,'Basic Data'!$AB:$AB),"Incorrect Error Code")</f>
        <v>Icing (stop)</v>
      </c>
      <c r="M734" s="35" t="s">
        <v>295</v>
      </c>
      <c r="N734" s="475"/>
      <c r="O734" s="476">
        <v>0.63680555555555551</v>
      </c>
      <c r="P734" s="476">
        <v>0.63680555555555551</v>
      </c>
      <c r="Q734" s="477">
        <v>0.99998842592592596</v>
      </c>
      <c r="R734" s="472">
        <f>IF(Table6[[#This Row],[Work Start TimeStamp]]="","",(Table6[[#This Row],[Work Start TimeStamp]]-Table6[[#This Row],[Fault Start TimeStamp]])*24)</f>
        <v>0</v>
      </c>
      <c r="S734" s="472">
        <f>(Table6[[#This Row],[Fault Clearance time]]-Table6[[#This Row],[Work Start TimeStamp]])*24</f>
        <v>8.7163888888888899</v>
      </c>
      <c r="T734" s="472">
        <f>(Table6[[#This Row],[Fault Clearance time]]-Table6[[#This Row],[Fault Start TimeStamp]])*24</f>
        <v>8.7163888888888899</v>
      </c>
      <c r="U734" s="35" t="s">
        <v>1837</v>
      </c>
      <c r="V734" s="102" t="s">
        <v>293</v>
      </c>
      <c r="W734" s="478">
        <f>IFERROR(Table6[[#This Row],[Breakdown Time]]*Table6[[#This Row],[Plant Equivalent Weightage]],"")</f>
        <v>0.33524572649572643</v>
      </c>
      <c r="X734" s="473" t="s">
        <v>294</v>
      </c>
      <c r="Y734" s="474" t="s">
        <v>332</v>
      </c>
      <c r="Z734" s="102">
        <v>17202</v>
      </c>
      <c r="AA734" s="468">
        <f>(Table6[[#This Row],[Paired WTG Generation for loss calculation]]/24)*Table6[[#This Row],[Breakdown Time]]</f>
        <v>6247.4717361111116</v>
      </c>
      <c r="AB734" s="102"/>
      <c r="AC734" s="35"/>
      <c r="AD734" s="35"/>
    </row>
    <row r="735" spans="1:30">
      <c r="A735" s="102">
        <f t="shared" si="12"/>
        <v>734</v>
      </c>
      <c r="B735" s="468">
        <f>YEAR(Table6[[#This Row],[Date]])+IF(MONTH(Table6[[#This Row],[Date]])&gt;=4,1,0)</f>
        <v>2026</v>
      </c>
      <c r="C735" s="102">
        <f>YEAR(Table6[[#This Row],[Date]])</f>
        <v>2025</v>
      </c>
      <c r="D735" s="102" t="s">
        <v>1992</v>
      </c>
      <c r="E735" s="469">
        <f>Table6[[#This Row],[Date]]-DAY(Table6[[#This Row],[Date]])+1</f>
        <v>45778</v>
      </c>
      <c r="F735" s="470">
        <v>45793</v>
      </c>
      <c r="G735" s="35" t="s">
        <v>84</v>
      </c>
      <c r="H735" s="35" t="str">
        <f>IFERROR(_xlfn.XLOOKUP(Table6[[#This Row],[Affected WTG]],'Basic Data'!$A:$A,'Basic Data'!$B:$B),"")</f>
        <v>TQGXIIPL</v>
      </c>
      <c r="I735" s="35" t="str">
        <f>IFERROR(_xlfn.XLOOKUP(Table6[[#This Row],[Affected WTG]],'Basic Data'!$A:$A,'Basic Data'!$C:$C),"")</f>
        <v>GEDA</v>
      </c>
      <c r="J735" s="471">
        <f>IFERROR(_xlfn.XLOOKUP(Table6[[#This Row],[Affected WTG]],'Basic Data'!$A:$A,'Basic Data'!$E:$E),"")</f>
        <v>3.846153846153845E-2</v>
      </c>
      <c r="K735" s="102">
        <v>53</v>
      </c>
      <c r="L735" s="35" t="str">
        <f>IFERROR(_xlfn.XLOOKUP(Table6[[#This Row],[Error Code]],'Basic Data'!$AA:$AA,'Basic Data'!$AB:$AB),"Incorrect Error Code")</f>
        <v>Wind dir.dev. level 1</v>
      </c>
      <c r="M735" s="35" t="s">
        <v>292</v>
      </c>
      <c r="N735" s="475"/>
      <c r="O735" s="476">
        <v>0.7</v>
      </c>
      <c r="P735" s="476">
        <v>0.7</v>
      </c>
      <c r="Q735" s="477">
        <v>0.70138888888888884</v>
      </c>
      <c r="R735" s="472">
        <f>IF(Table6[[#This Row],[Work Start TimeStamp]]="","",(Table6[[#This Row],[Work Start TimeStamp]]-Table6[[#This Row],[Fault Start TimeStamp]])*24)</f>
        <v>0</v>
      </c>
      <c r="S735" s="472">
        <f>(Table6[[#This Row],[Fault Clearance time]]-Table6[[#This Row],[Work Start TimeStamp]])*24</f>
        <v>3.3333333333333215E-2</v>
      </c>
      <c r="T735" s="472">
        <f>(Table6[[#This Row],[Fault Clearance time]]-Table6[[#This Row],[Fault Start TimeStamp]])*24</f>
        <v>3.3333333333333215E-2</v>
      </c>
      <c r="U735" s="35" t="s">
        <v>346</v>
      </c>
      <c r="V735" s="102" t="s">
        <v>293</v>
      </c>
      <c r="W735" s="478">
        <f>IFERROR(Table6[[#This Row],[Breakdown Time]]*Table6[[#This Row],[Plant Equivalent Weightage]],"")</f>
        <v>1.2820512820512771E-3</v>
      </c>
      <c r="X735" s="473" t="s">
        <v>294</v>
      </c>
      <c r="Y735" s="474" t="s">
        <v>327</v>
      </c>
      <c r="Z735" s="102">
        <v>16669</v>
      </c>
      <c r="AA735" s="468">
        <f>(Table6[[#This Row],[Paired WTG Generation for loss calculation]]/24)*Table6[[#This Row],[Breakdown Time]]</f>
        <v>23.151388888888807</v>
      </c>
      <c r="AB735" s="102"/>
      <c r="AC735" s="35"/>
      <c r="AD735" s="35"/>
    </row>
    <row r="736" spans="1:30">
      <c r="A736" s="102">
        <f t="shared" si="12"/>
        <v>735</v>
      </c>
      <c r="B736" s="468">
        <f>YEAR(Table6[[#This Row],[Date]])+IF(MONTH(Table6[[#This Row],[Date]])&gt;=4,1,0)</f>
        <v>2026</v>
      </c>
      <c r="C736" s="102">
        <f>YEAR(Table6[[#This Row],[Date]])</f>
        <v>2025</v>
      </c>
      <c r="D736" s="102" t="s">
        <v>1992</v>
      </c>
      <c r="E736" s="469">
        <f>Table6[[#This Row],[Date]]-DAY(Table6[[#This Row],[Date]])+1</f>
        <v>45778</v>
      </c>
      <c r="F736" s="470">
        <v>45793</v>
      </c>
      <c r="G736" s="35" t="s">
        <v>84</v>
      </c>
      <c r="H736" s="35" t="str">
        <f>IFERROR(_xlfn.XLOOKUP(Table6[[#This Row],[Affected WTG]],'Basic Data'!$A:$A,'Basic Data'!$B:$B),"")</f>
        <v>TQGXIIPL</v>
      </c>
      <c r="I736" s="35" t="str">
        <f>IFERROR(_xlfn.XLOOKUP(Table6[[#This Row],[Affected WTG]],'Basic Data'!$A:$A,'Basic Data'!$C:$C),"")</f>
        <v>GEDA</v>
      </c>
      <c r="J736" s="471">
        <f>IFERROR(_xlfn.XLOOKUP(Table6[[#This Row],[Affected WTG]],'Basic Data'!$A:$A,'Basic Data'!$E:$E),"")</f>
        <v>3.846153846153845E-2</v>
      </c>
      <c r="K736" s="102">
        <v>175</v>
      </c>
      <c r="L736" s="35" t="str">
        <f>IFERROR(_xlfn.XLOOKUP(Table6[[#This Row],[Error Code]],'Basic Data'!$AA:$AA,'Basic Data'!$AB:$AB),"Incorrect Error Code")</f>
        <v>SLC error</v>
      </c>
      <c r="M736" s="35" t="s">
        <v>291</v>
      </c>
      <c r="N736" s="475"/>
      <c r="O736" s="476">
        <v>0.75</v>
      </c>
      <c r="P736" s="476">
        <v>0.75</v>
      </c>
      <c r="Q736" s="477">
        <v>0.75555555555555554</v>
      </c>
      <c r="R736" s="472">
        <f>IF(Table6[[#This Row],[Work Start TimeStamp]]="","",(Table6[[#This Row],[Work Start TimeStamp]]-Table6[[#This Row],[Fault Start TimeStamp]])*24)</f>
        <v>0</v>
      </c>
      <c r="S736" s="472">
        <f>(Table6[[#This Row],[Fault Clearance time]]-Table6[[#This Row],[Work Start TimeStamp]])*24</f>
        <v>0.13333333333333286</v>
      </c>
      <c r="T736" s="472">
        <f>(Table6[[#This Row],[Fault Clearance time]]-Table6[[#This Row],[Fault Start TimeStamp]])*24</f>
        <v>0.13333333333333286</v>
      </c>
      <c r="U736" s="35" t="s">
        <v>344</v>
      </c>
      <c r="V736" s="102" t="s">
        <v>293</v>
      </c>
      <c r="W736" s="478">
        <f>IFERROR(Table6[[#This Row],[Breakdown Time]]*Table6[[#This Row],[Plant Equivalent Weightage]],"")</f>
        <v>5.1282051282051083E-3</v>
      </c>
      <c r="X736" s="473" t="s">
        <v>294</v>
      </c>
      <c r="Y736" s="474" t="s">
        <v>327</v>
      </c>
      <c r="Z736" s="102">
        <v>16669</v>
      </c>
      <c r="AA736" s="468">
        <f>(Table6[[#This Row],[Paired WTG Generation for loss calculation]]/24)*Table6[[#This Row],[Breakdown Time]]</f>
        <v>92.605555555555227</v>
      </c>
      <c r="AB736" s="102"/>
      <c r="AC736" s="35"/>
      <c r="AD736" s="35"/>
    </row>
    <row r="737" spans="1:30">
      <c r="A737" s="102">
        <f t="shared" si="12"/>
        <v>736</v>
      </c>
      <c r="B737" s="468">
        <f>YEAR(Table6[[#This Row],[Date]])+IF(MONTH(Table6[[#This Row],[Date]])&gt;=4,1,0)</f>
        <v>2026</v>
      </c>
      <c r="C737" s="102">
        <f>YEAR(Table6[[#This Row],[Date]])</f>
        <v>2025</v>
      </c>
      <c r="D737" s="102" t="s">
        <v>1992</v>
      </c>
      <c r="E737" s="469">
        <f>Table6[[#This Row],[Date]]-DAY(Table6[[#This Row],[Date]])+1</f>
        <v>45778</v>
      </c>
      <c r="F737" s="470">
        <v>45793</v>
      </c>
      <c r="G737" s="35" t="s">
        <v>86</v>
      </c>
      <c r="H737" s="35" t="str">
        <f>IFERROR(_xlfn.XLOOKUP(Table6[[#This Row],[Affected WTG]],'Basic Data'!$A:$A,'Basic Data'!$B:$B),"")</f>
        <v>TQGXIIPL</v>
      </c>
      <c r="I737" s="35" t="str">
        <f>IFERROR(_xlfn.XLOOKUP(Table6[[#This Row],[Affected WTG]],'Basic Data'!$A:$A,'Basic Data'!$C:$C),"")</f>
        <v>GEDA</v>
      </c>
      <c r="J737" s="471">
        <f>IFERROR(_xlfn.XLOOKUP(Table6[[#This Row],[Affected WTG]],'Basic Data'!$A:$A,'Basic Data'!$E:$E),"")</f>
        <v>3.846153846153845E-2</v>
      </c>
      <c r="K737" s="102">
        <v>55</v>
      </c>
      <c r="L737" s="35" t="str">
        <f>IFERROR(_xlfn.XLOOKUP(Table6[[#This Row],[Error Code]],'Basic Data'!$AA:$AA,'Basic Data'!$AB:$AB),"Incorrect Error Code")</f>
        <v>WTG shut down</v>
      </c>
      <c r="M737" s="35" t="s">
        <v>328</v>
      </c>
      <c r="N737" s="475"/>
      <c r="O737" s="476">
        <v>0.45347222222222222</v>
      </c>
      <c r="P737" s="476">
        <v>0.45347222222222222</v>
      </c>
      <c r="Q737" s="477">
        <v>0.54722222222222228</v>
      </c>
      <c r="R737" s="472">
        <f>IF(Table6[[#This Row],[Work Start TimeStamp]]="","",(Table6[[#This Row],[Work Start TimeStamp]]-Table6[[#This Row],[Fault Start TimeStamp]])*24)</f>
        <v>0</v>
      </c>
      <c r="S737" s="472">
        <f>(Table6[[#This Row],[Fault Clearance time]]-Table6[[#This Row],[Work Start TimeStamp]])*24</f>
        <v>2.2500000000000013</v>
      </c>
      <c r="T737" s="472">
        <f>(Table6[[#This Row],[Fault Clearance time]]-Table6[[#This Row],[Fault Start TimeStamp]])*24</f>
        <v>2.2500000000000013</v>
      </c>
      <c r="U737" s="35" t="s">
        <v>1844</v>
      </c>
      <c r="V737" s="102" t="s">
        <v>293</v>
      </c>
      <c r="W737" s="478">
        <f>IFERROR(Table6[[#This Row],[Breakdown Time]]*Table6[[#This Row],[Plant Equivalent Weightage]],"")</f>
        <v>8.6538461538461564E-2</v>
      </c>
      <c r="X737" s="473" t="s">
        <v>305</v>
      </c>
      <c r="Y737" s="474" t="s">
        <v>313</v>
      </c>
      <c r="Z737" s="102">
        <v>17201</v>
      </c>
      <c r="AA737" s="468">
        <f>(Table6[[#This Row],[Paired WTG Generation for loss calculation]]/24)*Table6[[#This Row],[Breakdown Time]]</f>
        <v>1612.5937500000011</v>
      </c>
      <c r="AB737" s="102"/>
      <c r="AC737" s="35"/>
      <c r="AD737" s="35"/>
    </row>
    <row r="738" spans="1:30">
      <c r="A738" s="102">
        <f t="shared" si="12"/>
        <v>737</v>
      </c>
      <c r="B738" s="468">
        <f>YEAR(Table6[[#This Row],[Date]])+IF(MONTH(Table6[[#This Row],[Date]])&gt;=4,1,0)</f>
        <v>2026</v>
      </c>
      <c r="C738" s="102">
        <f>YEAR(Table6[[#This Row],[Date]])</f>
        <v>2025</v>
      </c>
      <c r="D738" s="102" t="s">
        <v>1992</v>
      </c>
      <c r="E738" s="469">
        <f>Table6[[#This Row],[Date]]-DAY(Table6[[#This Row],[Date]])+1</f>
        <v>45778</v>
      </c>
      <c r="F738" s="470">
        <v>45793</v>
      </c>
      <c r="G738" s="35" t="s">
        <v>86</v>
      </c>
      <c r="H738" s="35" t="str">
        <f>IFERROR(_xlfn.XLOOKUP(Table6[[#This Row],[Affected WTG]],'Basic Data'!$A:$A,'Basic Data'!$B:$B),"")</f>
        <v>TQGXIIPL</v>
      </c>
      <c r="I738" s="35" t="str">
        <f>IFERROR(_xlfn.XLOOKUP(Table6[[#This Row],[Affected WTG]],'Basic Data'!$A:$A,'Basic Data'!$C:$C),"")</f>
        <v>GEDA</v>
      </c>
      <c r="J738" s="471">
        <f>IFERROR(_xlfn.XLOOKUP(Table6[[#This Row],[Affected WTG]],'Basic Data'!$A:$A,'Basic Data'!$E:$E),"")</f>
        <v>3.846153846153845E-2</v>
      </c>
      <c r="K738" s="102">
        <v>53</v>
      </c>
      <c r="L738" s="35" t="str">
        <f>IFERROR(_xlfn.XLOOKUP(Table6[[#This Row],[Error Code]],'Basic Data'!$AA:$AA,'Basic Data'!$AB:$AB),"Incorrect Error Code")</f>
        <v>Wind dir.dev. level 1</v>
      </c>
      <c r="M738" s="35" t="s">
        <v>292</v>
      </c>
      <c r="N738" s="475"/>
      <c r="O738" s="476">
        <v>0.69722222222222219</v>
      </c>
      <c r="P738" s="476">
        <v>0.69722222222222219</v>
      </c>
      <c r="Q738" s="477">
        <v>0.69861111111111107</v>
      </c>
      <c r="R738" s="472">
        <f>IF(Table6[[#This Row],[Work Start TimeStamp]]="","",(Table6[[#This Row],[Work Start TimeStamp]]-Table6[[#This Row],[Fault Start TimeStamp]])*24)</f>
        <v>0</v>
      </c>
      <c r="S738" s="472">
        <f>(Table6[[#This Row],[Fault Clearance time]]-Table6[[#This Row],[Work Start TimeStamp]])*24</f>
        <v>3.3333333333333215E-2</v>
      </c>
      <c r="T738" s="472">
        <f>(Table6[[#This Row],[Fault Clearance time]]-Table6[[#This Row],[Fault Start TimeStamp]])*24</f>
        <v>3.3333333333333215E-2</v>
      </c>
      <c r="U738" s="35" t="s">
        <v>346</v>
      </c>
      <c r="V738" s="102" t="s">
        <v>293</v>
      </c>
      <c r="W738" s="478">
        <f>IFERROR(Table6[[#This Row],[Breakdown Time]]*Table6[[#This Row],[Plant Equivalent Weightage]],"")</f>
        <v>1.2820512820512771E-3</v>
      </c>
      <c r="X738" s="473" t="s">
        <v>294</v>
      </c>
      <c r="Y738" s="474" t="s">
        <v>313</v>
      </c>
      <c r="Z738" s="102">
        <v>17201</v>
      </c>
      <c r="AA738" s="468">
        <f>(Table6[[#This Row],[Paired WTG Generation for loss calculation]]/24)*Table6[[#This Row],[Breakdown Time]]</f>
        <v>23.890277777777694</v>
      </c>
      <c r="AB738" s="102"/>
      <c r="AC738" s="35"/>
      <c r="AD738" s="35"/>
    </row>
    <row r="739" spans="1:30">
      <c r="A739" s="102">
        <f t="shared" si="12"/>
        <v>738</v>
      </c>
      <c r="B739" s="468">
        <f>YEAR(Table6[[#This Row],[Date]])+IF(MONTH(Table6[[#This Row],[Date]])&gt;=4,1,0)</f>
        <v>2026</v>
      </c>
      <c r="C739" s="102">
        <f>YEAR(Table6[[#This Row],[Date]])</f>
        <v>2025</v>
      </c>
      <c r="D739" s="102" t="s">
        <v>1992</v>
      </c>
      <c r="E739" s="469">
        <f>Table6[[#This Row],[Date]]-DAY(Table6[[#This Row],[Date]])+1</f>
        <v>45778</v>
      </c>
      <c r="F739" s="470">
        <v>45793</v>
      </c>
      <c r="G739" s="35" t="s">
        <v>86</v>
      </c>
      <c r="H739" s="35" t="str">
        <f>IFERROR(_xlfn.XLOOKUP(Table6[[#This Row],[Affected WTG]],'Basic Data'!$A:$A,'Basic Data'!$B:$B),"")</f>
        <v>TQGXIIPL</v>
      </c>
      <c r="I739" s="35" t="str">
        <f>IFERROR(_xlfn.XLOOKUP(Table6[[#This Row],[Affected WTG]],'Basic Data'!$A:$A,'Basic Data'!$C:$C),"")</f>
        <v>GEDA</v>
      </c>
      <c r="J739" s="471">
        <f>IFERROR(_xlfn.XLOOKUP(Table6[[#This Row],[Affected WTG]],'Basic Data'!$A:$A,'Basic Data'!$E:$E),"")</f>
        <v>3.846153846153845E-2</v>
      </c>
      <c r="K739" s="102">
        <v>55</v>
      </c>
      <c r="L739" s="35" t="str">
        <f>IFERROR(_xlfn.XLOOKUP(Table6[[#This Row],[Error Code]],'Basic Data'!$AA:$AA,'Basic Data'!$AB:$AB),"Incorrect Error Code")</f>
        <v>WTG shut down</v>
      </c>
      <c r="M739" s="35" t="s">
        <v>330</v>
      </c>
      <c r="N739" s="475"/>
      <c r="O739" s="476">
        <v>0.76597222222222228</v>
      </c>
      <c r="P739" s="476">
        <v>0.76597222222222228</v>
      </c>
      <c r="Q739" s="477">
        <v>0.76875000000000004</v>
      </c>
      <c r="R739" s="472">
        <f>IF(Table6[[#This Row],[Work Start TimeStamp]]="","",(Table6[[#This Row],[Work Start TimeStamp]]-Table6[[#This Row],[Fault Start TimeStamp]])*24)</f>
        <v>0</v>
      </c>
      <c r="S739" s="472">
        <f>(Table6[[#This Row],[Fault Clearance time]]-Table6[[#This Row],[Work Start TimeStamp]])*24</f>
        <v>6.666666666666643E-2</v>
      </c>
      <c r="T739" s="472">
        <f>(Table6[[#This Row],[Fault Clearance time]]-Table6[[#This Row],[Fault Start TimeStamp]])*24</f>
        <v>6.666666666666643E-2</v>
      </c>
      <c r="U739" s="35" t="s">
        <v>1744</v>
      </c>
      <c r="V739" s="102" t="s">
        <v>293</v>
      </c>
      <c r="W739" s="478">
        <f>IFERROR(Table6[[#This Row],[Breakdown Time]]*Table6[[#This Row],[Plant Equivalent Weightage]],"")</f>
        <v>2.5641025641025541E-3</v>
      </c>
      <c r="X739" s="473" t="s">
        <v>294</v>
      </c>
      <c r="Y739" s="474" t="s">
        <v>313</v>
      </c>
      <c r="Z739" s="102">
        <v>17201</v>
      </c>
      <c r="AA739" s="468">
        <f>(Table6[[#This Row],[Paired WTG Generation for loss calculation]]/24)*Table6[[#This Row],[Breakdown Time]]</f>
        <v>47.780555555555388</v>
      </c>
      <c r="AB739" s="102"/>
      <c r="AC739" s="35"/>
      <c r="AD739" s="35"/>
    </row>
    <row r="740" spans="1:30">
      <c r="A740" s="102">
        <f t="shared" si="12"/>
        <v>739</v>
      </c>
      <c r="B740" s="468">
        <f>YEAR(Table6[[#This Row],[Date]])+IF(MONTH(Table6[[#This Row],[Date]])&gt;=4,1,0)</f>
        <v>2026</v>
      </c>
      <c r="C740" s="102">
        <f>YEAR(Table6[[#This Row],[Date]])</f>
        <v>2025</v>
      </c>
      <c r="D740" s="102" t="s">
        <v>1992</v>
      </c>
      <c r="E740" s="469">
        <f>Table6[[#This Row],[Date]]-DAY(Table6[[#This Row],[Date]])+1</f>
        <v>45778</v>
      </c>
      <c r="F740" s="470">
        <v>45793</v>
      </c>
      <c r="G740" s="35" t="s">
        <v>93</v>
      </c>
      <c r="H740" s="35" t="str">
        <f>IFERROR(_xlfn.XLOOKUP(Table6[[#This Row],[Affected WTG]],'Basic Data'!$A:$A,'Basic Data'!$B:$B),"")</f>
        <v>TQGXIIPL</v>
      </c>
      <c r="I740" s="35" t="str">
        <f>IFERROR(_xlfn.XLOOKUP(Table6[[#This Row],[Affected WTG]],'Basic Data'!$A:$A,'Basic Data'!$C:$C),"")</f>
        <v>GEDA</v>
      </c>
      <c r="J740" s="471">
        <f>IFERROR(_xlfn.XLOOKUP(Table6[[#This Row],[Affected WTG]],'Basic Data'!$A:$A,'Basic Data'!$E:$E),"")</f>
        <v>3.846153846153845E-2</v>
      </c>
      <c r="K740" s="102">
        <v>55</v>
      </c>
      <c r="L740" s="35" t="str">
        <f>IFERROR(_xlfn.XLOOKUP(Table6[[#This Row],[Error Code]],'Basic Data'!$AA:$AA,'Basic Data'!$AB:$AB),"Incorrect Error Code")</f>
        <v>WTG shut down</v>
      </c>
      <c r="M740" s="35" t="s">
        <v>291</v>
      </c>
      <c r="N740" s="475"/>
      <c r="O740" s="476">
        <v>3.9583333333333331E-2</v>
      </c>
      <c r="P740" s="476">
        <v>3.9583333333333331E-2</v>
      </c>
      <c r="Q740" s="477">
        <v>7.2222222222222215E-2</v>
      </c>
      <c r="R740" s="472">
        <f>IF(Table6[[#This Row],[Work Start TimeStamp]]="","",(Table6[[#This Row],[Work Start TimeStamp]]-Table6[[#This Row],[Fault Start TimeStamp]])*24)</f>
        <v>0</v>
      </c>
      <c r="S740" s="472">
        <f>(Table6[[#This Row],[Fault Clearance time]]-Table6[[#This Row],[Work Start TimeStamp]])*24</f>
        <v>0.78333333333333321</v>
      </c>
      <c r="T740" s="472">
        <f>(Table6[[#This Row],[Fault Clearance time]]-Table6[[#This Row],[Fault Start TimeStamp]])*24</f>
        <v>0.78333333333333321</v>
      </c>
      <c r="U740" s="35" t="s">
        <v>1829</v>
      </c>
      <c r="V740" s="102" t="s">
        <v>293</v>
      </c>
      <c r="W740" s="478">
        <f>IFERROR(Table6[[#This Row],[Breakdown Time]]*Table6[[#This Row],[Plant Equivalent Weightage]],"")</f>
        <v>3.0128205128205115E-2</v>
      </c>
      <c r="X740" s="473" t="s">
        <v>290</v>
      </c>
      <c r="Y740" s="474" t="s">
        <v>314</v>
      </c>
      <c r="Z740" s="102">
        <v>15031</v>
      </c>
      <c r="AA740" s="468">
        <f>(Table6[[#This Row],[Paired WTG Generation for loss calculation]]/24)*Table6[[#This Row],[Breakdown Time]]</f>
        <v>490.59513888888881</v>
      </c>
      <c r="AB740" s="102"/>
      <c r="AC740" s="35"/>
      <c r="AD740" s="35"/>
    </row>
    <row r="741" spans="1:30">
      <c r="A741" s="102">
        <f t="shared" si="12"/>
        <v>740</v>
      </c>
      <c r="B741" s="468">
        <f>YEAR(Table6[[#This Row],[Date]])+IF(MONTH(Table6[[#This Row],[Date]])&gt;=4,1,0)</f>
        <v>2026</v>
      </c>
      <c r="C741" s="102">
        <f>YEAR(Table6[[#This Row],[Date]])</f>
        <v>2025</v>
      </c>
      <c r="D741" s="102" t="s">
        <v>1992</v>
      </c>
      <c r="E741" s="469">
        <f>Table6[[#This Row],[Date]]-DAY(Table6[[#This Row],[Date]])+1</f>
        <v>45778</v>
      </c>
      <c r="F741" s="470">
        <v>45793</v>
      </c>
      <c r="G741" s="35" t="s">
        <v>93</v>
      </c>
      <c r="H741" s="35" t="str">
        <f>IFERROR(_xlfn.XLOOKUP(Table6[[#This Row],[Affected WTG]],'Basic Data'!$A:$A,'Basic Data'!$B:$B),"")</f>
        <v>TQGXIIPL</v>
      </c>
      <c r="I741" s="35" t="str">
        <f>IFERROR(_xlfn.XLOOKUP(Table6[[#This Row],[Affected WTG]],'Basic Data'!$A:$A,'Basic Data'!$C:$C),"")</f>
        <v>GEDA</v>
      </c>
      <c r="J741" s="471">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291</v>
      </c>
      <c r="N741" s="475"/>
      <c r="O741" s="476">
        <v>0.77847222222222223</v>
      </c>
      <c r="P741" s="476">
        <v>0.77847222222222223</v>
      </c>
      <c r="Q741" s="477">
        <v>0.77916666666666667</v>
      </c>
      <c r="R741" s="472">
        <f>IF(Table6[[#This Row],[Work Start TimeStamp]]="","",(Table6[[#This Row],[Work Start TimeStamp]]-Table6[[#This Row],[Fault Start TimeStamp]])*24)</f>
        <v>0</v>
      </c>
      <c r="S741" s="472">
        <f>(Table6[[#This Row],[Fault Clearance time]]-Table6[[#This Row],[Work Start TimeStamp]])*24</f>
        <v>1.6666666666666607E-2</v>
      </c>
      <c r="T741" s="472">
        <f>(Table6[[#This Row],[Fault Clearance time]]-Table6[[#This Row],[Fault Start TimeStamp]])*24</f>
        <v>1.6666666666666607E-2</v>
      </c>
      <c r="U741" s="35" t="s">
        <v>1830</v>
      </c>
      <c r="V741" s="102" t="s">
        <v>293</v>
      </c>
      <c r="W741" s="478">
        <f>IFERROR(Table6[[#This Row],[Breakdown Time]]*Table6[[#This Row],[Plant Equivalent Weightage]],"")</f>
        <v>6.4102564102563853E-4</v>
      </c>
      <c r="X741" s="473" t="s">
        <v>294</v>
      </c>
      <c r="Y741" s="474" t="s">
        <v>314</v>
      </c>
      <c r="Z741" s="102">
        <v>15031</v>
      </c>
      <c r="AA741" s="468">
        <f>(Table6[[#This Row],[Paired WTG Generation for loss calculation]]/24)*Table6[[#This Row],[Breakdown Time]]</f>
        <v>10.438194444444406</v>
      </c>
      <c r="AB741" s="102"/>
      <c r="AC741" s="35"/>
      <c r="AD741" s="35"/>
    </row>
    <row r="742" spans="1:30">
      <c r="A742" s="102">
        <f t="shared" si="12"/>
        <v>741</v>
      </c>
      <c r="B742" s="468">
        <f>YEAR(Table6[[#This Row],[Date]])+IF(MONTH(Table6[[#This Row],[Date]])&gt;=4,1,0)</f>
        <v>2026</v>
      </c>
      <c r="C742" s="102">
        <f>YEAR(Table6[[#This Row],[Date]])</f>
        <v>2025</v>
      </c>
      <c r="D742" s="102" t="s">
        <v>1992</v>
      </c>
      <c r="E742" s="469">
        <f>Table6[[#This Row],[Date]]-DAY(Table6[[#This Row],[Date]])+1</f>
        <v>45778</v>
      </c>
      <c r="F742" s="470">
        <v>45793</v>
      </c>
      <c r="G742" s="35" t="s">
        <v>96</v>
      </c>
      <c r="H742" s="35" t="str">
        <f>IFERROR(_xlfn.XLOOKUP(Table6[[#This Row],[Affected WTG]],'Basic Data'!$A:$A,'Basic Data'!$B:$B),"")</f>
        <v>TQGXIIPL</v>
      </c>
      <c r="I742" s="35" t="str">
        <f>IFERROR(_xlfn.XLOOKUP(Table6[[#This Row],[Affected WTG]],'Basic Data'!$A:$A,'Basic Data'!$C:$C),"")</f>
        <v>GEDA</v>
      </c>
      <c r="J742" s="471">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291</v>
      </c>
      <c r="N742" s="475"/>
      <c r="O742" s="476">
        <v>0.19375000000000001</v>
      </c>
      <c r="P742" s="476">
        <v>0.19375000000000001</v>
      </c>
      <c r="Q742" s="477">
        <v>0.2013888888888889</v>
      </c>
      <c r="R742" s="472">
        <f>IF(Table6[[#This Row],[Work Start TimeStamp]]="","",(Table6[[#This Row],[Work Start TimeStamp]]-Table6[[#This Row],[Fault Start TimeStamp]])*24)</f>
        <v>0</v>
      </c>
      <c r="S742" s="472">
        <f>(Table6[[#This Row],[Fault Clearance time]]-Table6[[#This Row],[Work Start TimeStamp]])*24</f>
        <v>0.18333333333333335</v>
      </c>
      <c r="T742" s="472">
        <f>(Table6[[#This Row],[Fault Clearance time]]-Table6[[#This Row],[Fault Start TimeStamp]])*24</f>
        <v>0.18333333333333335</v>
      </c>
      <c r="U742" s="35" t="s">
        <v>1831</v>
      </c>
      <c r="V742" s="102" t="s">
        <v>293</v>
      </c>
      <c r="W742" s="478">
        <f>IFERROR(Table6[[#This Row],[Breakdown Time]]*Table6[[#This Row],[Plant Equivalent Weightage]],"")</f>
        <v>7.0512820512820496E-3</v>
      </c>
      <c r="X742" s="473" t="s">
        <v>294</v>
      </c>
      <c r="Y742" s="474" t="s">
        <v>313</v>
      </c>
      <c r="Z742" s="102">
        <v>17201</v>
      </c>
      <c r="AA742" s="468">
        <f>(Table6[[#This Row],[Paired WTG Generation for loss calculation]]/24)*Table6[[#This Row],[Breakdown Time]]</f>
        <v>131.39652777777781</v>
      </c>
      <c r="AB742" s="102"/>
      <c r="AC742" s="35"/>
      <c r="AD742" s="35"/>
    </row>
    <row r="743" spans="1:30">
      <c r="A743" s="102">
        <f t="shared" si="12"/>
        <v>742</v>
      </c>
      <c r="B743" s="468">
        <f>YEAR(Table6[[#This Row],[Date]])+IF(MONTH(Table6[[#This Row],[Date]])&gt;=4,1,0)</f>
        <v>2026</v>
      </c>
      <c r="C743" s="102">
        <f>YEAR(Table6[[#This Row],[Date]])</f>
        <v>2025</v>
      </c>
      <c r="D743" s="102" t="s">
        <v>1992</v>
      </c>
      <c r="E743" s="469">
        <f>Table6[[#This Row],[Date]]-DAY(Table6[[#This Row],[Date]])+1</f>
        <v>45778</v>
      </c>
      <c r="F743" s="470">
        <v>45793</v>
      </c>
      <c r="G743" s="35" t="s">
        <v>96</v>
      </c>
      <c r="H743" s="35" t="str">
        <f>IFERROR(_xlfn.XLOOKUP(Table6[[#This Row],[Affected WTG]],'Basic Data'!$A:$A,'Basic Data'!$B:$B),"")</f>
        <v>TQGXIIPL</v>
      </c>
      <c r="I743" s="35" t="str">
        <f>IFERROR(_xlfn.XLOOKUP(Table6[[#This Row],[Affected WTG]],'Basic Data'!$A:$A,'Basic Data'!$C:$C),"")</f>
        <v>GEDA</v>
      </c>
      <c r="J743" s="471">
        <f>IFERROR(_xlfn.XLOOKUP(Table6[[#This Row],[Affected WTG]],'Basic Data'!$A:$A,'Basic Data'!$E:$E),"")</f>
        <v>3.846153846153845E-2</v>
      </c>
      <c r="K743" s="102">
        <v>58</v>
      </c>
      <c r="L743" s="35" t="str">
        <f>IFERROR(_xlfn.XLOOKUP(Table6[[#This Row],[Error Code]],'Basic Data'!$AA:$AA,'Basic Data'!$AB:$AB),"Incorrect Error Code")</f>
        <v>Wind dir.dev. level 2</v>
      </c>
      <c r="M743" s="35" t="s">
        <v>292</v>
      </c>
      <c r="N743" s="475"/>
      <c r="O743" s="476">
        <v>0.74513888888888891</v>
      </c>
      <c r="P743" s="476">
        <v>0.74513888888888891</v>
      </c>
      <c r="Q743" s="477">
        <v>0.74583333333333335</v>
      </c>
      <c r="R743" s="472">
        <f>IF(Table6[[#This Row],[Work Start TimeStamp]]="","",(Table6[[#This Row],[Work Start TimeStamp]]-Table6[[#This Row],[Fault Start TimeStamp]])*24)</f>
        <v>0</v>
      </c>
      <c r="S743" s="472">
        <f>(Table6[[#This Row],[Fault Clearance time]]-Table6[[#This Row],[Work Start TimeStamp]])*24</f>
        <v>1.6666666666666607E-2</v>
      </c>
      <c r="T743" s="472">
        <f>(Table6[[#This Row],[Fault Clearance time]]-Table6[[#This Row],[Fault Start TimeStamp]])*24</f>
        <v>1.6666666666666607E-2</v>
      </c>
      <c r="U743" s="35" t="s">
        <v>346</v>
      </c>
      <c r="V743" s="102" t="s">
        <v>293</v>
      </c>
      <c r="W743" s="478">
        <f>IFERROR(Table6[[#This Row],[Breakdown Time]]*Table6[[#This Row],[Plant Equivalent Weightage]],"")</f>
        <v>6.4102564102563853E-4</v>
      </c>
      <c r="X743" s="473" t="s">
        <v>294</v>
      </c>
      <c r="Y743" s="474" t="s">
        <v>313</v>
      </c>
      <c r="Z743" s="102">
        <v>17201</v>
      </c>
      <c r="AA743" s="468">
        <f>(Table6[[#This Row],[Paired WTG Generation for loss calculation]]/24)*Table6[[#This Row],[Breakdown Time]]</f>
        <v>11.945138888888847</v>
      </c>
      <c r="AB743" s="102"/>
      <c r="AC743" s="35"/>
      <c r="AD743" s="35"/>
    </row>
    <row r="744" spans="1:30">
      <c r="A744" s="102">
        <f t="shared" si="12"/>
        <v>743</v>
      </c>
      <c r="B744" s="468">
        <f>YEAR(Table6[[#This Row],[Date]])+IF(MONTH(Table6[[#This Row],[Date]])&gt;=4,1,0)</f>
        <v>2026</v>
      </c>
      <c r="C744" s="102">
        <f>YEAR(Table6[[#This Row],[Date]])</f>
        <v>2025</v>
      </c>
      <c r="D744" s="102" t="s">
        <v>1992</v>
      </c>
      <c r="E744" s="469">
        <f>Table6[[#This Row],[Date]]-DAY(Table6[[#This Row],[Date]])+1</f>
        <v>45778</v>
      </c>
      <c r="F744" s="470">
        <v>45793</v>
      </c>
      <c r="G744" s="35" t="s">
        <v>98</v>
      </c>
      <c r="H744" s="35" t="str">
        <f>IFERROR(_xlfn.XLOOKUP(Table6[[#This Row],[Affected WTG]],'Basic Data'!$A:$A,'Basic Data'!$B:$B),"")</f>
        <v>TQGXIIPL</v>
      </c>
      <c r="I744" s="35" t="str">
        <f>IFERROR(_xlfn.XLOOKUP(Table6[[#This Row],[Affected WTG]],'Basic Data'!$A:$A,'Basic Data'!$C:$C),"")</f>
        <v>GEDA</v>
      </c>
      <c r="J744" s="471">
        <f>IFERROR(_xlfn.XLOOKUP(Table6[[#This Row],[Affected WTG]],'Basic Data'!$A:$A,'Basic Data'!$E:$E),"")</f>
        <v>3.846153846153845E-2</v>
      </c>
      <c r="K744" s="102">
        <v>55</v>
      </c>
      <c r="L744" s="35" t="str">
        <f>IFERROR(_xlfn.XLOOKUP(Table6[[#This Row],[Error Code]],'Basic Data'!$AA:$AA,'Basic Data'!$AB:$AB),"Incorrect Error Code")</f>
        <v>WTG shut down</v>
      </c>
      <c r="M744" s="35" t="s">
        <v>330</v>
      </c>
      <c r="N744" s="475"/>
      <c r="O744" s="476">
        <v>0.77361111111111114</v>
      </c>
      <c r="P744" s="476">
        <v>0.77361111111111114</v>
      </c>
      <c r="Q744" s="477">
        <v>0.79236111111111107</v>
      </c>
      <c r="R744" s="472">
        <f>IF(Table6[[#This Row],[Work Start TimeStamp]]="","",(Table6[[#This Row],[Work Start TimeStamp]]-Table6[[#This Row],[Fault Start TimeStamp]])*24)</f>
        <v>0</v>
      </c>
      <c r="S744" s="472">
        <f>(Table6[[#This Row],[Fault Clearance time]]-Table6[[#This Row],[Work Start TimeStamp]])*24</f>
        <v>0.4499999999999984</v>
      </c>
      <c r="T744" s="472">
        <f>(Table6[[#This Row],[Fault Clearance time]]-Table6[[#This Row],[Fault Start TimeStamp]])*24</f>
        <v>0.4499999999999984</v>
      </c>
      <c r="U744" s="35" t="s">
        <v>1744</v>
      </c>
      <c r="V744" s="102" t="s">
        <v>293</v>
      </c>
      <c r="W744" s="478">
        <f>IFERROR(Table6[[#This Row],[Breakdown Time]]*Table6[[#This Row],[Plant Equivalent Weightage]],"")</f>
        <v>1.7307692307692239E-2</v>
      </c>
      <c r="X744" s="473" t="s">
        <v>294</v>
      </c>
      <c r="Y744" s="474" t="s">
        <v>315</v>
      </c>
      <c r="Z744" s="102">
        <v>15323</v>
      </c>
      <c r="AA744" s="468">
        <f>(Table6[[#This Row],[Paired WTG Generation for loss calculation]]/24)*Table6[[#This Row],[Breakdown Time]]</f>
        <v>287.30624999999901</v>
      </c>
      <c r="AB744" s="102"/>
      <c r="AC744" s="35"/>
      <c r="AD744" s="35"/>
    </row>
    <row r="745" spans="1:30">
      <c r="A745" s="102">
        <f t="shared" si="12"/>
        <v>744</v>
      </c>
      <c r="B745" s="468">
        <f>YEAR(Table6[[#This Row],[Date]])+IF(MONTH(Table6[[#This Row],[Date]])&gt;=4,1,0)</f>
        <v>2026</v>
      </c>
      <c r="C745" s="102">
        <f>YEAR(Table6[[#This Row],[Date]])</f>
        <v>2025</v>
      </c>
      <c r="D745" s="102" t="s">
        <v>1992</v>
      </c>
      <c r="E745" s="469">
        <f>Table6[[#This Row],[Date]]-DAY(Table6[[#This Row],[Date]])+1</f>
        <v>45778</v>
      </c>
      <c r="F745" s="470">
        <v>45794</v>
      </c>
      <c r="G745" s="35" t="s">
        <v>78</v>
      </c>
      <c r="H745" s="35" t="str">
        <f>IFERROR(_xlfn.XLOOKUP(Table6[[#This Row],[Affected WTG]],'Basic Data'!$A:$A,'Basic Data'!$B:$B),"")</f>
        <v>TQGXIIPL</v>
      </c>
      <c r="I745" s="35" t="str">
        <f>IFERROR(_xlfn.XLOOKUP(Table6[[#This Row],[Affected WTG]],'Basic Data'!$A:$A,'Basic Data'!$C:$C),"")</f>
        <v>GEDA</v>
      </c>
      <c r="J745" s="471">
        <f>IFERROR(_xlfn.XLOOKUP(Table6[[#This Row],[Affected WTG]],'Basic Data'!$A:$A,'Basic Data'!$E:$E),"")</f>
        <v>3.846153846153845E-2</v>
      </c>
      <c r="K745" s="102">
        <v>3211</v>
      </c>
      <c r="L745" s="35" t="str">
        <f>IFERROR(_xlfn.XLOOKUP(Table6[[#This Row],[Error Code]],'Basic Data'!$AA:$AA,'Basic Data'!$AB:$AB),"Incorrect Error Code")</f>
        <v>Conv. load shedding (CAN)</v>
      </c>
      <c r="M745" s="35" t="s">
        <v>291</v>
      </c>
      <c r="N745" s="475"/>
      <c r="O745" s="476">
        <v>0.39444444444444443</v>
      </c>
      <c r="P745" s="476">
        <v>0.39444444444444443</v>
      </c>
      <c r="Q745" s="477">
        <v>0.39652777777777776</v>
      </c>
      <c r="R745" s="472">
        <f>IF(Table6[[#This Row],[Work Start TimeStamp]]="","",(Table6[[#This Row],[Work Start TimeStamp]]-Table6[[#This Row],[Fault Start TimeStamp]])*24)</f>
        <v>0</v>
      </c>
      <c r="S745" s="472">
        <f>(Table6[[#This Row],[Fault Clearance time]]-Table6[[#This Row],[Work Start TimeStamp]])*24</f>
        <v>4.9999999999999822E-2</v>
      </c>
      <c r="T745" s="472">
        <f>(Table6[[#This Row],[Fault Clearance time]]-Table6[[#This Row],[Fault Start TimeStamp]])*24</f>
        <v>4.9999999999999822E-2</v>
      </c>
      <c r="U745" s="35" t="s">
        <v>344</v>
      </c>
      <c r="V745" s="102" t="s">
        <v>293</v>
      </c>
      <c r="W745" s="478">
        <f>IFERROR(Table6[[#This Row],[Breakdown Time]]*Table6[[#This Row],[Plant Equivalent Weightage]],"")</f>
        <v>1.9230769230769156E-3</v>
      </c>
      <c r="X745" s="473" t="s">
        <v>294</v>
      </c>
      <c r="Y745" s="474" t="s">
        <v>333</v>
      </c>
      <c r="Z745" s="102">
        <v>13841</v>
      </c>
      <c r="AA745" s="468">
        <f>(Table6[[#This Row],[Paired WTG Generation for loss calculation]]/24)*Table6[[#This Row],[Breakdown Time]]</f>
        <v>28.835416666666568</v>
      </c>
      <c r="AB745" s="102"/>
      <c r="AC745" s="35"/>
      <c r="AD745" s="35"/>
    </row>
    <row r="746" spans="1:30">
      <c r="A746" s="102">
        <f t="shared" si="12"/>
        <v>745</v>
      </c>
      <c r="B746" s="468">
        <f>YEAR(Table6[[#This Row],[Date]])+IF(MONTH(Table6[[#This Row],[Date]])&gt;=4,1,0)</f>
        <v>2026</v>
      </c>
      <c r="C746" s="102">
        <f>YEAR(Table6[[#This Row],[Date]])</f>
        <v>2025</v>
      </c>
      <c r="D746" s="102" t="s">
        <v>1992</v>
      </c>
      <c r="E746" s="469">
        <f>Table6[[#This Row],[Date]]-DAY(Table6[[#This Row],[Date]])+1</f>
        <v>45778</v>
      </c>
      <c r="F746" s="470">
        <v>45794</v>
      </c>
      <c r="G746" s="35" t="s">
        <v>80</v>
      </c>
      <c r="H746" s="35" t="str">
        <f>IFERROR(_xlfn.XLOOKUP(Table6[[#This Row],[Affected WTG]],'Basic Data'!$A:$A,'Basic Data'!$B:$B),"")</f>
        <v>TQGXIIPL</v>
      </c>
      <c r="I746" s="35" t="str">
        <f>IFERROR(_xlfn.XLOOKUP(Table6[[#This Row],[Affected WTG]],'Basic Data'!$A:$A,'Basic Data'!$C:$C),"")</f>
        <v>GEDA</v>
      </c>
      <c r="J746" s="471">
        <f>IFERROR(_xlfn.XLOOKUP(Table6[[#This Row],[Affected WTG]],'Basic Data'!$A:$A,'Basic Data'!$E:$E),"")</f>
        <v>3.846153846153845E-2</v>
      </c>
      <c r="K746" s="102">
        <v>3800</v>
      </c>
      <c r="L746" s="35" t="str">
        <f>IFERROR(_xlfn.XLOOKUP(Table6[[#This Row],[Error Code]],'Basic Data'!$AA:$AA,'Basic Data'!$AB:$AB),"Incorrect Error Code")</f>
        <v>Circuit breaker</v>
      </c>
      <c r="M746" s="35" t="s">
        <v>295</v>
      </c>
      <c r="N746" s="475"/>
      <c r="O746" s="476">
        <v>0</v>
      </c>
      <c r="P746" s="476">
        <v>0</v>
      </c>
      <c r="Q746" s="477">
        <v>0.28055555555555556</v>
      </c>
      <c r="R746" s="472">
        <f>IF(Table6[[#This Row],[Work Start TimeStamp]]="","",(Table6[[#This Row],[Work Start TimeStamp]]-Table6[[#This Row],[Fault Start TimeStamp]])*24)</f>
        <v>0</v>
      </c>
      <c r="S746" s="472">
        <f>(Table6[[#This Row],[Fault Clearance time]]-Table6[[#This Row],[Work Start TimeStamp]])*24</f>
        <v>6.7333333333333334</v>
      </c>
      <c r="T746" s="472">
        <f>(Table6[[#This Row],[Fault Clearance time]]-Table6[[#This Row],[Fault Start TimeStamp]])*24</f>
        <v>6.7333333333333334</v>
      </c>
      <c r="U746" s="35" t="s">
        <v>1828</v>
      </c>
      <c r="V746" s="102" t="s">
        <v>293</v>
      </c>
      <c r="W746" s="478">
        <f>IFERROR(Table6[[#This Row],[Breakdown Time]]*Table6[[#This Row],[Plant Equivalent Weightage]],"")</f>
        <v>0.25897435897435889</v>
      </c>
      <c r="X746" s="473" t="s">
        <v>290</v>
      </c>
      <c r="Y746" s="474" t="s">
        <v>317</v>
      </c>
      <c r="Z746" s="102">
        <v>14208</v>
      </c>
      <c r="AA746" s="468">
        <f>(Table6[[#This Row],[Paired WTG Generation for loss calculation]]/24)*Table6[[#This Row],[Breakdown Time]]</f>
        <v>3986.1333333333332</v>
      </c>
      <c r="AB746" s="102"/>
      <c r="AC746" s="35"/>
      <c r="AD746" s="35"/>
    </row>
    <row r="747" spans="1:30">
      <c r="A747" s="102">
        <f t="shared" si="12"/>
        <v>746</v>
      </c>
      <c r="B747" s="468">
        <f>YEAR(Table6[[#This Row],[Date]])+IF(MONTH(Table6[[#This Row],[Date]])&gt;=4,1,0)</f>
        <v>2026</v>
      </c>
      <c r="C747" s="102">
        <f>YEAR(Table6[[#This Row],[Date]])</f>
        <v>2025</v>
      </c>
      <c r="D747" s="102" t="s">
        <v>1992</v>
      </c>
      <c r="E747" s="469">
        <f>Table6[[#This Row],[Date]]-DAY(Table6[[#This Row],[Date]])+1</f>
        <v>45778</v>
      </c>
      <c r="F747" s="470">
        <v>45794</v>
      </c>
      <c r="G747" s="35" t="s">
        <v>80</v>
      </c>
      <c r="H747" s="35" t="str">
        <f>IFERROR(_xlfn.XLOOKUP(Table6[[#This Row],[Affected WTG]],'Basic Data'!$A:$A,'Basic Data'!$B:$B),"")</f>
        <v>TQGXIIPL</v>
      </c>
      <c r="I747" s="35" t="str">
        <f>IFERROR(_xlfn.XLOOKUP(Table6[[#This Row],[Affected WTG]],'Basic Data'!$A:$A,'Basic Data'!$C:$C),"")</f>
        <v>GEDA</v>
      </c>
      <c r="J747" s="471">
        <f>IFERROR(_xlfn.XLOOKUP(Table6[[#This Row],[Affected WTG]],'Basic Data'!$A:$A,'Basic Data'!$E:$E),"")</f>
        <v>3.846153846153845E-2</v>
      </c>
      <c r="K747" s="102">
        <v>3800</v>
      </c>
      <c r="L747" s="35" t="str">
        <f>IFERROR(_xlfn.XLOOKUP(Table6[[#This Row],[Error Code]],'Basic Data'!$AA:$AA,'Basic Data'!$AB:$AB),"Incorrect Error Code")</f>
        <v>Circuit breaker</v>
      </c>
      <c r="M747" s="35" t="s">
        <v>295</v>
      </c>
      <c r="N747" s="475"/>
      <c r="O747" s="476">
        <v>0.28958333333333336</v>
      </c>
      <c r="P747" s="476">
        <v>0.28958333333333336</v>
      </c>
      <c r="Q747" s="477">
        <v>0.74305555555555558</v>
      </c>
      <c r="R747" s="472">
        <f>IF(Table6[[#This Row],[Work Start TimeStamp]]="","",(Table6[[#This Row],[Work Start TimeStamp]]-Table6[[#This Row],[Fault Start TimeStamp]])*24)</f>
        <v>0</v>
      </c>
      <c r="S747" s="472">
        <f>(Table6[[#This Row],[Fault Clearance time]]-Table6[[#This Row],[Work Start TimeStamp]])*24</f>
        <v>10.883333333333333</v>
      </c>
      <c r="T747" s="472">
        <f>(Table6[[#This Row],[Fault Clearance time]]-Table6[[#This Row],[Fault Start TimeStamp]])*24</f>
        <v>10.883333333333333</v>
      </c>
      <c r="U747" s="35" t="s">
        <v>1836</v>
      </c>
      <c r="V747" s="102" t="s">
        <v>293</v>
      </c>
      <c r="W747" s="478">
        <f>IFERROR(Table6[[#This Row],[Breakdown Time]]*Table6[[#This Row],[Plant Equivalent Weightage]],"")</f>
        <v>0.41858974358974343</v>
      </c>
      <c r="X747" s="473" t="s">
        <v>290</v>
      </c>
      <c r="Y747" s="474" t="s">
        <v>317</v>
      </c>
      <c r="Z747" s="102">
        <v>14208</v>
      </c>
      <c r="AA747" s="468">
        <f>(Table6[[#This Row],[Paired WTG Generation for loss calculation]]/24)*Table6[[#This Row],[Breakdown Time]]</f>
        <v>6442.9333333333334</v>
      </c>
      <c r="AB747" s="102"/>
      <c r="AC747" s="35"/>
      <c r="AD747" s="35"/>
    </row>
    <row r="748" spans="1:30">
      <c r="A748" s="102">
        <f t="shared" si="12"/>
        <v>747</v>
      </c>
      <c r="B748" s="468">
        <f>YEAR(Table6[[#This Row],[Date]])+IF(MONTH(Table6[[#This Row],[Date]])&gt;=4,1,0)</f>
        <v>2026</v>
      </c>
      <c r="C748" s="102">
        <f>YEAR(Table6[[#This Row],[Date]])</f>
        <v>2025</v>
      </c>
      <c r="D748" s="102" t="s">
        <v>1992</v>
      </c>
      <c r="E748" s="469">
        <f>Table6[[#This Row],[Date]]-DAY(Table6[[#This Row],[Date]])+1</f>
        <v>45778</v>
      </c>
      <c r="F748" s="470">
        <v>45794</v>
      </c>
      <c r="G748" s="35" t="s">
        <v>81</v>
      </c>
      <c r="H748" s="35" t="str">
        <f>IFERROR(_xlfn.XLOOKUP(Table6[[#This Row],[Affected WTG]],'Basic Data'!$A:$A,'Basic Data'!$B:$B),"")</f>
        <v>TQGXIIPL</v>
      </c>
      <c r="I748" s="35" t="str">
        <f>IFERROR(_xlfn.XLOOKUP(Table6[[#This Row],[Affected WTG]],'Basic Data'!$A:$A,'Basic Data'!$C:$C),"")</f>
        <v>GEDA</v>
      </c>
      <c r="J748" s="471">
        <f>IFERROR(_xlfn.XLOOKUP(Table6[[#This Row],[Affected WTG]],'Basic Data'!$A:$A,'Basic Data'!$E:$E),"")</f>
        <v>3.846153846153845E-2</v>
      </c>
      <c r="K748" s="102">
        <v>6130</v>
      </c>
      <c r="L748" s="35" t="str">
        <f>IFERROR(_xlfn.XLOOKUP(Table6[[#This Row],[Error Code]],'Basic Data'!$AA:$AA,'Basic Data'!$AB:$AB),"Incorrect Error Code")</f>
        <v>Yaw speed high</v>
      </c>
      <c r="M748" s="35" t="s">
        <v>291</v>
      </c>
      <c r="N748" s="475"/>
      <c r="O748" s="476">
        <v>0.55486111111111114</v>
      </c>
      <c r="P748" s="476">
        <v>0.55486111111111114</v>
      </c>
      <c r="Q748" s="477">
        <v>0.55902777777777779</v>
      </c>
      <c r="R748" s="472">
        <f>IF(Table6[[#This Row],[Work Start TimeStamp]]="","",(Table6[[#This Row],[Work Start TimeStamp]]-Table6[[#This Row],[Fault Start TimeStamp]])*24)</f>
        <v>0</v>
      </c>
      <c r="S748" s="472">
        <f>(Table6[[#This Row],[Fault Clearance time]]-Table6[[#This Row],[Work Start TimeStamp]])*24</f>
        <v>9.9999999999999645E-2</v>
      </c>
      <c r="T748" s="472">
        <f>(Table6[[#This Row],[Fault Clearance time]]-Table6[[#This Row],[Fault Start TimeStamp]])*24</f>
        <v>9.9999999999999645E-2</v>
      </c>
      <c r="U748" s="35" t="s">
        <v>344</v>
      </c>
      <c r="V748" s="102" t="s">
        <v>293</v>
      </c>
      <c r="W748" s="478">
        <f>IFERROR(Table6[[#This Row],[Breakdown Time]]*Table6[[#This Row],[Plant Equivalent Weightage]],"")</f>
        <v>3.8461538461538312E-3</v>
      </c>
      <c r="X748" s="473" t="s">
        <v>294</v>
      </c>
      <c r="Y748" s="474" t="s">
        <v>321</v>
      </c>
      <c r="Z748" s="102">
        <v>12529</v>
      </c>
      <c r="AA748" s="468">
        <f>(Table6[[#This Row],[Paired WTG Generation for loss calculation]]/24)*Table6[[#This Row],[Breakdown Time]]</f>
        <v>52.204166666666474</v>
      </c>
      <c r="AB748" s="102"/>
      <c r="AC748" s="35"/>
      <c r="AD748" s="35"/>
    </row>
    <row r="749" spans="1:30">
      <c r="A749" s="102">
        <f t="shared" si="12"/>
        <v>748</v>
      </c>
      <c r="B749" s="468">
        <f>YEAR(Table6[[#This Row],[Date]])+IF(MONTH(Table6[[#This Row],[Date]])&gt;=4,1,0)</f>
        <v>2026</v>
      </c>
      <c r="C749" s="102">
        <f>YEAR(Table6[[#This Row],[Date]])</f>
        <v>2025</v>
      </c>
      <c r="D749" s="102" t="s">
        <v>1992</v>
      </c>
      <c r="E749" s="469">
        <f>Table6[[#This Row],[Date]]-DAY(Table6[[#This Row],[Date]])+1</f>
        <v>45778</v>
      </c>
      <c r="F749" s="470">
        <v>45794</v>
      </c>
      <c r="G749" s="35" t="s">
        <v>84</v>
      </c>
      <c r="H749" s="35" t="str">
        <f>IFERROR(_xlfn.XLOOKUP(Table6[[#This Row],[Affected WTG]],'Basic Data'!$A:$A,'Basic Data'!$B:$B),"")</f>
        <v>TQGXIIPL</v>
      </c>
      <c r="I749" s="35" t="str">
        <f>IFERROR(_xlfn.XLOOKUP(Table6[[#This Row],[Affected WTG]],'Basic Data'!$A:$A,'Basic Data'!$C:$C),"")</f>
        <v>GEDA</v>
      </c>
      <c r="J749" s="471">
        <f>IFERROR(_xlfn.XLOOKUP(Table6[[#This Row],[Affected WTG]],'Basic Data'!$A:$A,'Basic Data'!$E:$E),"")</f>
        <v>3.846153846153845E-2</v>
      </c>
      <c r="K749" s="102">
        <v>7002</v>
      </c>
      <c r="L749" s="35" t="str">
        <f>IFERROR(_xlfn.XLOOKUP(Table6[[#This Row],[Error Code]],'Basic Data'!$AA:$AA,'Basic Data'!$AB:$AB),"Incorrect Error Code")</f>
        <v>Task runtime failure 5ms</v>
      </c>
      <c r="M749" s="35" t="s">
        <v>291</v>
      </c>
      <c r="N749" s="475"/>
      <c r="O749" s="476">
        <v>0.79166666666666663</v>
      </c>
      <c r="P749" s="476">
        <v>0.79166666666666663</v>
      </c>
      <c r="Q749" s="477">
        <v>0.80138888888888893</v>
      </c>
      <c r="R749" s="472">
        <f>IF(Table6[[#This Row],[Work Start TimeStamp]]="","",(Table6[[#This Row],[Work Start TimeStamp]]-Table6[[#This Row],[Fault Start TimeStamp]])*24)</f>
        <v>0</v>
      </c>
      <c r="S749" s="472">
        <f>(Table6[[#This Row],[Fault Clearance time]]-Table6[[#This Row],[Work Start TimeStamp]])*24</f>
        <v>0.23333333333333517</v>
      </c>
      <c r="T749" s="472">
        <f>(Table6[[#This Row],[Fault Clearance time]]-Table6[[#This Row],[Fault Start TimeStamp]])*24</f>
        <v>0.23333333333333517</v>
      </c>
      <c r="U749" s="35" t="s">
        <v>344</v>
      </c>
      <c r="V749" s="102" t="s">
        <v>293</v>
      </c>
      <c r="W749" s="478">
        <f>IFERROR(Table6[[#This Row],[Breakdown Time]]*Table6[[#This Row],[Plant Equivalent Weightage]],"")</f>
        <v>8.9743589743590414E-3</v>
      </c>
      <c r="X749" s="473" t="s">
        <v>294</v>
      </c>
      <c r="Y749" s="474" t="s">
        <v>327</v>
      </c>
      <c r="Z749" s="102">
        <v>12234</v>
      </c>
      <c r="AA749" s="468">
        <f>(Table6[[#This Row],[Paired WTG Generation for loss calculation]]/24)*Table6[[#This Row],[Breakdown Time]]</f>
        <v>118.9416666666676</v>
      </c>
      <c r="AB749" s="102"/>
      <c r="AC749" s="35"/>
      <c r="AD749" s="35"/>
    </row>
    <row r="750" spans="1:30">
      <c r="A750" s="102">
        <f t="shared" si="12"/>
        <v>749</v>
      </c>
      <c r="B750" s="468">
        <f>YEAR(Table6[[#This Row],[Date]])+IF(MONTH(Table6[[#This Row],[Date]])&gt;=4,1,0)</f>
        <v>2026</v>
      </c>
      <c r="C750" s="102">
        <f>YEAR(Table6[[#This Row],[Date]])</f>
        <v>2025</v>
      </c>
      <c r="D750" s="102" t="s">
        <v>1992</v>
      </c>
      <c r="E750" s="469">
        <f>Table6[[#This Row],[Date]]-DAY(Table6[[#This Row],[Date]])+1</f>
        <v>45778</v>
      </c>
      <c r="F750" s="470">
        <v>45794</v>
      </c>
      <c r="G750" s="35" t="s">
        <v>92</v>
      </c>
      <c r="H750" s="35" t="str">
        <f>IFERROR(_xlfn.XLOOKUP(Table6[[#This Row],[Affected WTG]],'Basic Data'!$A:$A,'Basic Data'!$B:$B),"")</f>
        <v>TQGXIIPL</v>
      </c>
      <c r="I750" s="35" t="str">
        <f>IFERROR(_xlfn.XLOOKUP(Table6[[#This Row],[Affected WTG]],'Basic Data'!$A:$A,'Basic Data'!$C:$C),"")</f>
        <v>GEDA</v>
      </c>
      <c r="J750" s="471">
        <f>IFERROR(_xlfn.XLOOKUP(Table6[[#This Row],[Affected WTG]],'Basic Data'!$A:$A,'Basic Data'!$E:$E),"")</f>
        <v>3.846153846153845E-2</v>
      </c>
      <c r="K750" s="102">
        <v>55</v>
      </c>
      <c r="L750" s="35" t="str">
        <f>IFERROR(_xlfn.XLOOKUP(Table6[[#This Row],[Error Code]],'Basic Data'!$AA:$AA,'Basic Data'!$AB:$AB),"Incorrect Error Code")</f>
        <v>WTG shut down</v>
      </c>
      <c r="M750" s="35" t="s">
        <v>328</v>
      </c>
      <c r="N750" s="475"/>
      <c r="O750" s="476">
        <v>0.63958333333333328</v>
      </c>
      <c r="P750" s="476">
        <v>0.63958333333333328</v>
      </c>
      <c r="Q750" s="477">
        <v>0.67777777777777781</v>
      </c>
      <c r="R750" s="472">
        <f>IF(Table6[[#This Row],[Work Start TimeStamp]]="","",(Table6[[#This Row],[Work Start TimeStamp]]-Table6[[#This Row],[Fault Start TimeStamp]])*24)</f>
        <v>0</v>
      </c>
      <c r="S750" s="472">
        <f>(Table6[[#This Row],[Fault Clearance time]]-Table6[[#This Row],[Work Start TimeStamp]])*24</f>
        <v>0.91666666666666874</v>
      </c>
      <c r="T750" s="472">
        <f>(Table6[[#This Row],[Fault Clearance time]]-Table6[[#This Row],[Fault Start TimeStamp]])*24</f>
        <v>0.91666666666666874</v>
      </c>
      <c r="U750" s="35" t="s">
        <v>1845</v>
      </c>
      <c r="V750" s="102" t="s">
        <v>293</v>
      </c>
      <c r="W750" s="478">
        <f>IFERROR(Table6[[#This Row],[Breakdown Time]]*Table6[[#This Row],[Plant Equivalent Weightage]],"")</f>
        <v>3.5256410256410325E-2</v>
      </c>
      <c r="X750" s="473" t="s">
        <v>290</v>
      </c>
      <c r="Y750" s="474" t="s">
        <v>310</v>
      </c>
      <c r="Z750" s="102">
        <v>6613</v>
      </c>
      <c r="AA750" s="468">
        <f>(Table6[[#This Row],[Paired WTG Generation for loss calculation]]/24)*Table6[[#This Row],[Breakdown Time]]</f>
        <v>252.57986111111171</v>
      </c>
      <c r="AB750" s="102"/>
      <c r="AC750" s="35"/>
      <c r="AD750" s="35"/>
    </row>
    <row r="751" spans="1:30">
      <c r="A751" s="102">
        <f t="shared" si="12"/>
        <v>750</v>
      </c>
      <c r="B751" s="468">
        <f>YEAR(Table6[[#This Row],[Date]])+IF(MONTH(Table6[[#This Row],[Date]])&gt;=4,1,0)</f>
        <v>2026</v>
      </c>
      <c r="C751" s="102">
        <f>YEAR(Table6[[#This Row],[Date]])</f>
        <v>2025</v>
      </c>
      <c r="D751" s="102" t="s">
        <v>1992</v>
      </c>
      <c r="E751" s="469">
        <f>Table6[[#This Row],[Date]]-DAY(Table6[[#This Row],[Date]])+1</f>
        <v>45778</v>
      </c>
      <c r="F751" s="470">
        <v>45794</v>
      </c>
      <c r="G751" s="35" t="s">
        <v>82</v>
      </c>
      <c r="H751" s="35" t="str">
        <f>IFERROR(_xlfn.XLOOKUP(Table6[[#This Row],[Affected WTG]],'Basic Data'!$A:$A,'Basic Data'!$B:$B),"")</f>
        <v>TQGXIIPL</v>
      </c>
      <c r="I751" s="35" t="str">
        <f>IFERROR(_xlfn.XLOOKUP(Table6[[#This Row],[Affected WTG]],'Basic Data'!$A:$A,'Basic Data'!$C:$C),"")</f>
        <v>GEDA</v>
      </c>
      <c r="J751" s="471">
        <f>IFERROR(_xlfn.XLOOKUP(Table6[[#This Row],[Affected WTG]],'Basic Data'!$A:$A,'Basic Data'!$E:$E),"")</f>
        <v>3.846153846153845E-2</v>
      </c>
      <c r="K751" s="102">
        <v>6690</v>
      </c>
      <c r="L751" s="35" t="str">
        <f>IFERROR(_xlfn.XLOOKUP(Table6[[#This Row],[Error Code]],'Basic Data'!$AA:$AA,'Basic Data'!$AB:$AB),"Incorrect Error Code")</f>
        <v>Icing (stop)</v>
      </c>
      <c r="M751" s="35" t="s">
        <v>295</v>
      </c>
      <c r="N751" s="475"/>
      <c r="O751" s="476">
        <v>0</v>
      </c>
      <c r="P751" s="476">
        <v>0</v>
      </c>
      <c r="Q751" s="477">
        <v>0.99998842592592596</v>
      </c>
      <c r="R751" s="472">
        <f>IF(Table6[[#This Row],[Work Start TimeStamp]]="","",(Table6[[#This Row],[Work Start TimeStamp]]-Table6[[#This Row],[Fault Start TimeStamp]])*24)</f>
        <v>0</v>
      </c>
      <c r="S751" s="472">
        <f>(Table6[[#This Row],[Fault Clearance time]]-Table6[[#This Row],[Work Start TimeStamp]])*24</f>
        <v>23.999722222222225</v>
      </c>
      <c r="T751" s="472">
        <f>(Table6[[#This Row],[Fault Clearance time]]-Table6[[#This Row],[Fault Start TimeStamp]])*24</f>
        <v>23.999722222222225</v>
      </c>
      <c r="U751" s="35" t="s">
        <v>1837</v>
      </c>
      <c r="V751" s="102" t="s">
        <v>293</v>
      </c>
      <c r="W751" s="478">
        <f>IFERROR(Table6[[#This Row],[Breakdown Time]]*Table6[[#This Row],[Plant Equivalent Weightage]],"")</f>
        <v>0.9230662393162391</v>
      </c>
      <c r="X751" s="473" t="s">
        <v>294</v>
      </c>
      <c r="Y751" s="474" t="s">
        <v>332</v>
      </c>
      <c r="Z751" s="102">
        <v>13636</v>
      </c>
      <c r="AA751" s="468">
        <f>(Table6[[#This Row],[Paired WTG Generation for loss calculation]]/24)*Table6[[#This Row],[Breakdown Time]]</f>
        <v>13635.842175925927</v>
      </c>
      <c r="AB751" s="102"/>
      <c r="AC751" s="35"/>
      <c r="AD751" s="35"/>
    </row>
    <row r="752" spans="1:30">
      <c r="A752" s="102">
        <f t="shared" si="12"/>
        <v>751</v>
      </c>
      <c r="B752" s="468">
        <f>YEAR(Table6[[#This Row],[Date]])+IF(MONTH(Table6[[#This Row],[Date]])&gt;=4,1,0)</f>
        <v>2026</v>
      </c>
      <c r="C752" s="102">
        <f>YEAR(Table6[[#This Row],[Date]])</f>
        <v>2025</v>
      </c>
      <c r="D752" s="102" t="s">
        <v>1992</v>
      </c>
      <c r="E752" s="469">
        <f>Table6[[#This Row],[Date]]-DAY(Table6[[#This Row],[Date]])+1</f>
        <v>45778</v>
      </c>
      <c r="F752" s="470">
        <v>45795</v>
      </c>
      <c r="G752" s="35" t="s">
        <v>80</v>
      </c>
      <c r="H752" s="35" t="str">
        <f>IFERROR(_xlfn.XLOOKUP(Table6[[#This Row],[Affected WTG]],'Basic Data'!$A:$A,'Basic Data'!$B:$B),"")</f>
        <v>TQGXIIPL</v>
      </c>
      <c r="I752" s="35" t="str">
        <f>IFERROR(_xlfn.XLOOKUP(Table6[[#This Row],[Affected WTG]],'Basic Data'!$A:$A,'Basic Data'!$C:$C),"")</f>
        <v>GEDA</v>
      </c>
      <c r="J752" s="471">
        <f>IFERROR(_xlfn.XLOOKUP(Table6[[#This Row],[Affected WTG]],'Basic Data'!$A:$A,'Basic Data'!$E:$E),"")</f>
        <v>3.846153846153845E-2</v>
      </c>
      <c r="K752" s="102">
        <v>175</v>
      </c>
      <c r="L752" s="35" t="str">
        <f>IFERROR(_xlfn.XLOOKUP(Table6[[#This Row],[Error Code]],'Basic Data'!$AA:$AA,'Basic Data'!$AB:$AB),"Incorrect Error Code")</f>
        <v>SLC error</v>
      </c>
      <c r="M752" s="35" t="s">
        <v>291</v>
      </c>
      <c r="N752" s="475"/>
      <c r="O752" s="476">
        <v>0.875</v>
      </c>
      <c r="P752" s="476">
        <v>0.875</v>
      </c>
      <c r="Q752" s="477">
        <v>0.87638888888888888</v>
      </c>
      <c r="R752" s="472">
        <f>IF(Table6[[#This Row],[Work Start TimeStamp]]="","",(Table6[[#This Row],[Work Start TimeStamp]]-Table6[[#This Row],[Fault Start TimeStamp]])*24)</f>
        <v>0</v>
      </c>
      <c r="S752" s="472">
        <f>(Table6[[#This Row],[Fault Clearance time]]-Table6[[#This Row],[Work Start TimeStamp]])*24</f>
        <v>3.3333333333333215E-2</v>
      </c>
      <c r="T752" s="472">
        <f>(Table6[[#This Row],[Fault Clearance time]]-Table6[[#This Row],[Fault Start TimeStamp]])*24</f>
        <v>3.3333333333333215E-2</v>
      </c>
      <c r="U752" s="35" t="s">
        <v>344</v>
      </c>
      <c r="V752" s="102" t="s">
        <v>293</v>
      </c>
      <c r="W752" s="478">
        <f>IFERROR(Table6[[#This Row],[Breakdown Time]]*Table6[[#This Row],[Plant Equivalent Weightage]],"")</f>
        <v>1.2820512820512771E-3</v>
      </c>
      <c r="X752" s="473" t="s">
        <v>294</v>
      </c>
      <c r="Y752" s="474" t="s">
        <v>317</v>
      </c>
      <c r="Z752" s="102">
        <v>13552</v>
      </c>
      <c r="AA752" s="468">
        <f>(Table6[[#This Row],[Paired WTG Generation for loss calculation]]/24)*Table6[[#This Row],[Breakdown Time]]</f>
        <v>18.822222222222155</v>
      </c>
      <c r="AB752" s="102"/>
      <c r="AC752" s="35"/>
      <c r="AD752" s="35"/>
    </row>
    <row r="753" spans="1:30">
      <c r="A753" s="102">
        <f t="shared" si="12"/>
        <v>752</v>
      </c>
      <c r="B753" s="468">
        <f>YEAR(Table6[[#This Row],[Date]])+IF(MONTH(Table6[[#This Row],[Date]])&gt;=4,1,0)</f>
        <v>2026</v>
      </c>
      <c r="C753" s="102">
        <f>YEAR(Table6[[#This Row],[Date]])</f>
        <v>2025</v>
      </c>
      <c r="D753" s="102" t="s">
        <v>1992</v>
      </c>
      <c r="E753" s="469">
        <f>Table6[[#This Row],[Date]]-DAY(Table6[[#This Row],[Date]])+1</f>
        <v>45778</v>
      </c>
      <c r="F753" s="470">
        <v>45795</v>
      </c>
      <c r="G753" s="35" t="s">
        <v>82</v>
      </c>
      <c r="H753" s="35" t="str">
        <f>IFERROR(_xlfn.XLOOKUP(Table6[[#This Row],[Affected WTG]],'Basic Data'!$A:$A,'Basic Data'!$B:$B),"")</f>
        <v>TQGXIIPL</v>
      </c>
      <c r="I753" s="35" t="str">
        <f>IFERROR(_xlfn.XLOOKUP(Table6[[#This Row],[Affected WTG]],'Basic Data'!$A:$A,'Basic Data'!$C:$C),"")</f>
        <v>GEDA</v>
      </c>
      <c r="J753" s="471">
        <f>IFERROR(_xlfn.XLOOKUP(Table6[[#This Row],[Affected WTG]],'Basic Data'!$A:$A,'Basic Data'!$E:$E),"")</f>
        <v>3.846153846153845E-2</v>
      </c>
      <c r="K753" s="102">
        <v>6690</v>
      </c>
      <c r="L753" s="35" t="str">
        <f>IFERROR(_xlfn.XLOOKUP(Table6[[#This Row],[Error Code]],'Basic Data'!$AA:$AA,'Basic Data'!$AB:$AB),"Incorrect Error Code")</f>
        <v>Icing (stop)</v>
      </c>
      <c r="M753" s="35" t="s">
        <v>295</v>
      </c>
      <c r="N753" s="475"/>
      <c r="O753" s="476">
        <v>0</v>
      </c>
      <c r="P753" s="476">
        <v>0</v>
      </c>
      <c r="Q753" s="477">
        <v>0.31527777777777777</v>
      </c>
      <c r="R753" s="472">
        <f>IF(Table6[[#This Row],[Work Start TimeStamp]]="","",(Table6[[#This Row],[Work Start TimeStamp]]-Table6[[#This Row],[Fault Start TimeStamp]])*24)</f>
        <v>0</v>
      </c>
      <c r="S753" s="472">
        <f>(Table6[[#This Row],[Fault Clearance time]]-Table6[[#This Row],[Work Start TimeStamp]])*24</f>
        <v>7.5666666666666664</v>
      </c>
      <c r="T753" s="472">
        <f>(Table6[[#This Row],[Fault Clearance time]]-Table6[[#This Row],[Fault Start TimeStamp]])*24</f>
        <v>7.5666666666666664</v>
      </c>
      <c r="U753" s="35" t="s">
        <v>1838</v>
      </c>
      <c r="V753" s="102" t="s">
        <v>293</v>
      </c>
      <c r="W753" s="478">
        <f>IFERROR(Table6[[#This Row],[Breakdown Time]]*Table6[[#This Row],[Plant Equivalent Weightage]],"")</f>
        <v>0.29102564102564094</v>
      </c>
      <c r="X753" s="473" t="s">
        <v>294</v>
      </c>
      <c r="Y753" s="474" t="s">
        <v>332</v>
      </c>
      <c r="Z753" s="102">
        <v>12694</v>
      </c>
      <c r="AA753" s="468">
        <f>(Table6[[#This Row],[Paired WTG Generation for loss calculation]]/24)*Table6[[#This Row],[Breakdown Time]]</f>
        <v>4002.1361111111105</v>
      </c>
      <c r="AB753" s="102"/>
      <c r="AC753" s="35"/>
      <c r="AD753" s="35"/>
    </row>
    <row r="754" spans="1:30">
      <c r="A754" s="102">
        <f t="shared" si="12"/>
        <v>753</v>
      </c>
      <c r="B754" s="468">
        <f>YEAR(Table6[[#This Row],[Date]])+IF(MONTH(Table6[[#This Row],[Date]])&gt;=4,1,0)</f>
        <v>2026</v>
      </c>
      <c r="C754" s="102">
        <f>YEAR(Table6[[#This Row],[Date]])</f>
        <v>2025</v>
      </c>
      <c r="D754" s="102" t="s">
        <v>1992</v>
      </c>
      <c r="E754" s="469">
        <f>Table6[[#This Row],[Date]]-DAY(Table6[[#This Row],[Date]])+1</f>
        <v>45778</v>
      </c>
      <c r="F754" s="470">
        <v>45795</v>
      </c>
      <c r="G754" s="35" t="s">
        <v>85</v>
      </c>
      <c r="H754" s="35" t="str">
        <f>IFERROR(_xlfn.XLOOKUP(Table6[[#This Row],[Affected WTG]],'Basic Data'!$A:$A,'Basic Data'!$B:$B),"")</f>
        <v>TQGXIIPL</v>
      </c>
      <c r="I754" s="35" t="str">
        <f>IFERROR(_xlfn.XLOOKUP(Table6[[#This Row],[Affected WTG]],'Basic Data'!$A:$A,'Basic Data'!$C:$C),"")</f>
        <v>GEDA</v>
      </c>
      <c r="J754" s="471">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292</v>
      </c>
      <c r="N754" s="475"/>
      <c r="O754" s="476">
        <v>0.10833333333333334</v>
      </c>
      <c r="P754" s="476">
        <v>0.10833333333333334</v>
      </c>
      <c r="Q754" s="477">
        <v>0.10972222222222222</v>
      </c>
      <c r="R754" s="472">
        <f>IF(Table6[[#This Row],[Work Start TimeStamp]]="","",(Table6[[#This Row],[Work Start TimeStamp]]-Table6[[#This Row],[Fault Start TimeStamp]])*24)</f>
        <v>0</v>
      </c>
      <c r="S754" s="472">
        <f>(Table6[[#This Row],[Fault Clearance time]]-Table6[[#This Row],[Work Start TimeStamp]])*24</f>
        <v>3.3333333333333215E-2</v>
      </c>
      <c r="T754" s="472">
        <f>(Table6[[#This Row],[Fault Clearance time]]-Table6[[#This Row],[Fault Start TimeStamp]])*24</f>
        <v>3.3333333333333215E-2</v>
      </c>
      <c r="U754" s="35" t="s">
        <v>346</v>
      </c>
      <c r="V754" s="102" t="s">
        <v>293</v>
      </c>
      <c r="W754" s="478">
        <f>IFERROR(Table6[[#This Row],[Breakdown Time]]*Table6[[#This Row],[Plant Equivalent Weightage]],"")</f>
        <v>1.2820512820512771E-3</v>
      </c>
      <c r="X754" s="473" t="s">
        <v>294</v>
      </c>
      <c r="Y754" s="474" t="s">
        <v>322</v>
      </c>
      <c r="Z754" s="102">
        <v>11662</v>
      </c>
      <c r="AA754" s="468">
        <f>(Table6[[#This Row],[Paired WTG Generation for loss calculation]]/24)*Table6[[#This Row],[Breakdown Time]]</f>
        <v>16.197222222222166</v>
      </c>
      <c r="AB754" s="102"/>
      <c r="AC754" s="35"/>
      <c r="AD754" s="35"/>
    </row>
    <row r="755" spans="1:30">
      <c r="A755" s="102">
        <f t="shared" si="12"/>
        <v>754</v>
      </c>
      <c r="B755" s="468">
        <f>YEAR(Table6[[#This Row],[Date]])+IF(MONTH(Table6[[#This Row],[Date]])&gt;=4,1,0)</f>
        <v>2026</v>
      </c>
      <c r="C755" s="102">
        <f>YEAR(Table6[[#This Row],[Date]])</f>
        <v>2025</v>
      </c>
      <c r="D755" s="102" t="s">
        <v>1992</v>
      </c>
      <c r="E755" s="469">
        <f>Table6[[#This Row],[Date]]-DAY(Table6[[#This Row],[Date]])+1</f>
        <v>45778</v>
      </c>
      <c r="F755" s="470">
        <v>45795</v>
      </c>
      <c r="G755" s="35" t="s">
        <v>88</v>
      </c>
      <c r="H755" s="35" t="str">
        <f>IFERROR(_xlfn.XLOOKUP(Table6[[#This Row],[Affected WTG]],'Basic Data'!$A:$A,'Basic Data'!$B:$B),"")</f>
        <v>TQGXIIPL</v>
      </c>
      <c r="I755" s="35" t="str">
        <f>IFERROR(_xlfn.XLOOKUP(Table6[[#This Row],[Affected WTG]],'Basic Data'!$A:$A,'Basic Data'!$C:$C),"")</f>
        <v>GEDA</v>
      </c>
      <c r="J755" s="471">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291</v>
      </c>
      <c r="N755" s="475"/>
      <c r="O755" s="476">
        <v>0.5180555555555556</v>
      </c>
      <c r="P755" s="476">
        <v>0.56458333333333333</v>
      </c>
      <c r="Q755" s="477">
        <v>0.5805555555555556</v>
      </c>
      <c r="R755" s="472">
        <f>IF(Table6[[#This Row],[Work Start TimeStamp]]="","",(Table6[[#This Row],[Work Start TimeStamp]]-Table6[[#This Row],[Fault Start TimeStamp]])*24)</f>
        <v>1.1166666666666654</v>
      </c>
      <c r="S755" s="472">
        <f>(Table6[[#This Row],[Fault Clearance time]]-Table6[[#This Row],[Work Start TimeStamp]])*24</f>
        <v>0.38333333333333464</v>
      </c>
      <c r="T755" s="472">
        <f>(Table6[[#This Row],[Fault Clearance time]]-Table6[[#This Row],[Fault Start TimeStamp]])*24</f>
        <v>1.5</v>
      </c>
      <c r="U755" s="35" t="s">
        <v>1839</v>
      </c>
      <c r="V755" s="102" t="s">
        <v>293</v>
      </c>
      <c r="W755" s="478">
        <f>IFERROR(Table6[[#This Row],[Breakdown Time]]*Table6[[#This Row],[Plant Equivalent Weightage]],"")</f>
        <v>5.7692307692307675E-2</v>
      </c>
      <c r="X755" s="473" t="s">
        <v>290</v>
      </c>
      <c r="Y755" s="474" t="s">
        <v>323</v>
      </c>
      <c r="Z755" s="102">
        <v>13272</v>
      </c>
      <c r="AA755" s="468">
        <f>(Table6[[#This Row],[Paired WTG Generation for loss calculation]]/24)*Table6[[#This Row],[Breakdown Time]]</f>
        <v>829.5</v>
      </c>
      <c r="AB755" s="102"/>
      <c r="AC755" s="35"/>
      <c r="AD755" s="35"/>
    </row>
    <row r="756" spans="1:30">
      <c r="A756" s="102">
        <f t="shared" si="12"/>
        <v>755</v>
      </c>
      <c r="B756" s="468">
        <f>YEAR(Table6[[#This Row],[Date]])+IF(MONTH(Table6[[#This Row],[Date]])&gt;=4,1,0)</f>
        <v>2026</v>
      </c>
      <c r="C756" s="102">
        <f>YEAR(Table6[[#This Row],[Date]])</f>
        <v>2025</v>
      </c>
      <c r="D756" s="102" t="s">
        <v>1992</v>
      </c>
      <c r="E756" s="469">
        <f>Table6[[#This Row],[Date]]-DAY(Table6[[#This Row],[Date]])+1</f>
        <v>45778</v>
      </c>
      <c r="F756" s="470">
        <v>45795</v>
      </c>
      <c r="G756" s="35" t="s">
        <v>95</v>
      </c>
      <c r="H756" s="35" t="str">
        <f>IFERROR(_xlfn.XLOOKUP(Table6[[#This Row],[Affected WTG]],'Basic Data'!$A:$A,'Basic Data'!$B:$B),"")</f>
        <v>TQGXIIPL</v>
      </c>
      <c r="I756" s="35" t="str">
        <f>IFERROR(_xlfn.XLOOKUP(Table6[[#This Row],[Affected WTG]],'Basic Data'!$A:$A,'Basic Data'!$C:$C),"")</f>
        <v>GEDA</v>
      </c>
      <c r="J756" s="471">
        <f>IFERROR(_xlfn.XLOOKUP(Table6[[#This Row],[Affected WTG]],'Basic Data'!$A:$A,'Basic Data'!$E:$E),"")</f>
        <v>3.846153846153845E-2</v>
      </c>
      <c r="K756" s="102">
        <v>6130</v>
      </c>
      <c r="L756" s="35" t="str">
        <f>IFERROR(_xlfn.XLOOKUP(Table6[[#This Row],[Error Code]],'Basic Data'!$AA:$AA,'Basic Data'!$AB:$AB),"Incorrect Error Code")</f>
        <v>Yaw speed high</v>
      </c>
      <c r="M756" s="35" t="s">
        <v>291</v>
      </c>
      <c r="N756" s="475"/>
      <c r="O756" s="476">
        <v>0.54791666666666672</v>
      </c>
      <c r="P756" s="476">
        <v>0.54791666666666672</v>
      </c>
      <c r="Q756" s="477">
        <v>0.55208333333333337</v>
      </c>
      <c r="R756" s="472">
        <f>IF(Table6[[#This Row],[Work Start TimeStamp]]="","",(Table6[[#This Row],[Work Start TimeStamp]]-Table6[[#This Row],[Fault Start TimeStamp]])*24)</f>
        <v>0</v>
      </c>
      <c r="S756" s="472">
        <f>(Table6[[#This Row],[Fault Clearance time]]-Table6[[#This Row],[Work Start TimeStamp]])*24</f>
        <v>9.9999999999999645E-2</v>
      </c>
      <c r="T756" s="472">
        <f>(Table6[[#This Row],[Fault Clearance time]]-Table6[[#This Row],[Fault Start TimeStamp]])*24</f>
        <v>9.9999999999999645E-2</v>
      </c>
      <c r="U756" s="35" t="s">
        <v>344</v>
      </c>
      <c r="V756" s="102" t="s">
        <v>293</v>
      </c>
      <c r="W756" s="478">
        <f>IFERROR(Table6[[#This Row],[Breakdown Time]]*Table6[[#This Row],[Plant Equivalent Weightage]],"")</f>
        <v>3.8461538461538312E-3</v>
      </c>
      <c r="X756" s="473" t="s">
        <v>294</v>
      </c>
      <c r="Y756" s="474" t="s">
        <v>319</v>
      </c>
      <c r="Z756" s="102">
        <v>14126</v>
      </c>
      <c r="AA756" s="468">
        <f>(Table6[[#This Row],[Paired WTG Generation for loss calculation]]/24)*Table6[[#This Row],[Breakdown Time]]</f>
        <v>58.858333333333128</v>
      </c>
      <c r="AB756" s="102"/>
      <c r="AC756" s="35"/>
      <c r="AD756" s="35"/>
    </row>
    <row r="757" spans="1:30">
      <c r="A757" s="102">
        <f t="shared" si="12"/>
        <v>756</v>
      </c>
      <c r="B757" s="468">
        <f>YEAR(Table6[[#This Row],[Date]])+IF(MONTH(Table6[[#This Row],[Date]])&gt;=4,1,0)</f>
        <v>2026</v>
      </c>
      <c r="C757" s="102">
        <f>YEAR(Table6[[#This Row],[Date]])</f>
        <v>2025</v>
      </c>
      <c r="D757" s="102" t="s">
        <v>1992</v>
      </c>
      <c r="E757" s="469">
        <f>Table6[[#This Row],[Date]]-DAY(Table6[[#This Row],[Date]])+1</f>
        <v>45778</v>
      </c>
      <c r="F757" s="470">
        <v>45795</v>
      </c>
      <c r="G757" s="35" t="s">
        <v>96</v>
      </c>
      <c r="H757" s="35" t="str">
        <f>IFERROR(_xlfn.XLOOKUP(Table6[[#This Row],[Affected WTG]],'Basic Data'!$A:$A,'Basic Data'!$B:$B),"")</f>
        <v>TQGXIIPL</v>
      </c>
      <c r="I757" s="35" t="str">
        <f>IFERROR(_xlfn.XLOOKUP(Table6[[#This Row],[Affected WTG]],'Basic Data'!$A:$A,'Basic Data'!$C:$C),"")</f>
        <v>GEDA</v>
      </c>
      <c r="J757" s="471">
        <f>IFERROR(_xlfn.XLOOKUP(Table6[[#This Row],[Affected WTG]],'Basic Data'!$A:$A,'Basic Data'!$E:$E),"")</f>
        <v>3.846153846153845E-2</v>
      </c>
      <c r="K757" s="102">
        <v>6130</v>
      </c>
      <c r="L757" s="35" t="str">
        <f>IFERROR(_xlfn.XLOOKUP(Table6[[#This Row],[Error Code]],'Basic Data'!$AA:$AA,'Basic Data'!$AB:$AB),"Incorrect Error Code")</f>
        <v>Yaw speed high</v>
      </c>
      <c r="M757" s="35" t="s">
        <v>292</v>
      </c>
      <c r="N757" s="475"/>
      <c r="O757" s="476">
        <v>0.65763888888888888</v>
      </c>
      <c r="P757" s="476">
        <v>0.65763888888888888</v>
      </c>
      <c r="Q757" s="477">
        <v>0.65833333333333333</v>
      </c>
      <c r="R757" s="472">
        <f>IF(Table6[[#This Row],[Work Start TimeStamp]]="","",(Table6[[#This Row],[Work Start TimeStamp]]-Table6[[#This Row],[Fault Start TimeStamp]])*24)</f>
        <v>0</v>
      </c>
      <c r="S757" s="472">
        <f>(Table6[[#This Row],[Fault Clearance time]]-Table6[[#This Row],[Work Start TimeStamp]])*24</f>
        <v>1.6666666666666607E-2</v>
      </c>
      <c r="T757" s="472">
        <f>(Table6[[#This Row],[Fault Clearance time]]-Table6[[#This Row],[Fault Start TimeStamp]])*24</f>
        <v>1.6666666666666607E-2</v>
      </c>
      <c r="U757" s="35" t="s">
        <v>346</v>
      </c>
      <c r="V757" s="102" t="s">
        <v>293</v>
      </c>
      <c r="W757" s="478">
        <f>IFERROR(Table6[[#This Row],[Breakdown Time]]*Table6[[#This Row],[Plant Equivalent Weightage]],"")</f>
        <v>6.4102564102563853E-4</v>
      </c>
      <c r="X757" s="473" t="s">
        <v>294</v>
      </c>
      <c r="Y757" s="474" t="s">
        <v>313</v>
      </c>
      <c r="Z757" s="102">
        <v>12398</v>
      </c>
      <c r="AA757" s="468">
        <f>(Table6[[#This Row],[Paired WTG Generation for loss calculation]]/24)*Table6[[#This Row],[Breakdown Time]]</f>
        <v>8.6097222222221923</v>
      </c>
      <c r="AB757" s="102"/>
      <c r="AC757" s="35"/>
      <c r="AD757" s="35"/>
    </row>
    <row r="758" spans="1:30">
      <c r="A758" s="102">
        <f t="shared" si="12"/>
        <v>757</v>
      </c>
      <c r="B758" s="468">
        <f>YEAR(Table6[[#This Row],[Date]])+IF(MONTH(Table6[[#This Row],[Date]])&gt;=4,1,0)</f>
        <v>2026</v>
      </c>
      <c r="C758" s="102">
        <f>YEAR(Table6[[#This Row],[Date]])</f>
        <v>2025</v>
      </c>
      <c r="D758" s="102" t="s">
        <v>1992</v>
      </c>
      <c r="E758" s="469">
        <f>Table6[[#This Row],[Date]]-DAY(Table6[[#This Row],[Date]])+1</f>
        <v>45778</v>
      </c>
      <c r="F758" s="470">
        <v>45796</v>
      </c>
      <c r="G758" s="35" t="s">
        <v>74</v>
      </c>
      <c r="H758" s="35" t="str">
        <f>IFERROR(_xlfn.XLOOKUP(Table6[[#This Row],[Affected WTG]],'Basic Data'!$A:$A,'Basic Data'!$B:$B),"")</f>
        <v>TQGXIIPL</v>
      </c>
      <c r="I758" s="35" t="str">
        <f>IFERROR(_xlfn.XLOOKUP(Table6[[#This Row],[Affected WTG]],'Basic Data'!$A:$A,'Basic Data'!$C:$C),"")</f>
        <v>GEDA</v>
      </c>
      <c r="J758" s="471">
        <f>IFERROR(_xlfn.XLOOKUP(Table6[[#This Row],[Affected WTG]],'Basic Data'!$A:$A,'Basic Data'!$E:$E),"")</f>
        <v>3.846153846153845E-2</v>
      </c>
      <c r="K758" s="102">
        <v>55</v>
      </c>
      <c r="L758" s="35" t="str">
        <f>IFERROR(_xlfn.XLOOKUP(Table6[[#This Row],[Error Code]],'Basic Data'!$AA:$AA,'Basic Data'!$AB:$AB),"Incorrect Error Code")</f>
        <v>WTG shut down</v>
      </c>
      <c r="M758" s="35" t="s">
        <v>297</v>
      </c>
      <c r="N758" s="475"/>
      <c r="O758" s="476">
        <v>0.72916666666666663</v>
      </c>
      <c r="P758" s="476">
        <v>0.72916666666666663</v>
      </c>
      <c r="Q758" s="477">
        <v>0.73611111111111116</v>
      </c>
      <c r="R758" s="472">
        <f>IF(Table6[[#This Row],[Work Start TimeStamp]]="","",(Table6[[#This Row],[Work Start TimeStamp]]-Table6[[#This Row],[Fault Start TimeStamp]])*24)</f>
        <v>0</v>
      </c>
      <c r="S758" s="472">
        <f>(Table6[[#This Row],[Fault Clearance time]]-Table6[[#This Row],[Work Start TimeStamp]])*24</f>
        <v>0.16666666666666874</v>
      </c>
      <c r="T758" s="472">
        <f>(Table6[[#This Row],[Fault Clearance time]]-Table6[[#This Row],[Fault Start TimeStamp]])*24</f>
        <v>0.16666666666666874</v>
      </c>
      <c r="U758" s="35" t="s">
        <v>1846</v>
      </c>
      <c r="V758" s="102" t="s">
        <v>293</v>
      </c>
      <c r="W758" s="478">
        <f>IFERROR(Table6[[#This Row],[Breakdown Time]]*Table6[[#This Row],[Plant Equivalent Weightage]],"")</f>
        <v>6.4102564102564881E-3</v>
      </c>
      <c r="X758" s="473" t="s">
        <v>294</v>
      </c>
      <c r="Y758" s="474" t="s">
        <v>321</v>
      </c>
      <c r="Z758" s="102">
        <v>14378</v>
      </c>
      <c r="AA758" s="468">
        <f>(Table6[[#This Row],[Paired WTG Generation for loss calculation]]/24)*Table6[[#This Row],[Breakdown Time]]</f>
        <v>99.847222222223465</v>
      </c>
      <c r="AB758" s="102"/>
      <c r="AC758" s="35"/>
      <c r="AD758" s="35"/>
    </row>
    <row r="759" spans="1:30">
      <c r="A759" s="102">
        <f t="shared" si="12"/>
        <v>758</v>
      </c>
      <c r="B759" s="468">
        <f>YEAR(Table6[[#This Row],[Date]])+IF(MONTH(Table6[[#This Row],[Date]])&gt;=4,1,0)</f>
        <v>2026</v>
      </c>
      <c r="C759" s="102">
        <f>YEAR(Table6[[#This Row],[Date]])</f>
        <v>2025</v>
      </c>
      <c r="D759" s="102" t="s">
        <v>1992</v>
      </c>
      <c r="E759" s="469">
        <f>Table6[[#This Row],[Date]]-DAY(Table6[[#This Row],[Date]])+1</f>
        <v>45778</v>
      </c>
      <c r="F759" s="470">
        <v>45796</v>
      </c>
      <c r="G759" s="35" t="s">
        <v>75</v>
      </c>
      <c r="H759" s="35" t="str">
        <f>IFERROR(_xlfn.XLOOKUP(Table6[[#This Row],[Affected WTG]],'Basic Data'!$A:$A,'Basic Data'!$B:$B),"")</f>
        <v>TQGXIIPL</v>
      </c>
      <c r="I759" s="35" t="str">
        <f>IFERROR(_xlfn.XLOOKUP(Table6[[#This Row],[Affected WTG]],'Basic Data'!$A:$A,'Basic Data'!$C:$C),"")</f>
        <v>GEDA</v>
      </c>
      <c r="J759" s="471">
        <f>IFERROR(_xlfn.XLOOKUP(Table6[[#This Row],[Affected WTG]],'Basic Data'!$A:$A,'Basic Data'!$E:$E),"")</f>
        <v>3.846153846153845E-2</v>
      </c>
      <c r="K759" s="102">
        <v>55</v>
      </c>
      <c r="L759" s="35" t="str">
        <f>IFERROR(_xlfn.XLOOKUP(Table6[[#This Row],[Error Code]],'Basic Data'!$AA:$AA,'Basic Data'!$AB:$AB),"Incorrect Error Code")</f>
        <v>WTG shut down</v>
      </c>
      <c r="M759" s="35" t="s">
        <v>297</v>
      </c>
      <c r="N759" s="475"/>
      <c r="O759" s="476">
        <v>0.72916666666666663</v>
      </c>
      <c r="P759" s="476">
        <v>0.72916666666666663</v>
      </c>
      <c r="Q759" s="477">
        <v>0.73611111111111116</v>
      </c>
      <c r="R759" s="472">
        <f>IF(Table6[[#This Row],[Work Start TimeStamp]]="","",(Table6[[#This Row],[Work Start TimeStamp]]-Table6[[#This Row],[Fault Start TimeStamp]])*24)</f>
        <v>0</v>
      </c>
      <c r="S759" s="472">
        <f>(Table6[[#This Row],[Fault Clearance time]]-Table6[[#This Row],[Work Start TimeStamp]])*24</f>
        <v>0.16666666666666874</v>
      </c>
      <c r="T759" s="472">
        <f>(Table6[[#This Row],[Fault Clearance time]]-Table6[[#This Row],[Fault Start TimeStamp]])*24</f>
        <v>0.16666666666666874</v>
      </c>
      <c r="U759" s="35" t="s">
        <v>1846</v>
      </c>
      <c r="V759" s="102" t="s">
        <v>293</v>
      </c>
      <c r="W759" s="478">
        <f>IFERROR(Table6[[#This Row],[Breakdown Time]]*Table6[[#This Row],[Plant Equivalent Weightage]],"")</f>
        <v>6.4102564102564881E-3</v>
      </c>
      <c r="X759" s="473" t="s">
        <v>294</v>
      </c>
      <c r="Y759" s="474" t="s">
        <v>318</v>
      </c>
      <c r="Z759" s="102">
        <v>16621</v>
      </c>
      <c r="AA759" s="468">
        <f>(Table6[[#This Row],[Paired WTG Generation for loss calculation]]/24)*Table6[[#This Row],[Breakdown Time]]</f>
        <v>115.42361111111254</v>
      </c>
      <c r="AB759" s="102"/>
      <c r="AC759" s="35"/>
      <c r="AD759" s="35"/>
    </row>
    <row r="760" spans="1:30">
      <c r="A760" s="102">
        <f t="shared" si="12"/>
        <v>759</v>
      </c>
      <c r="B760" s="468">
        <f>YEAR(Table6[[#This Row],[Date]])+IF(MONTH(Table6[[#This Row],[Date]])&gt;=4,1,0)</f>
        <v>2026</v>
      </c>
      <c r="C760" s="102">
        <f>YEAR(Table6[[#This Row],[Date]])</f>
        <v>2025</v>
      </c>
      <c r="D760" s="102" t="s">
        <v>1992</v>
      </c>
      <c r="E760" s="469">
        <f>Table6[[#This Row],[Date]]-DAY(Table6[[#This Row],[Date]])+1</f>
        <v>45778</v>
      </c>
      <c r="F760" s="470">
        <v>45796</v>
      </c>
      <c r="G760" s="35" t="s">
        <v>76</v>
      </c>
      <c r="H760" s="35" t="str">
        <f>IFERROR(_xlfn.XLOOKUP(Table6[[#This Row],[Affected WTG]],'Basic Data'!$A:$A,'Basic Data'!$B:$B),"")</f>
        <v>TQGXIIPL</v>
      </c>
      <c r="I760" s="35" t="str">
        <f>IFERROR(_xlfn.XLOOKUP(Table6[[#This Row],[Affected WTG]],'Basic Data'!$A:$A,'Basic Data'!$C:$C),"")</f>
        <v>GEDA</v>
      </c>
      <c r="J760" s="471">
        <f>IFERROR(_xlfn.XLOOKUP(Table6[[#This Row],[Affected WTG]],'Basic Data'!$A:$A,'Basic Data'!$E:$E),"")</f>
        <v>3.846153846153845E-2</v>
      </c>
      <c r="K760" s="102">
        <v>55</v>
      </c>
      <c r="L760" s="35" t="str">
        <f>IFERROR(_xlfn.XLOOKUP(Table6[[#This Row],[Error Code]],'Basic Data'!$AA:$AA,'Basic Data'!$AB:$AB),"Incorrect Error Code")</f>
        <v>WTG shut down</v>
      </c>
      <c r="M760" s="35" t="s">
        <v>297</v>
      </c>
      <c r="N760" s="475"/>
      <c r="O760" s="476">
        <v>0.72916666666666663</v>
      </c>
      <c r="P760" s="476">
        <v>0.72916666666666663</v>
      </c>
      <c r="Q760" s="477">
        <v>0.73611111111111116</v>
      </c>
      <c r="R760" s="472">
        <f>IF(Table6[[#This Row],[Work Start TimeStamp]]="","",(Table6[[#This Row],[Work Start TimeStamp]]-Table6[[#This Row],[Fault Start TimeStamp]])*24)</f>
        <v>0</v>
      </c>
      <c r="S760" s="472">
        <f>(Table6[[#This Row],[Fault Clearance time]]-Table6[[#This Row],[Work Start TimeStamp]])*24</f>
        <v>0.16666666666666874</v>
      </c>
      <c r="T760" s="472">
        <f>(Table6[[#This Row],[Fault Clearance time]]-Table6[[#This Row],[Fault Start TimeStamp]])*24</f>
        <v>0.16666666666666874</v>
      </c>
      <c r="U760" s="35" t="s">
        <v>1846</v>
      </c>
      <c r="V760" s="102" t="s">
        <v>293</v>
      </c>
      <c r="W760" s="478">
        <f>IFERROR(Table6[[#This Row],[Breakdown Time]]*Table6[[#This Row],[Plant Equivalent Weightage]],"")</f>
        <v>6.4102564102564881E-3</v>
      </c>
      <c r="X760" s="473" t="s">
        <v>294</v>
      </c>
      <c r="Y760" s="474" t="s">
        <v>309</v>
      </c>
      <c r="Z760" s="102">
        <v>15728</v>
      </c>
      <c r="AA760" s="468">
        <f>(Table6[[#This Row],[Paired WTG Generation for loss calculation]]/24)*Table6[[#This Row],[Breakdown Time]]</f>
        <v>109.22222222222359</v>
      </c>
      <c r="AB760" s="102"/>
      <c r="AC760" s="35"/>
      <c r="AD760" s="35"/>
    </row>
    <row r="761" spans="1:30">
      <c r="A761" s="102">
        <f t="shared" si="12"/>
        <v>760</v>
      </c>
      <c r="B761" s="468">
        <f>YEAR(Table6[[#This Row],[Date]])+IF(MONTH(Table6[[#This Row],[Date]])&gt;=4,1,0)</f>
        <v>2026</v>
      </c>
      <c r="C761" s="102">
        <f>YEAR(Table6[[#This Row],[Date]])</f>
        <v>2025</v>
      </c>
      <c r="D761" s="102" t="s">
        <v>1992</v>
      </c>
      <c r="E761" s="469">
        <f>Table6[[#This Row],[Date]]-DAY(Table6[[#This Row],[Date]])+1</f>
        <v>45778</v>
      </c>
      <c r="F761" s="470">
        <v>45796</v>
      </c>
      <c r="G761" s="35" t="s">
        <v>78</v>
      </c>
      <c r="H761" s="35" t="str">
        <f>IFERROR(_xlfn.XLOOKUP(Table6[[#This Row],[Affected WTG]],'Basic Data'!$A:$A,'Basic Data'!$B:$B),"")</f>
        <v>TQGXIIPL</v>
      </c>
      <c r="I761" s="35" t="str">
        <f>IFERROR(_xlfn.XLOOKUP(Table6[[#This Row],[Affected WTG]],'Basic Data'!$A:$A,'Basic Data'!$C:$C),"")</f>
        <v>GEDA</v>
      </c>
      <c r="J761" s="471">
        <f>IFERROR(_xlfn.XLOOKUP(Table6[[#This Row],[Affected WTG]],'Basic Data'!$A:$A,'Basic Data'!$E:$E),"")</f>
        <v>3.846153846153845E-2</v>
      </c>
      <c r="K761" s="102">
        <v>55</v>
      </c>
      <c r="L761" s="35" t="str">
        <f>IFERROR(_xlfn.XLOOKUP(Table6[[#This Row],[Error Code]],'Basic Data'!$AA:$AA,'Basic Data'!$AB:$AB),"Incorrect Error Code")</f>
        <v>WTG shut down</v>
      </c>
      <c r="M761" s="35" t="s">
        <v>297</v>
      </c>
      <c r="N761" s="475"/>
      <c r="O761" s="476">
        <v>0.72916666666666663</v>
      </c>
      <c r="P761" s="476">
        <v>0.72916666666666663</v>
      </c>
      <c r="Q761" s="477">
        <v>0.73611111111111116</v>
      </c>
      <c r="R761" s="472">
        <f>IF(Table6[[#This Row],[Work Start TimeStamp]]="","",(Table6[[#This Row],[Work Start TimeStamp]]-Table6[[#This Row],[Fault Start TimeStamp]])*24)</f>
        <v>0</v>
      </c>
      <c r="S761" s="472">
        <f>(Table6[[#This Row],[Fault Clearance time]]-Table6[[#This Row],[Work Start TimeStamp]])*24</f>
        <v>0.16666666666666874</v>
      </c>
      <c r="T761" s="472">
        <f>(Table6[[#This Row],[Fault Clearance time]]-Table6[[#This Row],[Fault Start TimeStamp]])*24</f>
        <v>0.16666666666666874</v>
      </c>
      <c r="U761" s="35" t="s">
        <v>1846</v>
      </c>
      <c r="V761" s="102" t="s">
        <v>293</v>
      </c>
      <c r="W761" s="478">
        <f>IFERROR(Table6[[#This Row],[Breakdown Time]]*Table6[[#This Row],[Plant Equivalent Weightage]],"")</f>
        <v>6.4102564102564881E-3</v>
      </c>
      <c r="X761" s="473" t="s">
        <v>294</v>
      </c>
      <c r="Y761" s="474" t="s">
        <v>333</v>
      </c>
      <c r="Z761" s="102">
        <v>18002</v>
      </c>
      <c r="AA761" s="468">
        <f>(Table6[[#This Row],[Paired WTG Generation for loss calculation]]/24)*Table6[[#This Row],[Breakdown Time]]</f>
        <v>125.01388888889045</v>
      </c>
      <c r="AB761" s="102"/>
      <c r="AC761" s="35"/>
      <c r="AD761" s="35"/>
    </row>
    <row r="762" spans="1:30">
      <c r="A762" s="102">
        <f t="shared" si="12"/>
        <v>761</v>
      </c>
      <c r="B762" s="468">
        <f>YEAR(Table6[[#This Row],[Date]])+IF(MONTH(Table6[[#This Row],[Date]])&gt;=4,1,0)</f>
        <v>2026</v>
      </c>
      <c r="C762" s="102">
        <f>YEAR(Table6[[#This Row],[Date]])</f>
        <v>2025</v>
      </c>
      <c r="D762" s="102" t="s">
        <v>1992</v>
      </c>
      <c r="E762" s="469">
        <f>Table6[[#This Row],[Date]]-DAY(Table6[[#This Row],[Date]])+1</f>
        <v>45778</v>
      </c>
      <c r="F762" s="470">
        <v>45796</v>
      </c>
      <c r="G762" s="35" t="s">
        <v>80</v>
      </c>
      <c r="H762" s="35" t="str">
        <f>IFERROR(_xlfn.XLOOKUP(Table6[[#This Row],[Affected WTG]],'Basic Data'!$A:$A,'Basic Data'!$B:$B),"")</f>
        <v>TQGXIIPL</v>
      </c>
      <c r="I762" s="35" t="str">
        <f>IFERROR(_xlfn.XLOOKUP(Table6[[#This Row],[Affected WTG]],'Basic Data'!$A:$A,'Basic Data'!$C:$C),"")</f>
        <v>GEDA</v>
      </c>
      <c r="J762" s="471">
        <f>IFERROR(_xlfn.XLOOKUP(Table6[[#This Row],[Affected WTG]],'Basic Data'!$A:$A,'Basic Data'!$E:$E),"")</f>
        <v>3.846153846153845E-2</v>
      </c>
      <c r="K762" s="102">
        <v>175</v>
      </c>
      <c r="L762" s="35" t="str">
        <f>IFERROR(_xlfn.XLOOKUP(Table6[[#This Row],[Error Code]],'Basic Data'!$AA:$AA,'Basic Data'!$AB:$AB),"Incorrect Error Code")</f>
        <v>SLC error</v>
      </c>
      <c r="M762" s="35" t="s">
        <v>291</v>
      </c>
      <c r="N762" s="475"/>
      <c r="O762" s="476">
        <v>7.2916666666666671E-2</v>
      </c>
      <c r="P762" s="476">
        <v>7.2916666666666671E-2</v>
      </c>
      <c r="Q762" s="477">
        <v>7.4305555555555555E-2</v>
      </c>
      <c r="R762" s="472">
        <f>IF(Table6[[#This Row],[Work Start TimeStamp]]="","",(Table6[[#This Row],[Work Start TimeStamp]]-Table6[[#This Row],[Fault Start TimeStamp]])*24)</f>
        <v>0</v>
      </c>
      <c r="S762" s="472">
        <f>(Table6[[#This Row],[Fault Clearance time]]-Table6[[#This Row],[Work Start TimeStamp]])*24</f>
        <v>3.3333333333333215E-2</v>
      </c>
      <c r="T762" s="472">
        <f>(Table6[[#This Row],[Fault Clearance time]]-Table6[[#This Row],[Fault Start TimeStamp]])*24</f>
        <v>3.3333333333333215E-2</v>
      </c>
      <c r="U762" s="35" t="s">
        <v>344</v>
      </c>
      <c r="V762" s="102" t="s">
        <v>293</v>
      </c>
      <c r="W762" s="478">
        <f>IFERROR(Table6[[#This Row],[Breakdown Time]]*Table6[[#This Row],[Plant Equivalent Weightage]],"")</f>
        <v>1.2820512820512771E-3</v>
      </c>
      <c r="X762" s="473" t="s">
        <v>294</v>
      </c>
      <c r="Y762" s="474" t="s">
        <v>317</v>
      </c>
      <c r="Z762" s="102">
        <v>16163</v>
      </c>
      <c r="AA762" s="468">
        <f>(Table6[[#This Row],[Paired WTG Generation for loss calculation]]/24)*Table6[[#This Row],[Breakdown Time]]</f>
        <v>22.448611111111031</v>
      </c>
      <c r="AB762" s="102"/>
      <c r="AC762" s="35"/>
      <c r="AD762" s="35"/>
    </row>
    <row r="763" spans="1:30">
      <c r="A763" s="102">
        <f t="shared" si="12"/>
        <v>762</v>
      </c>
      <c r="B763" s="468">
        <f>YEAR(Table6[[#This Row],[Date]])+IF(MONTH(Table6[[#This Row],[Date]])&gt;=4,1,0)</f>
        <v>2026</v>
      </c>
      <c r="C763" s="102">
        <f>YEAR(Table6[[#This Row],[Date]])</f>
        <v>2025</v>
      </c>
      <c r="D763" s="102" t="s">
        <v>1992</v>
      </c>
      <c r="E763" s="469">
        <f>Table6[[#This Row],[Date]]-DAY(Table6[[#This Row],[Date]])+1</f>
        <v>45778</v>
      </c>
      <c r="F763" s="470">
        <v>45796</v>
      </c>
      <c r="G763" s="35" t="s">
        <v>81</v>
      </c>
      <c r="H763" s="35" t="str">
        <f>IFERROR(_xlfn.XLOOKUP(Table6[[#This Row],[Affected WTG]],'Basic Data'!$A:$A,'Basic Data'!$B:$B),"")</f>
        <v>TQGXIIPL</v>
      </c>
      <c r="I763" s="35" t="str">
        <f>IFERROR(_xlfn.XLOOKUP(Table6[[#This Row],[Affected WTG]],'Basic Data'!$A:$A,'Basic Data'!$C:$C),"")</f>
        <v>GEDA</v>
      </c>
      <c r="J763" s="471">
        <f>IFERROR(_xlfn.XLOOKUP(Table6[[#This Row],[Affected WTG]],'Basic Data'!$A:$A,'Basic Data'!$E:$E),"")</f>
        <v>3.846153846153845E-2</v>
      </c>
      <c r="K763" s="102">
        <v>55</v>
      </c>
      <c r="L763" s="35" t="str">
        <f>IFERROR(_xlfn.XLOOKUP(Table6[[#This Row],[Error Code]],'Basic Data'!$AA:$AA,'Basic Data'!$AB:$AB),"Incorrect Error Code")</f>
        <v>WTG shut down</v>
      </c>
      <c r="M763" s="35" t="s">
        <v>297</v>
      </c>
      <c r="N763" s="475"/>
      <c r="O763" s="476">
        <v>0.72916666666666663</v>
      </c>
      <c r="P763" s="476">
        <v>0.72916666666666663</v>
      </c>
      <c r="Q763" s="477">
        <v>0.73611111111111116</v>
      </c>
      <c r="R763" s="472">
        <f>IF(Table6[[#This Row],[Work Start TimeStamp]]="","",(Table6[[#This Row],[Work Start TimeStamp]]-Table6[[#This Row],[Fault Start TimeStamp]])*24)</f>
        <v>0</v>
      </c>
      <c r="S763" s="472">
        <f>(Table6[[#This Row],[Fault Clearance time]]-Table6[[#This Row],[Work Start TimeStamp]])*24</f>
        <v>0.16666666666666874</v>
      </c>
      <c r="T763" s="472">
        <f>(Table6[[#This Row],[Fault Clearance time]]-Table6[[#This Row],[Fault Start TimeStamp]])*24</f>
        <v>0.16666666666666874</v>
      </c>
      <c r="U763" s="35" t="s">
        <v>1846</v>
      </c>
      <c r="V763" s="102" t="s">
        <v>293</v>
      </c>
      <c r="W763" s="478">
        <f>IFERROR(Table6[[#This Row],[Breakdown Time]]*Table6[[#This Row],[Plant Equivalent Weightage]],"")</f>
        <v>6.4102564102564881E-3</v>
      </c>
      <c r="X763" s="473" t="s">
        <v>294</v>
      </c>
      <c r="Y763" s="474" t="s">
        <v>321</v>
      </c>
      <c r="Z763" s="102">
        <v>14378</v>
      </c>
      <c r="AA763" s="468">
        <f>(Table6[[#This Row],[Paired WTG Generation for loss calculation]]/24)*Table6[[#This Row],[Breakdown Time]]</f>
        <v>99.847222222223465</v>
      </c>
      <c r="AB763" s="102"/>
      <c r="AC763" s="35"/>
      <c r="AD763" s="35"/>
    </row>
    <row r="764" spans="1:30">
      <c r="A764" s="102">
        <f t="shared" si="12"/>
        <v>763</v>
      </c>
      <c r="B764" s="468">
        <f>YEAR(Table6[[#This Row],[Date]])+IF(MONTH(Table6[[#This Row],[Date]])&gt;=4,1,0)</f>
        <v>2026</v>
      </c>
      <c r="C764" s="102">
        <f>YEAR(Table6[[#This Row],[Date]])</f>
        <v>2025</v>
      </c>
      <c r="D764" s="102" t="s">
        <v>1992</v>
      </c>
      <c r="E764" s="469">
        <f>Table6[[#This Row],[Date]]-DAY(Table6[[#This Row],[Date]])+1</f>
        <v>45778</v>
      </c>
      <c r="F764" s="470">
        <v>45796</v>
      </c>
      <c r="G764" s="35" t="s">
        <v>82</v>
      </c>
      <c r="H764" s="35" t="str">
        <f>IFERROR(_xlfn.XLOOKUP(Table6[[#This Row],[Affected WTG]],'Basic Data'!$A:$A,'Basic Data'!$B:$B),"")</f>
        <v>TQGXIIPL</v>
      </c>
      <c r="I764" s="35" t="str">
        <f>IFERROR(_xlfn.XLOOKUP(Table6[[#This Row],[Affected WTG]],'Basic Data'!$A:$A,'Basic Data'!$C:$C),"")</f>
        <v>GEDA</v>
      </c>
      <c r="J764" s="471">
        <f>IFERROR(_xlfn.XLOOKUP(Table6[[#This Row],[Affected WTG]],'Basic Data'!$A:$A,'Basic Data'!$E:$E),"")</f>
        <v>3.846153846153845E-2</v>
      </c>
      <c r="K764" s="102">
        <v>55</v>
      </c>
      <c r="L764" s="35" t="str">
        <f>IFERROR(_xlfn.XLOOKUP(Table6[[#This Row],[Error Code]],'Basic Data'!$AA:$AA,'Basic Data'!$AB:$AB),"Incorrect Error Code")</f>
        <v>WTG shut down</v>
      </c>
      <c r="M764" s="35" t="s">
        <v>297</v>
      </c>
      <c r="N764" s="475"/>
      <c r="O764" s="476">
        <v>0.72916666666666663</v>
      </c>
      <c r="P764" s="476">
        <v>0.72916666666666663</v>
      </c>
      <c r="Q764" s="477">
        <v>0.73611111111111116</v>
      </c>
      <c r="R764" s="472">
        <f>IF(Table6[[#This Row],[Work Start TimeStamp]]="","",(Table6[[#This Row],[Work Start TimeStamp]]-Table6[[#This Row],[Fault Start TimeStamp]])*24)</f>
        <v>0</v>
      </c>
      <c r="S764" s="472">
        <f>(Table6[[#This Row],[Fault Clearance time]]-Table6[[#This Row],[Work Start TimeStamp]])*24</f>
        <v>0.16666666666666874</v>
      </c>
      <c r="T764" s="472">
        <f>(Table6[[#This Row],[Fault Clearance time]]-Table6[[#This Row],[Fault Start TimeStamp]])*24</f>
        <v>0.16666666666666874</v>
      </c>
      <c r="U764" s="35" t="s">
        <v>1846</v>
      </c>
      <c r="V764" s="102" t="s">
        <v>293</v>
      </c>
      <c r="W764" s="478">
        <f>IFERROR(Table6[[#This Row],[Breakdown Time]]*Table6[[#This Row],[Plant Equivalent Weightage]],"")</f>
        <v>6.4102564102564881E-3</v>
      </c>
      <c r="X764" s="473" t="s">
        <v>294</v>
      </c>
      <c r="Y764" s="474" t="s">
        <v>332</v>
      </c>
      <c r="Z764" s="102">
        <v>13334</v>
      </c>
      <c r="AA764" s="468">
        <f>(Table6[[#This Row],[Paired WTG Generation for loss calculation]]/24)*Table6[[#This Row],[Breakdown Time]]</f>
        <v>92.59722222222338</v>
      </c>
      <c r="AB764" s="102"/>
      <c r="AC764" s="35"/>
      <c r="AD764" s="35"/>
    </row>
    <row r="765" spans="1:30">
      <c r="A765" s="102">
        <f t="shared" si="12"/>
        <v>764</v>
      </c>
      <c r="B765" s="468">
        <f>YEAR(Table6[[#This Row],[Date]])+IF(MONTH(Table6[[#This Row],[Date]])&gt;=4,1,0)</f>
        <v>2026</v>
      </c>
      <c r="C765" s="102">
        <f>YEAR(Table6[[#This Row],[Date]])</f>
        <v>2025</v>
      </c>
      <c r="D765" s="102" t="s">
        <v>1992</v>
      </c>
      <c r="E765" s="469">
        <f>Table6[[#This Row],[Date]]-DAY(Table6[[#This Row],[Date]])+1</f>
        <v>45778</v>
      </c>
      <c r="F765" s="470">
        <v>45796</v>
      </c>
      <c r="G765" s="35" t="s">
        <v>83</v>
      </c>
      <c r="H765" s="35" t="str">
        <f>IFERROR(_xlfn.XLOOKUP(Table6[[#This Row],[Affected WTG]],'Basic Data'!$A:$A,'Basic Data'!$B:$B),"")</f>
        <v>TQGXIIPL</v>
      </c>
      <c r="I765" s="35" t="str">
        <f>IFERROR(_xlfn.XLOOKUP(Table6[[#This Row],[Affected WTG]],'Basic Data'!$A:$A,'Basic Data'!$C:$C),"")</f>
        <v>GEDA</v>
      </c>
      <c r="J765" s="471">
        <f>IFERROR(_xlfn.XLOOKUP(Table6[[#This Row],[Affected WTG]],'Basic Data'!$A:$A,'Basic Data'!$E:$E),"")</f>
        <v>3.846153846153845E-2</v>
      </c>
      <c r="K765" s="102">
        <v>55</v>
      </c>
      <c r="L765" s="35" t="str">
        <f>IFERROR(_xlfn.XLOOKUP(Table6[[#This Row],[Error Code]],'Basic Data'!$AA:$AA,'Basic Data'!$AB:$AB),"Incorrect Error Code")</f>
        <v>WTG shut down</v>
      </c>
      <c r="M765" s="35" t="s">
        <v>297</v>
      </c>
      <c r="N765" s="475"/>
      <c r="O765" s="476">
        <v>0.72916666666666663</v>
      </c>
      <c r="P765" s="476">
        <v>0.72916666666666663</v>
      </c>
      <c r="Q765" s="477">
        <v>0.73611111111111116</v>
      </c>
      <c r="R765" s="472">
        <f>IF(Table6[[#This Row],[Work Start TimeStamp]]="","",(Table6[[#This Row],[Work Start TimeStamp]]-Table6[[#This Row],[Fault Start TimeStamp]])*24)</f>
        <v>0</v>
      </c>
      <c r="S765" s="472">
        <f>(Table6[[#This Row],[Fault Clearance time]]-Table6[[#This Row],[Work Start TimeStamp]])*24</f>
        <v>0.16666666666666874</v>
      </c>
      <c r="T765" s="472">
        <f>(Table6[[#This Row],[Fault Clearance time]]-Table6[[#This Row],[Fault Start TimeStamp]])*24</f>
        <v>0.16666666666666874</v>
      </c>
      <c r="U765" s="35" t="s">
        <v>1846</v>
      </c>
      <c r="V765" s="102" t="s">
        <v>293</v>
      </c>
      <c r="W765" s="478">
        <f>IFERROR(Table6[[#This Row],[Breakdown Time]]*Table6[[#This Row],[Plant Equivalent Weightage]],"")</f>
        <v>6.4102564102564881E-3</v>
      </c>
      <c r="X765" s="473" t="s">
        <v>294</v>
      </c>
      <c r="Y765" s="474" t="s">
        <v>312</v>
      </c>
      <c r="Z765" s="102">
        <v>13808</v>
      </c>
      <c r="AA765" s="468">
        <f>(Table6[[#This Row],[Paired WTG Generation for loss calculation]]/24)*Table6[[#This Row],[Breakdown Time]]</f>
        <v>95.888888888890094</v>
      </c>
      <c r="AB765" s="102"/>
      <c r="AC765" s="35"/>
      <c r="AD765" s="35"/>
    </row>
    <row r="766" spans="1:30">
      <c r="A766" s="102">
        <f t="shared" si="12"/>
        <v>765</v>
      </c>
      <c r="B766" s="468">
        <f>YEAR(Table6[[#This Row],[Date]])+IF(MONTH(Table6[[#This Row],[Date]])&gt;=4,1,0)</f>
        <v>2026</v>
      </c>
      <c r="C766" s="102">
        <f>YEAR(Table6[[#This Row],[Date]])</f>
        <v>2025</v>
      </c>
      <c r="D766" s="102" t="s">
        <v>1992</v>
      </c>
      <c r="E766" s="469">
        <f>Table6[[#This Row],[Date]]-DAY(Table6[[#This Row],[Date]])+1</f>
        <v>45778</v>
      </c>
      <c r="F766" s="470">
        <v>45796</v>
      </c>
      <c r="G766" s="35" t="s">
        <v>84</v>
      </c>
      <c r="H766" s="35" t="str">
        <f>IFERROR(_xlfn.XLOOKUP(Table6[[#This Row],[Affected WTG]],'Basic Data'!$A:$A,'Basic Data'!$B:$B),"")</f>
        <v>TQGXIIPL</v>
      </c>
      <c r="I766" s="35" t="str">
        <f>IFERROR(_xlfn.XLOOKUP(Table6[[#This Row],[Affected WTG]],'Basic Data'!$A:$A,'Basic Data'!$C:$C),"")</f>
        <v>GEDA</v>
      </c>
      <c r="J766" s="471">
        <f>IFERROR(_xlfn.XLOOKUP(Table6[[#This Row],[Affected WTG]],'Basic Data'!$A:$A,'Basic Data'!$E:$E),"")</f>
        <v>3.846153846153845E-2</v>
      </c>
      <c r="K766" s="102">
        <v>55</v>
      </c>
      <c r="L766" s="35" t="str">
        <f>IFERROR(_xlfn.XLOOKUP(Table6[[#This Row],[Error Code]],'Basic Data'!$AA:$AA,'Basic Data'!$AB:$AB),"Incorrect Error Code")</f>
        <v>WTG shut down</v>
      </c>
      <c r="M766" s="35" t="s">
        <v>297</v>
      </c>
      <c r="N766" s="475"/>
      <c r="O766" s="476">
        <v>0.72916666666666663</v>
      </c>
      <c r="P766" s="476">
        <v>0.72916666666666663</v>
      </c>
      <c r="Q766" s="477">
        <v>0.73611111111111116</v>
      </c>
      <c r="R766" s="472">
        <f>IF(Table6[[#This Row],[Work Start TimeStamp]]="","",(Table6[[#This Row],[Work Start TimeStamp]]-Table6[[#This Row],[Fault Start TimeStamp]])*24)</f>
        <v>0</v>
      </c>
      <c r="S766" s="472">
        <f>(Table6[[#This Row],[Fault Clearance time]]-Table6[[#This Row],[Work Start TimeStamp]])*24</f>
        <v>0.16666666666666874</v>
      </c>
      <c r="T766" s="472">
        <f>(Table6[[#This Row],[Fault Clearance time]]-Table6[[#This Row],[Fault Start TimeStamp]])*24</f>
        <v>0.16666666666666874</v>
      </c>
      <c r="U766" s="35" t="s">
        <v>1846</v>
      </c>
      <c r="V766" s="102" t="s">
        <v>293</v>
      </c>
      <c r="W766" s="478">
        <f>IFERROR(Table6[[#This Row],[Breakdown Time]]*Table6[[#This Row],[Plant Equivalent Weightage]],"")</f>
        <v>6.4102564102564881E-3</v>
      </c>
      <c r="X766" s="473" t="s">
        <v>294</v>
      </c>
      <c r="Y766" s="474" t="s">
        <v>327</v>
      </c>
      <c r="Z766" s="102">
        <v>13600</v>
      </c>
      <c r="AA766" s="468">
        <f>(Table6[[#This Row],[Paired WTG Generation for loss calculation]]/24)*Table6[[#This Row],[Breakdown Time]]</f>
        <v>94.444444444445608</v>
      </c>
      <c r="AB766" s="102"/>
      <c r="AC766" s="35"/>
      <c r="AD766" s="35"/>
    </row>
    <row r="767" spans="1:30">
      <c r="A767" s="102">
        <f t="shared" si="12"/>
        <v>766</v>
      </c>
      <c r="B767" s="468">
        <f>YEAR(Table6[[#This Row],[Date]])+IF(MONTH(Table6[[#This Row],[Date]])&gt;=4,1,0)</f>
        <v>2026</v>
      </c>
      <c r="C767" s="102">
        <f>YEAR(Table6[[#This Row],[Date]])</f>
        <v>2025</v>
      </c>
      <c r="D767" s="102" t="s">
        <v>1992</v>
      </c>
      <c r="E767" s="469">
        <f>Table6[[#This Row],[Date]]-DAY(Table6[[#This Row],[Date]])+1</f>
        <v>45778</v>
      </c>
      <c r="F767" s="470">
        <v>45796</v>
      </c>
      <c r="G767" s="35" t="s">
        <v>85</v>
      </c>
      <c r="H767" s="35" t="str">
        <f>IFERROR(_xlfn.XLOOKUP(Table6[[#This Row],[Affected WTG]],'Basic Data'!$A:$A,'Basic Data'!$B:$B),"")</f>
        <v>TQGXIIPL</v>
      </c>
      <c r="I767" s="35" t="str">
        <f>IFERROR(_xlfn.XLOOKUP(Table6[[#This Row],[Affected WTG]],'Basic Data'!$A:$A,'Basic Data'!$C:$C),"")</f>
        <v>GEDA</v>
      </c>
      <c r="J767" s="471">
        <f>IFERROR(_xlfn.XLOOKUP(Table6[[#This Row],[Affected WTG]],'Basic Data'!$A:$A,'Basic Data'!$E:$E),"")</f>
        <v>3.846153846153845E-2</v>
      </c>
      <c r="K767" s="102">
        <v>55</v>
      </c>
      <c r="L767" s="35" t="str">
        <f>IFERROR(_xlfn.XLOOKUP(Table6[[#This Row],[Error Code]],'Basic Data'!$AA:$AA,'Basic Data'!$AB:$AB),"Incorrect Error Code")</f>
        <v>WTG shut down</v>
      </c>
      <c r="M767" s="35" t="s">
        <v>297</v>
      </c>
      <c r="N767" s="475"/>
      <c r="O767" s="476">
        <v>0.72916666666666663</v>
      </c>
      <c r="P767" s="476">
        <v>0.72916666666666663</v>
      </c>
      <c r="Q767" s="477">
        <v>0.73611111111111116</v>
      </c>
      <c r="R767" s="472">
        <f>IF(Table6[[#This Row],[Work Start TimeStamp]]="","",(Table6[[#This Row],[Work Start TimeStamp]]-Table6[[#This Row],[Fault Start TimeStamp]])*24)</f>
        <v>0</v>
      </c>
      <c r="S767" s="472">
        <f>(Table6[[#This Row],[Fault Clearance time]]-Table6[[#This Row],[Work Start TimeStamp]])*24</f>
        <v>0.16666666666666874</v>
      </c>
      <c r="T767" s="472">
        <f>(Table6[[#This Row],[Fault Clearance time]]-Table6[[#This Row],[Fault Start TimeStamp]])*24</f>
        <v>0.16666666666666874</v>
      </c>
      <c r="U767" s="35" t="s">
        <v>1846</v>
      </c>
      <c r="V767" s="102" t="s">
        <v>293</v>
      </c>
      <c r="W767" s="478">
        <f>IFERROR(Table6[[#This Row],[Breakdown Time]]*Table6[[#This Row],[Plant Equivalent Weightage]],"")</f>
        <v>6.4102564102564881E-3</v>
      </c>
      <c r="X767" s="473" t="s">
        <v>294</v>
      </c>
      <c r="Y767" s="474" t="s">
        <v>322</v>
      </c>
      <c r="Z767" s="102">
        <v>14141</v>
      </c>
      <c r="AA767" s="468">
        <f>(Table6[[#This Row],[Paired WTG Generation for loss calculation]]/24)*Table6[[#This Row],[Breakdown Time]]</f>
        <v>98.201388888890122</v>
      </c>
      <c r="AB767" s="102"/>
      <c r="AC767" s="35"/>
      <c r="AD767" s="35"/>
    </row>
    <row r="768" spans="1:30">
      <c r="A768" s="102">
        <f t="shared" si="12"/>
        <v>767</v>
      </c>
      <c r="B768" s="468">
        <f>YEAR(Table6[[#This Row],[Date]])+IF(MONTH(Table6[[#This Row],[Date]])&gt;=4,1,0)</f>
        <v>2026</v>
      </c>
      <c r="C768" s="102">
        <f>YEAR(Table6[[#This Row],[Date]])</f>
        <v>2025</v>
      </c>
      <c r="D768" s="102" t="s">
        <v>1992</v>
      </c>
      <c r="E768" s="469">
        <f>Table6[[#This Row],[Date]]-DAY(Table6[[#This Row],[Date]])+1</f>
        <v>45778</v>
      </c>
      <c r="F768" s="470">
        <v>45796</v>
      </c>
      <c r="G768" s="35" t="s">
        <v>86</v>
      </c>
      <c r="H768" s="35" t="str">
        <f>IFERROR(_xlfn.XLOOKUP(Table6[[#This Row],[Affected WTG]],'Basic Data'!$A:$A,'Basic Data'!$B:$B),"")</f>
        <v>TQGXIIPL</v>
      </c>
      <c r="I768" s="35" t="str">
        <f>IFERROR(_xlfn.XLOOKUP(Table6[[#This Row],[Affected WTG]],'Basic Data'!$A:$A,'Basic Data'!$C:$C),"")</f>
        <v>GEDA</v>
      </c>
      <c r="J768" s="471">
        <f>IFERROR(_xlfn.XLOOKUP(Table6[[#This Row],[Affected WTG]],'Basic Data'!$A:$A,'Basic Data'!$E:$E),"")</f>
        <v>3.846153846153845E-2</v>
      </c>
      <c r="K768" s="102">
        <v>55</v>
      </c>
      <c r="L768" s="35" t="str">
        <f>IFERROR(_xlfn.XLOOKUP(Table6[[#This Row],[Error Code]],'Basic Data'!$AA:$AA,'Basic Data'!$AB:$AB),"Incorrect Error Code")</f>
        <v>WTG shut down</v>
      </c>
      <c r="M768" s="35" t="s">
        <v>297</v>
      </c>
      <c r="N768" s="475"/>
      <c r="O768" s="476">
        <v>0.72916666666666663</v>
      </c>
      <c r="P768" s="476">
        <v>0.72916666666666663</v>
      </c>
      <c r="Q768" s="477">
        <v>0.73611111111111116</v>
      </c>
      <c r="R768" s="472">
        <f>IF(Table6[[#This Row],[Work Start TimeStamp]]="","",(Table6[[#This Row],[Work Start TimeStamp]]-Table6[[#This Row],[Fault Start TimeStamp]])*24)</f>
        <v>0</v>
      </c>
      <c r="S768" s="472">
        <f>(Table6[[#This Row],[Fault Clearance time]]-Table6[[#This Row],[Work Start TimeStamp]])*24</f>
        <v>0.16666666666666874</v>
      </c>
      <c r="T768" s="472">
        <f>(Table6[[#This Row],[Fault Clearance time]]-Table6[[#This Row],[Fault Start TimeStamp]])*24</f>
        <v>0.16666666666666874</v>
      </c>
      <c r="U768" s="35" t="s">
        <v>1846</v>
      </c>
      <c r="V768" s="102" t="s">
        <v>293</v>
      </c>
      <c r="W768" s="478">
        <f>IFERROR(Table6[[#This Row],[Breakdown Time]]*Table6[[#This Row],[Plant Equivalent Weightage]],"")</f>
        <v>6.4102564102564881E-3</v>
      </c>
      <c r="X768" s="473" t="s">
        <v>294</v>
      </c>
      <c r="Y768" s="474" t="s">
        <v>313</v>
      </c>
      <c r="Z768" s="102">
        <v>12657</v>
      </c>
      <c r="AA768" s="468">
        <f>(Table6[[#This Row],[Paired WTG Generation for loss calculation]]/24)*Table6[[#This Row],[Breakdown Time]]</f>
        <v>87.895833333334423</v>
      </c>
      <c r="AB768" s="102"/>
      <c r="AC768" s="35"/>
      <c r="AD768" s="35"/>
    </row>
    <row r="769" spans="1:30">
      <c r="A769" s="102">
        <f t="shared" si="12"/>
        <v>768</v>
      </c>
      <c r="B769" s="468">
        <f>YEAR(Table6[[#This Row],[Date]])+IF(MONTH(Table6[[#This Row],[Date]])&gt;=4,1,0)</f>
        <v>2026</v>
      </c>
      <c r="C769" s="102">
        <f>YEAR(Table6[[#This Row],[Date]])</f>
        <v>2025</v>
      </c>
      <c r="D769" s="102" t="s">
        <v>1992</v>
      </c>
      <c r="E769" s="469">
        <f>Table6[[#This Row],[Date]]-DAY(Table6[[#This Row],[Date]])+1</f>
        <v>45778</v>
      </c>
      <c r="F769" s="470">
        <v>45796</v>
      </c>
      <c r="G769" s="35" t="s">
        <v>87</v>
      </c>
      <c r="H769" s="35" t="str">
        <f>IFERROR(_xlfn.XLOOKUP(Table6[[#This Row],[Affected WTG]],'Basic Data'!$A:$A,'Basic Data'!$B:$B),"")</f>
        <v>TQGXIIPL</v>
      </c>
      <c r="I769" s="35" t="str">
        <f>IFERROR(_xlfn.XLOOKUP(Table6[[#This Row],[Affected WTG]],'Basic Data'!$A:$A,'Basic Data'!$C:$C),"")</f>
        <v>GEDA</v>
      </c>
      <c r="J769" s="471">
        <f>IFERROR(_xlfn.XLOOKUP(Table6[[#This Row],[Affected WTG]],'Basic Data'!$A:$A,'Basic Data'!$E:$E),"")</f>
        <v>3.846153846153845E-2</v>
      </c>
      <c r="K769" s="102">
        <v>55</v>
      </c>
      <c r="L769" s="35" t="str">
        <f>IFERROR(_xlfn.XLOOKUP(Table6[[#This Row],[Error Code]],'Basic Data'!$AA:$AA,'Basic Data'!$AB:$AB),"Incorrect Error Code")</f>
        <v>WTG shut down</v>
      </c>
      <c r="M769" s="35" t="s">
        <v>297</v>
      </c>
      <c r="N769" s="475"/>
      <c r="O769" s="476">
        <v>0.72916666666666663</v>
      </c>
      <c r="P769" s="476">
        <v>0.72916666666666663</v>
      </c>
      <c r="Q769" s="477">
        <v>0.73611111111111116</v>
      </c>
      <c r="R769" s="472">
        <f>IF(Table6[[#This Row],[Work Start TimeStamp]]="","",(Table6[[#This Row],[Work Start TimeStamp]]-Table6[[#This Row],[Fault Start TimeStamp]])*24)</f>
        <v>0</v>
      </c>
      <c r="S769" s="472">
        <f>(Table6[[#This Row],[Fault Clearance time]]-Table6[[#This Row],[Work Start TimeStamp]])*24</f>
        <v>0.16666666666666874</v>
      </c>
      <c r="T769" s="472">
        <f>(Table6[[#This Row],[Fault Clearance time]]-Table6[[#This Row],[Fault Start TimeStamp]])*24</f>
        <v>0.16666666666666874</v>
      </c>
      <c r="U769" s="35" t="s">
        <v>1846</v>
      </c>
      <c r="V769" s="102" t="s">
        <v>293</v>
      </c>
      <c r="W769" s="478">
        <f>IFERROR(Table6[[#This Row],[Breakdown Time]]*Table6[[#This Row],[Plant Equivalent Weightage]],"")</f>
        <v>6.4102564102564881E-3</v>
      </c>
      <c r="X769" s="473" t="s">
        <v>294</v>
      </c>
      <c r="Y769" s="474" t="s">
        <v>327</v>
      </c>
      <c r="Z769" s="102">
        <v>13600</v>
      </c>
      <c r="AA769" s="468">
        <f>(Table6[[#This Row],[Paired WTG Generation for loss calculation]]/24)*Table6[[#This Row],[Breakdown Time]]</f>
        <v>94.444444444445608</v>
      </c>
      <c r="AB769" s="102"/>
      <c r="AC769" s="35"/>
      <c r="AD769" s="35"/>
    </row>
    <row r="770" spans="1:30">
      <c r="A770" s="102">
        <f t="shared" si="12"/>
        <v>769</v>
      </c>
      <c r="B770" s="468">
        <f>YEAR(Table6[[#This Row],[Date]])+IF(MONTH(Table6[[#This Row],[Date]])&gt;=4,1,0)</f>
        <v>2026</v>
      </c>
      <c r="C770" s="102">
        <f>YEAR(Table6[[#This Row],[Date]])</f>
        <v>2025</v>
      </c>
      <c r="D770" s="102" t="s">
        <v>1992</v>
      </c>
      <c r="E770" s="469">
        <f>Table6[[#This Row],[Date]]-DAY(Table6[[#This Row],[Date]])+1</f>
        <v>45778</v>
      </c>
      <c r="F770" s="470">
        <v>45796</v>
      </c>
      <c r="G770" s="35" t="s">
        <v>88</v>
      </c>
      <c r="H770" s="35" t="str">
        <f>IFERROR(_xlfn.XLOOKUP(Table6[[#This Row],[Affected WTG]],'Basic Data'!$A:$A,'Basic Data'!$B:$B),"")</f>
        <v>TQGXIIPL</v>
      </c>
      <c r="I770" s="35" t="str">
        <f>IFERROR(_xlfn.XLOOKUP(Table6[[#This Row],[Affected WTG]],'Basic Data'!$A:$A,'Basic Data'!$C:$C),"")</f>
        <v>GEDA</v>
      </c>
      <c r="J770" s="471">
        <f>IFERROR(_xlfn.XLOOKUP(Table6[[#This Row],[Affected WTG]],'Basic Data'!$A:$A,'Basic Data'!$E:$E),"")</f>
        <v>3.846153846153845E-2</v>
      </c>
      <c r="K770" s="102">
        <v>4555</v>
      </c>
      <c r="L770" s="35" t="str">
        <f>IFERROR(_xlfn.XLOOKUP(Table6[[#This Row],[Error Code]],'Basic Data'!$AA:$AA,'Basic Data'!$AB:$AB),"Incorrect Error Code")</f>
        <v>Tower accel. difference</v>
      </c>
      <c r="M770" s="35" t="s">
        <v>292</v>
      </c>
      <c r="N770" s="475"/>
      <c r="O770" s="476">
        <v>0.12847222222222221</v>
      </c>
      <c r="P770" s="476">
        <v>0.12847222222222221</v>
      </c>
      <c r="Q770" s="477">
        <v>0.13263888888888889</v>
      </c>
      <c r="R770" s="472">
        <f>IF(Table6[[#This Row],[Work Start TimeStamp]]="","",(Table6[[#This Row],[Work Start TimeStamp]]-Table6[[#This Row],[Fault Start TimeStamp]])*24)</f>
        <v>0</v>
      </c>
      <c r="S770" s="472">
        <f>(Table6[[#This Row],[Fault Clearance time]]-Table6[[#This Row],[Work Start TimeStamp]])*24</f>
        <v>0.10000000000000031</v>
      </c>
      <c r="T770" s="472">
        <f>(Table6[[#This Row],[Fault Clearance time]]-Table6[[#This Row],[Fault Start TimeStamp]])*24</f>
        <v>0.10000000000000031</v>
      </c>
      <c r="U770" s="35" t="s">
        <v>346</v>
      </c>
      <c r="V770" s="102" t="s">
        <v>293</v>
      </c>
      <c r="W770" s="478">
        <f>IFERROR(Table6[[#This Row],[Breakdown Time]]*Table6[[#This Row],[Plant Equivalent Weightage]],"")</f>
        <v>3.8461538461538568E-3</v>
      </c>
      <c r="X770" s="473" t="s">
        <v>294</v>
      </c>
      <c r="Y770" s="474" t="s">
        <v>323</v>
      </c>
      <c r="Z770" s="102">
        <v>14496</v>
      </c>
      <c r="AA770" s="468">
        <f>(Table6[[#This Row],[Paired WTG Generation for loss calculation]]/24)*Table6[[#This Row],[Breakdown Time]]</f>
        <v>60.40000000000019</v>
      </c>
      <c r="AB770" s="102"/>
      <c r="AC770" s="35"/>
      <c r="AD770" s="35"/>
    </row>
    <row r="771" spans="1:30">
      <c r="A771" s="102">
        <f t="shared" si="12"/>
        <v>770</v>
      </c>
      <c r="B771" s="468">
        <f>YEAR(Table6[[#This Row],[Date]])+IF(MONTH(Table6[[#This Row],[Date]])&gt;=4,1,0)</f>
        <v>2026</v>
      </c>
      <c r="C771" s="102">
        <f>YEAR(Table6[[#This Row],[Date]])</f>
        <v>2025</v>
      </c>
      <c r="D771" s="102" t="s">
        <v>1992</v>
      </c>
      <c r="E771" s="469">
        <f>Table6[[#This Row],[Date]]-DAY(Table6[[#This Row],[Date]])+1</f>
        <v>45778</v>
      </c>
      <c r="F771" s="470">
        <v>45796</v>
      </c>
      <c r="G771" s="35" t="s">
        <v>88</v>
      </c>
      <c r="H771" s="35" t="str">
        <f>IFERROR(_xlfn.XLOOKUP(Table6[[#This Row],[Affected WTG]],'Basic Data'!$A:$A,'Basic Data'!$B:$B),"")</f>
        <v>TQGXIIPL</v>
      </c>
      <c r="I771" s="35" t="str">
        <f>IFERROR(_xlfn.XLOOKUP(Table6[[#This Row],[Affected WTG]],'Basic Data'!$A:$A,'Basic Data'!$C:$C),"")</f>
        <v>GEDA</v>
      </c>
      <c r="J771" s="471">
        <f>IFERROR(_xlfn.XLOOKUP(Table6[[#This Row],[Affected WTG]],'Basic Data'!$A:$A,'Basic Data'!$E:$E),"")</f>
        <v>3.846153846153845E-2</v>
      </c>
      <c r="K771" s="102">
        <v>55</v>
      </c>
      <c r="L771" s="35" t="str">
        <f>IFERROR(_xlfn.XLOOKUP(Table6[[#This Row],[Error Code]],'Basic Data'!$AA:$AA,'Basic Data'!$AB:$AB),"Incorrect Error Code")</f>
        <v>WTG shut down</v>
      </c>
      <c r="M771" s="35" t="s">
        <v>297</v>
      </c>
      <c r="N771" s="475"/>
      <c r="O771" s="476">
        <v>0.72916666666666663</v>
      </c>
      <c r="P771" s="476">
        <v>0.72916666666666663</v>
      </c>
      <c r="Q771" s="477">
        <v>0.73611111111111116</v>
      </c>
      <c r="R771" s="472">
        <f>IF(Table6[[#This Row],[Work Start TimeStamp]]="","",(Table6[[#This Row],[Work Start TimeStamp]]-Table6[[#This Row],[Fault Start TimeStamp]])*24)</f>
        <v>0</v>
      </c>
      <c r="S771" s="472">
        <f>(Table6[[#This Row],[Fault Clearance time]]-Table6[[#This Row],[Work Start TimeStamp]])*24</f>
        <v>0.16666666666666874</v>
      </c>
      <c r="T771" s="472">
        <f>(Table6[[#This Row],[Fault Clearance time]]-Table6[[#This Row],[Fault Start TimeStamp]])*24</f>
        <v>0.16666666666666874</v>
      </c>
      <c r="U771" s="35" t="s">
        <v>1846</v>
      </c>
      <c r="V771" s="102" t="s">
        <v>293</v>
      </c>
      <c r="W771" s="478">
        <f>IFERROR(Table6[[#This Row],[Breakdown Time]]*Table6[[#This Row],[Plant Equivalent Weightage]],"")</f>
        <v>6.4102564102564881E-3</v>
      </c>
      <c r="X771" s="473" t="s">
        <v>294</v>
      </c>
      <c r="Y771" s="474" t="s">
        <v>323</v>
      </c>
      <c r="Z771" s="102">
        <v>14496</v>
      </c>
      <c r="AA771" s="468">
        <f>(Table6[[#This Row],[Paired WTG Generation for loss calculation]]/24)*Table6[[#This Row],[Breakdown Time]]</f>
        <v>100.66666666666792</v>
      </c>
      <c r="AB771" s="102"/>
      <c r="AC771" s="35"/>
      <c r="AD771" s="35"/>
    </row>
    <row r="772" spans="1:30">
      <c r="A772" s="102">
        <f t="shared" si="12"/>
        <v>771</v>
      </c>
      <c r="B772" s="468">
        <f>YEAR(Table6[[#This Row],[Date]])+IF(MONTH(Table6[[#This Row],[Date]])&gt;=4,1,0)</f>
        <v>2026</v>
      </c>
      <c r="C772" s="102">
        <f>YEAR(Table6[[#This Row],[Date]])</f>
        <v>2025</v>
      </c>
      <c r="D772" s="102" t="s">
        <v>1992</v>
      </c>
      <c r="E772" s="469">
        <f>Table6[[#This Row],[Date]]-DAY(Table6[[#This Row],[Date]])+1</f>
        <v>45778</v>
      </c>
      <c r="F772" s="470">
        <v>45796</v>
      </c>
      <c r="G772" s="35" t="s">
        <v>95</v>
      </c>
      <c r="H772" s="35" t="str">
        <f>IFERROR(_xlfn.XLOOKUP(Table6[[#This Row],[Affected WTG]],'Basic Data'!$A:$A,'Basic Data'!$B:$B),"")</f>
        <v>TQGXIIPL</v>
      </c>
      <c r="I772" s="35" t="str">
        <f>IFERROR(_xlfn.XLOOKUP(Table6[[#This Row],[Affected WTG]],'Basic Data'!$A:$A,'Basic Data'!$C:$C),"")</f>
        <v>GEDA</v>
      </c>
      <c r="J772" s="471">
        <f>IFERROR(_xlfn.XLOOKUP(Table6[[#This Row],[Affected WTG]],'Basic Data'!$A:$A,'Basic Data'!$E:$E),"")</f>
        <v>3.846153846153845E-2</v>
      </c>
      <c r="K772" s="102">
        <v>55</v>
      </c>
      <c r="L772" s="35" t="str">
        <f>IFERROR(_xlfn.XLOOKUP(Table6[[#This Row],[Error Code]],'Basic Data'!$AA:$AA,'Basic Data'!$AB:$AB),"Incorrect Error Code")</f>
        <v>WTG shut down</v>
      </c>
      <c r="M772" s="35" t="s">
        <v>291</v>
      </c>
      <c r="N772" s="475"/>
      <c r="O772" s="476">
        <v>0.52916666666666667</v>
      </c>
      <c r="P772" s="476">
        <v>0.52916666666666667</v>
      </c>
      <c r="Q772" s="477">
        <v>0.625</v>
      </c>
      <c r="R772" s="472">
        <f>IF(Table6[[#This Row],[Work Start TimeStamp]]="","",(Table6[[#This Row],[Work Start TimeStamp]]-Table6[[#This Row],[Fault Start TimeStamp]])*24)</f>
        <v>0</v>
      </c>
      <c r="S772" s="472">
        <f>(Table6[[#This Row],[Fault Clearance time]]-Table6[[#This Row],[Work Start TimeStamp]])*24</f>
        <v>2.2999999999999998</v>
      </c>
      <c r="T772" s="472">
        <f>(Table6[[#This Row],[Fault Clearance time]]-Table6[[#This Row],[Fault Start TimeStamp]])*24</f>
        <v>2.2999999999999998</v>
      </c>
      <c r="U772" s="35" t="s">
        <v>1847</v>
      </c>
      <c r="V772" s="102" t="s">
        <v>293</v>
      </c>
      <c r="W772" s="478">
        <f>IFERROR(Table6[[#This Row],[Breakdown Time]]*Table6[[#This Row],[Plant Equivalent Weightage]],"")</f>
        <v>8.8461538461538425E-2</v>
      </c>
      <c r="X772" s="473" t="s">
        <v>290</v>
      </c>
      <c r="Y772" s="474" t="s">
        <v>319</v>
      </c>
      <c r="Z772" s="102">
        <v>15698</v>
      </c>
      <c r="AA772" s="468">
        <f>(Table6[[#This Row],[Paired WTG Generation for loss calculation]]/24)*Table6[[#This Row],[Breakdown Time]]</f>
        <v>1504.3916666666667</v>
      </c>
      <c r="AB772" s="102"/>
      <c r="AC772" s="35"/>
      <c r="AD772" s="35"/>
    </row>
    <row r="773" spans="1:30">
      <c r="A773" s="102">
        <f t="shared" si="12"/>
        <v>772</v>
      </c>
      <c r="B773" s="468">
        <f>YEAR(Table6[[#This Row],[Date]])+IF(MONTH(Table6[[#This Row],[Date]])&gt;=4,1,0)</f>
        <v>2026</v>
      </c>
      <c r="C773" s="102">
        <f>YEAR(Table6[[#This Row],[Date]])</f>
        <v>2025</v>
      </c>
      <c r="D773" s="102" t="s">
        <v>1992</v>
      </c>
      <c r="E773" s="469">
        <f>Table6[[#This Row],[Date]]-DAY(Table6[[#This Row],[Date]])+1</f>
        <v>45778</v>
      </c>
      <c r="F773" s="470">
        <v>45796</v>
      </c>
      <c r="G773" s="35" t="s">
        <v>95</v>
      </c>
      <c r="H773" s="35" t="str">
        <f>IFERROR(_xlfn.XLOOKUP(Table6[[#This Row],[Affected WTG]],'Basic Data'!$A:$A,'Basic Data'!$B:$B),"")</f>
        <v>TQGXIIPL</v>
      </c>
      <c r="I773" s="35" t="str">
        <f>IFERROR(_xlfn.XLOOKUP(Table6[[#This Row],[Affected WTG]],'Basic Data'!$A:$A,'Basic Data'!$C:$C),"")</f>
        <v>GEDA</v>
      </c>
      <c r="J773" s="471">
        <f>IFERROR(_xlfn.XLOOKUP(Table6[[#This Row],[Affected WTG]],'Basic Data'!$A:$A,'Basic Data'!$E:$E),"")</f>
        <v>3.846153846153845E-2</v>
      </c>
      <c r="K773" s="102">
        <v>55</v>
      </c>
      <c r="L773" s="35" t="str">
        <f>IFERROR(_xlfn.XLOOKUP(Table6[[#This Row],[Error Code]],'Basic Data'!$AA:$AA,'Basic Data'!$AB:$AB),"Incorrect Error Code")</f>
        <v>WTG shut down</v>
      </c>
      <c r="M773" s="35" t="s">
        <v>328</v>
      </c>
      <c r="N773" s="475"/>
      <c r="O773" s="476">
        <v>0.625</v>
      </c>
      <c r="P773" s="476">
        <v>0.625</v>
      </c>
      <c r="Q773" s="477">
        <v>0.75347222222222221</v>
      </c>
      <c r="R773" s="472">
        <f>IF(Table6[[#This Row],[Work Start TimeStamp]]="","",(Table6[[#This Row],[Work Start TimeStamp]]-Table6[[#This Row],[Fault Start TimeStamp]])*24)</f>
        <v>0</v>
      </c>
      <c r="S773" s="472">
        <f>(Table6[[#This Row],[Fault Clearance time]]-Table6[[#This Row],[Work Start TimeStamp]])*24</f>
        <v>3.083333333333333</v>
      </c>
      <c r="T773" s="472">
        <f>(Table6[[#This Row],[Fault Clearance time]]-Table6[[#This Row],[Fault Start TimeStamp]])*24</f>
        <v>3.083333333333333</v>
      </c>
      <c r="U773" s="35" t="s">
        <v>1848</v>
      </c>
      <c r="V773" s="102" t="s">
        <v>293</v>
      </c>
      <c r="W773" s="478">
        <f>IFERROR(Table6[[#This Row],[Breakdown Time]]*Table6[[#This Row],[Plant Equivalent Weightage]],"")</f>
        <v>0.11858974358974354</v>
      </c>
      <c r="X773" s="473" t="s">
        <v>290</v>
      </c>
      <c r="Y773" s="474" t="s">
        <v>319</v>
      </c>
      <c r="Z773" s="102">
        <v>15698</v>
      </c>
      <c r="AA773" s="468">
        <f>(Table6[[#This Row],[Paired WTG Generation for loss calculation]]/24)*Table6[[#This Row],[Breakdown Time]]</f>
        <v>2016.7569444444443</v>
      </c>
      <c r="AB773" s="102"/>
      <c r="AC773" s="35"/>
      <c r="AD773" s="35"/>
    </row>
    <row r="774" spans="1:30">
      <c r="A774" s="102">
        <f t="shared" si="12"/>
        <v>773</v>
      </c>
      <c r="B774" s="468">
        <f>YEAR(Table6[[#This Row],[Date]])+IF(MONTH(Table6[[#This Row],[Date]])&gt;=4,1,0)</f>
        <v>2026</v>
      </c>
      <c r="C774" s="102">
        <f>YEAR(Table6[[#This Row],[Date]])</f>
        <v>2025</v>
      </c>
      <c r="D774" s="102" t="s">
        <v>1992</v>
      </c>
      <c r="E774" s="469">
        <f>Table6[[#This Row],[Date]]-DAY(Table6[[#This Row],[Date]])+1</f>
        <v>45778</v>
      </c>
      <c r="F774" s="470">
        <v>45796</v>
      </c>
      <c r="G774" s="35" t="s">
        <v>96</v>
      </c>
      <c r="H774" s="35" t="str">
        <f>IFERROR(_xlfn.XLOOKUP(Table6[[#This Row],[Affected WTG]],'Basic Data'!$A:$A,'Basic Data'!$B:$B),"")</f>
        <v>TQGXIIPL</v>
      </c>
      <c r="I774" s="35" t="str">
        <f>IFERROR(_xlfn.XLOOKUP(Table6[[#This Row],[Affected WTG]],'Basic Data'!$A:$A,'Basic Data'!$C:$C),"")</f>
        <v>GEDA</v>
      </c>
      <c r="J774" s="471">
        <f>IFERROR(_xlfn.XLOOKUP(Table6[[#This Row],[Affected WTG]],'Basic Data'!$A:$A,'Basic Data'!$E:$E),"")</f>
        <v>3.846153846153845E-2</v>
      </c>
      <c r="K774" s="102">
        <v>55</v>
      </c>
      <c r="L774" s="35" t="str">
        <f>IFERROR(_xlfn.XLOOKUP(Table6[[#This Row],[Error Code]],'Basic Data'!$AA:$AA,'Basic Data'!$AB:$AB),"Incorrect Error Code")</f>
        <v>WTG shut down</v>
      </c>
      <c r="M774" s="35" t="s">
        <v>297</v>
      </c>
      <c r="N774" s="475"/>
      <c r="O774" s="476">
        <v>0.72916666666666663</v>
      </c>
      <c r="P774" s="476">
        <v>0.72916666666666663</v>
      </c>
      <c r="Q774" s="477">
        <v>0.73611111111111116</v>
      </c>
      <c r="R774" s="472">
        <f>IF(Table6[[#This Row],[Work Start TimeStamp]]="","",(Table6[[#This Row],[Work Start TimeStamp]]-Table6[[#This Row],[Fault Start TimeStamp]])*24)</f>
        <v>0</v>
      </c>
      <c r="S774" s="472">
        <f>(Table6[[#This Row],[Fault Clearance time]]-Table6[[#This Row],[Work Start TimeStamp]])*24</f>
        <v>0.16666666666666874</v>
      </c>
      <c r="T774" s="472">
        <f>(Table6[[#This Row],[Fault Clearance time]]-Table6[[#This Row],[Fault Start TimeStamp]])*24</f>
        <v>0.16666666666666874</v>
      </c>
      <c r="U774" s="35" t="s">
        <v>1846</v>
      </c>
      <c r="V774" s="102" t="s">
        <v>293</v>
      </c>
      <c r="W774" s="478">
        <f>IFERROR(Table6[[#This Row],[Breakdown Time]]*Table6[[#This Row],[Plant Equivalent Weightage]],"")</f>
        <v>6.4102564102564881E-3</v>
      </c>
      <c r="X774" s="473" t="s">
        <v>294</v>
      </c>
      <c r="Y774" s="474" t="s">
        <v>313</v>
      </c>
      <c r="Z774" s="102">
        <v>12657</v>
      </c>
      <c r="AA774" s="468">
        <f>(Table6[[#This Row],[Paired WTG Generation for loss calculation]]/24)*Table6[[#This Row],[Breakdown Time]]</f>
        <v>87.895833333334423</v>
      </c>
      <c r="AB774" s="102"/>
      <c r="AC774" s="35"/>
      <c r="AD774" s="35"/>
    </row>
    <row r="775" spans="1:30">
      <c r="A775" s="102">
        <f t="shared" si="12"/>
        <v>774</v>
      </c>
      <c r="B775" s="468">
        <f>YEAR(Table6[[#This Row],[Date]])+IF(MONTH(Table6[[#This Row],[Date]])&gt;=4,1,0)</f>
        <v>2026</v>
      </c>
      <c r="C775" s="102">
        <f>YEAR(Table6[[#This Row],[Date]])</f>
        <v>2025</v>
      </c>
      <c r="D775" s="102" t="s">
        <v>1992</v>
      </c>
      <c r="E775" s="469">
        <f>Table6[[#This Row],[Date]]-DAY(Table6[[#This Row],[Date]])+1</f>
        <v>45778</v>
      </c>
      <c r="F775" s="470">
        <v>45796</v>
      </c>
      <c r="G775" s="35" t="s">
        <v>98</v>
      </c>
      <c r="H775" s="35" t="str">
        <f>IFERROR(_xlfn.XLOOKUP(Table6[[#This Row],[Affected WTG]],'Basic Data'!$A:$A,'Basic Data'!$B:$B),"")</f>
        <v>TQGXIIPL</v>
      </c>
      <c r="I775" s="35" t="str">
        <f>IFERROR(_xlfn.XLOOKUP(Table6[[#This Row],[Affected WTG]],'Basic Data'!$A:$A,'Basic Data'!$C:$C),"")</f>
        <v>GEDA</v>
      </c>
      <c r="J775" s="471">
        <f>IFERROR(_xlfn.XLOOKUP(Table6[[#This Row],[Affected WTG]],'Basic Data'!$A:$A,'Basic Data'!$E:$E),"")</f>
        <v>3.846153846153845E-2</v>
      </c>
      <c r="K775" s="102">
        <v>55</v>
      </c>
      <c r="L775" s="35" t="str">
        <f>IFERROR(_xlfn.XLOOKUP(Table6[[#This Row],[Error Code]],'Basic Data'!$AA:$AA,'Basic Data'!$AB:$AB),"Incorrect Error Code")</f>
        <v>WTG shut down</v>
      </c>
      <c r="M775" s="35" t="s">
        <v>297</v>
      </c>
      <c r="N775" s="475"/>
      <c r="O775" s="476">
        <v>0.72916666666666663</v>
      </c>
      <c r="P775" s="476">
        <v>0.72916666666666663</v>
      </c>
      <c r="Q775" s="477">
        <v>0.73611111111111116</v>
      </c>
      <c r="R775" s="472">
        <f>IF(Table6[[#This Row],[Work Start TimeStamp]]="","",(Table6[[#This Row],[Work Start TimeStamp]]-Table6[[#This Row],[Fault Start TimeStamp]])*24)</f>
        <v>0</v>
      </c>
      <c r="S775" s="472">
        <f>(Table6[[#This Row],[Fault Clearance time]]-Table6[[#This Row],[Work Start TimeStamp]])*24</f>
        <v>0.16666666666666874</v>
      </c>
      <c r="T775" s="472">
        <f>(Table6[[#This Row],[Fault Clearance time]]-Table6[[#This Row],[Fault Start TimeStamp]])*24</f>
        <v>0.16666666666666874</v>
      </c>
      <c r="U775" s="35" t="s">
        <v>1846</v>
      </c>
      <c r="V775" s="102" t="s">
        <v>293</v>
      </c>
      <c r="W775" s="478">
        <f>IFERROR(Table6[[#This Row],[Breakdown Time]]*Table6[[#This Row],[Plant Equivalent Weightage]],"")</f>
        <v>6.4102564102564881E-3</v>
      </c>
      <c r="X775" s="473" t="s">
        <v>294</v>
      </c>
      <c r="Y775" s="474" t="s">
        <v>315</v>
      </c>
      <c r="Z775" s="102">
        <v>15558</v>
      </c>
      <c r="AA775" s="468">
        <f>(Table6[[#This Row],[Paired WTG Generation for loss calculation]]/24)*Table6[[#This Row],[Breakdown Time]]</f>
        <v>108.04166666666801</v>
      </c>
      <c r="AB775" s="102"/>
      <c r="AC775" s="35"/>
      <c r="AD775" s="35"/>
    </row>
    <row r="776" spans="1:30">
      <c r="A776" s="102">
        <f t="shared" si="12"/>
        <v>775</v>
      </c>
      <c r="B776" s="468">
        <f>YEAR(Table6[[#This Row],[Date]])+IF(MONTH(Table6[[#This Row],[Date]])&gt;=4,1,0)</f>
        <v>2026</v>
      </c>
      <c r="C776" s="102">
        <f>YEAR(Table6[[#This Row],[Date]])</f>
        <v>2025</v>
      </c>
      <c r="D776" s="102" t="s">
        <v>1992</v>
      </c>
      <c r="E776" s="469">
        <f>Table6[[#This Row],[Date]]-DAY(Table6[[#This Row],[Date]])+1</f>
        <v>45778</v>
      </c>
      <c r="F776" s="470">
        <v>45796</v>
      </c>
      <c r="G776" s="35" t="s">
        <v>99</v>
      </c>
      <c r="H776" s="35" t="str">
        <f>IFERROR(_xlfn.XLOOKUP(Table6[[#This Row],[Affected WTG]],'Basic Data'!$A:$A,'Basic Data'!$B:$B),"")</f>
        <v>TQGXIIPL</v>
      </c>
      <c r="I776" s="35" t="str">
        <f>IFERROR(_xlfn.XLOOKUP(Table6[[#This Row],[Affected WTG]],'Basic Data'!$A:$A,'Basic Data'!$C:$C),"")</f>
        <v>GEDA</v>
      </c>
      <c r="J776" s="471">
        <f>IFERROR(_xlfn.XLOOKUP(Table6[[#This Row],[Affected WTG]],'Basic Data'!$A:$A,'Basic Data'!$E:$E),"")</f>
        <v>3.846153846153845E-2</v>
      </c>
      <c r="K776" s="102">
        <v>55</v>
      </c>
      <c r="L776" s="35" t="str">
        <f>IFERROR(_xlfn.XLOOKUP(Table6[[#This Row],[Error Code]],'Basic Data'!$AA:$AA,'Basic Data'!$AB:$AB),"Incorrect Error Code")</f>
        <v>WTG shut down</v>
      </c>
      <c r="M776" s="35" t="s">
        <v>297</v>
      </c>
      <c r="N776" s="475"/>
      <c r="O776" s="476">
        <v>0.72916666666666663</v>
      </c>
      <c r="P776" s="476">
        <v>0.72916666666666663</v>
      </c>
      <c r="Q776" s="477">
        <v>0.73611111111111116</v>
      </c>
      <c r="R776" s="472">
        <f>IF(Table6[[#This Row],[Work Start TimeStamp]]="","",(Table6[[#This Row],[Work Start TimeStamp]]-Table6[[#This Row],[Fault Start TimeStamp]])*24)</f>
        <v>0</v>
      </c>
      <c r="S776" s="472">
        <f>(Table6[[#This Row],[Fault Clearance time]]-Table6[[#This Row],[Work Start TimeStamp]])*24</f>
        <v>0.16666666666666874</v>
      </c>
      <c r="T776" s="472">
        <f>(Table6[[#This Row],[Fault Clearance time]]-Table6[[#This Row],[Fault Start TimeStamp]])*24</f>
        <v>0.16666666666666874</v>
      </c>
      <c r="U776" s="35" t="s">
        <v>1846</v>
      </c>
      <c r="V776" s="102" t="s">
        <v>293</v>
      </c>
      <c r="W776" s="478">
        <f>IFERROR(Table6[[#This Row],[Breakdown Time]]*Table6[[#This Row],[Plant Equivalent Weightage]],"")</f>
        <v>6.4102564102564881E-3</v>
      </c>
      <c r="X776" s="473" t="s">
        <v>294</v>
      </c>
      <c r="Y776" s="474" t="s">
        <v>315</v>
      </c>
      <c r="Z776" s="102">
        <v>15558</v>
      </c>
      <c r="AA776" s="468">
        <f>(Table6[[#This Row],[Paired WTG Generation for loss calculation]]/24)*Table6[[#This Row],[Breakdown Time]]</f>
        <v>108.04166666666801</v>
      </c>
      <c r="AB776" s="102"/>
      <c r="AC776" s="35"/>
      <c r="AD776" s="35"/>
    </row>
    <row r="777" spans="1:30">
      <c r="A777" s="102">
        <f t="shared" si="12"/>
        <v>776</v>
      </c>
      <c r="B777" s="468">
        <f>YEAR(Table6[[#This Row],[Date]])+IF(MONTH(Table6[[#This Row],[Date]])&gt;=4,1,0)</f>
        <v>2026</v>
      </c>
      <c r="C777" s="102">
        <f>YEAR(Table6[[#This Row],[Date]])</f>
        <v>2025</v>
      </c>
      <c r="D777" s="102" t="s">
        <v>1992</v>
      </c>
      <c r="E777" s="469">
        <f>Table6[[#This Row],[Date]]-DAY(Table6[[#This Row],[Date]])+1</f>
        <v>45778</v>
      </c>
      <c r="F777" s="470">
        <v>45797</v>
      </c>
      <c r="G777" s="35" t="s">
        <v>77</v>
      </c>
      <c r="H777" s="35" t="str">
        <f>IFERROR(_xlfn.XLOOKUP(Table6[[#This Row],[Affected WTG]],'Basic Data'!$A:$A,'Basic Data'!$B:$B),"")</f>
        <v>TQGXIIPL</v>
      </c>
      <c r="I777" s="35" t="str">
        <f>IFERROR(_xlfn.XLOOKUP(Table6[[#This Row],[Affected WTG]],'Basic Data'!$A:$A,'Basic Data'!$C:$C),"")</f>
        <v>GEDA</v>
      </c>
      <c r="J777" s="471">
        <f>IFERROR(_xlfn.XLOOKUP(Table6[[#This Row],[Affected WTG]],'Basic Data'!$A:$A,'Basic Data'!$E:$E),"")</f>
        <v>3.846153846153845E-2</v>
      </c>
      <c r="K777" s="102">
        <v>6130</v>
      </c>
      <c r="L777" s="35" t="str">
        <f>IFERROR(_xlfn.XLOOKUP(Table6[[#This Row],[Error Code]],'Basic Data'!$AA:$AA,'Basic Data'!$AB:$AB),"Incorrect Error Code")</f>
        <v>Yaw speed high</v>
      </c>
      <c r="M777" s="35" t="s">
        <v>291</v>
      </c>
      <c r="N777" s="475"/>
      <c r="O777" s="476">
        <v>0.70972222222222225</v>
      </c>
      <c r="P777" s="476">
        <v>0.70972222222222225</v>
      </c>
      <c r="Q777" s="477">
        <v>0.71597222222222223</v>
      </c>
      <c r="R777" s="472">
        <f>IF(Table6[[#This Row],[Work Start TimeStamp]]="","",(Table6[[#This Row],[Work Start TimeStamp]]-Table6[[#This Row],[Fault Start TimeStamp]])*24)</f>
        <v>0</v>
      </c>
      <c r="S777" s="472">
        <f>(Table6[[#This Row],[Fault Clearance time]]-Table6[[#This Row],[Work Start TimeStamp]])*24</f>
        <v>0.14999999999999947</v>
      </c>
      <c r="T777" s="472">
        <f>(Table6[[#This Row],[Fault Clearance time]]-Table6[[#This Row],[Fault Start TimeStamp]])*24</f>
        <v>0.14999999999999947</v>
      </c>
      <c r="U777" s="35" t="s">
        <v>344</v>
      </c>
      <c r="V777" s="102" t="s">
        <v>293</v>
      </c>
      <c r="W777" s="478">
        <f>IFERROR(Table6[[#This Row],[Breakdown Time]]*Table6[[#This Row],[Plant Equivalent Weightage]],"")</f>
        <v>5.769230769230747E-3</v>
      </c>
      <c r="X777" s="473" t="s">
        <v>294</v>
      </c>
      <c r="Y777" s="474" t="s">
        <v>310</v>
      </c>
      <c r="Z777" s="102">
        <v>12687</v>
      </c>
      <c r="AA777" s="468">
        <f>(Table6[[#This Row],[Paired WTG Generation for loss calculation]]/24)*Table6[[#This Row],[Breakdown Time]]</f>
        <v>79.293749999999719</v>
      </c>
      <c r="AB777" s="102"/>
      <c r="AC777" s="35"/>
      <c r="AD777" s="35"/>
    </row>
    <row r="778" spans="1:30">
      <c r="A778" s="102">
        <f t="shared" si="12"/>
        <v>777</v>
      </c>
      <c r="B778" s="468">
        <f>YEAR(Table6[[#This Row],[Date]])+IF(MONTH(Table6[[#This Row],[Date]])&gt;=4,1,0)</f>
        <v>2026</v>
      </c>
      <c r="C778" s="102">
        <f>YEAR(Table6[[#This Row],[Date]])</f>
        <v>2025</v>
      </c>
      <c r="D778" s="102" t="s">
        <v>1992</v>
      </c>
      <c r="E778" s="469">
        <f>Table6[[#This Row],[Date]]-DAY(Table6[[#This Row],[Date]])+1</f>
        <v>45778</v>
      </c>
      <c r="F778" s="470">
        <v>45797</v>
      </c>
      <c r="G778" s="35" t="s">
        <v>79</v>
      </c>
      <c r="H778" s="35" t="str">
        <f>IFERROR(_xlfn.XLOOKUP(Table6[[#This Row],[Affected WTG]],'Basic Data'!$A:$A,'Basic Data'!$B:$B),"")</f>
        <v>TQGXIIPL</v>
      </c>
      <c r="I778" s="35" t="str">
        <f>IFERROR(_xlfn.XLOOKUP(Table6[[#This Row],[Affected WTG]],'Basic Data'!$A:$A,'Basic Data'!$C:$C),"")</f>
        <v>GEDA</v>
      </c>
      <c r="J778" s="471">
        <f>IFERROR(_xlfn.XLOOKUP(Table6[[#This Row],[Affected WTG]],'Basic Data'!$A:$A,'Basic Data'!$E:$E),"")</f>
        <v>3.846153846153845E-2</v>
      </c>
      <c r="K778" s="102">
        <v>6130</v>
      </c>
      <c r="L778" s="35" t="str">
        <f>IFERROR(_xlfn.XLOOKUP(Table6[[#This Row],[Error Code]],'Basic Data'!$AA:$AA,'Basic Data'!$AB:$AB),"Incorrect Error Code")</f>
        <v>Yaw speed high</v>
      </c>
      <c r="M778" s="35" t="s">
        <v>292</v>
      </c>
      <c r="N778" s="475"/>
      <c r="O778" s="476">
        <v>0.54236111111111107</v>
      </c>
      <c r="P778" s="476">
        <v>0.54236111111111107</v>
      </c>
      <c r="Q778" s="477">
        <v>0.54652777777777772</v>
      </c>
      <c r="R778" s="472">
        <f>IF(Table6[[#This Row],[Work Start TimeStamp]]="","",(Table6[[#This Row],[Work Start TimeStamp]]-Table6[[#This Row],[Fault Start TimeStamp]])*24)</f>
        <v>0</v>
      </c>
      <c r="S778" s="472">
        <f>(Table6[[#This Row],[Fault Clearance time]]-Table6[[#This Row],[Work Start TimeStamp]])*24</f>
        <v>9.9999999999999645E-2</v>
      </c>
      <c r="T778" s="472">
        <f>(Table6[[#This Row],[Fault Clearance time]]-Table6[[#This Row],[Fault Start TimeStamp]])*24</f>
        <v>9.9999999999999645E-2</v>
      </c>
      <c r="U778" s="35" t="s">
        <v>346</v>
      </c>
      <c r="V778" s="102" t="s">
        <v>293</v>
      </c>
      <c r="W778" s="478">
        <f>IFERROR(Table6[[#This Row],[Breakdown Time]]*Table6[[#This Row],[Plant Equivalent Weightage]],"")</f>
        <v>3.8461538461538312E-3</v>
      </c>
      <c r="X778" s="473" t="s">
        <v>294</v>
      </c>
      <c r="Y778" s="474" t="s">
        <v>325</v>
      </c>
      <c r="Z778" s="102">
        <v>13934</v>
      </c>
      <c r="AA778" s="468">
        <f>(Table6[[#This Row],[Paired WTG Generation for loss calculation]]/24)*Table6[[#This Row],[Breakdown Time]]</f>
        <v>58.058333333333131</v>
      </c>
      <c r="AB778" s="102"/>
      <c r="AC778" s="35"/>
      <c r="AD778" s="35"/>
    </row>
    <row r="779" spans="1:30">
      <c r="A779" s="102">
        <f t="shared" si="12"/>
        <v>778</v>
      </c>
      <c r="B779" s="468">
        <f>YEAR(Table6[[#This Row],[Date]])+IF(MONTH(Table6[[#This Row],[Date]])&gt;=4,1,0)</f>
        <v>2026</v>
      </c>
      <c r="C779" s="102">
        <f>YEAR(Table6[[#This Row],[Date]])</f>
        <v>2025</v>
      </c>
      <c r="D779" s="102" t="s">
        <v>1992</v>
      </c>
      <c r="E779" s="469">
        <f>Table6[[#This Row],[Date]]-DAY(Table6[[#This Row],[Date]])+1</f>
        <v>45778</v>
      </c>
      <c r="F779" s="470">
        <v>45797</v>
      </c>
      <c r="G779" s="35" t="s">
        <v>81</v>
      </c>
      <c r="H779" s="35" t="str">
        <f>IFERROR(_xlfn.XLOOKUP(Table6[[#This Row],[Affected WTG]],'Basic Data'!$A:$A,'Basic Data'!$B:$B),"")</f>
        <v>TQGXIIPL</v>
      </c>
      <c r="I779" s="35" t="str">
        <f>IFERROR(_xlfn.XLOOKUP(Table6[[#This Row],[Affected WTG]],'Basic Data'!$A:$A,'Basic Data'!$C:$C),"")</f>
        <v>GEDA</v>
      </c>
      <c r="J779" s="471">
        <f>IFERROR(_xlfn.XLOOKUP(Table6[[#This Row],[Affected WTG]],'Basic Data'!$A:$A,'Basic Data'!$E:$E),"")</f>
        <v>3.846153846153845E-2</v>
      </c>
      <c r="K779" s="102">
        <v>55</v>
      </c>
      <c r="L779" s="35" t="str">
        <f>IFERROR(_xlfn.XLOOKUP(Table6[[#This Row],[Error Code]],'Basic Data'!$AA:$AA,'Basic Data'!$AB:$AB),"Incorrect Error Code")</f>
        <v>WTG shut down</v>
      </c>
      <c r="M779" s="35" t="s">
        <v>330</v>
      </c>
      <c r="N779" s="475"/>
      <c r="O779" s="476">
        <v>0.71736111111111112</v>
      </c>
      <c r="P779" s="476">
        <v>0.71736111111111112</v>
      </c>
      <c r="Q779" s="477">
        <v>0.76041666666666663</v>
      </c>
      <c r="R779" s="472">
        <f>IF(Table6[[#This Row],[Work Start TimeStamp]]="","",(Table6[[#This Row],[Work Start TimeStamp]]-Table6[[#This Row],[Fault Start TimeStamp]])*24)</f>
        <v>0</v>
      </c>
      <c r="S779" s="472">
        <f>(Table6[[#This Row],[Fault Clearance time]]-Table6[[#This Row],[Work Start TimeStamp]])*24</f>
        <v>1.0333333333333323</v>
      </c>
      <c r="T779" s="472">
        <f>(Table6[[#This Row],[Fault Clearance time]]-Table6[[#This Row],[Fault Start TimeStamp]])*24</f>
        <v>1.0333333333333323</v>
      </c>
      <c r="U779" s="35" t="s">
        <v>1744</v>
      </c>
      <c r="V779" s="102" t="s">
        <v>293</v>
      </c>
      <c r="W779" s="478">
        <f>IFERROR(Table6[[#This Row],[Breakdown Time]]*Table6[[#This Row],[Plant Equivalent Weightage]],"")</f>
        <v>3.9743589743589693E-2</v>
      </c>
      <c r="X779" s="473" t="s">
        <v>294</v>
      </c>
      <c r="Y779" s="474" t="s">
        <v>321</v>
      </c>
      <c r="Z779" s="102">
        <v>14103</v>
      </c>
      <c r="AA779" s="468">
        <f>(Table6[[#This Row],[Paired WTG Generation for loss calculation]]/24)*Table6[[#This Row],[Breakdown Time]]</f>
        <v>607.21249999999941</v>
      </c>
      <c r="AB779" s="102"/>
      <c r="AC779" s="35"/>
      <c r="AD779" s="35"/>
    </row>
    <row r="780" spans="1:30">
      <c r="A780" s="102">
        <f t="shared" si="12"/>
        <v>779</v>
      </c>
      <c r="B780" s="468">
        <f>YEAR(Table6[[#This Row],[Date]])+IF(MONTH(Table6[[#This Row],[Date]])&gt;=4,1,0)</f>
        <v>2026</v>
      </c>
      <c r="C780" s="102">
        <f>YEAR(Table6[[#This Row],[Date]])</f>
        <v>2025</v>
      </c>
      <c r="D780" s="102" t="s">
        <v>1992</v>
      </c>
      <c r="E780" s="469">
        <f>Table6[[#This Row],[Date]]-DAY(Table6[[#This Row],[Date]])+1</f>
        <v>45778</v>
      </c>
      <c r="F780" s="470">
        <v>45797</v>
      </c>
      <c r="G780" s="35" t="s">
        <v>83</v>
      </c>
      <c r="H780" s="35" t="str">
        <f>IFERROR(_xlfn.XLOOKUP(Table6[[#This Row],[Affected WTG]],'Basic Data'!$A:$A,'Basic Data'!$B:$B),"")</f>
        <v>TQGXIIPL</v>
      </c>
      <c r="I780" s="35" t="str">
        <f>IFERROR(_xlfn.XLOOKUP(Table6[[#This Row],[Affected WTG]],'Basic Data'!$A:$A,'Basic Data'!$C:$C),"")</f>
        <v>GEDA</v>
      </c>
      <c r="J780" s="471">
        <f>IFERROR(_xlfn.XLOOKUP(Table6[[#This Row],[Affected WTG]],'Basic Data'!$A:$A,'Basic Data'!$E:$E),"")</f>
        <v>3.846153846153845E-2</v>
      </c>
      <c r="K780" s="102">
        <v>6130</v>
      </c>
      <c r="L780" s="35" t="str">
        <f>IFERROR(_xlfn.XLOOKUP(Table6[[#This Row],[Error Code]],'Basic Data'!$AA:$AA,'Basic Data'!$AB:$AB),"Incorrect Error Code")</f>
        <v>Yaw speed high</v>
      </c>
      <c r="M780" s="35" t="s">
        <v>292</v>
      </c>
      <c r="N780" s="475"/>
      <c r="O780" s="476">
        <v>0.73263888888888884</v>
      </c>
      <c r="P780" s="476">
        <v>0.73263888888888884</v>
      </c>
      <c r="Q780" s="477">
        <v>0.7368055555555556</v>
      </c>
      <c r="R780" s="472">
        <f>IF(Table6[[#This Row],[Work Start TimeStamp]]="","",(Table6[[#This Row],[Work Start TimeStamp]]-Table6[[#This Row],[Fault Start TimeStamp]])*24)</f>
        <v>0</v>
      </c>
      <c r="S780" s="472">
        <f>(Table6[[#This Row],[Fault Clearance time]]-Table6[[#This Row],[Work Start TimeStamp]])*24</f>
        <v>0.10000000000000231</v>
      </c>
      <c r="T780" s="472">
        <f>(Table6[[#This Row],[Fault Clearance time]]-Table6[[#This Row],[Fault Start TimeStamp]])*24</f>
        <v>0.10000000000000231</v>
      </c>
      <c r="U780" s="35" t="s">
        <v>346</v>
      </c>
      <c r="V780" s="102" t="s">
        <v>293</v>
      </c>
      <c r="W780" s="478">
        <f>IFERROR(Table6[[#This Row],[Breakdown Time]]*Table6[[#This Row],[Plant Equivalent Weightage]],"")</f>
        <v>3.846153846153934E-3</v>
      </c>
      <c r="X780" s="473" t="s">
        <v>294</v>
      </c>
      <c r="Y780" s="474" t="s">
        <v>312</v>
      </c>
      <c r="Z780" s="102">
        <v>14995</v>
      </c>
      <c r="AA780" s="468">
        <f>(Table6[[#This Row],[Paired WTG Generation for loss calculation]]/24)*Table6[[#This Row],[Breakdown Time]]</f>
        <v>62.479166666668107</v>
      </c>
      <c r="AB780" s="102"/>
      <c r="AC780" s="35"/>
      <c r="AD780" s="35"/>
    </row>
    <row r="781" spans="1:30">
      <c r="A781" s="102">
        <f t="shared" si="12"/>
        <v>780</v>
      </c>
      <c r="B781" s="468">
        <f>YEAR(Table6[[#This Row],[Date]])+IF(MONTH(Table6[[#This Row],[Date]])&gt;=4,1,0)</f>
        <v>2026</v>
      </c>
      <c r="C781" s="102">
        <f>YEAR(Table6[[#This Row],[Date]])</f>
        <v>2025</v>
      </c>
      <c r="D781" s="102" t="s">
        <v>1992</v>
      </c>
      <c r="E781" s="469">
        <f>Table6[[#This Row],[Date]]-DAY(Table6[[#This Row],[Date]])+1</f>
        <v>45778</v>
      </c>
      <c r="F781" s="470">
        <v>45797</v>
      </c>
      <c r="G781" s="35" t="s">
        <v>85</v>
      </c>
      <c r="H781" s="35" t="str">
        <f>IFERROR(_xlfn.XLOOKUP(Table6[[#This Row],[Affected WTG]],'Basic Data'!$A:$A,'Basic Data'!$B:$B),"")</f>
        <v>TQGXIIPL</v>
      </c>
      <c r="I781" s="35" t="str">
        <f>IFERROR(_xlfn.XLOOKUP(Table6[[#This Row],[Affected WTG]],'Basic Data'!$A:$A,'Basic Data'!$C:$C),"")</f>
        <v>GEDA</v>
      </c>
      <c r="J781" s="471">
        <f>IFERROR(_xlfn.XLOOKUP(Table6[[#This Row],[Affected WTG]],'Basic Data'!$A:$A,'Basic Data'!$E:$E),"")</f>
        <v>3.846153846153845E-2</v>
      </c>
      <c r="K781" s="102">
        <v>3110</v>
      </c>
      <c r="L781" s="35" t="str">
        <f>IFERROR(_xlfn.XLOOKUP(Table6[[#This Row],[Error Code]],'Basic Data'!$AA:$AA,'Basic Data'!$AB:$AB),"Incorrect Error Code")</f>
        <v>Frequency converter error</v>
      </c>
      <c r="M781" s="35" t="s">
        <v>291</v>
      </c>
      <c r="N781" s="475"/>
      <c r="O781" s="476">
        <v>0.37083333333333335</v>
      </c>
      <c r="P781" s="476">
        <v>0.37083333333333335</v>
      </c>
      <c r="Q781" s="477">
        <v>0.45833333333333331</v>
      </c>
      <c r="R781" s="472">
        <f>IF(Table6[[#This Row],[Work Start TimeStamp]]="","",(Table6[[#This Row],[Work Start TimeStamp]]-Table6[[#This Row],[Fault Start TimeStamp]])*24)</f>
        <v>0</v>
      </c>
      <c r="S781" s="472">
        <f>(Table6[[#This Row],[Fault Clearance time]]-Table6[[#This Row],[Work Start TimeStamp]])*24</f>
        <v>2.0999999999999992</v>
      </c>
      <c r="T781" s="472">
        <f>(Table6[[#This Row],[Fault Clearance time]]-Table6[[#This Row],[Fault Start TimeStamp]])*24</f>
        <v>2.0999999999999992</v>
      </c>
      <c r="U781" s="35" t="s">
        <v>1851</v>
      </c>
      <c r="V781" s="102" t="s">
        <v>293</v>
      </c>
      <c r="W781" s="478">
        <f>IFERROR(Table6[[#This Row],[Breakdown Time]]*Table6[[#This Row],[Plant Equivalent Weightage]],"")</f>
        <v>8.0769230769230718E-2</v>
      </c>
      <c r="X781" s="473" t="s">
        <v>290</v>
      </c>
      <c r="Y781" s="474" t="s">
        <v>322</v>
      </c>
      <c r="Z781" s="102">
        <v>13779</v>
      </c>
      <c r="AA781" s="468">
        <f>(Table6[[#This Row],[Paired WTG Generation for loss calculation]]/24)*Table6[[#This Row],[Breakdown Time]]</f>
        <v>1205.6624999999995</v>
      </c>
      <c r="AB781" s="102"/>
      <c r="AC781" s="35"/>
      <c r="AD781" s="35"/>
    </row>
    <row r="782" spans="1:30">
      <c r="A782" s="102">
        <f t="shared" ref="A782:A845" si="13">A781+1</f>
        <v>781</v>
      </c>
      <c r="B782" s="468">
        <f>YEAR(Table6[[#This Row],[Date]])+IF(MONTH(Table6[[#This Row],[Date]])&gt;=4,1,0)</f>
        <v>2026</v>
      </c>
      <c r="C782" s="102">
        <f>YEAR(Table6[[#This Row],[Date]])</f>
        <v>2025</v>
      </c>
      <c r="D782" s="102" t="s">
        <v>1992</v>
      </c>
      <c r="E782" s="469">
        <f>Table6[[#This Row],[Date]]-DAY(Table6[[#This Row],[Date]])+1</f>
        <v>45778</v>
      </c>
      <c r="F782" s="470">
        <v>45797</v>
      </c>
      <c r="G782" s="35" t="s">
        <v>85</v>
      </c>
      <c r="H782" s="35" t="str">
        <f>IFERROR(_xlfn.XLOOKUP(Table6[[#This Row],[Affected WTG]],'Basic Data'!$A:$A,'Basic Data'!$B:$B),"")</f>
        <v>TQGXIIPL</v>
      </c>
      <c r="I782" s="35" t="str">
        <f>IFERROR(_xlfn.XLOOKUP(Table6[[#This Row],[Affected WTG]],'Basic Data'!$A:$A,'Basic Data'!$C:$C),"")</f>
        <v>GEDA</v>
      </c>
      <c r="J782" s="471">
        <f>IFERROR(_xlfn.XLOOKUP(Table6[[#This Row],[Affected WTG]],'Basic Data'!$A:$A,'Basic Data'!$E:$E),"")</f>
        <v>3.846153846153845E-2</v>
      </c>
      <c r="K782" s="102">
        <v>55</v>
      </c>
      <c r="L782" s="35" t="str">
        <f>IFERROR(_xlfn.XLOOKUP(Table6[[#This Row],[Error Code]],'Basic Data'!$AA:$AA,'Basic Data'!$AB:$AB),"Incorrect Error Code")</f>
        <v>WTG shut down</v>
      </c>
      <c r="M782" s="35" t="s">
        <v>328</v>
      </c>
      <c r="N782" s="475"/>
      <c r="O782" s="476">
        <v>0.48055555555555557</v>
      </c>
      <c r="P782" s="476">
        <v>0.48055555555555557</v>
      </c>
      <c r="Q782" s="477">
        <v>0.5493055555555556</v>
      </c>
      <c r="R782" s="472">
        <f>IF(Table6[[#This Row],[Work Start TimeStamp]]="","",(Table6[[#This Row],[Work Start TimeStamp]]-Table6[[#This Row],[Fault Start TimeStamp]])*24)</f>
        <v>0</v>
      </c>
      <c r="S782" s="472">
        <f>(Table6[[#This Row],[Fault Clearance time]]-Table6[[#This Row],[Work Start TimeStamp]])*24</f>
        <v>1.6500000000000008</v>
      </c>
      <c r="T782" s="472">
        <f>(Table6[[#This Row],[Fault Clearance time]]-Table6[[#This Row],[Fault Start TimeStamp]])*24</f>
        <v>1.6500000000000008</v>
      </c>
      <c r="U782" s="35" t="s">
        <v>1852</v>
      </c>
      <c r="V782" s="102" t="s">
        <v>293</v>
      </c>
      <c r="W782" s="478">
        <f>IFERROR(Table6[[#This Row],[Breakdown Time]]*Table6[[#This Row],[Plant Equivalent Weightage]],"")</f>
        <v>6.3461538461538472E-2</v>
      </c>
      <c r="X782" s="473" t="s">
        <v>290</v>
      </c>
      <c r="Y782" s="474" t="s">
        <v>322</v>
      </c>
      <c r="Z782" s="102">
        <v>13779</v>
      </c>
      <c r="AA782" s="468">
        <f>(Table6[[#This Row],[Paired WTG Generation for loss calculation]]/24)*Table6[[#This Row],[Breakdown Time]]</f>
        <v>947.30625000000043</v>
      </c>
      <c r="AB782" s="102"/>
      <c r="AC782" s="35"/>
      <c r="AD782" s="35"/>
    </row>
    <row r="783" spans="1:30">
      <c r="A783" s="102">
        <f t="shared" si="13"/>
        <v>782</v>
      </c>
      <c r="B783" s="468">
        <f>YEAR(Table6[[#This Row],[Date]])+IF(MONTH(Table6[[#This Row],[Date]])&gt;=4,1,0)</f>
        <v>2026</v>
      </c>
      <c r="C783" s="102">
        <f>YEAR(Table6[[#This Row],[Date]])</f>
        <v>2025</v>
      </c>
      <c r="D783" s="102" t="s">
        <v>1992</v>
      </c>
      <c r="E783" s="469">
        <f>Table6[[#This Row],[Date]]-DAY(Table6[[#This Row],[Date]])+1</f>
        <v>45778</v>
      </c>
      <c r="F783" s="470">
        <v>45797</v>
      </c>
      <c r="G783" s="35" t="s">
        <v>86</v>
      </c>
      <c r="H783" s="35" t="str">
        <f>IFERROR(_xlfn.XLOOKUP(Table6[[#This Row],[Affected WTG]],'Basic Data'!$A:$A,'Basic Data'!$B:$B),"")</f>
        <v>TQGXIIPL</v>
      </c>
      <c r="I783" s="35" t="str">
        <f>IFERROR(_xlfn.XLOOKUP(Table6[[#This Row],[Affected WTG]],'Basic Data'!$A:$A,'Basic Data'!$C:$C),"")</f>
        <v>GEDA</v>
      </c>
      <c r="J783" s="471">
        <f>IFERROR(_xlfn.XLOOKUP(Table6[[#This Row],[Affected WTG]],'Basic Data'!$A:$A,'Basic Data'!$E:$E),"")</f>
        <v>3.846153846153845E-2</v>
      </c>
      <c r="K783" s="102">
        <v>1510</v>
      </c>
      <c r="L783" s="35" t="str">
        <f>IFERROR(_xlfn.XLOOKUP(Table6[[#This Row],[Error Code]],'Basic Data'!$AA:$AA,'Basic Data'!$AB:$AB),"Incorrect Error Code")</f>
        <v>Low gearbox oil pressure</v>
      </c>
      <c r="M783" s="35" t="s">
        <v>291</v>
      </c>
      <c r="N783" s="475"/>
      <c r="O783" s="476">
        <v>0.89513888888888893</v>
      </c>
      <c r="P783" s="476">
        <v>0.89513888888888893</v>
      </c>
      <c r="Q783" s="477">
        <v>0.89722222222222225</v>
      </c>
      <c r="R783" s="472">
        <f>IF(Table6[[#This Row],[Work Start TimeStamp]]="","",(Table6[[#This Row],[Work Start TimeStamp]]-Table6[[#This Row],[Fault Start TimeStamp]])*24)</f>
        <v>0</v>
      </c>
      <c r="S783" s="472">
        <f>(Table6[[#This Row],[Fault Clearance time]]-Table6[[#This Row],[Work Start TimeStamp]])*24</f>
        <v>4.9999999999999822E-2</v>
      </c>
      <c r="T783" s="472">
        <f>(Table6[[#This Row],[Fault Clearance time]]-Table6[[#This Row],[Fault Start TimeStamp]])*24</f>
        <v>4.9999999999999822E-2</v>
      </c>
      <c r="U783" s="35" t="s">
        <v>344</v>
      </c>
      <c r="V783" s="102" t="s">
        <v>293</v>
      </c>
      <c r="W783" s="478">
        <f>IFERROR(Table6[[#This Row],[Breakdown Time]]*Table6[[#This Row],[Plant Equivalent Weightage]],"")</f>
        <v>1.9230769230769156E-3</v>
      </c>
      <c r="X783" s="473" t="s">
        <v>294</v>
      </c>
      <c r="Y783" s="474" t="s">
        <v>313</v>
      </c>
      <c r="Z783" s="102">
        <v>12633</v>
      </c>
      <c r="AA783" s="468">
        <f>(Table6[[#This Row],[Paired WTG Generation for loss calculation]]/24)*Table6[[#This Row],[Breakdown Time]]</f>
        <v>26.318749999999905</v>
      </c>
      <c r="AB783" s="102"/>
      <c r="AC783" s="35"/>
      <c r="AD783" s="35"/>
    </row>
    <row r="784" spans="1:30">
      <c r="A784" s="102">
        <f t="shared" si="13"/>
        <v>783</v>
      </c>
      <c r="B784" s="468">
        <f>YEAR(Table6[[#This Row],[Date]])+IF(MONTH(Table6[[#This Row],[Date]])&gt;=4,1,0)</f>
        <v>2026</v>
      </c>
      <c r="C784" s="102">
        <f>YEAR(Table6[[#This Row],[Date]])</f>
        <v>2025</v>
      </c>
      <c r="D784" s="102" t="s">
        <v>1992</v>
      </c>
      <c r="E784" s="469">
        <f>Table6[[#This Row],[Date]]-DAY(Table6[[#This Row],[Date]])+1</f>
        <v>45778</v>
      </c>
      <c r="F784" s="470">
        <v>45797</v>
      </c>
      <c r="G784" s="35" t="s">
        <v>90</v>
      </c>
      <c r="H784" s="35" t="str">
        <f>IFERROR(_xlfn.XLOOKUP(Table6[[#This Row],[Affected WTG]],'Basic Data'!$A:$A,'Basic Data'!$B:$B),"")</f>
        <v>TQGXIIPL</v>
      </c>
      <c r="I784" s="35" t="str">
        <f>IFERROR(_xlfn.XLOOKUP(Table6[[#This Row],[Affected WTG]],'Basic Data'!$A:$A,'Basic Data'!$C:$C),"")</f>
        <v>GEDA</v>
      </c>
      <c r="J784" s="471">
        <f>IFERROR(_xlfn.XLOOKUP(Table6[[#This Row],[Affected WTG]],'Basic Data'!$A:$A,'Basic Data'!$E:$E),"")</f>
        <v>3.846153846153845E-2</v>
      </c>
      <c r="K784" s="102">
        <v>3110</v>
      </c>
      <c r="L784" s="35" t="str">
        <f>IFERROR(_xlfn.XLOOKUP(Table6[[#This Row],[Error Code]],'Basic Data'!$AA:$AA,'Basic Data'!$AB:$AB),"Incorrect Error Code")</f>
        <v>Frequency converter error</v>
      </c>
      <c r="M784" s="35" t="s">
        <v>291</v>
      </c>
      <c r="N784" s="475"/>
      <c r="O784" s="476">
        <v>0.66319444444444442</v>
      </c>
      <c r="P784" s="476">
        <v>0.66319444444444442</v>
      </c>
      <c r="Q784" s="477">
        <v>0.6645833333333333</v>
      </c>
      <c r="R784" s="472">
        <f>IF(Table6[[#This Row],[Work Start TimeStamp]]="","",(Table6[[#This Row],[Work Start TimeStamp]]-Table6[[#This Row],[Fault Start TimeStamp]])*24)</f>
        <v>0</v>
      </c>
      <c r="S784" s="472">
        <f>(Table6[[#This Row],[Fault Clearance time]]-Table6[[#This Row],[Work Start TimeStamp]])*24</f>
        <v>3.3333333333333215E-2</v>
      </c>
      <c r="T784" s="472">
        <f>(Table6[[#This Row],[Fault Clearance time]]-Table6[[#This Row],[Fault Start TimeStamp]])*24</f>
        <v>3.3333333333333215E-2</v>
      </c>
      <c r="U784" s="35" t="s">
        <v>1853</v>
      </c>
      <c r="V784" s="102" t="s">
        <v>293</v>
      </c>
      <c r="W784" s="478">
        <f>IFERROR(Table6[[#This Row],[Breakdown Time]]*Table6[[#This Row],[Plant Equivalent Weightage]],"")</f>
        <v>1.2820512820512771E-3</v>
      </c>
      <c r="X784" s="473" t="s">
        <v>294</v>
      </c>
      <c r="Y784" s="474" t="s">
        <v>339</v>
      </c>
      <c r="Z784" s="102">
        <v>19816</v>
      </c>
      <c r="AA784" s="468">
        <f>(Table6[[#This Row],[Paired WTG Generation for loss calculation]]/24)*Table6[[#This Row],[Breakdown Time]]</f>
        <v>27.522222222222123</v>
      </c>
      <c r="AB784" s="102"/>
      <c r="AC784" s="35"/>
      <c r="AD784" s="35"/>
    </row>
    <row r="785" spans="1:30">
      <c r="A785" s="102">
        <f t="shared" si="13"/>
        <v>784</v>
      </c>
      <c r="B785" s="468">
        <f>YEAR(Table6[[#This Row],[Date]])+IF(MONTH(Table6[[#This Row],[Date]])&gt;=4,1,0)</f>
        <v>2026</v>
      </c>
      <c r="C785" s="102">
        <f>YEAR(Table6[[#This Row],[Date]])</f>
        <v>2025</v>
      </c>
      <c r="D785" s="102" t="s">
        <v>1992</v>
      </c>
      <c r="E785" s="469">
        <f>Table6[[#This Row],[Date]]-DAY(Table6[[#This Row],[Date]])+1</f>
        <v>45778</v>
      </c>
      <c r="F785" s="470">
        <v>45797</v>
      </c>
      <c r="G785" s="35" t="s">
        <v>98</v>
      </c>
      <c r="H785" s="35" t="str">
        <f>IFERROR(_xlfn.XLOOKUP(Table6[[#This Row],[Affected WTG]],'Basic Data'!$A:$A,'Basic Data'!$B:$B),"")</f>
        <v>TQGXIIPL</v>
      </c>
      <c r="I785" s="35" t="str">
        <f>IFERROR(_xlfn.XLOOKUP(Table6[[#This Row],[Affected WTG]],'Basic Data'!$A:$A,'Basic Data'!$C:$C),"")</f>
        <v>GEDA</v>
      </c>
      <c r="J785" s="471">
        <f>IFERROR(_xlfn.XLOOKUP(Table6[[#This Row],[Affected WTG]],'Basic Data'!$A:$A,'Basic Data'!$E:$E),"")</f>
        <v>3.846153846153845E-2</v>
      </c>
      <c r="K785" s="102">
        <v>55</v>
      </c>
      <c r="L785" s="35" t="str">
        <f>IFERROR(_xlfn.XLOOKUP(Table6[[#This Row],[Error Code]],'Basic Data'!$AA:$AA,'Basic Data'!$AB:$AB),"Incorrect Error Code")</f>
        <v>WTG shut down</v>
      </c>
      <c r="M785" s="35" t="s">
        <v>330</v>
      </c>
      <c r="N785" s="475"/>
      <c r="O785" s="476">
        <v>0.71944444444444444</v>
      </c>
      <c r="P785" s="476">
        <v>0.71944444444444444</v>
      </c>
      <c r="Q785" s="477">
        <v>0.75694444444444442</v>
      </c>
      <c r="R785" s="472">
        <f>IF(Table6[[#This Row],[Work Start TimeStamp]]="","",(Table6[[#This Row],[Work Start TimeStamp]]-Table6[[#This Row],[Fault Start TimeStamp]])*24)</f>
        <v>0</v>
      </c>
      <c r="S785" s="472">
        <f>(Table6[[#This Row],[Fault Clearance time]]-Table6[[#This Row],[Work Start TimeStamp]])*24</f>
        <v>0.89999999999999947</v>
      </c>
      <c r="T785" s="472">
        <f>(Table6[[#This Row],[Fault Clearance time]]-Table6[[#This Row],[Fault Start TimeStamp]])*24</f>
        <v>0.89999999999999947</v>
      </c>
      <c r="U785" s="35" t="s">
        <v>1744</v>
      </c>
      <c r="V785" s="102" t="s">
        <v>293</v>
      </c>
      <c r="W785" s="478">
        <f>IFERROR(Table6[[#This Row],[Breakdown Time]]*Table6[[#This Row],[Plant Equivalent Weightage]],"")</f>
        <v>3.4615384615384583E-2</v>
      </c>
      <c r="X785" s="473" t="s">
        <v>294</v>
      </c>
      <c r="Y785" s="474" t="s">
        <v>315</v>
      </c>
      <c r="Z785" s="102">
        <v>13354</v>
      </c>
      <c r="AA785" s="468">
        <f>(Table6[[#This Row],[Paired WTG Generation for loss calculation]]/24)*Table6[[#This Row],[Breakdown Time]]</f>
        <v>500.77499999999969</v>
      </c>
      <c r="AB785" s="102"/>
      <c r="AC785" s="35"/>
      <c r="AD785" s="35"/>
    </row>
    <row r="786" spans="1:30">
      <c r="A786" s="102">
        <f t="shared" si="13"/>
        <v>785</v>
      </c>
      <c r="B786" s="468">
        <f>YEAR(Table6[[#This Row],[Date]])+IF(MONTH(Table6[[#This Row],[Date]])&gt;=4,1,0)</f>
        <v>2026</v>
      </c>
      <c r="C786" s="102">
        <f>YEAR(Table6[[#This Row],[Date]])</f>
        <v>2025</v>
      </c>
      <c r="D786" s="102" t="s">
        <v>1992</v>
      </c>
      <c r="E786" s="469">
        <f>Table6[[#This Row],[Date]]-DAY(Table6[[#This Row],[Date]])+1</f>
        <v>45778</v>
      </c>
      <c r="F786" s="470">
        <v>45797</v>
      </c>
      <c r="G786" s="35" t="s">
        <v>99</v>
      </c>
      <c r="H786" s="35" t="str">
        <f>IFERROR(_xlfn.XLOOKUP(Table6[[#This Row],[Affected WTG]],'Basic Data'!$A:$A,'Basic Data'!$B:$B),"")</f>
        <v>TQGXIIPL</v>
      </c>
      <c r="I786" s="35" t="str">
        <f>IFERROR(_xlfn.XLOOKUP(Table6[[#This Row],[Affected WTG]],'Basic Data'!$A:$A,'Basic Data'!$C:$C),"")</f>
        <v>GEDA</v>
      </c>
      <c r="J786" s="471">
        <f>IFERROR(_xlfn.XLOOKUP(Table6[[#This Row],[Affected WTG]],'Basic Data'!$A:$A,'Basic Data'!$E:$E),"")</f>
        <v>3.846153846153845E-2</v>
      </c>
      <c r="K786" s="102">
        <v>665</v>
      </c>
      <c r="L786" s="35" t="str">
        <f>IFERROR(_xlfn.XLOOKUP(Table6[[#This Row],[Error Code]],'Basic Data'!$AA:$AA,'Basic Data'!$AB:$AB),"Incorrect Error Code")</f>
        <v>Pitch error</v>
      </c>
      <c r="M786" s="35" t="s">
        <v>291</v>
      </c>
      <c r="N786" s="475"/>
      <c r="O786" s="476">
        <v>0.37083333333333335</v>
      </c>
      <c r="P786" s="476">
        <v>0.37083333333333335</v>
      </c>
      <c r="Q786" s="477">
        <v>0.38263888888888886</v>
      </c>
      <c r="R786" s="472">
        <f>IF(Table6[[#This Row],[Work Start TimeStamp]]="","",(Table6[[#This Row],[Work Start TimeStamp]]-Table6[[#This Row],[Fault Start TimeStamp]])*24)</f>
        <v>0</v>
      </c>
      <c r="S786" s="472">
        <f>(Table6[[#This Row],[Fault Clearance time]]-Table6[[#This Row],[Work Start TimeStamp]])*24</f>
        <v>0.28333333333333233</v>
      </c>
      <c r="T786" s="472">
        <f>(Table6[[#This Row],[Fault Clearance time]]-Table6[[#This Row],[Fault Start TimeStamp]])*24</f>
        <v>0.28333333333333233</v>
      </c>
      <c r="U786" s="35" t="s">
        <v>1854</v>
      </c>
      <c r="V786" s="102" t="s">
        <v>293</v>
      </c>
      <c r="W786" s="478">
        <f>IFERROR(Table6[[#This Row],[Breakdown Time]]*Table6[[#This Row],[Plant Equivalent Weightage]],"")</f>
        <v>1.0897435897435855E-2</v>
      </c>
      <c r="X786" s="473" t="s">
        <v>294</v>
      </c>
      <c r="Y786" s="474" t="s">
        <v>315</v>
      </c>
      <c r="Z786" s="102">
        <v>13354</v>
      </c>
      <c r="AA786" s="468">
        <f>(Table6[[#This Row],[Paired WTG Generation for loss calculation]]/24)*Table6[[#This Row],[Breakdown Time]]</f>
        <v>157.65138888888831</v>
      </c>
      <c r="AB786" s="102"/>
      <c r="AC786" s="35"/>
      <c r="AD786" s="35"/>
    </row>
    <row r="787" spans="1:30">
      <c r="A787" s="102">
        <f t="shared" si="13"/>
        <v>786</v>
      </c>
      <c r="B787" s="468">
        <f>YEAR(Table6[[#This Row],[Date]])+IF(MONTH(Table6[[#This Row],[Date]])&gt;=4,1,0)</f>
        <v>2026</v>
      </c>
      <c r="C787" s="102">
        <f>YEAR(Table6[[#This Row],[Date]])</f>
        <v>2025</v>
      </c>
      <c r="D787" s="102" t="s">
        <v>1992</v>
      </c>
      <c r="E787" s="469">
        <f>Table6[[#This Row],[Date]]-DAY(Table6[[#This Row],[Date]])+1</f>
        <v>45778</v>
      </c>
      <c r="F787" s="470">
        <v>45798</v>
      </c>
      <c r="G787" s="35" t="s">
        <v>74</v>
      </c>
      <c r="H787" s="35" t="str">
        <f>IFERROR(_xlfn.XLOOKUP(Table6[[#This Row],[Affected WTG]],'Basic Data'!$A:$A,'Basic Data'!$B:$B),"")</f>
        <v>TQGXIIPL</v>
      </c>
      <c r="I787" s="35" t="str">
        <f>IFERROR(_xlfn.XLOOKUP(Table6[[#This Row],[Affected WTG]],'Basic Data'!$A:$A,'Basic Data'!$C:$C),"")</f>
        <v>GEDA</v>
      </c>
      <c r="J787" s="471">
        <f>IFERROR(_xlfn.XLOOKUP(Table6[[#This Row],[Affected WTG]],'Basic Data'!$A:$A,'Basic Data'!$E:$E),"")</f>
        <v>3.846153846153845E-2</v>
      </c>
      <c r="K787" s="102">
        <v>152</v>
      </c>
      <c r="L787" s="35" t="str">
        <f>IFERROR(_xlfn.XLOOKUP(Table6[[#This Row],[Error Code]],'Basic Data'!$AA:$AA,'Basic Data'!$AB:$AB),"Incorrect Error Code")</f>
        <v>SLC app. not in SAFE mode</v>
      </c>
      <c r="M787" s="35" t="s">
        <v>291</v>
      </c>
      <c r="N787" s="475"/>
      <c r="O787" s="476">
        <v>0.80277777777777781</v>
      </c>
      <c r="P787" s="476">
        <v>0.80277777777777781</v>
      </c>
      <c r="Q787" s="477">
        <v>0.81736111111111109</v>
      </c>
      <c r="R787" s="472">
        <f>IF(Table6[[#This Row],[Work Start TimeStamp]]="","",(Table6[[#This Row],[Work Start TimeStamp]]-Table6[[#This Row],[Fault Start TimeStamp]])*24)</f>
        <v>0</v>
      </c>
      <c r="S787" s="472">
        <f>(Table6[[#This Row],[Fault Clearance time]]-Table6[[#This Row],[Work Start TimeStamp]])*24</f>
        <v>0.34999999999999876</v>
      </c>
      <c r="T787" s="472">
        <f>(Table6[[#This Row],[Fault Clearance time]]-Table6[[#This Row],[Fault Start TimeStamp]])*24</f>
        <v>0.34999999999999876</v>
      </c>
      <c r="U787" s="35" t="s">
        <v>1858</v>
      </c>
      <c r="V787" s="102" t="s">
        <v>293</v>
      </c>
      <c r="W787" s="478">
        <f>IFERROR(Table6[[#This Row],[Breakdown Time]]*Table6[[#This Row],[Plant Equivalent Weightage]],"")</f>
        <v>1.346153846153841E-2</v>
      </c>
      <c r="X787" s="473" t="s">
        <v>294</v>
      </c>
      <c r="Y787" s="474" t="s">
        <v>321</v>
      </c>
      <c r="Z787" s="102">
        <v>5324</v>
      </c>
      <c r="AA787" s="468">
        <f>(Table6[[#This Row],[Paired WTG Generation for loss calculation]]/24)*Table6[[#This Row],[Breakdown Time]]</f>
        <v>77.641666666666396</v>
      </c>
      <c r="AB787" s="102"/>
      <c r="AC787" s="35"/>
      <c r="AD787" s="35"/>
    </row>
    <row r="788" spans="1:30">
      <c r="A788" s="102">
        <f t="shared" si="13"/>
        <v>787</v>
      </c>
      <c r="B788" s="468">
        <f>YEAR(Table6[[#This Row],[Date]])+IF(MONTH(Table6[[#This Row],[Date]])&gt;=4,1,0)</f>
        <v>2026</v>
      </c>
      <c r="C788" s="102">
        <f>YEAR(Table6[[#This Row],[Date]])</f>
        <v>2025</v>
      </c>
      <c r="D788" s="102" t="s">
        <v>1992</v>
      </c>
      <c r="E788" s="469">
        <f>Table6[[#This Row],[Date]]-DAY(Table6[[#This Row],[Date]])+1</f>
        <v>45778</v>
      </c>
      <c r="F788" s="470">
        <v>45798</v>
      </c>
      <c r="G788" s="35" t="s">
        <v>75</v>
      </c>
      <c r="H788" s="35" t="str">
        <f>IFERROR(_xlfn.XLOOKUP(Table6[[#This Row],[Affected WTG]],'Basic Data'!$A:$A,'Basic Data'!$B:$B),"")</f>
        <v>TQGXIIPL</v>
      </c>
      <c r="I788" s="35" t="str">
        <f>IFERROR(_xlfn.XLOOKUP(Table6[[#This Row],[Affected WTG]],'Basic Data'!$A:$A,'Basic Data'!$C:$C),"")</f>
        <v>GEDA</v>
      </c>
      <c r="J788" s="471">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291</v>
      </c>
      <c r="N788" s="475"/>
      <c r="O788" s="476">
        <v>0.80277777777777781</v>
      </c>
      <c r="P788" s="476">
        <v>0.80277777777777781</v>
      </c>
      <c r="Q788" s="477">
        <v>0.83333333333333337</v>
      </c>
      <c r="R788" s="472">
        <f>IF(Table6[[#This Row],[Work Start TimeStamp]]="","",(Table6[[#This Row],[Work Start TimeStamp]]-Table6[[#This Row],[Fault Start TimeStamp]])*24)</f>
        <v>0</v>
      </c>
      <c r="S788" s="472">
        <f>(Table6[[#This Row],[Fault Clearance time]]-Table6[[#This Row],[Work Start TimeStamp]])*24</f>
        <v>0.73333333333333339</v>
      </c>
      <c r="T788" s="472">
        <f>(Table6[[#This Row],[Fault Clearance time]]-Table6[[#This Row],[Fault Start TimeStamp]])*24</f>
        <v>0.73333333333333339</v>
      </c>
      <c r="U788" s="35" t="s">
        <v>341</v>
      </c>
      <c r="V788" s="102" t="s">
        <v>293</v>
      </c>
      <c r="W788" s="478">
        <f>IFERROR(Table6[[#This Row],[Breakdown Time]]*Table6[[#This Row],[Plant Equivalent Weightage]],"")</f>
        <v>2.8205128205128199E-2</v>
      </c>
      <c r="X788" s="473" t="s">
        <v>294</v>
      </c>
      <c r="Y788" s="474" t="s">
        <v>318</v>
      </c>
      <c r="Z788" s="102">
        <v>6797</v>
      </c>
      <c r="AA788" s="468">
        <f>(Table6[[#This Row],[Paired WTG Generation for loss calculation]]/24)*Table6[[#This Row],[Breakdown Time]]</f>
        <v>207.6861111111111</v>
      </c>
      <c r="AB788" s="102"/>
      <c r="AC788" s="35"/>
      <c r="AD788" s="35"/>
    </row>
    <row r="789" spans="1:30">
      <c r="A789" s="102">
        <f t="shared" si="13"/>
        <v>788</v>
      </c>
      <c r="B789" s="468">
        <f>YEAR(Table6[[#This Row],[Date]])+IF(MONTH(Table6[[#This Row],[Date]])&gt;=4,1,0)</f>
        <v>2026</v>
      </c>
      <c r="C789" s="102">
        <f>YEAR(Table6[[#This Row],[Date]])</f>
        <v>2025</v>
      </c>
      <c r="D789" s="102" t="s">
        <v>1992</v>
      </c>
      <c r="E789" s="469">
        <f>Table6[[#This Row],[Date]]-DAY(Table6[[#This Row],[Date]])+1</f>
        <v>45778</v>
      </c>
      <c r="F789" s="470">
        <v>45798</v>
      </c>
      <c r="G789" s="35" t="s">
        <v>76</v>
      </c>
      <c r="H789" s="35" t="str">
        <f>IFERROR(_xlfn.XLOOKUP(Table6[[#This Row],[Affected WTG]],'Basic Data'!$A:$A,'Basic Data'!$B:$B),"")</f>
        <v>TQGXIIPL</v>
      </c>
      <c r="I789" s="35" t="str">
        <f>IFERROR(_xlfn.XLOOKUP(Table6[[#This Row],[Affected WTG]],'Basic Data'!$A:$A,'Basic Data'!$C:$C),"")</f>
        <v>GEDA</v>
      </c>
      <c r="J789" s="471">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291</v>
      </c>
      <c r="N789" s="475"/>
      <c r="O789" s="476">
        <v>0.80277777777777781</v>
      </c>
      <c r="P789" s="476">
        <v>0.80277777777777781</v>
      </c>
      <c r="Q789" s="477">
        <v>0.8305555555555556</v>
      </c>
      <c r="R789" s="472">
        <f>IF(Table6[[#This Row],[Work Start TimeStamp]]="","",(Table6[[#This Row],[Work Start TimeStamp]]-Table6[[#This Row],[Fault Start TimeStamp]])*24)</f>
        <v>0</v>
      </c>
      <c r="S789" s="472">
        <f>(Table6[[#This Row],[Fault Clearance time]]-Table6[[#This Row],[Work Start TimeStamp]])*24</f>
        <v>0.66666666666666696</v>
      </c>
      <c r="T789" s="472">
        <f>(Table6[[#This Row],[Fault Clearance time]]-Table6[[#This Row],[Fault Start TimeStamp]])*24</f>
        <v>0.66666666666666696</v>
      </c>
      <c r="U789" s="35" t="s">
        <v>341</v>
      </c>
      <c r="V789" s="102" t="s">
        <v>293</v>
      </c>
      <c r="W789" s="478">
        <f>IFERROR(Table6[[#This Row],[Breakdown Time]]*Table6[[#This Row],[Plant Equivalent Weightage]],"")</f>
        <v>2.5641025641025644E-2</v>
      </c>
      <c r="X789" s="473" t="s">
        <v>294</v>
      </c>
      <c r="Y789" s="474" t="s">
        <v>309</v>
      </c>
      <c r="Z789" s="102">
        <v>5730</v>
      </c>
      <c r="AA789" s="468">
        <f>(Table6[[#This Row],[Paired WTG Generation for loss calculation]]/24)*Table6[[#This Row],[Breakdown Time]]</f>
        <v>159.16666666666674</v>
      </c>
      <c r="AB789" s="102"/>
      <c r="AC789" s="35"/>
      <c r="AD789" s="35"/>
    </row>
    <row r="790" spans="1:30">
      <c r="A790" s="102">
        <f t="shared" si="13"/>
        <v>789</v>
      </c>
      <c r="B790" s="468">
        <f>YEAR(Table6[[#This Row],[Date]])+IF(MONTH(Table6[[#This Row],[Date]])&gt;=4,1,0)</f>
        <v>2026</v>
      </c>
      <c r="C790" s="102">
        <f>YEAR(Table6[[#This Row],[Date]])</f>
        <v>2025</v>
      </c>
      <c r="D790" s="102" t="s">
        <v>1992</v>
      </c>
      <c r="E790" s="469">
        <f>Table6[[#This Row],[Date]]-DAY(Table6[[#This Row],[Date]])+1</f>
        <v>45778</v>
      </c>
      <c r="F790" s="470">
        <v>45798</v>
      </c>
      <c r="G790" s="35" t="s">
        <v>77</v>
      </c>
      <c r="H790" s="35" t="str">
        <f>IFERROR(_xlfn.XLOOKUP(Table6[[#This Row],[Affected WTG]],'Basic Data'!$A:$A,'Basic Data'!$B:$B),"")</f>
        <v>TQGXIIPL</v>
      </c>
      <c r="I790" s="35" t="str">
        <f>IFERROR(_xlfn.XLOOKUP(Table6[[#This Row],[Affected WTG]],'Basic Data'!$A:$A,'Basic Data'!$C:$C),"")</f>
        <v>GEDA</v>
      </c>
      <c r="J790" s="471">
        <f>IFERROR(_xlfn.XLOOKUP(Table6[[#This Row],[Affected WTG]],'Basic Data'!$A:$A,'Basic Data'!$E:$E),"")</f>
        <v>3.846153846153845E-2</v>
      </c>
      <c r="K790" s="102">
        <v>3420</v>
      </c>
      <c r="L790" s="35" t="str">
        <f>IFERROR(_xlfn.XLOOKUP(Table6[[#This Row],[Error Code]],'Basic Data'!$AA:$AA,'Basic Data'!$AB:$AB),"Incorrect Error Code")</f>
        <v>UPS buffer time too short</v>
      </c>
      <c r="M790" s="35" t="s">
        <v>291</v>
      </c>
      <c r="N790" s="475"/>
      <c r="O790" s="476">
        <v>0.79861111111111116</v>
      </c>
      <c r="P790" s="476">
        <v>0.79861111111111116</v>
      </c>
      <c r="Q790" s="477">
        <v>0.85416666666666663</v>
      </c>
      <c r="R790" s="472">
        <f>IF(Table6[[#This Row],[Work Start TimeStamp]]="","",(Table6[[#This Row],[Work Start TimeStamp]]-Table6[[#This Row],[Fault Start TimeStamp]])*24)</f>
        <v>0</v>
      </c>
      <c r="S790" s="472">
        <f>(Table6[[#This Row],[Fault Clearance time]]-Table6[[#This Row],[Work Start TimeStamp]])*24</f>
        <v>1.3333333333333313</v>
      </c>
      <c r="T790" s="472">
        <f>(Table6[[#This Row],[Fault Clearance time]]-Table6[[#This Row],[Fault Start TimeStamp]])*24</f>
        <v>1.3333333333333313</v>
      </c>
      <c r="U790" s="35" t="s">
        <v>1859</v>
      </c>
      <c r="V790" s="102" t="s">
        <v>293</v>
      </c>
      <c r="W790" s="478">
        <f>IFERROR(Table6[[#This Row],[Breakdown Time]]*Table6[[#This Row],[Plant Equivalent Weightage]],"")</f>
        <v>5.128205128205119E-2</v>
      </c>
      <c r="X790" s="473" t="s">
        <v>294</v>
      </c>
      <c r="Y790" s="474" t="s">
        <v>310</v>
      </c>
      <c r="Z790" s="102">
        <v>8259</v>
      </c>
      <c r="AA790" s="468">
        <f>(Table6[[#This Row],[Paired WTG Generation for loss calculation]]/24)*Table6[[#This Row],[Breakdown Time]]</f>
        <v>458.83333333333263</v>
      </c>
      <c r="AB790" s="102"/>
      <c r="AC790" s="35"/>
      <c r="AD790" s="35"/>
    </row>
    <row r="791" spans="1:30">
      <c r="A791" s="102">
        <f t="shared" si="13"/>
        <v>790</v>
      </c>
      <c r="B791" s="468">
        <f>YEAR(Table6[[#This Row],[Date]])+IF(MONTH(Table6[[#This Row],[Date]])&gt;=4,1,0)</f>
        <v>2026</v>
      </c>
      <c r="C791" s="102">
        <f>YEAR(Table6[[#This Row],[Date]])</f>
        <v>2025</v>
      </c>
      <c r="D791" s="102" t="s">
        <v>1992</v>
      </c>
      <c r="E791" s="469">
        <f>Table6[[#This Row],[Date]]-DAY(Table6[[#This Row],[Date]])+1</f>
        <v>45778</v>
      </c>
      <c r="F791" s="470">
        <v>45798</v>
      </c>
      <c r="G791" s="35" t="s">
        <v>78</v>
      </c>
      <c r="H791" s="35" t="str">
        <f>IFERROR(_xlfn.XLOOKUP(Table6[[#This Row],[Affected WTG]],'Basic Data'!$A:$A,'Basic Data'!$B:$B),"")</f>
        <v>TQGXIIPL</v>
      </c>
      <c r="I791" s="35" t="str">
        <f>IFERROR(_xlfn.XLOOKUP(Table6[[#This Row],[Affected WTG]],'Basic Data'!$A:$A,'Basic Data'!$C:$C),"")</f>
        <v>GEDA</v>
      </c>
      <c r="J791" s="471">
        <f>IFERROR(_xlfn.XLOOKUP(Table6[[#This Row],[Affected WTG]],'Basic Data'!$A:$A,'Basic Data'!$E:$E),"")</f>
        <v>3.846153846153845E-2</v>
      </c>
      <c r="K791" s="102">
        <v>3110</v>
      </c>
      <c r="L791" s="35" t="str">
        <f>IFERROR(_xlfn.XLOOKUP(Table6[[#This Row],[Error Code]],'Basic Data'!$AA:$AA,'Basic Data'!$AB:$AB),"Incorrect Error Code")</f>
        <v>Frequency converter error</v>
      </c>
      <c r="M791" s="35" t="s">
        <v>291</v>
      </c>
      <c r="N791" s="475"/>
      <c r="O791" s="476">
        <v>0.80277777777777781</v>
      </c>
      <c r="P791" s="476">
        <v>0.80277777777777781</v>
      </c>
      <c r="Q791" s="477">
        <v>0.8354166666666667</v>
      </c>
      <c r="R791" s="472">
        <f>IF(Table6[[#This Row],[Work Start TimeStamp]]="","",(Table6[[#This Row],[Work Start TimeStamp]]-Table6[[#This Row],[Fault Start TimeStamp]])*24)</f>
        <v>0</v>
      </c>
      <c r="S791" s="472">
        <f>(Table6[[#This Row],[Fault Clearance time]]-Table6[[#This Row],[Work Start TimeStamp]])*24</f>
        <v>0.78333333333333321</v>
      </c>
      <c r="T791" s="472">
        <f>(Table6[[#This Row],[Fault Clearance time]]-Table6[[#This Row],[Fault Start TimeStamp]])*24</f>
        <v>0.78333333333333321</v>
      </c>
      <c r="U791" s="35" t="s">
        <v>1858</v>
      </c>
      <c r="V791" s="102" t="s">
        <v>293</v>
      </c>
      <c r="W791" s="478">
        <f>IFERROR(Table6[[#This Row],[Breakdown Time]]*Table6[[#This Row],[Plant Equivalent Weightage]],"")</f>
        <v>3.0128205128205115E-2</v>
      </c>
      <c r="X791" s="473" t="s">
        <v>294</v>
      </c>
      <c r="Y791" s="474" t="s">
        <v>333</v>
      </c>
      <c r="Z791" s="102">
        <v>6870</v>
      </c>
      <c r="AA791" s="468">
        <f>(Table6[[#This Row],[Paired WTG Generation for loss calculation]]/24)*Table6[[#This Row],[Breakdown Time]]</f>
        <v>224.22916666666663</v>
      </c>
      <c r="AB791" s="102"/>
      <c r="AC791" s="35"/>
      <c r="AD791" s="35"/>
    </row>
    <row r="792" spans="1:30">
      <c r="A792" s="102">
        <f t="shared" si="13"/>
        <v>791</v>
      </c>
      <c r="B792" s="468">
        <f>YEAR(Table6[[#This Row],[Date]])+IF(MONTH(Table6[[#This Row],[Date]])&gt;=4,1,0)</f>
        <v>2026</v>
      </c>
      <c r="C792" s="102">
        <f>YEAR(Table6[[#This Row],[Date]])</f>
        <v>2025</v>
      </c>
      <c r="D792" s="102" t="s">
        <v>1992</v>
      </c>
      <c r="E792" s="469">
        <f>Table6[[#This Row],[Date]]-DAY(Table6[[#This Row],[Date]])+1</f>
        <v>45778</v>
      </c>
      <c r="F792" s="470">
        <v>45798</v>
      </c>
      <c r="G792" s="35" t="s">
        <v>79</v>
      </c>
      <c r="H792" s="35" t="str">
        <f>IFERROR(_xlfn.XLOOKUP(Table6[[#This Row],[Affected WTG]],'Basic Data'!$A:$A,'Basic Data'!$B:$B),"")</f>
        <v>TQGXIIPL</v>
      </c>
      <c r="I792" s="35" t="str">
        <f>IFERROR(_xlfn.XLOOKUP(Table6[[#This Row],[Affected WTG]],'Basic Data'!$A:$A,'Basic Data'!$C:$C),"")</f>
        <v>GEDA</v>
      </c>
      <c r="J792" s="471">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291</v>
      </c>
      <c r="N792" s="475"/>
      <c r="O792" s="476">
        <v>0.79861111111111116</v>
      </c>
      <c r="P792" s="476">
        <v>0.79861111111111116</v>
      </c>
      <c r="Q792" s="477">
        <v>0.83194444444444449</v>
      </c>
      <c r="R792" s="472">
        <f>IF(Table6[[#This Row],[Work Start TimeStamp]]="","",(Table6[[#This Row],[Work Start TimeStamp]]-Table6[[#This Row],[Fault Start TimeStamp]])*24)</f>
        <v>0</v>
      </c>
      <c r="S792" s="472">
        <f>(Table6[[#This Row],[Fault Clearance time]]-Table6[[#This Row],[Work Start TimeStamp]])*24</f>
        <v>0.79999999999999982</v>
      </c>
      <c r="T792" s="472">
        <f>(Table6[[#This Row],[Fault Clearance time]]-Table6[[#This Row],[Fault Start TimeStamp]])*24</f>
        <v>0.79999999999999982</v>
      </c>
      <c r="U792" s="35" t="s">
        <v>341</v>
      </c>
      <c r="V792" s="102" t="s">
        <v>293</v>
      </c>
      <c r="W792" s="478">
        <f>IFERROR(Table6[[#This Row],[Breakdown Time]]*Table6[[#This Row],[Plant Equivalent Weightage]],"")</f>
        <v>3.0769230769230754E-2</v>
      </c>
      <c r="X792" s="473" t="s">
        <v>294</v>
      </c>
      <c r="Y792" s="474" t="s">
        <v>325</v>
      </c>
      <c r="Z792" s="102">
        <v>9422</v>
      </c>
      <c r="AA792" s="468">
        <f>(Table6[[#This Row],[Paired WTG Generation for loss calculation]]/24)*Table6[[#This Row],[Breakdown Time]]</f>
        <v>314.06666666666661</v>
      </c>
      <c r="AB792" s="102"/>
      <c r="AC792" s="35"/>
      <c r="AD792" s="35"/>
    </row>
    <row r="793" spans="1:30">
      <c r="A793" s="102">
        <f t="shared" si="13"/>
        <v>792</v>
      </c>
      <c r="B793" s="468">
        <f>YEAR(Table6[[#This Row],[Date]])+IF(MONTH(Table6[[#This Row],[Date]])&gt;=4,1,0)</f>
        <v>2026</v>
      </c>
      <c r="C793" s="102">
        <f>YEAR(Table6[[#This Row],[Date]])</f>
        <v>2025</v>
      </c>
      <c r="D793" s="102" t="s">
        <v>1992</v>
      </c>
      <c r="E793" s="469">
        <f>Table6[[#This Row],[Date]]-DAY(Table6[[#This Row],[Date]])+1</f>
        <v>45778</v>
      </c>
      <c r="F793" s="470">
        <v>45798</v>
      </c>
      <c r="G793" s="35" t="s">
        <v>80</v>
      </c>
      <c r="H793" s="35" t="str">
        <f>IFERROR(_xlfn.XLOOKUP(Table6[[#This Row],[Affected WTG]],'Basic Data'!$A:$A,'Basic Data'!$B:$B),"")</f>
        <v>TQGXIIPL</v>
      </c>
      <c r="I793" s="35" t="str">
        <f>IFERROR(_xlfn.XLOOKUP(Table6[[#This Row],[Affected WTG]],'Basic Data'!$A:$A,'Basic Data'!$C:$C),"")</f>
        <v>GEDA</v>
      </c>
      <c r="J793" s="471">
        <f>IFERROR(_xlfn.XLOOKUP(Table6[[#This Row],[Affected WTG]],'Basic Data'!$A:$A,'Basic Data'!$E:$E),"")</f>
        <v>3.846153846153845E-2</v>
      </c>
      <c r="K793" s="102">
        <v>152</v>
      </c>
      <c r="L793" s="35" t="str">
        <f>IFERROR(_xlfn.XLOOKUP(Table6[[#This Row],[Error Code]],'Basic Data'!$AA:$AA,'Basic Data'!$AB:$AB),"Incorrect Error Code")</f>
        <v>SLC app. not in SAFE mode</v>
      </c>
      <c r="M793" s="35" t="s">
        <v>291</v>
      </c>
      <c r="N793" s="475"/>
      <c r="O793" s="476">
        <v>0.79861111111111116</v>
      </c>
      <c r="P793" s="476">
        <v>0.79861111111111116</v>
      </c>
      <c r="Q793" s="477">
        <v>0.85486111111111107</v>
      </c>
      <c r="R793" s="472">
        <f>IF(Table6[[#This Row],[Work Start TimeStamp]]="","",(Table6[[#This Row],[Work Start TimeStamp]]-Table6[[#This Row],[Fault Start TimeStamp]])*24)</f>
        <v>0</v>
      </c>
      <c r="S793" s="472">
        <f>(Table6[[#This Row],[Fault Clearance time]]-Table6[[#This Row],[Work Start TimeStamp]])*24</f>
        <v>1.3499999999999979</v>
      </c>
      <c r="T793" s="472">
        <f>(Table6[[#This Row],[Fault Clearance time]]-Table6[[#This Row],[Fault Start TimeStamp]])*24</f>
        <v>1.3499999999999979</v>
      </c>
      <c r="U793" s="35" t="s">
        <v>1858</v>
      </c>
      <c r="V793" s="102" t="s">
        <v>293</v>
      </c>
      <c r="W793" s="478">
        <f>IFERROR(Table6[[#This Row],[Breakdown Time]]*Table6[[#This Row],[Plant Equivalent Weightage]],"")</f>
        <v>5.1923076923076822E-2</v>
      </c>
      <c r="X793" s="473" t="s">
        <v>294</v>
      </c>
      <c r="Y793" s="474" t="s">
        <v>317</v>
      </c>
      <c r="Z793" s="102">
        <v>8746</v>
      </c>
      <c r="AA793" s="468">
        <f>(Table6[[#This Row],[Paired WTG Generation for loss calculation]]/24)*Table6[[#This Row],[Breakdown Time]]</f>
        <v>491.96249999999924</v>
      </c>
      <c r="AB793" s="102"/>
      <c r="AC793" s="35"/>
      <c r="AD793" s="35"/>
    </row>
    <row r="794" spans="1:30">
      <c r="A794" s="102">
        <f t="shared" si="13"/>
        <v>793</v>
      </c>
      <c r="B794" s="468">
        <f>YEAR(Table6[[#This Row],[Date]])+IF(MONTH(Table6[[#This Row],[Date]])&gt;=4,1,0)</f>
        <v>2026</v>
      </c>
      <c r="C794" s="102">
        <f>YEAR(Table6[[#This Row],[Date]])</f>
        <v>2025</v>
      </c>
      <c r="D794" s="102" t="s">
        <v>1992</v>
      </c>
      <c r="E794" s="469">
        <f>Table6[[#This Row],[Date]]-DAY(Table6[[#This Row],[Date]])+1</f>
        <v>45778</v>
      </c>
      <c r="F794" s="470">
        <v>45798</v>
      </c>
      <c r="G794" s="35" t="s">
        <v>81</v>
      </c>
      <c r="H794" s="35" t="str">
        <f>IFERROR(_xlfn.XLOOKUP(Table6[[#This Row],[Affected WTG]],'Basic Data'!$A:$A,'Basic Data'!$B:$B),"")</f>
        <v>TQGXIIPL</v>
      </c>
      <c r="I794" s="35" t="str">
        <f>IFERROR(_xlfn.XLOOKUP(Table6[[#This Row],[Affected WTG]],'Basic Data'!$A:$A,'Basic Data'!$C:$C),"")</f>
        <v>GEDA</v>
      </c>
      <c r="J794" s="471">
        <f>IFERROR(_xlfn.XLOOKUP(Table6[[#This Row],[Affected WTG]],'Basic Data'!$A:$A,'Basic Data'!$E:$E),"")</f>
        <v>3.846153846153845E-2</v>
      </c>
      <c r="K794" s="102">
        <v>175</v>
      </c>
      <c r="L794" s="35" t="str">
        <f>IFERROR(_xlfn.XLOOKUP(Table6[[#This Row],[Error Code]],'Basic Data'!$AA:$AA,'Basic Data'!$AB:$AB),"Incorrect Error Code")</f>
        <v>SLC error</v>
      </c>
      <c r="M794" s="35" t="s">
        <v>291</v>
      </c>
      <c r="N794" s="475"/>
      <c r="O794" s="476">
        <v>0.80277777777777781</v>
      </c>
      <c r="P794" s="476">
        <v>0.80277777777777781</v>
      </c>
      <c r="Q794" s="477">
        <v>0.81944444444444442</v>
      </c>
      <c r="R794" s="472">
        <f>IF(Table6[[#This Row],[Work Start TimeStamp]]="","",(Table6[[#This Row],[Work Start TimeStamp]]-Table6[[#This Row],[Fault Start TimeStamp]])*24)</f>
        <v>0</v>
      </c>
      <c r="S794" s="472">
        <f>(Table6[[#This Row],[Fault Clearance time]]-Table6[[#This Row],[Work Start TimeStamp]])*24</f>
        <v>0.39999999999999858</v>
      </c>
      <c r="T794" s="472">
        <f>(Table6[[#This Row],[Fault Clearance time]]-Table6[[#This Row],[Fault Start TimeStamp]])*24</f>
        <v>0.39999999999999858</v>
      </c>
      <c r="U794" s="35" t="s">
        <v>1858</v>
      </c>
      <c r="V794" s="102" t="s">
        <v>293</v>
      </c>
      <c r="W794" s="478">
        <f>IFERROR(Table6[[#This Row],[Breakdown Time]]*Table6[[#This Row],[Plant Equivalent Weightage]],"")</f>
        <v>1.5384615384615325E-2</v>
      </c>
      <c r="X794" s="473" t="s">
        <v>294</v>
      </c>
      <c r="Y794" s="474" t="s">
        <v>321</v>
      </c>
      <c r="Z794" s="102">
        <v>5324</v>
      </c>
      <c r="AA794" s="468">
        <f>(Table6[[#This Row],[Paired WTG Generation for loss calculation]]/24)*Table6[[#This Row],[Breakdown Time]]</f>
        <v>88.733333333333022</v>
      </c>
      <c r="AB794" s="102"/>
      <c r="AC794" s="35"/>
      <c r="AD794" s="35"/>
    </row>
    <row r="795" spans="1:30">
      <c r="A795" s="102">
        <f t="shared" si="13"/>
        <v>794</v>
      </c>
      <c r="B795" s="468">
        <f>YEAR(Table6[[#This Row],[Date]])+IF(MONTH(Table6[[#This Row],[Date]])&gt;=4,1,0)</f>
        <v>2026</v>
      </c>
      <c r="C795" s="102">
        <f>YEAR(Table6[[#This Row],[Date]])</f>
        <v>2025</v>
      </c>
      <c r="D795" s="102" t="s">
        <v>1992</v>
      </c>
      <c r="E795" s="469">
        <f>Table6[[#This Row],[Date]]-DAY(Table6[[#This Row],[Date]])+1</f>
        <v>45778</v>
      </c>
      <c r="F795" s="470">
        <v>45798</v>
      </c>
      <c r="G795" s="35" t="s">
        <v>82</v>
      </c>
      <c r="H795" s="35" t="str">
        <f>IFERROR(_xlfn.XLOOKUP(Table6[[#This Row],[Affected WTG]],'Basic Data'!$A:$A,'Basic Data'!$B:$B),"")</f>
        <v>TQGXIIPL</v>
      </c>
      <c r="I795" s="35" t="str">
        <f>IFERROR(_xlfn.XLOOKUP(Table6[[#This Row],[Affected WTG]],'Basic Data'!$A:$A,'Basic Data'!$C:$C),"")</f>
        <v>GEDA</v>
      </c>
      <c r="J795" s="471">
        <f>IFERROR(_xlfn.XLOOKUP(Table6[[#This Row],[Affected WTG]],'Basic Data'!$A:$A,'Basic Data'!$E:$E),"")</f>
        <v>3.846153846153845E-2</v>
      </c>
      <c r="K795" s="102">
        <v>3420</v>
      </c>
      <c r="L795" s="35" t="str">
        <f>IFERROR(_xlfn.XLOOKUP(Table6[[#This Row],[Error Code]],'Basic Data'!$AA:$AA,'Basic Data'!$AB:$AB),"Incorrect Error Code")</f>
        <v>UPS buffer time too short</v>
      </c>
      <c r="M795" s="35" t="s">
        <v>291</v>
      </c>
      <c r="N795" s="475"/>
      <c r="O795" s="476">
        <v>0.80277777777777781</v>
      </c>
      <c r="P795" s="476">
        <v>0.80277777777777781</v>
      </c>
      <c r="Q795" s="477">
        <v>0.8208333333333333</v>
      </c>
      <c r="R795" s="472">
        <f>IF(Table6[[#This Row],[Work Start TimeStamp]]="","",(Table6[[#This Row],[Work Start TimeStamp]]-Table6[[#This Row],[Fault Start TimeStamp]])*24)</f>
        <v>0</v>
      </c>
      <c r="S795" s="472">
        <f>(Table6[[#This Row],[Fault Clearance time]]-Table6[[#This Row],[Work Start TimeStamp]])*24</f>
        <v>0.43333333333333179</v>
      </c>
      <c r="T795" s="472">
        <f>(Table6[[#This Row],[Fault Clearance time]]-Table6[[#This Row],[Fault Start TimeStamp]])*24</f>
        <v>0.43333333333333179</v>
      </c>
      <c r="U795" s="35" t="s">
        <v>1858</v>
      </c>
      <c r="V795" s="102" t="s">
        <v>293</v>
      </c>
      <c r="W795" s="478">
        <f>IFERROR(Table6[[#This Row],[Breakdown Time]]*Table6[[#This Row],[Plant Equivalent Weightage]],"")</f>
        <v>1.6666666666666604E-2</v>
      </c>
      <c r="X795" s="473" t="s">
        <v>294</v>
      </c>
      <c r="Y795" s="474" t="s">
        <v>332</v>
      </c>
      <c r="Z795" s="102">
        <v>4988</v>
      </c>
      <c r="AA795" s="468">
        <f>(Table6[[#This Row],[Paired WTG Generation for loss calculation]]/24)*Table6[[#This Row],[Breakdown Time]]</f>
        <v>90.06111111111079</v>
      </c>
      <c r="AB795" s="102"/>
      <c r="AC795" s="35"/>
      <c r="AD795" s="35"/>
    </row>
    <row r="796" spans="1:30">
      <c r="A796" s="102">
        <f t="shared" si="13"/>
        <v>795</v>
      </c>
      <c r="B796" s="468">
        <f>YEAR(Table6[[#This Row],[Date]])+IF(MONTH(Table6[[#This Row],[Date]])&gt;=4,1,0)</f>
        <v>2026</v>
      </c>
      <c r="C796" s="102">
        <f>YEAR(Table6[[#This Row],[Date]])</f>
        <v>2025</v>
      </c>
      <c r="D796" s="102" t="s">
        <v>1992</v>
      </c>
      <c r="E796" s="469">
        <f>Table6[[#This Row],[Date]]-DAY(Table6[[#This Row],[Date]])+1</f>
        <v>45778</v>
      </c>
      <c r="F796" s="470">
        <v>45798</v>
      </c>
      <c r="G796" s="35" t="s">
        <v>83</v>
      </c>
      <c r="H796" s="35" t="str">
        <f>IFERROR(_xlfn.XLOOKUP(Table6[[#This Row],[Affected WTG]],'Basic Data'!$A:$A,'Basic Data'!$B:$B),"")</f>
        <v>TQGXIIPL</v>
      </c>
      <c r="I796" s="35" t="str">
        <f>IFERROR(_xlfn.XLOOKUP(Table6[[#This Row],[Affected WTG]],'Basic Data'!$A:$A,'Basic Data'!$C:$C),"")</f>
        <v>GEDA</v>
      </c>
      <c r="J796" s="471">
        <f>IFERROR(_xlfn.XLOOKUP(Table6[[#This Row],[Affected WTG]],'Basic Data'!$A:$A,'Basic Data'!$E:$E),"")</f>
        <v>3.846153846153845E-2</v>
      </c>
      <c r="K796" s="102">
        <v>3420</v>
      </c>
      <c r="L796" s="35" t="str">
        <f>IFERROR(_xlfn.XLOOKUP(Table6[[#This Row],[Error Code]],'Basic Data'!$AA:$AA,'Basic Data'!$AB:$AB),"Incorrect Error Code")</f>
        <v>UPS buffer time too short</v>
      </c>
      <c r="M796" s="35" t="s">
        <v>291</v>
      </c>
      <c r="N796" s="475"/>
      <c r="O796" s="476">
        <v>0.80277777777777781</v>
      </c>
      <c r="P796" s="476">
        <v>0.80277777777777781</v>
      </c>
      <c r="Q796" s="477">
        <v>0.8208333333333333</v>
      </c>
      <c r="R796" s="472">
        <f>IF(Table6[[#This Row],[Work Start TimeStamp]]="","",(Table6[[#This Row],[Work Start TimeStamp]]-Table6[[#This Row],[Fault Start TimeStamp]])*24)</f>
        <v>0</v>
      </c>
      <c r="S796" s="472">
        <f>(Table6[[#This Row],[Fault Clearance time]]-Table6[[#This Row],[Work Start TimeStamp]])*24</f>
        <v>0.43333333333333179</v>
      </c>
      <c r="T796" s="472">
        <f>(Table6[[#This Row],[Fault Clearance time]]-Table6[[#This Row],[Fault Start TimeStamp]])*24</f>
        <v>0.43333333333333179</v>
      </c>
      <c r="U796" s="35" t="s">
        <v>1858</v>
      </c>
      <c r="V796" s="102" t="s">
        <v>293</v>
      </c>
      <c r="W796" s="478">
        <f>IFERROR(Table6[[#This Row],[Breakdown Time]]*Table6[[#This Row],[Plant Equivalent Weightage]],"")</f>
        <v>1.6666666666666604E-2</v>
      </c>
      <c r="X796" s="473" t="s">
        <v>294</v>
      </c>
      <c r="Y796" s="474" t="s">
        <v>312</v>
      </c>
      <c r="Z796" s="102">
        <v>6055</v>
      </c>
      <c r="AA796" s="468">
        <f>(Table6[[#This Row],[Paired WTG Generation for loss calculation]]/24)*Table6[[#This Row],[Breakdown Time]]</f>
        <v>109.3263888888885</v>
      </c>
      <c r="AB796" s="102"/>
      <c r="AC796" s="35"/>
      <c r="AD796" s="35"/>
    </row>
    <row r="797" spans="1:30">
      <c r="A797" s="102">
        <f t="shared" si="13"/>
        <v>796</v>
      </c>
      <c r="B797" s="468">
        <f>YEAR(Table6[[#This Row],[Date]])+IF(MONTH(Table6[[#This Row],[Date]])&gt;=4,1,0)</f>
        <v>2026</v>
      </c>
      <c r="C797" s="102">
        <f>YEAR(Table6[[#This Row],[Date]])</f>
        <v>2025</v>
      </c>
      <c r="D797" s="102" t="s">
        <v>1992</v>
      </c>
      <c r="E797" s="469">
        <f>Table6[[#This Row],[Date]]-DAY(Table6[[#This Row],[Date]])+1</f>
        <v>45778</v>
      </c>
      <c r="F797" s="470">
        <v>45798</v>
      </c>
      <c r="G797" s="35" t="s">
        <v>84</v>
      </c>
      <c r="H797" s="35" t="str">
        <f>IFERROR(_xlfn.XLOOKUP(Table6[[#This Row],[Affected WTG]],'Basic Data'!$A:$A,'Basic Data'!$B:$B),"")</f>
        <v>TQGXIIPL</v>
      </c>
      <c r="I797" s="35" t="str">
        <f>IFERROR(_xlfn.XLOOKUP(Table6[[#This Row],[Affected WTG]],'Basic Data'!$A:$A,'Basic Data'!$C:$C),"")</f>
        <v>GEDA</v>
      </c>
      <c r="J797" s="471">
        <f>IFERROR(_xlfn.XLOOKUP(Table6[[#This Row],[Affected WTG]],'Basic Data'!$A:$A,'Basic Data'!$E:$E),"")</f>
        <v>3.846153846153845E-2</v>
      </c>
      <c r="K797" s="102">
        <v>152</v>
      </c>
      <c r="L797" s="35" t="str">
        <f>IFERROR(_xlfn.XLOOKUP(Table6[[#This Row],[Error Code]],'Basic Data'!$AA:$AA,'Basic Data'!$AB:$AB),"Incorrect Error Code")</f>
        <v>SLC app. not in SAFE mode</v>
      </c>
      <c r="M797" s="35" t="s">
        <v>291</v>
      </c>
      <c r="N797" s="475"/>
      <c r="O797" s="476">
        <v>0.80277777777777781</v>
      </c>
      <c r="P797" s="476">
        <v>0.80277777777777781</v>
      </c>
      <c r="Q797" s="477">
        <v>0.82152777777777775</v>
      </c>
      <c r="R797" s="472">
        <f>IF(Table6[[#This Row],[Work Start TimeStamp]]="","",(Table6[[#This Row],[Work Start TimeStamp]]-Table6[[#This Row],[Fault Start TimeStamp]])*24)</f>
        <v>0</v>
      </c>
      <c r="S797" s="472">
        <f>(Table6[[#This Row],[Fault Clearance time]]-Table6[[#This Row],[Work Start TimeStamp]])*24</f>
        <v>0.4499999999999984</v>
      </c>
      <c r="T797" s="472">
        <f>(Table6[[#This Row],[Fault Clearance time]]-Table6[[#This Row],[Fault Start TimeStamp]])*24</f>
        <v>0.4499999999999984</v>
      </c>
      <c r="U797" s="35" t="s">
        <v>1858</v>
      </c>
      <c r="V797" s="102" t="s">
        <v>293</v>
      </c>
      <c r="W797" s="478">
        <f>IFERROR(Table6[[#This Row],[Breakdown Time]]*Table6[[#This Row],[Plant Equivalent Weightage]],"")</f>
        <v>1.7307692307692239E-2</v>
      </c>
      <c r="X797" s="473" t="s">
        <v>294</v>
      </c>
      <c r="Y797" s="474" t="s">
        <v>327</v>
      </c>
      <c r="Z797" s="102">
        <v>5048</v>
      </c>
      <c r="AA797" s="468">
        <f>(Table6[[#This Row],[Paired WTG Generation for loss calculation]]/24)*Table6[[#This Row],[Breakdown Time]]</f>
        <v>94.649999999999665</v>
      </c>
      <c r="AB797" s="102"/>
      <c r="AC797" s="35"/>
      <c r="AD797" s="35"/>
    </row>
    <row r="798" spans="1:30">
      <c r="A798" s="102">
        <f t="shared" si="13"/>
        <v>797</v>
      </c>
      <c r="B798" s="468">
        <f>YEAR(Table6[[#This Row],[Date]])+IF(MONTH(Table6[[#This Row],[Date]])&gt;=4,1,0)</f>
        <v>2026</v>
      </c>
      <c r="C798" s="102">
        <f>YEAR(Table6[[#This Row],[Date]])</f>
        <v>2025</v>
      </c>
      <c r="D798" s="102" t="s">
        <v>1992</v>
      </c>
      <c r="E798" s="469">
        <f>Table6[[#This Row],[Date]]-DAY(Table6[[#This Row],[Date]])+1</f>
        <v>45778</v>
      </c>
      <c r="F798" s="470">
        <v>45798</v>
      </c>
      <c r="G798" s="35" t="s">
        <v>85</v>
      </c>
      <c r="H798" s="35" t="str">
        <f>IFERROR(_xlfn.XLOOKUP(Table6[[#This Row],[Affected WTG]],'Basic Data'!$A:$A,'Basic Data'!$B:$B),"")</f>
        <v>TQGXIIPL</v>
      </c>
      <c r="I798" s="35" t="str">
        <f>IFERROR(_xlfn.XLOOKUP(Table6[[#This Row],[Affected WTG]],'Basic Data'!$A:$A,'Basic Data'!$C:$C),"")</f>
        <v>GEDA</v>
      </c>
      <c r="J798" s="471">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291</v>
      </c>
      <c r="N798" s="475"/>
      <c r="O798" s="476">
        <v>0.80277777777777781</v>
      </c>
      <c r="P798" s="476">
        <v>0.80277777777777781</v>
      </c>
      <c r="Q798" s="477">
        <v>0.83263888888888893</v>
      </c>
      <c r="R798" s="472">
        <f>IF(Table6[[#This Row],[Work Start TimeStamp]]="","",(Table6[[#This Row],[Work Start TimeStamp]]-Table6[[#This Row],[Fault Start TimeStamp]])*24)</f>
        <v>0</v>
      </c>
      <c r="S798" s="472">
        <f>(Table6[[#This Row],[Fault Clearance time]]-Table6[[#This Row],[Work Start TimeStamp]])*24</f>
        <v>0.71666666666666679</v>
      </c>
      <c r="T798" s="472">
        <f>(Table6[[#This Row],[Fault Clearance time]]-Table6[[#This Row],[Fault Start TimeStamp]])*24</f>
        <v>0.71666666666666679</v>
      </c>
      <c r="U798" s="35" t="s">
        <v>341</v>
      </c>
      <c r="V798" s="102" t="s">
        <v>293</v>
      </c>
      <c r="W798" s="478">
        <f>IFERROR(Table6[[#This Row],[Breakdown Time]]*Table6[[#This Row],[Plant Equivalent Weightage]],"")</f>
        <v>2.756410256410256E-2</v>
      </c>
      <c r="X798" s="473" t="s">
        <v>294</v>
      </c>
      <c r="Y798" s="474" t="s">
        <v>322</v>
      </c>
      <c r="Z798" s="102">
        <v>4919</v>
      </c>
      <c r="AA798" s="468">
        <f>(Table6[[#This Row],[Paired WTG Generation for loss calculation]]/24)*Table6[[#This Row],[Breakdown Time]]</f>
        <v>146.88680555555558</v>
      </c>
      <c r="AB798" s="102"/>
      <c r="AC798" s="35"/>
      <c r="AD798" s="35"/>
    </row>
    <row r="799" spans="1:30">
      <c r="A799" s="102">
        <f t="shared" si="13"/>
        <v>798</v>
      </c>
      <c r="B799" s="468">
        <f>YEAR(Table6[[#This Row],[Date]])+IF(MONTH(Table6[[#This Row],[Date]])&gt;=4,1,0)</f>
        <v>2026</v>
      </c>
      <c r="C799" s="102">
        <f>YEAR(Table6[[#This Row],[Date]])</f>
        <v>2025</v>
      </c>
      <c r="D799" s="102" t="s">
        <v>1992</v>
      </c>
      <c r="E799" s="469">
        <f>Table6[[#This Row],[Date]]-DAY(Table6[[#This Row],[Date]])+1</f>
        <v>45778</v>
      </c>
      <c r="F799" s="470">
        <v>45798</v>
      </c>
      <c r="G799" s="35" t="s">
        <v>87</v>
      </c>
      <c r="H799" s="35" t="str">
        <f>IFERROR(_xlfn.XLOOKUP(Table6[[#This Row],[Affected WTG]],'Basic Data'!$A:$A,'Basic Data'!$B:$B),"")</f>
        <v>TQGXIIPL</v>
      </c>
      <c r="I799" s="35" t="str">
        <f>IFERROR(_xlfn.XLOOKUP(Table6[[#This Row],[Affected WTG]],'Basic Data'!$A:$A,'Basic Data'!$C:$C),"")</f>
        <v>GEDA</v>
      </c>
      <c r="J799" s="471">
        <f>IFERROR(_xlfn.XLOOKUP(Table6[[#This Row],[Affected WTG]],'Basic Data'!$A:$A,'Basic Data'!$E:$E),"")</f>
        <v>3.846153846153845E-2</v>
      </c>
      <c r="K799" s="102">
        <v>152</v>
      </c>
      <c r="L799" s="35" t="str">
        <f>IFERROR(_xlfn.XLOOKUP(Table6[[#This Row],[Error Code]],'Basic Data'!$AA:$AA,'Basic Data'!$AB:$AB),"Incorrect Error Code")</f>
        <v>SLC app. not in SAFE mode</v>
      </c>
      <c r="M799" s="35" t="s">
        <v>291</v>
      </c>
      <c r="N799" s="475"/>
      <c r="O799" s="476">
        <v>0.80277777777777781</v>
      </c>
      <c r="P799" s="476">
        <v>0.80277777777777781</v>
      </c>
      <c r="Q799" s="477">
        <v>0.82291666666666663</v>
      </c>
      <c r="R799" s="472">
        <f>IF(Table6[[#This Row],[Work Start TimeStamp]]="","",(Table6[[#This Row],[Work Start TimeStamp]]-Table6[[#This Row],[Fault Start TimeStamp]])*24)</f>
        <v>0</v>
      </c>
      <c r="S799" s="472">
        <f>(Table6[[#This Row],[Fault Clearance time]]-Table6[[#This Row],[Work Start TimeStamp]])*24</f>
        <v>0.48333333333333162</v>
      </c>
      <c r="T799" s="472">
        <f>(Table6[[#This Row],[Fault Clearance time]]-Table6[[#This Row],[Fault Start TimeStamp]])*24</f>
        <v>0.48333333333333162</v>
      </c>
      <c r="U799" s="35" t="s">
        <v>1858</v>
      </c>
      <c r="V799" s="102" t="s">
        <v>293</v>
      </c>
      <c r="W799" s="478">
        <f>IFERROR(Table6[[#This Row],[Breakdown Time]]*Table6[[#This Row],[Plant Equivalent Weightage]],"")</f>
        <v>1.8589743589743517E-2</v>
      </c>
      <c r="X799" s="473" t="s">
        <v>294</v>
      </c>
      <c r="Y799" s="474" t="s">
        <v>327</v>
      </c>
      <c r="Z799" s="102">
        <v>5048</v>
      </c>
      <c r="AA799" s="468">
        <f>(Table6[[#This Row],[Paired WTG Generation for loss calculation]]/24)*Table6[[#This Row],[Breakdown Time]]</f>
        <v>101.66111111111076</v>
      </c>
      <c r="AB799" s="102"/>
      <c r="AC799" s="35"/>
      <c r="AD799" s="35"/>
    </row>
    <row r="800" spans="1:30">
      <c r="A800" s="102">
        <f t="shared" si="13"/>
        <v>799</v>
      </c>
      <c r="B800" s="468">
        <f>YEAR(Table6[[#This Row],[Date]])+IF(MONTH(Table6[[#This Row],[Date]])&gt;=4,1,0)</f>
        <v>2026</v>
      </c>
      <c r="C800" s="102">
        <f>YEAR(Table6[[#This Row],[Date]])</f>
        <v>2025</v>
      </c>
      <c r="D800" s="102" t="s">
        <v>1992</v>
      </c>
      <c r="E800" s="469">
        <f>Table6[[#This Row],[Date]]-DAY(Table6[[#This Row],[Date]])+1</f>
        <v>45778</v>
      </c>
      <c r="F800" s="470">
        <v>45798</v>
      </c>
      <c r="G800" s="35" t="s">
        <v>88</v>
      </c>
      <c r="H800" s="35" t="str">
        <f>IFERROR(_xlfn.XLOOKUP(Table6[[#This Row],[Affected WTG]],'Basic Data'!$A:$A,'Basic Data'!$B:$B),"")</f>
        <v>TQGXIIPL</v>
      </c>
      <c r="I800" s="35" t="str">
        <f>IFERROR(_xlfn.XLOOKUP(Table6[[#This Row],[Affected WTG]],'Basic Data'!$A:$A,'Basic Data'!$C:$C),"")</f>
        <v>GEDA</v>
      </c>
      <c r="J800" s="471">
        <f>IFERROR(_xlfn.XLOOKUP(Table6[[#This Row],[Affected WTG]],'Basic Data'!$A:$A,'Basic Data'!$E:$E),"")</f>
        <v>3.846153846153845E-2</v>
      </c>
      <c r="K800" s="102">
        <v>3420</v>
      </c>
      <c r="L800" s="35" t="str">
        <f>IFERROR(_xlfn.XLOOKUP(Table6[[#This Row],[Error Code]],'Basic Data'!$AA:$AA,'Basic Data'!$AB:$AB),"Incorrect Error Code")</f>
        <v>UPS buffer time too short</v>
      </c>
      <c r="M800" s="35" t="s">
        <v>291</v>
      </c>
      <c r="N800" s="475"/>
      <c r="O800" s="476">
        <v>0.80277777777777781</v>
      </c>
      <c r="P800" s="476">
        <v>0.80277777777777781</v>
      </c>
      <c r="Q800" s="477">
        <v>0.82291666666666663</v>
      </c>
      <c r="R800" s="472">
        <f>IF(Table6[[#This Row],[Work Start TimeStamp]]="","",(Table6[[#This Row],[Work Start TimeStamp]]-Table6[[#This Row],[Fault Start TimeStamp]])*24)</f>
        <v>0</v>
      </c>
      <c r="S800" s="472">
        <f>(Table6[[#This Row],[Fault Clearance time]]-Table6[[#This Row],[Work Start TimeStamp]])*24</f>
        <v>0.48333333333333162</v>
      </c>
      <c r="T800" s="472">
        <f>(Table6[[#This Row],[Fault Clearance time]]-Table6[[#This Row],[Fault Start TimeStamp]])*24</f>
        <v>0.48333333333333162</v>
      </c>
      <c r="U800" s="35" t="s">
        <v>1858</v>
      </c>
      <c r="V800" s="102" t="s">
        <v>293</v>
      </c>
      <c r="W800" s="478">
        <f>IFERROR(Table6[[#This Row],[Breakdown Time]]*Table6[[#This Row],[Plant Equivalent Weightage]],"")</f>
        <v>1.8589743589743517E-2</v>
      </c>
      <c r="X800" s="473" t="s">
        <v>294</v>
      </c>
      <c r="Y800" s="474" t="s">
        <v>323</v>
      </c>
      <c r="Z800" s="102">
        <v>4705</v>
      </c>
      <c r="AA800" s="468">
        <f>(Table6[[#This Row],[Paired WTG Generation for loss calculation]]/24)*Table6[[#This Row],[Breakdown Time]]</f>
        <v>94.753472222221887</v>
      </c>
      <c r="AB800" s="102"/>
      <c r="AC800" s="35"/>
      <c r="AD800" s="35"/>
    </row>
    <row r="801" spans="1:30">
      <c r="A801" s="102">
        <f t="shared" si="13"/>
        <v>800</v>
      </c>
      <c r="B801" s="468">
        <f>YEAR(Table6[[#This Row],[Date]])+IF(MONTH(Table6[[#This Row],[Date]])&gt;=4,1,0)</f>
        <v>2026</v>
      </c>
      <c r="C801" s="102">
        <f>YEAR(Table6[[#This Row],[Date]])</f>
        <v>2025</v>
      </c>
      <c r="D801" s="102" t="s">
        <v>1992</v>
      </c>
      <c r="E801" s="469">
        <f>Table6[[#This Row],[Date]]-DAY(Table6[[#This Row],[Date]])+1</f>
        <v>45778</v>
      </c>
      <c r="F801" s="470">
        <v>45798</v>
      </c>
      <c r="G801" s="35" t="s">
        <v>89</v>
      </c>
      <c r="H801" s="35" t="str">
        <f>IFERROR(_xlfn.XLOOKUP(Table6[[#This Row],[Affected WTG]],'Basic Data'!$A:$A,'Basic Data'!$B:$B),"")</f>
        <v>TQGXIIPL</v>
      </c>
      <c r="I801" s="35" t="str">
        <f>IFERROR(_xlfn.XLOOKUP(Table6[[#This Row],[Affected WTG]],'Basic Data'!$A:$A,'Basic Data'!$C:$C),"")</f>
        <v>GEDA</v>
      </c>
      <c r="J801" s="471">
        <f>IFERROR(_xlfn.XLOOKUP(Table6[[#This Row],[Affected WTG]],'Basic Data'!$A:$A,'Basic Data'!$E:$E),"")</f>
        <v>3.846153846153845E-2</v>
      </c>
      <c r="K801" s="102">
        <v>675</v>
      </c>
      <c r="L801" s="35" t="str">
        <f>IFERROR(_xlfn.XLOOKUP(Table6[[#This Row],[Error Code]],'Basic Data'!$AA:$AA,'Basic Data'!$AB:$AB),"Incorrect Error Code")</f>
        <v>Pitch measuring system 1&gt;&lt;2</v>
      </c>
      <c r="M801" s="35" t="s">
        <v>291</v>
      </c>
      <c r="N801" s="475"/>
      <c r="O801" s="476">
        <v>0.79861111111111116</v>
      </c>
      <c r="P801" s="476">
        <v>0.85069444444444442</v>
      </c>
      <c r="Q801" s="477">
        <v>0.86458333333333337</v>
      </c>
      <c r="R801" s="472">
        <f>IF(Table6[[#This Row],[Work Start TimeStamp]]="","",(Table6[[#This Row],[Work Start TimeStamp]]-Table6[[#This Row],[Fault Start TimeStamp]])*24)</f>
        <v>1.2499999999999982</v>
      </c>
      <c r="S801" s="472">
        <f>(Table6[[#This Row],[Fault Clearance time]]-Table6[[#This Row],[Work Start TimeStamp]])*24</f>
        <v>0.33333333333333481</v>
      </c>
      <c r="T801" s="472">
        <f>(Table6[[#This Row],[Fault Clearance time]]-Table6[[#This Row],[Fault Start TimeStamp]])*24</f>
        <v>1.583333333333333</v>
      </c>
      <c r="U801" s="35" t="s">
        <v>1860</v>
      </c>
      <c r="V801" s="102" t="s">
        <v>293</v>
      </c>
      <c r="W801" s="478">
        <f>IFERROR(Table6[[#This Row],[Breakdown Time]]*Table6[[#This Row],[Plant Equivalent Weightage]],"")</f>
        <v>6.0897435897435868E-2</v>
      </c>
      <c r="X801" s="473" t="s">
        <v>290</v>
      </c>
      <c r="Y801" s="474" t="s">
        <v>325</v>
      </c>
      <c r="Z801" s="102">
        <v>9422</v>
      </c>
      <c r="AA801" s="468">
        <f>(Table6[[#This Row],[Paired WTG Generation for loss calculation]]/24)*Table6[[#This Row],[Breakdown Time]]</f>
        <v>621.5902777777776</v>
      </c>
      <c r="AB801" s="102"/>
      <c r="AC801" s="35"/>
      <c r="AD801" s="35"/>
    </row>
    <row r="802" spans="1:30">
      <c r="A802" s="102">
        <f t="shared" si="13"/>
        <v>801</v>
      </c>
      <c r="B802" s="468">
        <f>YEAR(Table6[[#This Row],[Date]])+IF(MONTH(Table6[[#This Row],[Date]])&gt;=4,1,0)</f>
        <v>2026</v>
      </c>
      <c r="C802" s="102">
        <f>YEAR(Table6[[#This Row],[Date]])</f>
        <v>2025</v>
      </c>
      <c r="D802" s="102" t="s">
        <v>1992</v>
      </c>
      <c r="E802" s="469">
        <f>Table6[[#This Row],[Date]]-DAY(Table6[[#This Row],[Date]])+1</f>
        <v>45778</v>
      </c>
      <c r="F802" s="470">
        <v>45798</v>
      </c>
      <c r="G802" s="35" t="s">
        <v>90</v>
      </c>
      <c r="H802" s="35" t="str">
        <f>IFERROR(_xlfn.XLOOKUP(Table6[[#This Row],[Affected WTG]],'Basic Data'!$A:$A,'Basic Data'!$B:$B),"")</f>
        <v>TQGXIIPL</v>
      </c>
      <c r="I802" s="35" t="str">
        <f>IFERROR(_xlfn.XLOOKUP(Table6[[#This Row],[Affected WTG]],'Basic Data'!$A:$A,'Basic Data'!$C:$C),"")</f>
        <v>GEDA</v>
      </c>
      <c r="J802" s="471">
        <f>IFERROR(_xlfn.XLOOKUP(Table6[[#This Row],[Affected WTG]],'Basic Data'!$A:$A,'Basic Data'!$E:$E),"")</f>
        <v>3.846153846153845E-2</v>
      </c>
      <c r="K802" s="102">
        <v>152</v>
      </c>
      <c r="L802" s="35" t="str">
        <f>IFERROR(_xlfn.XLOOKUP(Table6[[#This Row],[Error Code]],'Basic Data'!$AA:$AA,'Basic Data'!$AB:$AB),"Incorrect Error Code")</f>
        <v>SLC app. not in SAFE mode</v>
      </c>
      <c r="M802" s="35" t="s">
        <v>291</v>
      </c>
      <c r="N802" s="475"/>
      <c r="O802" s="476">
        <v>0.79861111111111116</v>
      </c>
      <c r="P802" s="476">
        <v>0.79861111111111116</v>
      </c>
      <c r="Q802" s="477">
        <v>0.82361111111111107</v>
      </c>
      <c r="R802" s="472">
        <f>IF(Table6[[#This Row],[Work Start TimeStamp]]="","",(Table6[[#This Row],[Work Start TimeStamp]]-Table6[[#This Row],[Fault Start TimeStamp]])*24)</f>
        <v>0</v>
      </c>
      <c r="S802" s="472">
        <f>(Table6[[#This Row],[Fault Clearance time]]-Table6[[#This Row],[Work Start TimeStamp]])*24</f>
        <v>0.59999999999999787</v>
      </c>
      <c r="T802" s="472">
        <f>(Table6[[#This Row],[Fault Clearance time]]-Table6[[#This Row],[Fault Start TimeStamp]])*24</f>
        <v>0.59999999999999787</v>
      </c>
      <c r="U802" s="35" t="s">
        <v>1858</v>
      </c>
      <c r="V802" s="102" t="s">
        <v>293</v>
      </c>
      <c r="W802" s="478">
        <f>IFERROR(Table6[[#This Row],[Breakdown Time]]*Table6[[#This Row],[Plant Equivalent Weightage]],"")</f>
        <v>2.3076923076922988E-2</v>
      </c>
      <c r="X802" s="473" t="s">
        <v>294</v>
      </c>
      <c r="Y802" s="474" t="s">
        <v>339</v>
      </c>
      <c r="Z802" s="102">
        <v>13881</v>
      </c>
      <c r="AA802" s="468">
        <f>(Table6[[#This Row],[Paired WTG Generation for loss calculation]]/24)*Table6[[#This Row],[Breakdown Time]]</f>
        <v>347.02499999999878</v>
      </c>
      <c r="AB802" s="102"/>
      <c r="AC802" s="35"/>
      <c r="AD802" s="35"/>
    </row>
    <row r="803" spans="1:30">
      <c r="A803" s="102">
        <f t="shared" si="13"/>
        <v>802</v>
      </c>
      <c r="B803" s="468">
        <f>YEAR(Table6[[#This Row],[Date]])+IF(MONTH(Table6[[#This Row],[Date]])&gt;=4,1,0)</f>
        <v>2026</v>
      </c>
      <c r="C803" s="102">
        <f>YEAR(Table6[[#This Row],[Date]])</f>
        <v>2025</v>
      </c>
      <c r="D803" s="102" t="s">
        <v>1992</v>
      </c>
      <c r="E803" s="469">
        <f>Table6[[#This Row],[Date]]-DAY(Table6[[#This Row],[Date]])+1</f>
        <v>45778</v>
      </c>
      <c r="F803" s="470">
        <v>45798</v>
      </c>
      <c r="G803" s="35" t="s">
        <v>91</v>
      </c>
      <c r="H803" s="35" t="str">
        <f>IFERROR(_xlfn.XLOOKUP(Table6[[#This Row],[Affected WTG]],'Basic Data'!$A:$A,'Basic Data'!$B:$B),"")</f>
        <v>TQGXIIPL</v>
      </c>
      <c r="I803" s="35" t="str">
        <f>IFERROR(_xlfn.XLOOKUP(Table6[[#This Row],[Affected WTG]],'Basic Data'!$A:$A,'Basic Data'!$C:$C),"")</f>
        <v>GEDA</v>
      </c>
      <c r="J803" s="471">
        <f>IFERROR(_xlfn.XLOOKUP(Table6[[#This Row],[Affected WTG]],'Basic Data'!$A:$A,'Basic Data'!$E:$E),"")</f>
        <v>3.846153846153845E-2</v>
      </c>
      <c r="K803" s="102">
        <v>3110</v>
      </c>
      <c r="L803" s="35" t="str">
        <f>IFERROR(_xlfn.XLOOKUP(Table6[[#This Row],[Error Code]],'Basic Data'!$AA:$AA,'Basic Data'!$AB:$AB),"Incorrect Error Code")</f>
        <v>Frequency converter error</v>
      </c>
      <c r="M803" s="35" t="s">
        <v>291</v>
      </c>
      <c r="N803" s="475"/>
      <c r="O803" s="476">
        <v>0.79861111111111116</v>
      </c>
      <c r="P803" s="476">
        <v>0.88263888888888886</v>
      </c>
      <c r="Q803" s="477">
        <v>0.8930555555555556</v>
      </c>
      <c r="R803" s="472">
        <f>IF(Table6[[#This Row],[Work Start TimeStamp]]="","",(Table6[[#This Row],[Work Start TimeStamp]]-Table6[[#This Row],[Fault Start TimeStamp]])*24)</f>
        <v>2.0166666666666648</v>
      </c>
      <c r="S803" s="472">
        <f>(Table6[[#This Row],[Fault Clearance time]]-Table6[[#This Row],[Work Start TimeStamp]])*24</f>
        <v>0.25000000000000178</v>
      </c>
      <c r="T803" s="472">
        <f>(Table6[[#This Row],[Fault Clearance time]]-Table6[[#This Row],[Fault Start TimeStamp]])*24</f>
        <v>2.2666666666666666</v>
      </c>
      <c r="U803" s="35" t="s">
        <v>1860</v>
      </c>
      <c r="V803" s="102" t="s">
        <v>293</v>
      </c>
      <c r="W803" s="478">
        <f>IFERROR(Table6[[#This Row],[Breakdown Time]]*Table6[[#This Row],[Plant Equivalent Weightage]],"")</f>
        <v>8.7179487179487147E-2</v>
      </c>
      <c r="X803" s="473" t="s">
        <v>290</v>
      </c>
      <c r="Y803" s="474" t="s">
        <v>319</v>
      </c>
      <c r="Z803" s="102">
        <v>12064</v>
      </c>
      <c r="AA803" s="468">
        <f>(Table6[[#This Row],[Paired WTG Generation for loss calculation]]/24)*Table6[[#This Row],[Breakdown Time]]</f>
        <v>1139.3777777777777</v>
      </c>
      <c r="AB803" s="102"/>
      <c r="AC803" s="35"/>
      <c r="AD803" s="35"/>
    </row>
    <row r="804" spans="1:30">
      <c r="A804" s="102">
        <f t="shared" si="13"/>
        <v>803</v>
      </c>
      <c r="B804" s="468">
        <f>YEAR(Table6[[#This Row],[Date]])+IF(MONTH(Table6[[#This Row],[Date]])&gt;=4,1,0)</f>
        <v>2026</v>
      </c>
      <c r="C804" s="102">
        <f>YEAR(Table6[[#This Row],[Date]])</f>
        <v>2025</v>
      </c>
      <c r="D804" s="102" t="s">
        <v>1992</v>
      </c>
      <c r="E804" s="469">
        <f>Table6[[#This Row],[Date]]-DAY(Table6[[#This Row],[Date]])+1</f>
        <v>45778</v>
      </c>
      <c r="F804" s="470">
        <v>45798</v>
      </c>
      <c r="G804" s="35" t="s">
        <v>92</v>
      </c>
      <c r="H804" s="35" t="str">
        <f>IFERROR(_xlfn.XLOOKUP(Table6[[#This Row],[Affected WTG]],'Basic Data'!$A:$A,'Basic Data'!$B:$B),"")</f>
        <v>TQGXIIPL</v>
      </c>
      <c r="I804" s="35" t="str">
        <f>IFERROR(_xlfn.XLOOKUP(Table6[[#This Row],[Affected WTG]],'Basic Data'!$A:$A,'Basic Data'!$C:$C),"")</f>
        <v>GEDA</v>
      </c>
      <c r="J804" s="471">
        <f>IFERROR(_xlfn.XLOOKUP(Table6[[#This Row],[Affected WTG]],'Basic Data'!$A:$A,'Basic Data'!$E:$E),"")</f>
        <v>3.846153846153845E-2</v>
      </c>
      <c r="K804" s="102">
        <v>3420</v>
      </c>
      <c r="L804" s="35" t="str">
        <f>IFERROR(_xlfn.XLOOKUP(Table6[[#This Row],[Error Code]],'Basic Data'!$AA:$AA,'Basic Data'!$AB:$AB),"Incorrect Error Code")</f>
        <v>UPS buffer time too short</v>
      </c>
      <c r="M804" s="35" t="s">
        <v>291</v>
      </c>
      <c r="N804" s="475"/>
      <c r="O804" s="476">
        <v>0.79861111111111116</v>
      </c>
      <c r="P804" s="476">
        <v>0.79861111111111116</v>
      </c>
      <c r="Q804" s="477">
        <v>0.85555555555555551</v>
      </c>
      <c r="R804" s="472">
        <f>IF(Table6[[#This Row],[Work Start TimeStamp]]="","",(Table6[[#This Row],[Work Start TimeStamp]]-Table6[[#This Row],[Fault Start TimeStamp]])*24)</f>
        <v>0</v>
      </c>
      <c r="S804" s="472">
        <f>(Table6[[#This Row],[Fault Clearance time]]-Table6[[#This Row],[Work Start TimeStamp]])*24</f>
        <v>1.3666666666666645</v>
      </c>
      <c r="T804" s="472">
        <f>(Table6[[#This Row],[Fault Clearance time]]-Table6[[#This Row],[Fault Start TimeStamp]])*24</f>
        <v>1.3666666666666645</v>
      </c>
      <c r="U804" s="35" t="s">
        <v>1858</v>
      </c>
      <c r="V804" s="102" t="s">
        <v>293</v>
      </c>
      <c r="W804" s="478">
        <f>IFERROR(Table6[[#This Row],[Breakdown Time]]*Table6[[#This Row],[Plant Equivalent Weightage]],"")</f>
        <v>5.2564102564102461E-2</v>
      </c>
      <c r="X804" s="473" t="s">
        <v>294</v>
      </c>
      <c r="Y804" s="474" t="s">
        <v>310</v>
      </c>
      <c r="Z804" s="102">
        <v>8259</v>
      </c>
      <c r="AA804" s="468">
        <f>(Table6[[#This Row],[Paired WTG Generation for loss calculation]]/24)*Table6[[#This Row],[Breakdown Time]]</f>
        <v>470.30416666666594</v>
      </c>
      <c r="AB804" s="102"/>
      <c r="AC804" s="35"/>
      <c r="AD804" s="35"/>
    </row>
    <row r="805" spans="1:30">
      <c r="A805" s="102">
        <f t="shared" si="13"/>
        <v>804</v>
      </c>
      <c r="B805" s="468">
        <f>YEAR(Table6[[#This Row],[Date]])+IF(MONTH(Table6[[#This Row],[Date]])&gt;=4,1,0)</f>
        <v>2026</v>
      </c>
      <c r="C805" s="102">
        <f>YEAR(Table6[[#This Row],[Date]])</f>
        <v>2025</v>
      </c>
      <c r="D805" s="102" t="s">
        <v>1992</v>
      </c>
      <c r="E805" s="469">
        <f>Table6[[#This Row],[Date]]-DAY(Table6[[#This Row],[Date]])+1</f>
        <v>45778</v>
      </c>
      <c r="F805" s="470">
        <v>45798</v>
      </c>
      <c r="G805" s="35" t="s">
        <v>93</v>
      </c>
      <c r="H805" s="35" t="str">
        <f>IFERROR(_xlfn.XLOOKUP(Table6[[#This Row],[Affected WTG]],'Basic Data'!$A:$A,'Basic Data'!$B:$B),"")</f>
        <v>TQGXIIPL</v>
      </c>
      <c r="I805" s="35" t="str">
        <f>IFERROR(_xlfn.XLOOKUP(Table6[[#This Row],[Affected WTG]],'Basic Data'!$A:$A,'Basic Data'!$C:$C),"")</f>
        <v>GEDA</v>
      </c>
      <c r="J805" s="471">
        <f>IFERROR(_xlfn.XLOOKUP(Table6[[#This Row],[Affected WTG]],'Basic Data'!$A:$A,'Basic Data'!$E:$E),"")</f>
        <v>3.846153846153845E-2</v>
      </c>
      <c r="K805" s="102">
        <v>152</v>
      </c>
      <c r="L805" s="35" t="str">
        <f>IFERROR(_xlfn.XLOOKUP(Table6[[#This Row],[Error Code]],'Basic Data'!$AA:$AA,'Basic Data'!$AB:$AB),"Incorrect Error Code")</f>
        <v>SLC app. not in SAFE mode</v>
      </c>
      <c r="M805" s="35" t="s">
        <v>291</v>
      </c>
      <c r="N805" s="475"/>
      <c r="O805" s="476">
        <v>0.79861111111111116</v>
      </c>
      <c r="P805" s="476">
        <v>0.79861111111111116</v>
      </c>
      <c r="Q805" s="477">
        <v>0.82499999999999996</v>
      </c>
      <c r="R805" s="472">
        <f>IF(Table6[[#This Row],[Work Start TimeStamp]]="","",(Table6[[#This Row],[Work Start TimeStamp]]-Table6[[#This Row],[Fault Start TimeStamp]])*24)</f>
        <v>0</v>
      </c>
      <c r="S805" s="472">
        <f>(Table6[[#This Row],[Fault Clearance time]]-Table6[[#This Row],[Work Start TimeStamp]])*24</f>
        <v>0.63333333333333108</v>
      </c>
      <c r="T805" s="472">
        <f>(Table6[[#This Row],[Fault Clearance time]]-Table6[[#This Row],[Fault Start TimeStamp]])*24</f>
        <v>0.63333333333333108</v>
      </c>
      <c r="U805" s="35" t="s">
        <v>1858</v>
      </c>
      <c r="V805" s="102" t="s">
        <v>293</v>
      </c>
      <c r="W805" s="478">
        <f>IFERROR(Table6[[#This Row],[Breakdown Time]]*Table6[[#This Row],[Plant Equivalent Weightage]],"")</f>
        <v>2.4358974358974265E-2</v>
      </c>
      <c r="X805" s="473" t="s">
        <v>294</v>
      </c>
      <c r="Y805" s="474" t="s">
        <v>314</v>
      </c>
      <c r="Z805" s="102">
        <v>7917</v>
      </c>
      <c r="AA805" s="468">
        <f>(Table6[[#This Row],[Paired WTG Generation for loss calculation]]/24)*Table6[[#This Row],[Breakdown Time]]</f>
        <v>208.92083333333258</v>
      </c>
      <c r="AB805" s="102"/>
      <c r="AC805" s="35"/>
      <c r="AD805" s="35"/>
    </row>
    <row r="806" spans="1:30">
      <c r="A806" s="102">
        <f t="shared" si="13"/>
        <v>805</v>
      </c>
      <c r="B806" s="468">
        <f>YEAR(Table6[[#This Row],[Date]])+IF(MONTH(Table6[[#This Row],[Date]])&gt;=4,1,0)</f>
        <v>2026</v>
      </c>
      <c r="C806" s="102">
        <f>YEAR(Table6[[#This Row],[Date]])</f>
        <v>2025</v>
      </c>
      <c r="D806" s="102" t="s">
        <v>1992</v>
      </c>
      <c r="E806" s="469">
        <f>Table6[[#This Row],[Date]]-DAY(Table6[[#This Row],[Date]])+1</f>
        <v>45778</v>
      </c>
      <c r="F806" s="470">
        <v>45798</v>
      </c>
      <c r="G806" s="35" t="s">
        <v>94</v>
      </c>
      <c r="H806" s="35" t="str">
        <f>IFERROR(_xlfn.XLOOKUP(Table6[[#This Row],[Affected WTG]],'Basic Data'!$A:$A,'Basic Data'!$B:$B),"")</f>
        <v>TQGXIIPL</v>
      </c>
      <c r="I806" s="35" t="str">
        <f>IFERROR(_xlfn.XLOOKUP(Table6[[#This Row],[Affected WTG]],'Basic Data'!$A:$A,'Basic Data'!$C:$C),"")</f>
        <v>GEDA</v>
      </c>
      <c r="J806" s="471">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291</v>
      </c>
      <c r="N806" s="475"/>
      <c r="O806" s="476">
        <v>0.79861111111111116</v>
      </c>
      <c r="P806" s="476">
        <v>0.79861111111111116</v>
      </c>
      <c r="Q806" s="477">
        <v>0.86875000000000002</v>
      </c>
      <c r="R806" s="472">
        <f>IF(Table6[[#This Row],[Work Start TimeStamp]]="","",(Table6[[#This Row],[Work Start TimeStamp]]-Table6[[#This Row],[Fault Start TimeStamp]])*24)</f>
        <v>0</v>
      </c>
      <c r="S806" s="472">
        <f>(Table6[[#This Row],[Fault Clearance time]]-Table6[[#This Row],[Work Start TimeStamp]])*24</f>
        <v>1.6833333333333327</v>
      </c>
      <c r="T806" s="472">
        <f>(Table6[[#This Row],[Fault Clearance time]]-Table6[[#This Row],[Fault Start TimeStamp]])*24</f>
        <v>1.6833333333333327</v>
      </c>
      <c r="U806" s="35" t="s">
        <v>341</v>
      </c>
      <c r="V806" s="102" t="s">
        <v>293</v>
      </c>
      <c r="W806" s="478">
        <f>IFERROR(Table6[[#This Row],[Breakdown Time]]*Table6[[#This Row],[Plant Equivalent Weightage]],"")</f>
        <v>6.4743589743589694E-2</v>
      </c>
      <c r="X806" s="473" t="s">
        <v>294</v>
      </c>
      <c r="Y806" s="474" t="s">
        <v>319</v>
      </c>
      <c r="Z806" s="102">
        <v>12064</v>
      </c>
      <c r="AA806" s="468">
        <f>(Table6[[#This Row],[Paired WTG Generation for loss calculation]]/24)*Table6[[#This Row],[Breakdown Time]]</f>
        <v>846.15555555555522</v>
      </c>
      <c r="AB806" s="102"/>
      <c r="AC806" s="35"/>
      <c r="AD806" s="35"/>
    </row>
    <row r="807" spans="1:30">
      <c r="A807" s="102">
        <f t="shared" si="13"/>
        <v>806</v>
      </c>
      <c r="B807" s="468">
        <f>YEAR(Table6[[#This Row],[Date]])+IF(MONTH(Table6[[#This Row],[Date]])&gt;=4,1,0)</f>
        <v>2026</v>
      </c>
      <c r="C807" s="102">
        <f>YEAR(Table6[[#This Row],[Date]])</f>
        <v>2025</v>
      </c>
      <c r="D807" s="102" t="s">
        <v>1992</v>
      </c>
      <c r="E807" s="469">
        <f>Table6[[#This Row],[Date]]-DAY(Table6[[#This Row],[Date]])+1</f>
        <v>45778</v>
      </c>
      <c r="F807" s="470">
        <v>45798</v>
      </c>
      <c r="G807" s="35" t="s">
        <v>95</v>
      </c>
      <c r="H807" s="35" t="str">
        <f>IFERROR(_xlfn.XLOOKUP(Table6[[#This Row],[Affected WTG]],'Basic Data'!$A:$A,'Basic Data'!$B:$B),"")</f>
        <v>TQGXIIPL</v>
      </c>
      <c r="I807" s="35" t="str">
        <f>IFERROR(_xlfn.XLOOKUP(Table6[[#This Row],[Affected WTG]],'Basic Data'!$A:$A,'Basic Data'!$C:$C),"")</f>
        <v>GEDA</v>
      </c>
      <c r="J807" s="471">
        <f>IFERROR(_xlfn.XLOOKUP(Table6[[#This Row],[Affected WTG]],'Basic Data'!$A:$A,'Basic Data'!$E:$E),"")</f>
        <v>3.846153846153845E-2</v>
      </c>
      <c r="K807" s="102">
        <v>3420</v>
      </c>
      <c r="L807" s="35" t="str">
        <f>IFERROR(_xlfn.XLOOKUP(Table6[[#This Row],[Error Code]],'Basic Data'!$AA:$AA,'Basic Data'!$AB:$AB),"Incorrect Error Code")</f>
        <v>UPS buffer time too short</v>
      </c>
      <c r="M807" s="35" t="s">
        <v>291</v>
      </c>
      <c r="N807" s="475"/>
      <c r="O807" s="476">
        <v>0.79861111111111116</v>
      </c>
      <c r="P807" s="476">
        <v>0.79861111111111116</v>
      </c>
      <c r="Q807" s="477">
        <v>0.84513888888888888</v>
      </c>
      <c r="R807" s="472">
        <f>IF(Table6[[#This Row],[Work Start TimeStamp]]="","",(Table6[[#This Row],[Work Start TimeStamp]]-Table6[[#This Row],[Fault Start TimeStamp]])*24)</f>
        <v>0</v>
      </c>
      <c r="S807" s="472">
        <f>(Table6[[#This Row],[Fault Clearance time]]-Table6[[#This Row],[Work Start TimeStamp]])*24</f>
        <v>1.1166666666666654</v>
      </c>
      <c r="T807" s="472">
        <f>(Table6[[#This Row],[Fault Clearance time]]-Table6[[#This Row],[Fault Start TimeStamp]])*24</f>
        <v>1.1166666666666654</v>
      </c>
      <c r="U807" s="35" t="s">
        <v>1858</v>
      </c>
      <c r="V807" s="102" t="s">
        <v>293</v>
      </c>
      <c r="W807" s="478">
        <f>IFERROR(Table6[[#This Row],[Breakdown Time]]*Table6[[#This Row],[Plant Equivalent Weightage]],"")</f>
        <v>4.2948717948717886E-2</v>
      </c>
      <c r="X807" s="473" t="s">
        <v>294</v>
      </c>
      <c r="Y807" s="474" t="s">
        <v>319</v>
      </c>
      <c r="Z807" s="102">
        <v>12064</v>
      </c>
      <c r="AA807" s="468">
        <f>(Table6[[#This Row],[Paired WTG Generation for loss calculation]]/24)*Table6[[#This Row],[Breakdown Time]]</f>
        <v>561.31111111111045</v>
      </c>
      <c r="AB807" s="102"/>
      <c r="AC807" s="35"/>
      <c r="AD807" s="35"/>
    </row>
    <row r="808" spans="1:30">
      <c r="A808" s="102">
        <f t="shared" si="13"/>
        <v>807</v>
      </c>
      <c r="B808" s="468">
        <f>YEAR(Table6[[#This Row],[Date]])+IF(MONTH(Table6[[#This Row],[Date]])&gt;=4,1,0)</f>
        <v>2026</v>
      </c>
      <c r="C808" s="102">
        <f>YEAR(Table6[[#This Row],[Date]])</f>
        <v>2025</v>
      </c>
      <c r="D808" s="102" t="s">
        <v>1992</v>
      </c>
      <c r="E808" s="469">
        <f>Table6[[#This Row],[Date]]-DAY(Table6[[#This Row],[Date]])+1</f>
        <v>45778</v>
      </c>
      <c r="F808" s="470">
        <v>45798</v>
      </c>
      <c r="G808" s="35" t="s">
        <v>96</v>
      </c>
      <c r="H808" s="35" t="str">
        <f>IFERROR(_xlfn.XLOOKUP(Table6[[#This Row],[Affected WTG]],'Basic Data'!$A:$A,'Basic Data'!$B:$B),"")</f>
        <v>TQGXIIPL</v>
      </c>
      <c r="I808" s="35" t="str">
        <f>IFERROR(_xlfn.XLOOKUP(Table6[[#This Row],[Affected WTG]],'Basic Data'!$A:$A,'Basic Data'!$C:$C),"")</f>
        <v>GEDA</v>
      </c>
      <c r="J808" s="471">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291</v>
      </c>
      <c r="N808" s="475"/>
      <c r="O808" s="476">
        <v>0.80277777777777781</v>
      </c>
      <c r="P808" s="476">
        <v>0.80277777777777781</v>
      </c>
      <c r="Q808" s="477">
        <v>0.83125000000000004</v>
      </c>
      <c r="R808" s="472">
        <f>IF(Table6[[#This Row],[Work Start TimeStamp]]="","",(Table6[[#This Row],[Work Start TimeStamp]]-Table6[[#This Row],[Fault Start TimeStamp]])*24)</f>
        <v>0</v>
      </c>
      <c r="S808" s="472">
        <f>(Table6[[#This Row],[Fault Clearance time]]-Table6[[#This Row],[Work Start TimeStamp]])*24</f>
        <v>0.68333333333333357</v>
      </c>
      <c r="T808" s="472">
        <f>(Table6[[#This Row],[Fault Clearance time]]-Table6[[#This Row],[Fault Start TimeStamp]])*24</f>
        <v>0.68333333333333357</v>
      </c>
      <c r="U808" s="35" t="s">
        <v>341</v>
      </c>
      <c r="V808" s="102" t="s">
        <v>293</v>
      </c>
      <c r="W808" s="478">
        <f>IFERROR(Table6[[#This Row],[Breakdown Time]]*Table6[[#This Row],[Plant Equivalent Weightage]],"")</f>
        <v>2.6282051282051282E-2</v>
      </c>
      <c r="X808" s="473" t="s">
        <v>294</v>
      </c>
      <c r="Y808" s="474" t="s">
        <v>313</v>
      </c>
      <c r="Z808" s="102">
        <v>4932</v>
      </c>
      <c r="AA808" s="468">
        <f>(Table6[[#This Row],[Paired WTG Generation for loss calculation]]/24)*Table6[[#This Row],[Breakdown Time]]</f>
        <v>140.42500000000004</v>
      </c>
      <c r="AB808" s="102"/>
      <c r="AC808" s="35"/>
      <c r="AD808" s="35"/>
    </row>
    <row r="809" spans="1:30">
      <c r="A809" s="102">
        <f t="shared" si="13"/>
        <v>808</v>
      </c>
      <c r="B809" s="468">
        <f>YEAR(Table6[[#This Row],[Date]])+IF(MONTH(Table6[[#This Row],[Date]])&gt;=4,1,0)</f>
        <v>2026</v>
      </c>
      <c r="C809" s="102">
        <f>YEAR(Table6[[#This Row],[Date]])</f>
        <v>2025</v>
      </c>
      <c r="D809" s="102" t="s">
        <v>1992</v>
      </c>
      <c r="E809" s="469">
        <f>Table6[[#This Row],[Date]]-DAY(Table6[[#This Row],[Date]])+1</f>
        <v>45778</v>
      </c>
      <c r="F809" s="470">
        <v>45798</v>
      </c>
      <c r="G809" s="35" t="s">
        <v>97</v>
      </c>
      <c r="H809" s="35" t="str">
        <f>IFERROR(_xlfn.XLOOKUP(Table6[[#This Row],[Affected WTG]],'Basic Data'!$A:$A,'Basic Data'!$B:$B),"")</f>
        <v>TQGXIIPL</v>
      </c>
      <c r="I809" s="35" t="str">
        <f>IFERROR(_xlfn.XLOOKUP(Table6[[#This Row],[Affected WTG]],'Basic Data'!$A:$A,'Basic Data'!$C:$C),"")</f>
        <v>GEDA</v>
      </c>
      <c r="J809" s="471">
        <f>IFERROR(_xlfn.XLOOKUP(Table6[[#This Row],[Affected WTG]],'Basic Data'!$A:$A,'Basic Data'!$E:$E),"")</f>
        <v>3.846153846153845E-2</v>
      </c>
      <c r="K809" s="102">
        <v>152</v>
      </c>
      <c r="L809" s="35" t="str">
        <f>IFERROR(_xlfn.XLOOKUP(Table6[[#This Row],[Error Code]],'Basic Data'!$AA:$AA,'Basic Data'!$AB:$AB),"Incorrect Error Code")</f>
        <v>SLC app. not in SAFE mode</v>
      </c>
      <c r="M809" s="35" t="s">
        <v>291</v>
      </c>
      <c r="N809" s="475"/>
      <c r="O809" s="476">
        <v>0.79861111111111116</v>
      </c>
      <c r="P809" s="476">
        <v>0.79861111111111116</v>
      </c>
      <c r="Q809" s="477">
        <v>0.82638888888888884</v>
      </c>
      <c r="R809" s="472">
        <f>IF(Table6[[#This Row],[Work Start TimeStamp]]="","",(Table6[[#This Row],[Work Start TimeStamp]]-Table6[[#This Row],[Fault Start TimeStamp]])*24)</f>
        <v>0</v>
      </c>
      <c r="S809" s="472">
        <f>(Table6[[#This Row],[Fault Clearance time]]-Table6[[#This Row],[Work Start TimeStamp]])*24</f>
        <v>0.6666666666666643</v>
      </c>
      <c r="T809" s="472">
        <f>(Table6[[#This Row],[Fault Clearance time]]-Table6[[#This Row],[Fault Start TimeStamp]])*24</f>
        <v>0.6666666666666643</v>
      </c>
      <c r="U809" s="35" t="s">
        <v>1858</v>
      </c>
      <c r="V809" s="102" t="s">
        <v>293</v>
      </c>
      <c r="W809" s="478">
        <f>IFERROR(Table6[[#This Row],[Breakdown Time]]*Table6[[#This Row],[Plant Equivalent Weightage]],"")</f>
        <v>2.5641025641025543E-2</v>
      </c>
      <c r="X809" s="473" t="s">
        <v>294</v>
      </c>
      <c r="Y809" s="474" t="s">
        <v>320</v>
      </c>
      <c r="Z809" s="102">
        <v>7738</v>
      </c>
      <c r="AA809" s="468">
        <f>(Table6[[#This Row],[Paired WTG Generation for loss calculation]]/24)*Table6[[#This Row],[Breakdown Time]]</f>
        <v>214.94444444444369</v>
      </c>
      <c r="AB809" s="102"/>
      <c r="AC809" s="35"/>
      <c r="AD809" s="35"/>
    </row>
    <row r="810" spans="1:30">
      <c r="A810" s="102">
        <f t="shared" si="13"/>
        <v>809</v>
      </c>
      <c r="B810" s="468">
        <f>YEAR(Table6[[#This Row],[Date]])+IF(MONTH(Table6[[#This Row],[Date]])&gt;=4,1,0)</f>
        <v>2026</v>
      </c>
      <c r="C810" s="102">
        <f>YEAR(Table6[[#This Row],[Date]])</f>
        <v>2025</v>
      </c>
      <c r="D810" s="102" t="s">
        <v>1992</v>
      </c>
      <c r="E810" s="469">
        <f>Table6[[#This Row],[Date]]-DAY(Table6[[#This Row],[Date]])+1</f>
        <v>45778</v>
      </c>
      <c r="F810" s="470">
        <v>45798</v>
      </c>
      <c r="G810" s="35" t="s">
        <v>98</v>
      </c>
      <c r="H810" s="35" t="str">
        <f>IFERROR(_xlfn.XLOOKUP(Table6[[#This Row],[Affected WTG]],'Basic Data'!$A:$A,'Basic Data'!$B:$B),"")</f>
        <v>TQGXIIPL</v>
      </c>
      <c r="I810" s="35" t="str">
        <f>IFERROR(_xlfn.XLOOKUP(Table6[[#This Row],[Affected WTG]],'Basic Data'!$A:$A,'Basic Data'!$C:$C),"")</f>
        <v>GEDA</v>
      </c>
      <c r="J810" s="471">
        <f>IFERROR(_xlfn.XLOOKUP(Table6[[#This Row],[Affected WTG]],'Basic Data'!$A:$A,'Basic Data'!$E:$E),"")</f>
        <v>3.846153846153845E-2</v>
      </c>
      <c r="K810" s="102">
        <v>3420</v>
      </c>
      <c r="L810" s="35" t="str">
        <f>IFERROR(_xlfn.XLOOKUP(Table6[[#This Row],[Error Code]],'Basic Data'!$AA:$AA,'Basic Data'!$AB:$AB),"Incorrect Error Code")</f>
        <v>UPS buffer time too short</v>
      </c>
      <c r="M810" s="35" t="s">
        <v>291</v>
      </c>
      <c r="N810" s="475"/>
      <c r="O810" s="476">
        <v>0.80277777777777781</v>
      </c>
      <c r="P810" s="476">
        <v>0.80277777777777781</v>
      </c>
      <c r="Q810" s="477">
        <v>0.82708333333333328</v>
      </c>
      <c r="R810" s="472">
        <f>IF(Table6[[#This Row],[Work Start TimeStamp]]="","",(Table6[[#This Row],[Work Start TimeStamp]]-Table6[[#This Row],[Fault Start TimeStamp]])*24)</f>
        <v>0</v>
      </c>
      <c r="S810" s="472">
        <f>(Table6[[#This Row],[Fault Clearance time]]-Table6[[#This Row],[Work Start TimeStamp]])*24</f>
        <v>0.58333333333333126</v>
      </c>
      <c r="T810" s="472">
        <f>(Table6[[#This Row],[Fault Clearance time]]-Table6[[#This Row],[Fault Start TimeStamp]])*24</f>
        <v>0.58333333333333126</v>
      </c>
      <c r="U810" s="35" t="s">
        <v>1858</v>
      </c>
      <c r="V810" s="102" t="s">
        <v>293</v>
      </c>
      <c r="W810" s="478">
        <f>IFERROR(Table6[[#This Row],[Breakdown Time]]*Table6[[#This Row],[Plant Equivalent Weightage]],"")</f>
        <v>2.2435897435897349E-2</v>
      </c>
      <c r="X810" s="473" t="s">
        <v>294</v>
      </c>
      <c r="Y810" s="474" t="s">
        <v>315</v>
      </c>
      <c r="Z810" s="102">
        <v>5803</v>
      </c>
      <c r="AA810" s="468">
        <f>(Table6[[#This Row],[Paired WTG Generation for loss calculation]]/24)*Table6[[#This Row],[Breakdown Time]]</f>
        <v>141.04513888888837</v>
      </c>
      <c r="AB810" s="102"/>
      <c r="AC810" s="35"/>
      <c r="AD810" s="35"/>
    </row>
    <row r="811" spans="1:30">
      <c r="A811" s="102">
        <f t="shared" si="13"/>
        <v>810</v>
      </c>
      <c r="B811" s="468">
        <f>YEAR(Table6[[#This Row],[Date]])+IF(MONTH(Table6[[#This Row],[Date]])&gt;=4,1,0)</f>
        <v>2026</v>
      </c>
      <c r="C811" s="102">
        <f>YEAR(Table6[[#This Row],[Date]])</f>
        <v>2025</v>
      </c>
      <c r="D811" s="102" t="s">
        <v>1992</v>
      </c>
      <c r="E811" s="469">
        <f>Table6[[#This Row],[Date]]-DAY(Table6[[#This Row],[Date]])+1</f>
        <v>45778</v>
      </c>
      <c r="F811" s="470">
        <v>45798</v>
      </c>
      <c r="G811" s="35" t="s">
        <v>99</v>
      </c>
      <c r="H811" s="35" t="str">
        <f>IFERROR(_xlfn.XLOOKUP(Table6[[#This Row],[Affected WTG]],'Basic Data'!$A:$A,'Basic Data'!$B:$B),"")</f>
        <v>TQGXIIPL</v>
      </c>
      <c r="I811" s="35" t="str">
        <f>IFERROR(_xlfn.XLOOKUP(Table6[[#This Row],[Affected WTG]],'Basic Data'!$A:$A,'Basic Data'!$C:$C),"")</f>
        <v>GEDA</v>
      </c>
      <c r="J811" s="471">
        <f>IFERROR(_xlfn.XLOOKUP(Table6[[#This Row],[Affected WTG]],'Basic Data'!$A:$A,'Basic Data'!$E:$E),"")</f>
        <v>3.846153846153845E-2</v>
      </c>
      <c r="K811" s="102">
        <v>152</v>
      </c>
      <c r="L811" s="35" t="str">
        <f>IFERROR(_xlfn.XLOOKUP(Table6[[#This Row],[Error Code]],'Basic Data'!$AA:$AA,'Basic Data'!$AB:$AB),"Incorrect Error Code")</f>
        <v>SLC app. not in SAFE mode</v>
      </c>
      <c r="M811" s="35" t="s">
        <v>291</v>
      </c>
      <c r="N811" s="475"/>
      <c r="O811" s="476">
        <v>0.80277777777777781</v>
      </c>
      <c r="P811" s="476">
        <v>0.80277777777777781</v>
      </c>
      <c r="Q811" s="477">
        <v>0.83472222222222225</v>
      </c>
      <c r="R811" s="472">
        <f>IF(Table6[[#This Row],[Work Start TimeStamp]]="","",(Table6[[#This Row],[Work Start TimeStamp]]-Table6[[#This Row],[Fault Start TimeStamp]])*24)</f>
        <v>0</v>
      </c>
      <c r="S811" s="472">
        <f>(Table6[[#This Row],[Fault Clearance time]]-Table6[[#This Row],[Work Start TimeStamp]])*24</f>
        <v>0.76666666666666661</v>
      </c>
      <c r="T811" s="472">
        <f>(Table6[[#This Row],[Fault Clearance time]]-Table6[[#This Row],[Fault Start TimeStamp]])*24</f>
        <v>0.76666666666666661</v>
      </c>
      <c r="U811" s="35" t="s">
        <v>1858</v>
      </c>
      <c r="V811" s="102" t="s">
        <v>293</v>
      </c>
      <c r="W811" s="478">
        <f>IFERROR(Table6[[#This Row],[Breakdown Time]]*Table6[[#This Row],[Plant Equivalent Weightage]],"")</f>
        <v>2.9487179487179476E-2</v>
      </c>
      <c r="X811" s="473" t="s">
        <v>294</v>
      </c>
      <c r="Y811" s="474" t="s">
        <v>315</v>
      </c>
      <c r="Z811" s="102">
        <v>5803</v>
      </c>
      <c r="AA811" s="468">
        <f>(Table6[[#This Row],[Paired WTG Generation for loss calculation]]/24)*Table6[[#This Row],[Breakdown Time]]</f>
        <v>185.3736111111111</v>
      </c>
      <c r="AB811" s="102"/>
      <c r="AC811" s="35"/>
      <c r="AD811" s="35"/>
    </row>
    <row r="812" spans="1:30">
      <c r="A812" s="102">
        <f t="shared" si="13"/>
        <v>811</v>
      </c>
      <c r="B812" s="468">
        <f>YEAR(Table6[[#This Row],[Date]])+IF(MONTH(Table6[[#This Row],[Date]])&gt;=4,1,0)</f>
        <v>2026</v>
      </c>
      <c r="C812" s="102">
        <f>YEAR(Table6[[#This Row],[Date]])</f>
        <v>2025</v>
      </c>
      <c r="D812" s="102" t="s">
        <v>1992</v>
      </c>
      <c r="E812" s="469">
        <f>Table6[[#This Row],[Date]]-DAY(Table6[[#This Row],[Date]])+1</f>
        <v>45778</v>
      </c>
      <c r="F812" s="470">
        <v>45799</v>
      </c>
      <c r="G812" s="35" t="s">
        <v>75</v>
      </c>
      <c r="H812" s="35" t="str">
        <f>IFERROR(_xlfn.XLOOKUP(Table6[[#This Row],[Affected WTG]],'Basic Data'!$A:$A,'Basic Data'!$B:$B),"")</f>
        <v>TQGXIIPL</v>
      </c>
      <c r="I812" s="35" t="str">
        <f>IFERROR(_xlfn.XLOOKUP(Table6[[#This Row],[Affected WTG]],'Basic Data'!$A:$A,'Basic Data'!$C:$C),"")</f>
        <v>GEDA</v>
      </c>
      <c r="J812" s="471">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291</v>
      </c>
      <c r="N812" s="475"/>
      <c r="O812" s="476">
        <v>0.79236111111111107</v>
      </c>
      <c r="P812" s="476">
        <v>0.79236111111111107</v>
      </c>
      <c r="Q812" s="477">
        <v>0.8208333333333333</v>
      </c>
      <c r="R812" s="472">
        <f>IF(Table6[[#This Row],[Work Start TimeStamp]]="","",(Table6[[#This Row],[Work Start TimeStamp]]-Table6[[#This Row],[Fault Start TimeStamp]])*24)</f>
        <v>0</v>
      </c>
      <c r="S812" s="472">
        <f>(Table6[[#This Row],[Fault Clearance time]]-Table6[[#This Row],[Work Start TimeStamp]])*24</f>
        <v>0.68333333333333357</v>
      </c>
      <c r="T812" s="472">
        <f>(Table6[[#This Row],[Fault Clearance time]]-Table6[[#This Row],[Fault Start TimeStamp]])*24</f>
        <v>0.68333333333333357</v>
      </c>
      <c r="U812" s="35" t="s">
        <v>341</v>
      </c>
      <c r="V812" s="102" t="s">
        <v>293</v>
      </c>
      <c r="W812" s="478">
        <f>IFERROR(Table6[[#This Row],[Breakdown Time]]*Table6[[#This Row],[Plant Equivalent Weightage]],"")</f>
        <v>2.6282051282051282E-2</v>
      </c>
      <c r="X812" s="473" t="s">
        <v>294</v>
      </c>
      <c r="Y812" s="474" t="s">
        <v>318</v>
      </c>
      <c r="Z812" s="102">
        <v>5814</v>
      </c>
      <c r="AA812" s="468">
        <f>(Table6[[#This Row],[Paired WTG Generation for loss calculation]]/24)*Table6[[#This Row],[Breakdown Time]]</f>
        <v>165.53750000000005</v>
      </c>
      <c r="AB812" s="102"/>
      <c r="AC812" s="35"/>
      <c r="AD812" s="35"/>
    </row>
    <row r="813" spans="1:30">
      <c r="A813" s="102">
        <f t="shared" si="13"/>
        <v>812</v>
      </c>
      <c r="B813" s="468">
        <f>YEAR(Table6[[#This Row],[Date]])+IF(MONTH(Table6[[#This Row],[Date]])&gt;=4,1,0)</f>
        <v>2026</v>
      </c>
      <c r="C813" s="102">
        <f>YEAR(Table6[[#This Row],[Date]])</f>
        <v>2025</v>
      </c>
      <c r="D813" s="102" t="s">
        <v>1992</v>
      </c>
      <c r="E813" s="469">
        <f>Table6[[#This Row],[Date]]-DAY(Table6[[#This Row],[Date]])+1</f>
        <v>45778</v>
      </c>
      <c r="F813" s="470">
        <v>45799</v>
      </c>
      <c r="G813" s="35" t="s">
        <v>76</v>
      </c>
      <c r="H813" s="35" t="str">
        <f>IFERROR(_xlfn.XLOOKUP(Table6[[#This Row],[Affected WTG]],'Basic Data'!$A:$A,'Basic Data'!$B:$B),"")</f>
        <v>TQGXIIPL</v>
      </c>
      <c r="I813" s="35" t="str">
        <f>IFERROR(_xlfn.XLOOKUP(Table6[[#This Row],[Affected WTG]],'Basic Data'!$A:$A,'Basic Data'!$C:$C),"")</f>
        <v>GEDA</v>
      </c>
      <c r="J813" s="471">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291</v>
      </c>
      <c r="N813" s="475"/>
      <c r="O813" s="476">
        <v>0.79236111111111107</v>
      </c>
      <c r="P813" s="476">
        <v>0.79236111111111107</v>
      </c>
      <c r="Q813" s="477">
        <v>0.81944444444444442</v>
      </c>
      <c r="R813" s="472">
        <f>IF(Table6[[#This Row],[Work Start TimeStamp]]="","",(Table6[[#This Row],[Work Start TimeStamp]]-Table6[[#This Row],[Fault Start TimeStamp]])*24)</f>
        <v>0</v>
      </c>
      <c r="S813" s="472">
        <f>(Table6[[#This Row],[Fault Clearance time]]-Table6[[#This Row],[Work Start TimeStamp]])*24</f>
        <v>0.65000000000000036</v>
      </c>
      <c r="T813" s="472">
        <f>(Table6[[#This Row],[Fault Clearance time]]-Table6[[#This Row],[Fault Start TimeStamp]])*24</f>
        <v>0.65000000000000036</v>
      </c>
      <c r="U813" s="35" t="s">
        <v>341</v>
      </c>
      <c r="V813" s="102" t="s">
        <v>293</v>
      </c>
      <c r="W813" s="478">
        <f>IFERROR(Table6[[#This Row],[Breakdown Time]]*Table6[[#This Row],[Plant Equivalent Weightage]],"")</f>
        <v>2.5000000000000005E-2</v>
      </c>
      <c r="X813" s="473" t="s">
        <v>294</v>
      </c>
      <c r="Y813" s="474" t="s">
        <v>309</v>
      </c>
      <c r="Z813" s="102">
        <v>4651</v>
      </c>
      <c r="AA813" s="468">
        <f>(Table6[[#This Row],[Paired WTG Generation for loss calculation]]/24)*Table6[[#This Row],[Breakdown Time]]</f>
        <v>125.96458333333339</v>
      </c>
      <c r="AB813" s="102"/>
      <c r="AC813" s="35"/>
      <c r="AD813" s="35"/>
    </row>
    <row r="814" spans="1:30">
      <c r="A814" s="102">
        <f t="shared" si="13"/>
        <v>813</v>
      </c>
      <c r="B814" s="468">
        <f>YEAR(Table6[[#This Row],[Date]])+IF(MONTH(Table6[[#This Row],[Date]])&gt;=4,1,0)</f>
        <v>2026</v>
      </c>
      <c r="C814" s="102">
        <f>YEAR(Table6[[#This Row],[Date]])</f>
        <v>2025</v>
      </c>
      <c r="D814" s="102" t="s">
        <v>1992</v>
      </c>
      <c r="E814" s="469">
        <f>Table6[[#This Row],[Date]]-DAY(Table6[[#This Row],[Date]])+1</f>
        <v>45778</v>
      </c>
      <c r="F814" s="470">
        <v>45799</v>
      </c>
      <c r="G814" s="35" t="s">
        <v>76</v>
      </c>
      <c r="H814" s="35" t="str">
        <f>IFERROR(_xlfn.XLOOKUP(Table6[[#This Row],[Affected WTG]],'Basic Data'!$A:$A,'Basic Data'!$B:$B),"")</f>
        <v>TQGXIIPL</v>
      </c>
      <c r="I814" s="35" t="str">
        <f>IFERROR(_xlfn.XLOOKUP(Table6[[#This Row],[Affected WTG]],'Basic Data'!$A:$A,'Basic Data'!$C:$C),"")</f>
        <v>GEDA</v>
      </c>
      <c r="J814" s="471">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291</v>
      </c>
      <c r="N814" s="475"/>
      <c r="O814" s="476">
        <v>0.82152777777777775</v>
      </c>
      <c r="P814" s="476">
        <v>0.82152777777777775</v>
      </c>
      <c r="Q814" s="477">
        <v>0.83819444444444446</v>
      </c>
      <c r="R814" s="472">
        <f>IF(Table6[[#This Row],[Work Start TimeStamp]]="","",(Table6[[#This Row],[Work Start TimeStamp]]-Table6[[#This Row],[Fault Start TimeStamp]])*24)</f>
        <v>0</v>
      </c>
      <c r="S814" s="472">
        <f>(Table6[[#This Row],[Fault Clearance time]]-Table6[[#This Row],[Work Start TimeStamp]])*24</f>
        <v>0.40000000000000124</v>
      </c>
      <c r="T814" s="472">
        <f>(Table6[[#This Row],[Fault Clearance time]]-Table6[[#This Row],[Fault Start TimeStamp]])*24</f>
        <v>0.40000000000000124</v>
      </c>
      <c r="U814" s="35" t="s">
        <v>1885</v>
      </c>
      <c r="V814" s="102" t="s">
        <v>293</v>
      </c>
      <c r="W814" s="478">
        <f>IFERROR(Table6[[#This Row],[Breakdown Time]]*Table6[[#This Row],[Plant Equivalent Weightage]],"")</f>
        <v>1.5384615384615427E-2</v>
      </c>
      <c r="X814" s="473" t="s">
        <v>294</v>
      </c>
      <c r="Y814" s="474" t="s">
        <v>309</v>
      </c>
      <c r="Z814" s="102">
        <v>4651</v>
      </c>
      <c r="AA814" s="468">
        <f>(Table6[[#This Row],[Paired WTG Generation for loss calculation]]/24)*Table6[[#This Row],[Breakdown Time]]</f>
        <v>77.516666666666907</v>
      </c>
      <c r="AB814" s="102"/>
      <c r="AC814" s="35"/>
      <c r="AD814" s="35"/>
    </row>
    <row r="815" spans="1:30">
      <c r="A815" s="102">
        <f t="shared" si="13"/>
        <v>814</v>
      </c>
      <c r="B815" s="468">
        <f>YEAR(Table6[[#This Row],[Date]])+IF(MONTH(Table6[[#This Row],[Date]])&gt;=4,1,0)</f>
        <v>2026</v>
      </c>
      <c r="C815" s="102">
        <f>YEAR(Table6[[#This Row],[Date]])</f>
        <v>2025</v>
      </c>
      <c r="D815" s="102" t="s">
        <v>1992</v>
      </c>
      <c r="E815" s="469">
        <f>Table6[[#This Row],[Date]]-DAY(Table6[[#This Row],[Date]])+1</f>
        <v>45778</v>
      </c>
      <c r="F815" s="470">
        <v>45799</v>
      </c>
      <c r="G815" s="35" t="s">
        <v>78</v>
      </c>
      <c r="H815" s="35" t="str">
        <f>IFERROR(_xlfn.XLOOKUP(Table6[[#This Row],[Affected WTG]],'Basic Data'!$A:$A,'Basic Data'!$B:$B),"")</f>
        <v>TQGXIIPL</v>
      </c>
      <c r="I815" s="35" t="str">
        <f>IFERROR(_xlfn.XLOOKUP(Table6[[#This Row],[Affected WTG]],'Basic Data'!$A:$A,'Basic Data'!$C:$C),"")</f>
        <v>GEDA</v>
      </c>
      <c r="J815" s="471">
        <f>IFERROR(_xlfn.XLOOKUP(Table6[[#This Row],[Affected WTG]],'Basic Data'!$A:$A,'Basic Data'!$E:$E),"")</f>
        <v>3.846153846153845E-2</v>
      </c>
      <c r="K815" s="102">
        <v>3420</v>
      </c>
      <c r="L815" s="35" t="str">
        <f>IFERROR(_xlfn.XLOOKUP(Table6[[#This Row],[Error Code]],'Basic Data'!$AA:$AA,'Basic Data'!$AB:$AB),"Incorrect Error Code")</f>
        <v>UPS buffer time too short</v>
      </c>
      <c r="M815" s="35" t="s">
        <v>291</v>
      </c>
      <c r="N815" s="475"/>
      <c r="O815" s="476">
        <v>0.79236111111111107</v>
      </c>
      <c r="P815" s="476">
        <v>0.79236111111111107</v>
      </c>
      <c r="Q815" s="477">
        <v>0.80763888888888891</v>
      </c>
      <c r="R815" s="472">
        <f>IF(Table6[[#This Row],[Work Start TimeStamp]]="","",(Table6[[#This Row],[Work Start TimeStamp]]-Table6[[#This Row],[Fault Start TimeStamp]])*24)</f>
        <v>0</v>
      </c>
      <c r="S815" s="472">
        <f>(Table6[[#This Row],[Fault Clearance time]]-Table6[[#This Row],[Work Start TimeStamp]])*24</f>
        <v>0.36666666666666803</v>
      </c>
      <c r="T815" s="472">
        <f>(Table6[[#This Row],[Fault Clearance time]]-Table6[[#This Row],[Fault Start TimeStamp]])*24</f>
        <v>0.36666666666666803</v>
      </c>
      <c r="U815" s="35" t="s">
        <v>1858</v>
      </c>
      <c r="V815" s="102" t="s">
        <v>293</v>
      </c>
      <c r="W815" s="478">
        <f>IFERROR(Table6[[#This Row],[Breakdown Time]]*Table6[[#This Row],[Plant Equivalent Weightage]],"")</f>
        <v>1.4102564102564151E-2</v>
      </c>
      <c r="X815" s="473" t="s">
        <v>294</v>
      </c>
      <c r="Y815" s="474" t="s">
        <v>333</v>
      </c>
      <c r="Z815" s="102">
        <v>4261</v>
      </c>
      <c r="AA815" s="468">
        <f>(Table6[[#This Row],[Paired WTG Generation for loss calculation]]/24)*Table6[[#This Row],[Breakdown Time]]</f>
        <v>65.098611111111353</v>
      </c>
      <c r="AB815" s="102"/>
      <c r="AC815" s="35"/>
      <c r="AD815" s="35"/>
    </row>
    <row r="816" spans="1:30">
      <c r="A816" s="102">
        <f t="shared" si="13"/>
        <v>815</v>
      </c>
      <c r="B816" s="468">
        <f>YEAR(Table6[[#This Row],[Date]])+IF(MONTH(Table6[[#This Row],[Date]])&gt;=4,1,0)</f>
        <v>2026</v>
      </c>
      <c r="C816" s="102">
        <f>YEAR(Table6[[#This Row],[Date]])</f>
        <v>2025</v>
      </c>
      <c r="D816" s="102" t="s">
        <v>1992</v>
      </c>
      <c r="E816" s="469">
        <f>Table6[[#This Row],[Date]]-DAY(Table6[[#This Row],[Date]])+1</f>
        <v>45778</v>
      </c>
      <c r="F816" s="470">
        <v>45799</v>
      </c>
      <c r="G816" s="35" t="s">
        <v>81</v>
      </c>
      <c r="H816" s="35" t="str">
        <f>IFERROR(_xlfn.XLOOKUP(Table6[[#This Row],[Affected WTG]],'Basic Data'!$A:$A,'Basic Data'!$B:$B),"")</f>
        <v>TQGXIIPL</v>
      </c>
      <c r="I816" s="35" t="str">
        <f>IFERROR(_xlfn.XLOOKUP(Table6[[#This Row],[Affected WTG]],'Basic Data'!$A:$A,'Basic Data'!$C:$C),"")</f>
        <v>GEDA</v>
      </c>
      <c r="J816" s="471">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291</v>
      </c>
      <c r="N816" s="475"/>
      <c r="O816" s="476">
        <v>0.79236111111111107</v>
      </c>
      <c r="P816" s="476">
        <v>0.79236111111111107</v>
      </c>
      <c r="Q816" s="477">
        <v>0.81388888888888888</v>
      </c>
      <c r="R816" s="472">
        <f>IF(Table6[[#This Row],[Work Start TimeStamp]]="","",(Table6[[#This Row],[Work Start TimeStamp]]-Table6[[#This Row],[Fault Start TimeStamp]])*24)</f>
        <v>0</v>
      </c>
      <c r="S816" s="472">
        <f>(Table6[[#This Row],[Fault Clearance time]]-Table6[[#This Row],[Work Start TimeStamp]])*24</f>
        <v>0.5166666666666675</v>
      </c>
      <c r="T816" s="472">
        <f>(Table6[[#This Row],[Fault Clearance time]]-Table6[[#This Row],[Fault Start TimeStamp]])*24</f>
        <v>0.5166666666666675</v>
      </c>
      <c r="U816" s="35" t="s">
        <v>1858</v>
      </c>
      <c r="V816" s="102" t="s">
        <v>293</v>
      </c>
      <c r="W816" s="478">
        <f>IFERROR(Table6[[#This Row],[Breakdown Time]]*Table6[[#This Row],[Plant Equivalent Weightage]],"")</f>
        <v>1.9871794871794898E-2</v>
      </c>
      <c r="X816" s="473" t="s">
        <v>294</v>
      </c>
      <c r="Y816" s="474" t="s">
        <v>321</v>
      </c>
      <c r="Z816" s="102">
        <v>3271</v>
      </c>
      <c r="AA816" s="468">
        <f>(Table6[[#This Row],[Paired WTG Generation for loss calculation]]/24)*Table6[[#This Row],[Breakdown Time]]</f>
        <v>70.417361111111219</v>
      </c>
      <c r="AB816" s="102"/>
      <c r="AC816" s="35"/>
      <c r="AD816" s="35"/>
    </row>
    <row r="817" spans="1:30">
      <c r="A817" s="102">
        <f t="shared" si="13"/>
        <v>816</v>
      </c>
      <c r="B817" s="468">
        <f>YEAR(Table6[[#This Row],[Date]])+IF(MONTH(Table6[[#This Row],[Date]])&gt;=4,1,0)</f>
        <v>2026</v>
      </c>
      <c r="C817" s="102">
        <f>YEAR(Table6[[#This Row],[Date]])</f>
        <v>2025</v>
      </c>
      <c r="D817" s="102" t="s">
        <v>1992</v>
      </c>
      <c r="E817" s="469">
        <f>Table6[[#This Row],[Date]]-DAY(Table6[[#This Row],[Date]])+1</f>
        <v>45778</v>
      </c>
      <c r="F817" s="470">
        <v>45799</v>
      </c>
      <c r="G817" s="35" t="s">
        <v>83</v>
      </c>
      <c r="H817" s="35" t="str">
        <f>IFERROR(_xlfn.XLOOKUP(Table6[[#This Row],[Affected WTG]],'Basic Data'!$A:$A,'Basic Data'!$B:$B),"")</f>
        <v>TQGXIIPL</v>
      </c>
      <c r="I817" s="35" t="str">
        <f>IFERROR(_xlfn.XLOOKUP(Table6[[#This Row],[Affected WTG]],'Basic Data'!$A:$A,'Basic Data'!$C:$C),"")</f>
        <v>GEDA</v>
      </c>
      <c r="J817" s="471">
        <f>IFERROR(_xlfn.XLOOKUP(Table6[[#This Row],[Affected WTG]],'Basic Data'!$A:$A,'Basic Data'!$E:$E),"")</f>
        <v>3.846153846153845E-2</v>
      </c>
      <c r="K817" s="102">
        <v>3420</v>
      </c>
      <c r="L817" s="35" t="str">
        <f>IFERROR(_xlfn.XLOOKUP(Table6[[#This Row],[Error Code]],'Basic Data'!$AA:$AA,'Basic Data'!$AB:$AB),"Incorrect Error Code")</f>
        <v>UPS buffer time too short</v>
      </c>
      <c r="M817" s="35" t="s">
        <v>291</v>
      </c>
      <c r="N817" s="475"/>
      <c r="O817" s="476">
        <v>0.47430555555555554</v>
      </c>
      <c r="P817" s="476">
        <v>0.47430555555555554</v>
      </c>
      <c r="Q817" s="477">
        <v>0.49236111111111114</v>
      </c>
      <c r="R817" s="472">
        <f>IF(Table6[[#This Row],[Work Start TimeStamp]]="","",(Table6[[#This Row],[Work Start TimeStamp]]-Table6[[#This Row],[Fault Start TimeStamp]])*24)</f>
        <v>0</v>
      </c>
      <c r="S817" s="472">
        <f>(Table6[[#This Row],[Fault Clearance time]]-Table6[[#This Row],[Work Start TimeStamp]])*24</f>
        <v>0.43333333333333446</v>
      </c>
      <c r="T817" s="472">
        <f>(Table6[[#This Row],[Fault Clearance time]]-Table6[[#This Row],[Fault Start TimeStamp]])*24</f>
        <v>0.43333333333333446</v>
      </c>
      <c r="U817" s="35" t="s">
        <v>1886</v>
      </c>
      <c r="V817" s="102" t="s">
        <v>293</v>
      </c>
      <c r="W817" s="478">
        <f>IFERROR(Table6[[#This Row],[Breakdown Time]]*Table6[[#This Row],[Plant Equivalent Weightage]],"")</f>
        <v>1.6666666666666705E-2</v>
      </c>
      <c r="X817" s="473" t="s">
        <v>294</v>
      </c>
      <c r="Y817" s="474" t="s">
        <v>312</v>
      </c>
      <c r="Z817" s="102">
        <v>5244</v>
      </c>
      <c r="AA817" s="468">
        <f>(Table6[[#This Row],[Paired WTG Generation for loss calculation]]/24)*Table6[[#This Row],[Breakdown Time]]</f>
        <v>94.683333333333579</v>
      </c>
      <c r="AB817" s="102"/>
      <c r="AC817" s="35"/>
      <c r="AD817" s="35"/>
    </row>
    <row r="818" spans="1:30">
      <c r="A818" s="102">
        <f t="shared" si="13"/>
        <v>817</v>
      </c>
      <c r="B818" s="468">
        <f>YEAR(Table6[[#This Row],[Date]])+IF(MONTH(Table6[[#This Row],[Date]])&gt;=4,1,0)</f>
        <v>2026</v>
      </c>
      <c r="C818" s="102">
        <f>YEAR(Table6[[#This Row],[Date]])</f>
        <v>2025</v>
      </c>
      <c r="D818" s="102" t="s">
        <v>1992</v>
      </c>
      <c r="E818" s="469">
        <f>Table6[[#This Row],[Date]]-DAY(Table6[[#This Row],[Date]])+1</f>
        <v>45778</v>
      </c>
      <c r="F818" s="470">
        <v>45799</v>
      </c>
      <c r="G818" s="35" t="s">
        <v>85</v>
      </c>
      <c r="H818" s="35" t="str">
        <f>IFERROR(_xlfn.XLOOKUP(Table6[[#This Row],[Affected WTG]],'Basic Data'!$A:$A,'Basic Data'!$B:$B),"")</f>
        <v>TQGXIIPL</v>
      </c>
      <c r="I818" s="35" t="str">
        <f>IFERROR(_xlfn.XLOOKUP(Table6[[#This Row],[Affected WTG]],'Basic Data'!$A:$A,'Basic Data'!$C:$C),"")</f>
        <v>GEDA</v>
      </c>
      <c r="J818" s="471">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291</v>
      </c>
      <c r="N818" s="475"/>
      <c r="O818" s="476">
        <v>0.79236111111111107</v>
      </c>
      <c r="P818" s="476">
        <v>0.79236111111111107</v>
      </c>
      <c r="Q818" s="477">
        <v>0.8208333333333333</v>
      </c>
      <c r="R818" s="472">
        <f>IF(Table6[[#This Row],[Work Start TimeStamp]]="","",(Table6[[#This Row],[Work Start TimeStamp]]-Table6[[#This Row],[Fault Start TimeStamp]])*24)</f>
        <v>0</v>
      </c>
      <c r="S818" s="472">
        <f>(Table6[[#This Row],[Fault Clearance time]]-Table6[[#This Row],[Work Start TimeStamp]])*24</f>
        <v>0.68333333333333357</v>
      </c>
      <c r="T818" s="472">
        <f>(Table6[[#This Row],[Fault Clearance time]]-Table6[[#This Row],[Fault Start TimeStamp]])*24</f>
        <v>0.68333333333333357</v>
      </c>
      <c r="U818" s="35" t="s">
        <v>341</v>
      </c>
      <c r="V818" s="102" t="s">
        <v>293</v>
      </c>
      <c r="W818" s="478">
        <f>IFERROR(Table6[[#This Row],[Breakdown Time]]*Table6[[#This Row],[Plant Equivalent Weightage]],"")</f>
        <v>2.6282051282051282E-2</v>
      </c>
      <c r="X818" s="473" t="s">
        <v>294</v>
      </c>
      <c r="Y818" s="474" t="s">
        <v>322</v>
      </c>
      <c r="Z818" s="102">
        <v>4869</v>
      </c>
      <c r="AA818" s="468">
        <f>(Table6[[#This Row],[Paired WTG Generation for loss calculation]]/24)*Table6[[#This Row],[Breakdown Time]]</f>
        <v>138.63125000000005</v>
      </c>
      <c r="AB818" s="102"/>
      <c r="AC818" s="35"/>
      <c r="AD818" s="35"/>
    </row>
    <row r="819" spans="1:30">
      <c r="A819" s="102">
        <f t="shared" si="13"/>
        <v>818</v>
      </c>
      <c r="B819" s="468">
        <f>YEAR(Table6[[#This Row],[Date]])+IF(MONTH(Table6[[#This Row],[Date]])&gt;=4,1,0)</f>
        <v>2026</v>
      </c>
      <c r="C819" s="102">
        <f>YEAR(Table6[[#This Row],[Date]])</f>
        <v>2025</v>
      </c>
      <c r="D819" s="102" t="s">
        <v>1992</v>
      </c>
      <c r="E819" s="469">
        <f>Table6[[#This Row],[Date]]-DAY(Table6[[#This Row],[Date]])+1</f>
        <v>45778</v>
      </c>
      <c r="F819" s="470">
        <v>45799</v>
      </c>
      <c r="G819" s="35" t="s">
        <v>88</v>
      </c>
      <c r="H819" s="35" t="str">
        <f>IFERROR(_xlfn.XLOOKUP(Table6[[#This Row],[Affected WTG]],'Basic Data'!$A:$A,'Basic Data'!$B:$B),"")</f>
        <v>TQGXIIPL</v>
      </c>
      <c r="I819" s="35" t="str">
        <f>IFERROR(_xlfn.XLOOKUP(Table6[[#This Row],[Affected WTG]],'Basic Data'!$A:$A,'Basic Data'!$C:$C),"")</f>
        <v>GEDA</v>
      </c>
      <c r="J819" s="471">
        <f>IFERROR(_xlfn.XLOOKUP(Table6[[#This Row],[Affected WTG]],'Basic Data'!$A:$A,'Basic Data'!$E:$E),"")</f>
        <v>3.846153846153845E-2</v>
      </c>
      <c r="K819" s="102">
        <v>3420</v>
      </c>
      <c r="L819" s="35" t="str">
        <f>IFERROR(_xlfn.XLOOKUP(Table6[[#This Row],[Error Code]],'Basic Data'!$AA:$AA,'Basic Data'!$AB:$AB),"Incorrect Error Code")</f>
        <v>UPS buffer time too short</v>
      </c>
      <c r="M819" s="35" t="s">
        <v>291</v>
      </c>
      <c r="N819" s="475"/>
      <c r="O819" s="476">
        <v>0.47430555555555554</v>
      </c>
      <c r="P819" s="476">
        <v>0.47430555555555554</v>
      </c>
      <c r="Q819" s="477">
        <v>0.49236111111111114</v>
      </c>
      <c r="R819" s="472">
        <f>IF(Table6[[#This Row],[Work Start TimeStamp]]="","",(Table6[[#This Row],[Work Start TimeStamp]]-Table6[[#This Row],[Fault Start TimeStamp]])*24)</f>
        <v>0</v>
      </c>
      <c r="S819" s="472">
        <f>(Table6[[#This Row],[Fault Clearance time]]-Table6[[#This Row],[Work Start TimeStamp]])*24</f>
        <v>0.43333333333333446</v>
      </c>
      <c r="T819" s="472">
        <f>(Table6[[#This Row],[Fault Clearance time]]-Table6[[#This Row],[Fault Start TimeStamp]])*24</f>
        <v>0.43333333333333446</v>
      </c>
      <c r="U819" s="35" t="s">
        <v>1886</v>
      </c>
      <c r="V819" s="102" t="s">
        <v>293</v>
      </c>
      <c r="W819" s="478">
        <f>IFERROR(Table6[[#This Row],[Breakdown Time]]*Table6[[#This Row],[Plant Equivalent Weightage]],"")</f>
        <v>1.6666666666666705E-2</v>
      </c>
      <c r="X819" s="473" t="s">
        <v>294</v>
      </c>
      <c r="Y819" s="474" t="s">
        <v>323</v>
      </c>
      <c r="Z819" s="102">
        <v>4928</v>
      </c>
      <c r="AA819" s="468">
        <f>(Table6[[#This Row],[Paired WTG Generation for loss calculation]]/24)*Table6[[#This Row],[Breakdown Time]]</f>
        <v>88.977777777778016</v>
      </c>
      <c r="AB819" s="102"/>
      <c r="AC819" s="35"/>
      <c r="AD819" s="35"/>
    </row>
    <row r="820" spans="1:30">
      <c r="A820" s="102">
        <f t="shared" si="13"/>
        <v>819</v>
      </c>
      <c r="B820" s="468">
        <f>YEAR(Table6[[#This Row],[Date]])+IF(MONTH(Table6[[#This Row],[Date]])&gt;=4,1,0)</f>
        <v>2026</v>
      </c>
      <c r="C820" s="102">
        <f>YEAR(Table6[[#This Row],[Date]])</f>
        <v>2025</v>
      </c>
      <c r="D820" s="102" t="s">
        <v>1992</v>
      </c>
      <c r="E820" s="469">
        <f>Table6[[#This Row],[Date]]-DAY(Table6[[#This Row],[Date]])+1</f>
        <v>45778</v>
      </c>
      <c r="F820" s="470">
        <v>45799</v>
      </c>
      <c r="G820" s="35" t="s">
        <v>96</v>
      </c>
      <c r="H820" s="35" t="str">
        <f>IFERROR(_xlfn.XLOOKUP(Table6[[#This Row],[Affected WTG]],'Basic Data'!$A:$A,'Basic Data'!$B:$B),"")</f>
        <v>TQGXIIPL</v>
      </c>
      <c r="I820" s="35" t="str">
        <f>IFERROR(_xlfn.XLOOKUP(Table6[[#This Row],[Affected WTG]],'Basic Data'!$A:$A,'Basic Data'!$C:$C),"")</f>
        <v>GEDA</v>
      </c>
      <c r="J820" s="471">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291</v>
      </c>
      <c r="N820" s="475"/>
      <c r="O820" s="476">
        <v>0.79236111111111107</v>
      </c>
      <c r="P820" s="476">
        <v>0.79236111111111107</v>
      </c>
      <c r="Q820" s="477">
        <v>0.82430555555555551</v>
      </c>
      <c r="R820" s="472">
        <f>IF(Table6[[#This Row],[Work Start TimeStamp]]="","",(Table6[[#This Row],[Work Start TimeStamp]]-Table6[[#This Row],[Fault Start TimeStamp]])*24)</f>
        <v>0</v>
      </c>
      <c r="S820" s="472">
        <f>(Table6[[#This Row],[Fault Clearance time]]-Table6[[#This Row],[Work Start TimeStamp]])*24</f>
        <v>0.76666666666666661</v>
      </c>
      <c r="T820" s="472">
        <f>(Table6[[#This Row],[Fault Clearance time]]-Table6[[#This Row],[Fault Start TimeStamp]])*24</f>
        <v>0.76666666666666661</v>
      </c>
      <c r="U820" s="35" t="s">
        <v>341</v>
      </c>
      <c r="V820" s="102" t="s">
        <v>293</v>
      </c>
      <c r="W820" s="478">
        <f>IFERROR(Table6[[#This Row],[Breakdown Time]]*Table6[[#This Row],[Plant Equivalent Weightage]],"")</f>
        <v>2.9487179487179476E-2</v>
      </c>
      <c r="X820" s="473" t="s">
        <v>294</v>
      </c>
      <c r="Y820" s="474" t="s">
        <v>313</v>
      </c>
      <c r="Z820" s="102">
        <v>4947</v>
      </c>
      <c r="AA820" s="468">
        <f>(Table6[[#This Row],[Paired WTG Generation for loss calculation]]/24)*Table6[[#This Row],[Breakdown Time]]</f>
        <v>158.02916666666667</v>
      </c>
      <c r="AB820" s="102"/>
      <c r="AC820" s="35"/>
      <c r="AD820" s="35"/>
    </row>
    <row r="821" spans="1:30">
      <c r="A821" s="102">
        <f t="shared" si="13"/>
        <v>820</v>
      </c>
      <c r="B821" s="468">
        <f>YEAR(Table6[[#This Row],[Date]])+IF(MONTH(Table6[[#This Row],[Date]])&gt;=4,1,0)</f>
        <v>2026</v>
      </c>
      <c r="C821" s="102">
        <f>YEAR(Table6[[#This Row],[Date]])</f>
        <v>2025</v>
      </c>
      <c r="D821" s="102" t="s">
        <v>1992</v>
      </c>
      <c r="E821" s="469">
        <f>Table6[[#This Row],[Date]]-DAY(Table6[[#This Row],[Date]])+1</f>
        <v>45778</v>
      </c>
      <c r="F821" s="470">
        <v>45799</v>
      </c>
      <c r="G821" s="35" t="s">
        <v>98</v>
      </c>
      <c r="H821" s="35" t="str">
        <f>IFERROR(_xlfn.XLOOKUP(Table6[[#This Row],[Affected WTG]],'Basic Data'!$A:$A,'Basic Data'!$B:$B),"")</f>
        <v>TQGXIIPL</v>
      </c>
      <c r="I821" s="35" t="str">
        <f>IFERROR(_xlfn.XLOOKUP(Table6[[#This Row],[Affected WTG]],'Basic Data'!$A:$A,'Basic Data'!$C:$C),"")</f>
        <v>GEDA</v>
      </c>
      <c r="J821" s="471">
        <f>IFERROR(_xlfn.XLOOKUP(Table6[[#This Row],[Affected WTG]],'Basic Data'!$A:$A,'Basic Data'!$E:$E),"")</f>
        <v>3.846153846153845E-2</v>
      </c>
      <c r="K821" s="102">
        <v>3110</v>
      </c>
      <c r="L821" s="35" t="str">
        <f>IFERROR(_xlfn.XLOOKUP(Table6[[#This Row],[Error Code]],'Basic Data'!$AA:$AA,'Basic Data'!$AB:$AB),"Incorrect Error Code")</f>
        <v>Frequency converter error</v>
      </c>
      <c r="M821" s="35" t="s">
        <v>291</v>
      </c>
      <c r="N821" s="475"/>
      <c r="O821" s="476">
        <v>0.79236111111111107</v>
      </c>
      <c r="P821" s="476">
        <v>0.79236111111111107</v>
      </c>
      <c r="Q821" s="477">
        <v>0.82986111111111116</v>
      </c>
      <c r="R821" s="472">
        <f>IF(Table6[[#This Row],[Work Start TimeStamp]]="","",(Table6[[#This Row],[Work Start TimeStamp]]-Table6[[#This Row],[Fault Start TimeStamp]])*24)</f>
        <v>0</v>
      </c>
      <c r="S821" s="472">
        <f>(Table6[[#This Row],[Fault Clearance time]]-Table6[[#This Row],[Work Start TimeStamp]])*24</f>
        <v>0.90000000000000213</v>
      </c>
      <c r="T821" s="472">
        <f>(Table6[[#This Row],[Fault Clearance time]]-Table6[[#This Row],[Fault Start TimeStamp]])*24</f>
        <v>0.90000000000000213</v>
      </c>
      <c r="U821" s="35" t="s">
        <v>1858</v>
      </c>
      <c r="V821" s="102" t="s">
        <v>293</v>
      </c>
      <c r="W821" s="478">
        <f>IFERROR(Table6[[#This Row],[Breakdown Time]]*Table6[[#This Row],[Plant Equivalent Weightage]],"")</f>
        <v>3.4615384615384687E-2</v>
      </c>
      <c r="X821" s="473" t="s">
        <v>294</v>
      </c>
      <c r="Y821" s="474" t="s">
        <v>315</v>
      </c>
      <c r="Z821" s="102">
        <v>5325</v>
      </c>
      <c r="AA821" s="468">
        <f>(Table6[[#This Row],[Paired WTG Generation for loss calculation]]/24)*Table6[[#This Row],[Breakdown Time]]</f>
        <v>199.68750000000048</v>
      </c>
      <c r="AB821" s="102"/>
      <c r="AC821" s="35"/>
      <c r="AD821" s="35"/>
    </row>
    <row r="822" spans="1:30">
      <c r="A822" s="102">
        <f t="shared" si="13"/>
        <v>821</v>
      </c>
      <c r="B822" s="468">
        <f>YEAR(Table6[[#This Row],[Date]])+IF(MONTH(Table6[[#This Row],[Date]])&gt;=4,1,0)</f>
        <v>2026</v>
      </c>
      <c r="C822" s="102">
        <f>YEAR(Table6[[#This Row],[Date]])</f>
        <v>2025</v>
      </c>
      <c r="D822" s="102" t="s">
        <v>1992</v>
      </c>
      <c r="E822" s="469">
        <f>Table6[[#This Row],[Date]]-DAY(Table6[[#This Row],[Date]])+1</f>
        <v>45778</v>
      </c>
      <c r="F822" s="470">
        <v>45799</v>
      </c>
      <c r="G822" s="35" t="s">
        <v>99</v>
      </c>
      <c r="H822" s="35" t="str">
        <f>IFERROR(_xlfn.XLOOKUP(Table6[[#This Row],[Affected WTG]],'Basic Data'!$A:$A,'Basic Data'!$B:$B),"")</f>
        <v>TQGXIIPL</v>
      </c>
      <c r="I822" s="35" t="str">
        <f>IFERROR(_xlfn.XLOOKUP(Table6[[#This Row],[Affected WTG]],'Basic Data'!$A:$A,'Basic Data'!$C:$C),"")</f>
        <v>GEDA</v>
      </c>
      <c r="J822" s="471">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291</v>
      </c>
      <c r="N822" s="475"/>
      <c r="O822" s="476">
        <v>0.79236111111111107</v>
      </c>
      <c r="P822" s="476">
        <v>0.79236111111111107</v>
      </c>
      <c r="Q822" s="477">
        <v>0.82013888888888886</v>
      </c>
      <c r="R822" s="472">
        <f>IF(Table6[[#This Row],[Work Start TimeStamp]]="","",(Table6[[#This Row],[Work Start TimeStamp]]-Table6[[#This Row],[Fault Start TimeStamp]])*24)</f>
        <v>0</v>
      </c>
      <c r="S822" s="472">
        <f>(Table6[[#This Row],[Fault Clearance time]]-Table6[[#This Row],[Work Start TimeStamp]])*24</f>
        <v>0.66666666666666696</v>
      </c>
      <c r="T822" s="472">
        <f>(Table6[[#This Row],[Fault Clearance time]]-Table6[[#This Row],[Fault Start TimeStamp]])*24</f>
        <v>0.66666666666666696</v>
      </c>
      <c r="U822" s="35" t="s">
        <v>341</v>
      </c>
      <c r="V822" s="102" t="s">
        <v>293</v>
      </c>
      <c r="W822" s="478">
        <f>IFERROR(Table6[[#This Row],[Breakdown Time]]*Table6[[#This Row],[Plant Equivalent Weightage]],"")</f>
        <v>2.5641025641025644E-2</v>
      </c>
      <c r="X822" s="473" t="s">
        <v>294</v>
      </c>
      <c r="Y822" s="474" t="s">
        <v>315</v>
      </c>
      <c r="Z822" s="102">
        <v>5325</v>
      </c>
      <c r="AA822" s="468">
        <f>(Table6[[#This Row],[Paired WTG Generation for loss calculation]]/24)*Table6[[#This Row],[Breakdown Time]]</f>
        <v>147.91666666666674</v>
      </c>
      <c r="AB822" s="102"/>
      <c r="AC822" s="35"/>
      <c r="AD822" s="35"/>
    </row>
    <row r="823" spans="1:30">
      <c r="A823" s="102">
        <f t="shared" si="13"/>
        <v>822</v>
      </c>
      <c r="B823" s="468">
        <f>YEAR(Table6[[#This Row],[Date]])+IF(MONTH(Table6[[#This Row],[Date]])&gt;=4,1,0)</f>
        <v>2026</v>
      </c>
      <c r="C823" s="102">
        <f>YEAR(Table6[[#This Row],[Date]])</f>
        <v>2025</v>
      </c>
      <c r="D823" s="102" t="s">
        <v>1992</v>
      </c>
      <c r="E823" s="469">
        <f>Table6[[#This Row],[Date]]-DAY(Table6[[#This Row],[Date]])+1</f>
        <v>45778</v>
      </c>
      <c r="F823" s="470">
        <v>45800</v>
      </c>
      <c r="G823" s="35" t="s">
        <v>76</v>
      </c>
      <c r="H823" s="35" t="str">
        <f>IFERROR(_xlfn.XLOOKUP(Table6[[#This Row],[Affected WTG]],'Basic Data'!$A:$A,'Basic Data'!$B:$B),"")</f>
        <v>TQGXIIPL</v>
      </c>
      <c r="I823" s="35" t="str">
        <f>IFERROR(_xlfn.XLOOKUP(Table6[[#This Row],[Affected WTG]],'Basic Data'!$A:$A,'Basic Data'!$C:$C),"")</f>
        <v>GEDA</v>
      </c>
      <c r="J823" s="471">
        <f>IFERROR(_xlfn.XLOOKUP(Table6[[#This Row],[Affected WTG]],'Basic Data'!$A:$A,'Basic Data'!$E:$E),"")</f>
        <v>3.846153846153845E-2</v>
      </c>
      <c r="K823" s="102">
        <v>53</v>
      </c>
      <c r="L823" s="35" t="str">
        <f>IFERROR(_xlfn.XLOOKUP(Table6[[#This Row],[Error Code]],'Basic Data'!$AA:$AA,'Basic Data'!$AB:$AB),"Incorrect Error Code")</f>
        <v>Wind dir.dev. level 1</v>
      </c>
      <c r="M823" s="35" t="s">
        <v>292</v>
      </c>
      <c r="N823" s="475"/>
      <c r="O823" s="476">
        <v>0.72430555555555554</v>
      </c>
      <c r="P823" s="476">
        <v>0.72430555555555554</v>
      </c>
      <c r="Q823" s="477">
        <v>0.72638888888888886</v>
      </c>
      <c r="R823" s="472">
        <f>IF(Table6[[#This Row],[Work Start TimeStamp]]="","",(Table6[[#This Row],[Work Start TimeStamp]]-Table6[[#This Row],[Fault Start TimeStamp]])*24)</f>
        <v>0</v>
      </c>
      <c r="S823" s="472">
        <f>(Table6[[#This Row],[Fault Clearance time]]-Table6[[#This Row],[Work Start TimeStamp]])*24</f>
        <v>4.9999999999999822E-2</v>
      </c>
      <c r="T823" s="472">
        <f>(Table6[[#This Row],[Fault Clearance time]]-Table6[[#This Row],[Fault Start TimeStamp]])*24</f>
        <v>4.9999999999999822E-2</v>
      </c>
      <c r="U823" s="35" t="s">
        <v>346</v>
      </c>
      <c r="V823" s="102" t="s">
        <v>293</v>
      </c>
      <c r="W823" s="478">
        <f>IFERROR(Table6[[#This Row],[Breakdown Time]]*Table6[[#This Row],[Plant Equivalent Weightage]],"")</f>
        <v>1.9230769230769156E-3</v>
      </c>
      <c r="X823" s="473" t="s">
        <v>294</v>
      </c>
      <c r="Y823" s="474" t="s">
        <v>309</v>
      </c>
      <c r="Z823" s="102">
        <v>13305</v>
      </c>
      <c r="AA823" s="468">
        <f>(Table6[[#This Row],[Paired WTG Generation for loss calculation]]/24)*Table6[[#This Row],[Breakdown Time]]</f>
        <v>27.718749999999901</v>
      </c>
      <c r="AB823" s="102"/>
      <c r="AC823" s="35"/>
      <c r="AD823" s="35"/>
    </row>
    <row r="824" spans="1:30">
      <c r="A824" s="102">
        <f t="shared" si="13"/>
        <v>823</v>
      </c>
      <c r="B824" s="468">
        <f>YEAR(Table6[[#This Row],[Date]])+IF(MONTH(Table6[[#This Row],[Date]])&gt;=4,1,0)</f>
        <v>2026</v>
      </c>
      <c r="C824" s="102">
        <f>YEAR(Table6[[#This Row],[Date]])</f>
        <v>2025</v>
      </c>
      <c r="D824" s="102" t="s">
        <v>1992</v>
      </c>
      <c r="E824" s="469">
        <f>Table6[[#This Row],[Date]]-DAY(Table6[[#This Row],[Date]])+1</f>
        <v>45778</v>
      </c>
      <c r="F824" s="470">
        <v>45800</v>
      </c>
      <c r="G824" s="35" t="s">
        <v>81</v>
      </c>
      <c r="H824" s="35" t="str">
        <f>IFERROR(_xlfn.XLOOKUP(Table6[[#This Row],[Affected WTG]],'Basic Data'!$A:$A,'Basic Data'!$B:$B),"")</f>
        <v>TQGXIIPL</v>
      </c>
      <c r="I824" s="35" t="str">
        <f>IFERROR(_xlfn.XLOOKUP(Table6[[#This Row],[Affected WTG]],'Basic Data'!$A:$A,'Basic Data'!$C:$C),"")</f>
        <v>GEDA</v>
      </c>
      <c r="J824" s="471">
        <f>IFERROR(_xlfn.XLOOKUP(Table6[[#This Row],[Affected WTG]],'Basic Data'!$A:$A,'Basic Data'!$E:$E),"")</f>
        <v>3.846153846153845E-2</v>
      </c>
      <c r="K824" s="102">
        <v>3555</v>
      </c>
      <c r="L824" s="35" t="str">
        <f>IFERROR(_xlfn.XLOOKUP(Table6[[#This Row],[Error Code]],'Basic Data'!$AA:$AA,'Basic Data'!$AB:$AB),"Incorrect Error Code")</f>
        <v>Current asymmetry</v>
      </c>
      <c r="M824" s="35" t="s">
        <v>292</v>
      </c>
      <c r="N824" s="475"/>
      <c r="O824" s="476">
        <v>0.39166666666666666</v>
      </c>
      <c r="P824" s="476">
        <v>0.39166666666666666</v>
      </c>
      <c r="Q824" s="477">
        <v>0.39930555555555558</v>
      </c>
      <c r="R824" s="472">
        <f>IF(Table6[[#This Row],[Work Start TimeStamp]]="","",(Table6[[#This Row],[Work Start TimeStamp]]-Table6[[#This Row],[Fault Start TimeStamp]])*24)</f>
        <v>0</v>
      </c>
      <c r="S824" s="472">
        <f>(Table6[[#This Row],[Fault Clearance time]]-Table6[[#This Row],[Work Start TimeStamp]])*24</f>
        <v>0.18333333333333401</v>
      </c>
      <c r="T824" s="472">
        <f>(Table6[[#This Row],[Fault Clearance time]]-Table6[[#This Row],[Fault Start TimeStamp]])*24</f>
        <v>0.18333333333333401</v>
      </c>
      <c r="U824" s="35" t="s">
        <v>346</v>
      </c>
      <c r="V824" s="102" t="s">
        <v>293</v>
      </c>
      <c r="W824" s="478">
        <f>IFERROR(Table6[[#This Row],[Breakdown Time]]*Table6[[#This Row],[Plant Equivalent Weightage]],"")</f>
        <v>7.0512820512820757E-3</v>
      </c>
      <c r="X824" s="473" t="s">
        <v>294</v>
      </c>
      <c r="Y824" s="474" t="s">
        <v>321</v>
      </c>
      <c r="Z824" s="102">
        <v>12236</v>
      </c>
      <c r="AA824" s="468">
        <f>(Table6[[#This Row],[Paired WTG Generation for loss calculation]]/24)*Table6[[#This Row],[Breakdown Time]]</f>
        <v>93.46944444444479</v>
      </c>
      <c r="AB824" s="102"/>
      <c r="AC824" s="35"/>
      <c r="AD824" s="35"/>
    </row>
    <row r="825" spans="1:30">
      <c r="A825" s="102">
        <f t="shared" si="13"/>
        <v>824</v>
      </c>
      <c r="B825" s="468">
        <f>YEAR(Table6[[#This Row],[Date]])+IF(MONTH(Table6[[#This Row],[Date]])&gt;=4,1,0)</f>
        <v>2026</v>
      </c>
      <c r="C825" s="102">
        <f>YEAR(Table6[[#This Row],[Date]])</f>
        <v>2025</v>
      </c>
      <c r="D825" s="102" t="s">
        <v>1992</v>
      </c>
      <c r="E825" s="469">
        <f>Table6[[#This Row],[Date]]-DAY(Table6[[#This Row],[Date]])+1</f>
        <v>45778</v>
      </c>
      <c r="F825" s="470">
        <v>45800</v>
      </c>
      <c r="G825" s="35" t="s">
        <v>81</v>
      </c>
      <c r="H825" s="35" t="str">
        <f>IFERROR(_xlfn.XLOOKUP(Table6[[#This Row],[Affected WTG]],'Basic Data'!$A:$A,'Basic Data'!$B:$B),"")</f>
        <v>TQGXIIPL</v>
      </c>
      <c r="I825" s="35" t="str">
        <f>IFERROR(_xlfn.XLOOKUP(Table6[[#This Row],[Affected WTG]],'Basic Data'!$A:$A,'Basic Data'!$C:$C),"")</f>
        <v>GEDA</v>
      </c>
      <c r="J825" s="471">
        <f>IFERROR(_xlfn.XLOOKUP(Table6[[#This Row],[Affected WTG]],'Basic Data'!$A:$A,'Basic Data'!$E:$E),"")</f>
        <v>3.846153846153845E-2</v>
      </c>
      <c r="K825" s="102">
        <v>55</v>
      </c>
      <c r="L825" s="35" t="str">
        <f>IFERROR(_xlfn.XLOOKUP(Table6[[#This Row],[Error Code]],'Basic Data'!$AA:$AA,'Basic Data'!$AB:$AB),"Incorrect Error Code")</f>
        <v>WTG shut down</v>
      </c>
      <c r="M825" s="35" t="s">
        <v>330</v>
      </c>
      <c r="N825" s="475"/>
      <c r="O825" s="476">
        <v>0.73611111111111116</v>
      </c>
      <c r="P825" s="476">
        <v>0.73611111111111116</v>
      </c>
      <c r="Q825" s="477">
        <v>0.74791666666666667</v>
      </c>
      <c r="R825" s="472">
        <f>IF(Table6[[#This Row],[Work Start TimeStamp]]="","",(Table6[[#This Row],[Work Start TimeStamp]]-Table6[[#This Row],[Fault Start TimeStamp]])*24)</f>
        <v>0</v>
      </c>
      <c r="S825" s="472">
        <f>(Table6[[#This Row],[Fault Clearance time]]-Table6[[#This Row],[Work Start TimeStamp]])*24</f>
        <v>0.28333333333333233</v>
      </c>
      <c r="T825" s="472">
        <f>(Table6[[#This Row],[Fault Clearance time]]-Table6[[#This Row],[Fault Start TimeStamp]])*24</f>
        <v>0.28333333333333233</v>
      </c>
      <c r="U825" s="35" t="s">
        <v>1744</v>
      </c>
      <c r="V825" s="102" t="s">
        <v>293</v>
      </c>
      <c r="W825" s="478">
        <f>IFERROR(Table6[[#This Row],[Breakdown Time]]*Table6[[#This Row],[Plant Equivalent Weightage]],"")</f>
        <v>1.0897435897435855E-2</v>
      </c>
      <c r="X825" s="473" t="s">
        <v>294</v>
      </c>
      <c r="Y825" s="474" t="s">
        <v>321</v>
      </c>
      <c r="Z825" s="102">
        <v>12236</v>
      </c>
      <c r="AA825" s="468">
        <f>(Table6[[#This Row],[Paired WTG Generation for loss calculation]]/24)*Table6[[#This Row],[Breakdown Time]]</f>
        <v>144.45277777777727</v>
      </c>
      <c r="AB825" s="102"/>
      <c r="AC825" s="35"/>
      <c r="AD825" s="35"/>
    </row>
    <row r="826" spans="1:30">
      <c r="A826" s="102">
        <f t="shared" si="13"/>
        <v>825</v>
      </c>
      <c r="B826" s="468">
        <f>YEAR(Table6[[#This Row],[Date]])+IF(MONTH(Table6[[#This Row],[Date]])&gt;=4,1,0)</f>
        <v>2026</v>
      </c>
      <c r="C826" s="102">
        <f>YEAR(Table6[[#This Row],[Date]])</f>
        <v>2025</v>
      </c>
      <c r="D826" s="102" t="s">
        <v>1992</v>
      </c>
      <c r="E826" s="469">
        <f>Table6[[#This Row],[Date]]-DAY(Table6[[#This Row],[Date]])+1</f>
        <v>45778</v>
      </c>
      <c r="F826" s="470">
        <v>45800</v>
      </c>
      <c r="G826" s="35" t="s">
        <v>81</v>
      </c>
      <c r="H826" s="35" t="str">
        <f>IFERROR(_xlfn.XLOOKUP(Table6[[#This Row],[Affected WTG]],'Basic Data'!$A:$A,'Basic Data'!$B:$B),"")</f>
        <v>TQGXIIPL</v>
      </c>
      <c r="I826" s="35" t="str">
        <f>IFERROR(_xlfn.XLOOKUP(Table6[[#This Row],[Affected WTG]],'Basic Data'!$A:$A,'Basic Data'!$C:$C),"")</f>
        <v>GEDA</v>
      </c>
      <c r="J826" s="471">
        <f>IFERROR(_xlfn.XLOOKUP(Table6[[#This Row],[Affected WTG]],'Basic Data'!$A:$A,'Basic Data'!$E:$E),"")</f>
        <v>3.846153846153845E-2</v>
      </c>
      <c r="K826" s="102">
        <v>55</v>
      </c>
      <c r="L826" s="35" t="str">
        <f>IFERROR(_xlfn.XLOOKUP(Table6[[#This Row],[Error Code]],'Basic Data'!$AA:$AA,'Basic Data'!$AB:$AB),"Incorrect Error Code")</f>
        <v>WTG shut down</v>
      </c>
      <c r="M826" s="35" t="s">
        <v>330</v>
      </c>
      <c r="N826" s="475"/>
      <c r="O826" s="476">
        <v>0.80694444444444446</v>
      </c>
      <c r="P826" s="476">
        <v>0.80694444444444446</v>
      </c>
      <c r="Q826" s="477">
        <v>0.82152777777777775</v>
      </c>
      <c r="R826" s="472">
        <f>IF(Table6[[#This Row],[Work Start TimeStamp]]="","",(Table6[[#This Row],[Work Start TimeStamp]]-Table6[[#This Row],[Fault Start TimeStamp]])*24)</f>
        <v>0</v>
      </c>
      <c r="S826" s="472">
        <f>(Table6[[#This Row],[Fault Clearance time]]-Table6[[#This Row],[Work Start TimeStamp]])*24</f>
        <v>0.34999999999999876</v>
      </c>
      <c r="T826" s="472">
        <f>(Table6[[#This Row],[Fault Clearance time]]-Table6[[#This Row],[Fault Start TimeStamp]])*24</f>
        <v>0.34999999999999876</v>
      </c>
      <c r="U826" s="35" t="s">
        <v>1744</v>
      </c>
      <c r="V826" s="102" t="s">
        <v>293</v>
      </c>
      <c r="W826" s="478">
        <f>IFERROR(Table6[[#This Row],[Breakdown Time]]*Table6[[#This Row],[Plant Equivalent Weightage]],"")</f>
        <v>1.346153846153841E-2</v>
      </c>
      <c r="X826" s="473" t="s">
        <v>294</v>
      </c>
      <c r="Y826" s="474" t="s">
        <v>321</v>
      </c>
      <c r="Z826" s="102">
        <v>12236</v>
      </c>
      <c r="AA826" s="468">
        <f>(Table6[[#This Row],[Paired WTG Generation for loss calculation]]/24)*Table6[[#This Row],[Breakdown Time]]</f>
        <v>178.44166666666604</v>
      </c>
      <c r="AB826" s="102"/>
      <c r="AC826" s="35"/>
      <c r="AD826" s="35"/>
    </row>
    <row r="827" spans="1:30">
      <c r="A827" s="102">
        <f t="shared" si="13"/>
        <v>826</v>
      </c>
      <c r="B827" s="468">
        <f>YEAR(Table6[[#This Row],[Date]])+IF(MONTH(Table6[[#This Row],[Date]])&gt;=4,1,0)</f>
        <v>2026</v>
      </c>
      <c r="C827" s="102">
        <f>YEAR(Table6[[#This Row],[Date]])</f>
        <v>2025</v>
      </c>
      <c r="D827" s="102" t="s">
        <v>1992</v>
      </c>
      <c r="E827" s="469">
        <f>Table6[[#This Row],[Date]]-DAY(Table6[[#This Row],[Date]])+1</f>
        <v>45778</v>
      </c>
      <c r="F827" s="470">
        <v>45800</v>
      </c>
      <c r="G827" s="35" t="s">
        <v>83</v>
      </c>
      <c r="H827" s="35" t="str">
        <f>IFERROR(_xlfn.XLOOKUP(Table6[[#This Row],[Affected WTG]],'Basic Data'!$A:$A,'Basic Data'!$B:$B),"")</f>
        <v>TQGXIIPL</v>
      </c>
      <c r="I827" s="35" t="str">
        <f>IFERROR(_xlfn.XLOOKUP(Table6[[#This Row],[Affected WTG]],'Basic Data'!$A:$A,'Basic Data'!$C:$C),"")</f>
        <v>GEDA</v>
      </c>
      <c r="J827" s="471">
        <f>IFERROR(_xlfn.XLOOKUP(Table6[[#This Row],[Affected WTG]],'Basic Data'!$A:$A,'Basic Data'!$E:$E),"")</f>
        <v>3.846153846153845E-2</v>
      </c>
      <c r="K827" s="102">
        <v>1070</v>
      </c>
      <c r="L827" s="35" t="str">
        <f>IFERROR(_xlfn.XLOOKUP(Table6[[#This Row],[Error Code]],'Basic Data'!$AA:$AA,'Basic Data'!$AB:$AB),"Incorrect Error Code")</f>
        <v>Drive train monitor level 2</v>
      </c>
      <c r="M827" s="35" t="s">
        <v>292</v>
      </c>
      <c r="N827" s="475"/>
      <c r="O827" s="476">
        <v>0.72430555555555554</v>
      </c>
      <c r="P827" s="476">
        <v>0.72430555555555554</v>
      </c>
      <c r="Q827" s="477">
        <v>0.72499999999999998</v>
      </c>
      <c r="R827" s="472">
        <f>IF(Table6[[#This Row],[Work Start TimeStamp]]="","",(Table6[[#This Row],[Work Start TimeStamp]]-Table6[[#This Row],[Fault Start TimeStamp]])*24)</f>
        <v>0</v>
      </c>
      <c r="S827" s="472">
        <f>(Table6[[#This Row],[Fault Clearance time]]-Table6[[#This Row],[Work Start TimeStamp]])*24</f>
        <v>1.6666666666666607E-2</v>
      </c>
      <c r="T827" s="472">
        <f>(Table6[[#This Row],[Fault Clearance time]]-Table6[[#This Row],[Fault Start TimeStamp]])*24</f>
        <v>1.6666666666666607E-2</v>
      </c>
      <c r="U827" s="35" t="s">
        <v>346</v>
      </c>
      <c r="V827" s="102" t="s">
        <v>293</v>
      </c>
      <c r="W827" s="478">
        <f>IFERROR(Table6[[#This Row],[Breakdown Time]]*Table6[[#This Row],[Plant Equivalent Weightage]],"")</f>
        <v>6.4102564102563853E-4</v>
      </c>
      <c r="X827" s="473" t="s">
        <v>294</v>
      </c>
      <c r="Y827" s="474" t="s">
        <v>312</v>
      </c>
      <c r="Z827" s="102">
        <v>13871</v>
      </c>
      <c r="AA827" s="468">
        <f>(Table6[[#This Row],[Paired WTG Generation for loss calculation]]/24)*Table6[[#This Row],[Breakdown Time]]</f>
        <v>9.6326388888888559</v>
      </c>
      <c r="AB827" s="102"/>
      <c r="AC827" s="35"/>
      <c r="AD827" s="35"/>
    </row>
    <row r="828" spans="1:30">
      <c r="A828" s="102">
        <f t="shared" si="13"/>
        <v>827</v>
      </c>
      <c r="B828" s="468">
        <f>YEAR(Table6[[#This Row],[Date]])+IF(MONTH(Table6[[#This Row],[Date]])&gt;=4,1,0)</f>
        <v>2026</v>
      </c>
      <c r="C828" s="102">
        <f>YEAR(Table6[[#This Row],[Date]])</f>
        <v>2025</v>
      </c>
      <c r="D828" s="102" t="s">
        <v>1992</v>
      </c>
      <c r="E828" s="469">
        <f>Table6[[#This Row],[Date]]-DAY(Table6[[#This Row],[Date]])+1</f>
        <v>45778</v>
      </c>
      <c r="F828" s="470">
        <v>45800</v>
      </c>
      <c r="G828" s="35" t="s">
        <v>86</v>
      </c>
      <c r="H828" s="35" t="str">
        <f>IFERROR(_xlfn.XLOOKUP(Table6[[#This Row],[Affected WTG]],'Basic Data'!$A:$A,'Basic Data'!$B:$B),"")</f>
        <v>TQGXIIPL</v>
      </c>
      <c r="I828" s="35" t="str">
        <f>IFERROR(_xlfn.XLOOKUP(Table6[[#This Row],[Affected WTG]],'Basic Data'!$A:$A,'Basic Data'!$C:$C),"")</f>
        <v>GEDA</v>
      </c>
      <c r="J828" s="471">
        <f>IFERROR(_xlfn.XLOOKUP(Table6[[#This Row],[Affected WTG]],'Basic Data'!$A:$A,'Basic Data'!$E:$E),"")</f>
        <v>3.846153846153845E-2</v>
      </c>
      <c r="K828" s="102">
        <v>6130</v>
      </c>
      <c r="L828" s="35" t="str">
        <f>IFERROR(_xlfn.XLOOKUP(Table6[[#This Row],[Error Code]],'Basic Data'!$AA:$AA,'Basic Data'!$AB:$AB),"Incorrect Error Code")</f>
        <v>Yaw speed high</v>
      </c>
      <c r="M828" s="35" t="s">
        <v>292</v>
      </c>
      <c r="N828" s="475"/>
      <c r="O828" s="476">
        <v>0.82638888888888884</v>
      </c>
      <c r="P828" s="476">
        <v>0.82638888888888884</v>
      </c>
      <c r="Q828" s="477">
        <v>0.82777777777777772</v>
      </c>
      <c r="R828" s="472">
        <f>IF(Table6[[#This Row],[Work Start TimeStamp]]="","",(Table6[[#This Row],[Work Start TimeStamp]]-Table6[[#This Row],[Fault Start TimeStamp]])*24)</f>
        <v>0</v>
      </c>
      <c r="S828" s="472">
        <f>(Table6[[#This Row],[Fault Clearance time]]-Table6[[#This Row],[Work Start TimeStamp]])*24</f>
        <v>3.3333333333333215E-2</v>
      </c>
      <c r="T828" s="472">
        <f>(Table6[[#This Row],[Fault Clearance time]]-Table6[[#This Row],[Fault Start TimeStamp]])*24</f>
        <v>3.3333333333333215E-2</v>
      </c>
      <c r="U828" s="35" t="s">
        <v>346</v>
      </c>
      <c r="V828" s="102" t="s">
        <v>293</v>
      </c>
      <c r="W828" s="478">
        <f>IFERROR(Table6[[#This Row],[Breakdown Time]]*Table6[[#This Row],[Plant Equivalent Weightage]],"")</f>
        <v>1.2820512820512771E-3</v>
      </c>
      <c r="X828" s="473" t="s">
        <v>294</v>
      </c>
      <c r="Y828" s="474" t="s">
        <v>313</v>
      </c>
      <c r="Z828" s="102">
        <v>15506</v>
      </c>
      <c r="AA828" s="468">
        <f>(Table6[[#This Row],[Paired WTG Generation for loss calculation]]/24)*Table6[[#This Row],[Breakdown Time]]</f>
        <v>21.536111111111037</v>
      </c>
      <c r="AB828" s="102"/>
      <c r="AC828" s="35"/>
      <c r="AD828" s="35"/>
    </row>
    <row r="829" spans="1:30">
      <c r="A829" s="102">
        <f t="shared" si="13"/>
        <v>828</v>
      </c>
      <c r="B829" s="468">
        <f>YEAR(Table6[[#This Row],[Date]])+IF(MONTH(Table6[[#This Row],[Date]])&gt;=4,1,0)</f>
        <v>2026</v>
      </c>
      <c r="C829" s="102">
        <f>YEAR(Table6[[#This Row],[Date]])</f>
        <v>2025</v>
      </c>
      <c r="D829" s="102" t="s">
        <v>1992</v>
      </c>
      <c r="E829" s="469">
        <f>Table6[[#This Row],[Date]]-DAY(Table6[[#This Row],[Date]])+1</f>
        <v>45778</v>
      </c>
      <c r="F829" s="470">
        <v>45800</v>
      </c>
      <c r="G829" s="35" t="s">
        <v>88</v>
      </c>
      <c r="H829" s="35" t="str">
        <f>IFERROR(_xlfn.XLOOKUP(Table6[[#This Row],[Affected WTG]],'Basic Data'!$A:$A,'Basic Data'!$B:$B),"")</f>
        <v>TQGXIIPL</v>
      </c>
      <c r="I829" s="35" t="str">
        <f>IFERROR(_xlfn.XLOOKUP(Table6[[#This Row],[Affected WTG]],'Basic Data'!$A:$A,'Basic Data'!$C:$C),"")</f>
        <v>GEDA</v>
      </c>
      <c r="J829" s="471">
        <f>IFERROR(_xlfn.XLOOKUP(Table6[[#This Row],[Affected WTG]],'Basic Data'!$A:$A,'Basic Data'!$E:$E),"")</f>
        <v>3.846153846153845E-2</v>
      </c>
      <c r="K829" s="102">
        <v>3532</v>
      </c>
      <c r="L829" s="35" t="str">
        <f>IFERROR(_xlfn.XLOOKUP(Table6[[#This Row],[Error Code]],'Basic Data'!$AA:$AA,'Basic Data'!$AB:$AB),"Incorrect Error Code")</f>
        <v>Min. voltage cut in</v>
      </c>
      <c r="M829" s="35" t="s">
        <v>292</v>
      </c>
      <c r="N829" s="475"/>
      <c r="O829" s="476">
        <v>0.29930555555555555</v>
      </c>
      <c r="P829" s="476">
        <v>0.29930555555555555</v>
      </c>
      <c r="Q829" s="477">
        <v>0.3</v>
      </c>
      <c r="R829" s="472">
        <f>IF(Table6[[#This Row],[Work Start TimeStamp]]="","",(Table6[[#This Row],[Work Start TimeStamp]]-Table6[[#This Row],[Fault Start TimeStamp]])*24)</f>
        <v>0</v>
      </c>
      <c r="S829" s="472">
        <f>(Table6[[#This Row],[Fault Clearance time]]-Table6[[#This Row],[Work Start TimeStamp]])*24</f>
        <v>1.6666666666666607E-2</v>
      </c>
      <c r="T829" s="472">
        <f>(Table6[[#This Row],[Fault Clearance time]]-Table6[[#This Row],[Fault Start TimeStamp]])*24</f>
        <v>1.6666666666666607E-2</v>
      </c>
      <c r="U829" s="35" t="s">
        <v>346</v>
      </c>
      <c r="V829" s="102" t="s">
        <v>293</v>
      </c>
      <c r="W829" s="478">
        <f>IFERROR(Table6[[#This Row],[Breakdown Time]]*Table6[[#This Row],[Plant Equivalent Weightage]],"")</f>
        <v>6.4102564102563853E-4</v>
      </c>
      <c r="X829" s="473" t="s">
        <v>294</v>
      </c>
      <c r="Y829" s="474" t="s">
        <v>323</v>
      </c>
      <c r="Z829" s="102">
        <v>12638</v>
      </c>
      <c r="AA829" s="468">
        <f>(Table6[[#This Row],[Paired WTG Generation for loss calculation]]/24)*Table6[[#This Row],[Breakdown Time]]</f>
        <v>8.7763888888888584</v>
      </c>
      <c r="AB829" s="102"/>
      <c r="AC829" s="35"/>
      <c r="AD829" s="35"/>
    </row>
    <row r="830" spans="1:30">
      <c r="A830" s="102">
        <f t="shared" si="13"/>
        <v>829</v>
      </c>
      <c r="B830" s="468">
        <f>YEAR(Table6[[#This Row],[Date]])+IF(MONTH(Table6[[#This Row],[Date]])&gt;=4,1,0)</f>
        <v>2026</v>
      </c>
      <c r="C830" s="102">
        <f>YEAR(Table6[[#This Row],[Date]])</f>
        <v>2025</v>
      </c>
      <c r="D830" s="102" t="s">
        <v>1992</v>
      </c>
      <c r="E830" s="469">
        <f>Table6[[#This Row],[Date]]-DAY(Table6[[#This Row],[Date]])+1</f>
        <v>45778</v>
      </c>
      <c r="F830" s="470">
        <v>45800</v>
      </c>
      <c r="G830" s="35" t="s">
        <v>89</v>
      </c>
      <c r="H830" s="35" t="str">
        <f>IFERROR(_xlfn.XLOOKUP(Table6[[#This Row],[Affected WTG]],'Basic Data'!$A:$A,'Basic Data'!$B:$B),"")</f>
        <v>TQGXIIPL</v>
      </c>
      <c r="I830" s="35" t="str">
        <f>IFERROR(_xlfn.XLOOKUP(Table6[[#This Row],[Affected WTG]],'Basic Data'!$A:$A,'Basic Data'!$C:$C),"")</f>
        <v>GEDA</v>
      </c>
      <c r="J830" s="471">
        <f>IFERROR(_xlfn.XLOOKUP(Table6[[#This Row],[Affected WTG]],'Basic Data'!$A:$A,'Basic Data'!$E:$E),"")</f>
        <v>3.846153846153845E-2</v>
      </c>
      <c r="K830" s="102">
        <v>4960</v>
      </c>
      <c r="L830" s="35" t="str">
        <f>IFERROR(_xlfn.XLOOKUP(Table6[[#This Row],[Error Code]],'Basic Data'!$AA:$AA,'Basic Data'!$AB:$AB),"Incorrect Error Code")</f>
        <v>Tower oscillation YF</v>
      </c>
      <c r="M830" s="35" t="s">
        <v>291</v>
      </c>
      <c r="N830" s="475"/>
      <c r="O830" s="476">
        <v>0.8208333333333333</v>
      </c>
      <c r="P830" s="476">
        <v>0.8208333333333333</v>
      </c>
      <c r="Q830" s="477">
        <v>0.82361111111111107</v>
      </c>
      <c r="R830" s="472">
        <f>IF(Table6[[#This Row],[Work Start TimeStamp]]="","",(Table6[[#This Row],[Work Start TimeStamp]]-Table6[[#This Row],[Fault Start TimeStamp]])*24)</f>
        <v>0</v>
      </c>
      <c r="S830" s="472">
        <f>(Table6[[#This Row],[Fault Clearance time]]-Table6[[#This Row],[Work Start TimeStamp]])*24</f>
        <v>6.666666666666643E-2</v>
      </c>
      <c r="T830" s="472">
        <f>(Table6[[#This Row],[Fault Clearance time]]-Table6[[#This Row],[Fault Start TimeStamp]])*24</f>
        <v>6.666666666666643E-2</v>
      </c>
      <c r="U830" s="35" t="s">
        <v>344</v>
      </c>
      <c r="V830" s="102" t="s">
        <v>293</v>
      </c>
      <c r="W830" s="478">
        <f>IFERROR(Table6[[#This Row],[Breakdown Time]]*Table6[[#This Row],[Plant Equivalent Weightage]],"")</f>
        <v>2.5641025641025541E-3</v>
      </c>
      <c r="X830" s="473" t="s">
        <v>294</v>
      </c>
      <c r="Y830" s="474" t="s">
        <v>325</v>
      </c>
      <c r="Z830" s="102">
        <v>12398</v>
      </c>
      <c r="AA830" s="468">
        <f>(Table6[[#This Row],[Paired WTG Generation for loss calculation]]/24)*Table6[[#This Row],[Breakdown Time]]</f>
        <v>34.438888888888769</v>
      </c>
      <c r="AB830" s="102"/>
      <c r="AC830" s="35"/>
      <c r="AD830" s="35"/>
    </row>
    <row r="831" spans="1:30">
      <c r="A831" s="102">
        <f t="shared" si="13"/>
        <v>830</v>
      </c>
      <c r="B831" s="468">
        <f>YEAR(Table6[[#This Row],[Date]])+IF(MONTH(Table6[[#This Row],[Date]])&gt;=4,1,0)</f>
        <v>2026</v>
      </c>
      <c r="C831" s="102">
        <f>YEAR(Table6[[#This Row],[Date]])</f>
        <v>2025</v>
      </c>
      <c r="D831" s="102" t="s">
        <v>1992</v>
      </c>
      <c r="E831" s="469">
        <f>Table6[[#This Row],[Date]]-DAY(Table6[[#This Row],[Date]])+1</f>
        <v>45778</v>
      </c>
      <c r="F831" s="470">
        <v>45800</v>
      </c>
      <c r="G831" s="35" t="s">
        <v>90</v>
      </c>
      <c r="H831" s="35" t="str">
        <f>IFERROR(_xlfn.XLOOKUP(Table6[[#This Row],[Affected WTG]],'Basic Data'!$A:$A,'Basic Data'!$B:$B),"")</f>
        <v>TQGXIIPL</v>
      </c>
      <c r="I831" s="35" t="str">
        <f>IFERROR(_xlfn.XLOOKUP(Table6[[#This Row],[Affected WTG]],'Basic Data'!$A:$A,'Basic Data'!$C:$C),"")</f>
        <v>GEDA</v>
      </c>
      <c r="J831" s="471">
        <f>IFERROR(_xlfn.XLOOKUP(Table6[[#This Row],[Affected WTG]],'Basic Data'!$A:$A,'Basic Data'!$E:$E),"")</f>
        <v>3.846153846153845E-2</v>
      </c>
      <c r="K831" s="102">
        <v>3110</v>
      </c>
      <c r="L831" s="35" t="str">
        <f>IFERROR(_xlfn.XLOOKUP(Table6[[#This Row],[Error Code]],'Basic Data'!$AA:$AA,'Basic Data'!$AB:$AB),"Incorrect Error Code")</f>
        <v>Frequency converter error</v>
      </c>
      <c r="M831" s="35" t="s">
        <v>291</v>
      </c>
      <c r="N831" s="475"/>
      <c r="O831" s="476">
        <v>0.84652777777777777</v>
      </c>
      <c r="P831" s="476">
        <v>0.84652777777777777</v>
      </c>
      <c r="Q831" s="477">
        <v>0.84791666666666665</v>
      </c>
      <c r="R831" s="472">
        <f>IF(Table6[[#This Row],[Work Start TimeStamp]]="","",(Table6[[#This Row],[Work Start TimeStamp]]-Table6[[#This Row],[Fault Start TimeStamp]])*24)</f>
        <v>0</v>
      </c>
      <c r="S831" s="472">
        <f>(Table6[[#This Row],[Fault Clearance time]]-Table6[[#This Row],[Work Start TimeStamp]])*24</f>
        <v>3.3333333333333215E-2</v>
      </c>
      <c r="T831" s="472">
        <f>(Table6[[#This Row],[Fault Clearance time]]-Table6[[#This Row],[Fault Start TimeStamp]])*24</f>
        <v>3.3333333333333215E-2</v>
      </c>
      <c r="U831" s="35" t="s">
        <v>344</v>
      </c>
      <c r="V831" s="102" t="s">
        <v>293</v>
      </c>
      <c r="W831" s="478">
        <f>IFERROR(Table6[[#This Row],[Breakdown Time]]*Table6[[#This Row],[Plant Equivalent Weightage]],"")</f>
        <v>1.2820512820512771E-3</v>
      </c>
      <c r="X831" s="473" t="s">
        <v>294</v>
      </c>
      <c r="Y831" s="474" t="s">
        <v>339</v>
      </c>
      <c r="Z831" s="102">
        <v>14801</v>
      </c>
      <c r="AA831" s="468">
        <f>(Table6[[#This Row],[Paired WTG Generation for loss calculation]]/24)*Table6[[#This Row],[Breakdown Time]]</f>
        <v>20.556944444444373</v>
      </c>
      <c r="AB831" s="102"/>
      <c r="AC831" s="35"/>
      <c r="AD831" s="35"/>
    </row>
    <row r="832" spans="1:30">
      <c r="A832" s="102">
        <f t="shared" si="13"/>
        <v>831</v>
      </c>
      <c r="B832" s="468">
        <f>YEAR(Table6[[#This Row],[Date]])+IF(MONTH(Table6[[#This Row],[Date]])&gt;=4,1,0)</f>
        <v>2026</v>
      </c>
      <c r="C832" s="102">
        <f>YEAR(Table6[[#This Row],[Date]])</f>
        <v>2025</v>
      </c>
      <c r="D832" s="102" t="s">
        <v>1992</v>
      </c>
      <c r="E832" s="469">
        <f>Table6[[#This Row],[Date]]-DAY(Table6[[#This Row],[Date]])+1</f>
        <v>45778</v>
      </c>
      <c r="F832" s="470">
        <v>45800</v>
      </c>
      <c r="G832" s="35" t="s">
        <v>91</v>
      </c>
      <c r="H832" s="35" t="str">
        <f>IFERROR(_xlfn.XLOOKUP(Table6[[#This Row],[Affected WTG]],'Basic Data'!$A:$A,'Basic Data'!$B:$B),"")</f>
        <v>TQGXIIPL</v>
      </c>
      <c r="I832" s="35" t="str">
        <f>IFERROR(_xlfn.XLOOKUP(Table6[[#This Row],[Affected WTG]],'Basic Data'!$A:$A,'Basic Data'!$C:$C),"")</f>
        <v>GEDA</v>
      </c>
      <c r="J832" s="471">
        <f>IFERROR(_xlfn.XLOOKUP(Table6[[#This Row],[Affected WTG]],'Basic Data'!$A:$A,'Basic Data'!$E:$E),"")</f>
        <v>3.846153846153845E-2</v>
      </c>
      <c r="K832" s="102">
        <v>58</v>
      </c>
      <c r="L832" s="35" t="str">
        <f>IFERROR(_xlfn.XLOOKUP(Table6[[#This Row],[Error Code]],'Basic Data'!$AA:$AA,'Basic Data'!$AB:$AB),"Incorrect Error Code")</f>
        <v>Wind dir.dev. level 2</v>
      </c>
      <c r="M832" s="35" t="s">
        <v>292</v>
      </c>
      <c r="N832" s="475"/>
      <c r="O832" s="476">
        <v>0.71388888888888891</v>
      </c>
      <c r="P832" s="476">
        <v>0.71388888888888891</v>
      </c>
      <c r="Q832" s="477">
        <v>0.71527777777777779</v>
      </c>
      <c r="R832" s="472">
        <f>IF(Table6[[#This Row],[Work Start TimeStamp]]="","",(Table6[[#This Row],[Work Start TimeStamp]]-Table6[[#This Row],[Fault Start TimeStamp]])*24)</f>
        <v>0</v>
      </c>
      <c r="S832" s="472">
        <f>(Table6[[#This Row],[Fault Clearance time]]-Table6[[#This Row],[Work Start TimeStamp]])*24</f>
        <v>3.3333333333333215E-2</v>
      </c>
      <c r="T832" s="472">
        <f>(Table6[[#This Row],[Fault Clearance time]]-Table6[[#This Row],[Fault Start TimeStamp]])*24</f>
        <v>3.3333333333333215E-2</v>
      </c>
      <c r="U832" s="35" t="s">
        <v>346</v>
      </c>
      <c r="V832" s="102" t="s">
        <v>293</v>
      </c>
      <c r="W832" s="478">
        <f>IFERROR(Table6[[#This Row],[Breakdown Time]]*Table6[[#This Row],[Plant Equivalent Weightage]],"")</f>
        <v>1.2820512820512771E-3</v>
      </c>
      <c r="X832" s="473" t="s">
        <v>294</v>
      </c>
      <c r="Y832" s="474" t="s">
        <v>319</v>
      </c>
      <c r="Z832" s="102">
        <v>14664</v>
      </c>
      <c r="AA832" s="468">
        <f>(Table6[[#This Row],[Paired WTG Generation for loss calculation]]/24)*Table6[[#This Row],[Breakdown Time]]</f>
        <v>20.366666666666596</v>
      </c>
      <c r="AB832" s="102"/>
      <c r="AC832" s="35"/>
      <c r="AD832" s="35"/>
    </row>
    <row r="833" spans="1:30">
      <c r="A833" s="102">
        <f t="shared" si="13"/>
        <v>832</v>
      </c>
      <c r="B833" s="468">
        <f>YEAR(Table6[[#This Row],[Date]])+IF(MONTH(Table6[[#This Row],[Date]])&gt;=4,1,0)</f>
        <v>2026</v>
      </c>
      <c r="C833" s="102">
        <f>YEAR(Table6[[#This Row],[Date]])</f>
        <v>2025</v>
      </c>
      <c r="D833" s="102" t="s">
        <v>1992</v>
      </c>
      <c r="E833" s="469">
        <f>Table6[[#This Row],[Date]]-DAY(Table6[[#This Row],[Date]])+1</f>
        <v>45778</v>
      </c>
      <c r="F833" s="470">
        <v>45800</v>
      </c>
      <c r="G833" s="35" t="s">
        <v>92</v>
      </c>
      <c r="H833" s="35" t="str">
        <f>IFERROR(_xlfn.XLOOKUP(Table6[[#This Row],[Affected WTG]],'Basic Data'!$A:$A,'Basic Data'!$B:$B),"")</f>
        <v>TQGXIIPL</v>
      </c>
      <c r="I833" s="35" t="str">
        <f>IFERROR(_xlfn.XLOOKUP(Table6[[#This Row],[Affected WTG]],'Basic Data'!$A:$A,'Basic Data'!$C:$C),"")</f>
        <v>GEDA</v>
      </c>
      <c r="J833" s="471">
        <f>IFERROR(_xlfn.XLOOKUP(Table6[[#This Row],[Affected WTG]],'Basic Data'!$A:$A,'Basic Data'!$E:$E),"")</f>
        <v>3.846153846153845E-2</v>
      </c>
      <c r="K833" s="102">
        <v>4960</v>
      </c>
      <c r="L833" s="35" t="str">
        <f>IFERROR(_xlfn.XLOOKUP(Table6[[#This Row],[Error Code]],'Basic Data'!$AA:$AA,'Basic Data'!$AB:$AB),"Incorrect Error Code")</f>
        <v>Tower oscillation YF</v>
      </c>
      <c r="M833" s="35" t="s">
        <v>292</v>
      </c>
      <c r="N833" s="475"/>
      <c r="O833" s="476">
        <v>0.82430555555555551</v>
      </c>
      <c r="P833" s="476">
        <v>0.82430555555555551</v>
      </c>
      <c r="Q833" s="477">
        <v>0.82638888888888884</v>
      </c>
      <c r="R833" s="472">
        <f>IF(Table6[[#This Row],[Work Start TimeStamp]]="","",(Table6[[#This Row],[Work Start TimeStamp]]-Table6[[#This Row],[Fault Start TimeStamp]])*24)</f>
        <v>0</v>
      </c>
      <c r="S833" s="472">
        <f>(Table6[[#This Row],[Fault Clearance time]]-Table6[[#This Row],[Work Start TimeStamp]])*24</f>
        <v>4.9999999999999822E-2</v>
      </c>
      <c r="T833" s="472">
        <f>(Table6[[#This Row],[Fault Clearance time]]-Table6[[#This Row],[Fault Start TimeStamp]])*24</f>
        <v>4.9999999999999822E-2</v>
      </c>
      <c r="U833" s="35" t="s">
        <v>346</v>
      </c>
      <c r="V833" s="102" t="s">
        <v>293</v>
      </c>
      <c r="W833" s="478">
        <f>IFERROR(Table6[[#This Row],[Breakdown Time]]*Table6[[#This Row],[Plant Equivalent Weightage]],"")</f>
        <v>1.9230769230769156E-3</v>
      </c>
      <c r="X833" s="473" t="s">
        <v>294</v>
      </c>
      <c r="Y833" s="474" t="s">
        <v>310</v>
      </c>
      <c r="Z833" s="102">
        <v>12284</v>
      </c>
      <c r="AA833" s="468">
        <f>(Table6[[#This Row],[Paired WTG Generation for loss calculation]]/24)*Table6[[#This Row],[Breakdown Time]]</f>
        <v>25.591666666666576</v>
      </c>
      <c r="AB833" s="102"/>
      <c r="AC833" s="35"/>
      <c r="AD833" s="35"/>
    </row>
    <row r="834" spans="1:30">
      <c r="A834" s="102">
        <f t="shared" si="13"/>
        <v>833</v>
      </c>
      <c r="B834" s="468">
        <f>YEAR(Table6[[#This Row],[Date]])+IF(MONTH(Table6[[#This Row],[Date]])&gt;=4,1,0)</f>
        <v>2026</v>
      </c>
      <c r="C834" s="102">
        <f>YEAR(Table6[[#This Row],[Date]])</f>
        <v>2025</v>
      </c>
      <c r="D834" s="102" t="s">
        <v>1992</v>
      </c>
      <c r="E834" s="469">
        <f>Table6[[#This Row],[Date]]-DAY(Table6[[#This Row],[Date]])+1</f>
        <v>45778</v>
      </c>
      <c r="F834" s="470">
        <v>45800</v>
      </c>
      <c r="G834" s="35" t="s">
        <v>95</v>
      </c>
      <c r="H834" s="35" t="str">
        <f>IFERROR(_xlfn.XLOOKUP(Table6[[#This Row],[Affected WTG]],'Basic Data'!$A:$A,'Basic Data'!$B:$B),"")</f>
        <v>TQGXIIPL</v>
      </c>
      <c r="I834" s="35" t="str">
        <f>IFERROR(_xlfn.XLOOKUP(Table6[[#This Row],[Affected WTG]],'Basic Data'!$A:$A,'Basic Data'!$C:$C),"")</f>
        <v>GEDA</v>
      </c>
      <c r="J834" s="471">
        <f>IFERROR(_xlfn.XLOOKUP(Table6[[#This Row],[Affected WTG]],'Basic Data'!$A:$A,'Basic Data'!$E:$E),"")</f>
        <v>3.846153846153845E-2</v>
      </c>
      <c r="K834" s="102">
        <v>3110</v>
      </c>
      <c r="L834" s="35" t="str">
        <f>IFERROR(_xlfn.XLOOKUP(Table6[[#This Row],[Error Code]],'Basic Data'!$AA:$AA,'Basic Data'!$AB:$AB),"Incorrect Error Code")</f>
        <v>Frequency converter error</v>
      </c>
      <c r="M834" s="35" t="s">
        <v>291</v>
      </c>
      <c r="N834" s="475"/>
      <c r="O834" s="476">
        <v>0.73055555555555551</v>
      </c>
      <c r="P834" s="476">
        <v>0.73055555555555551</v>
      </c>
      <c r="Q834" s="477">
        <v>0.7319444444444444</v>
      </c>
      <c r="R834" s="472">
        <f>IF(Table6[[#This Row],[Work Start TimeStamp]]="","",(Table6[[#This Row],[Work Start TimeStamp]]-Table6[[#This Row],[Fault Start TimeStamp]])*24)</f>
        <v>0</v>
      </c>
      <c r="S834" s="472">
        <f>(Table6[[#This Row],[Fault Clearance time]]-Table6[[#This Row],[Work Start TimeStamp]])*24</f>
        <v>3.3333333333333215E-2</v>
      </c>
      <c r="T834" s="472">
        <f>(Table6[[#This Row],[Fault Clearance time]]-Table6[[#This Row],[Fault Start TimeStamp]])*24</f>
        <v>3.3333333333333215E-2</v>
      </c>
      <c r="U834" s="35" t="s">
        <v>344</v>
      </c>
      <c r="V834" s="102" t="s">
        <v>293</v>
      </c>
      <c r="W834" s="478">
        <f>IFERROR(Table6[[#This Row],[Breakdown Time]]*Table6[[#This Row],[Plant Equivalent Weightage]],"")</f>
        <v>1.2820512820512771E-3</v>
      </c>
      <c r="X834" s="473" t="s">
        <v>294</v>
      </c>
      <c r="Y834" s="474" t="s">
        <v>319</v>
      </c>
      <c r="Z834" s="102">
        <v>14664</v>
      </c>
      <c r="AA834" s="468">
        <f>(Table6[[#This Row],[Paired WTG Generation for loss calculation]]/24)*Table6[[#This Row],[Breakdown Time]]</f>
        <v>20.366666666666596</v>
      </c>
      <c r="AB834" s="102"/>
      <c r="AC834" s="35"/>
      <c r="AD834" s="35"/>
    </row>
    <row r="835" spans="1:30">
      <c r="A835" s="102">
        <f t="shared" si="13"/>
        <v>834</v>
      </c>
      <c r="B835" s="468">
        <f>YEAR(Table6[[#This Row],[Date]])+IF(MONTH(Table6[[#This Row],[Date]])&gt;=4,1,0)</f>
        <v>2026</v>
      </c>
      <c r="C835" s="102">
        <f>YEAR(Table6[[#This Row],[Date]])</f>
        <v>2025</v>
      </c>
      <c r="D835" s="102" t="s">
        <v>1992</v>
      </c>
      <c r="E835" s="469">
        <f>Table6[[#This Row],[Date]]-DAY(Table6[[#This Row],[Date]])+1</f>
        <v>45778</v>
      </c>
      <c r="F835" s="470">
        <v>45800</v>
      </c>
      <c r="G835" s="35" t="s">
        <v>98</v>
      </c>
      <c r="H835" s="35" t="str">
        <f>IFERROR(_xlfn.XLOOKUP(Table6[[#This Row],[Affected WTG]],'Basic Data'!$A:$A,'Basic Data'!$B:$B),"")</f>
        <v>TQGXIIPL</v>
      </c>
      <c r="I835" s="35" t="str">
        <f>IFERROR(_xlfn.XLOOKUP(Table6[[#This Row],[Affected WTG]],'Basic Data'!$A:$A,'Basic Data'!$C:$C),"")</f>
        <v>GEDA</v>
      </c>
      <c r="J835" s="471">
        <f>IFERROR(_xlfn.XLOOKUP(Table6[[#This Row],[Affected WTG]],'Basic Data'!$A:$A,'Basic Data'!$E:$E),"")</f>
        <v>3.846153846153845E-2</v>
      </c>
      <c r="K835" s="102">
        <v>55</v>
      </c>
      <c r="L835" s="35" t="str">
        <f>IFERROR(_xlfn.XLOOKUP(Table6[[#This Row],[Error Code]],'Basic Data'!$AA:$AA,'Basic Data'!$AB:$AB),"Incorrect Error Code")</f>
        <v>WTG shut down</v>
      </c>
      <c r="M835" s="35" t="s">
        <v>330</v>
      </c>
      <c r="N835" s="475"/>
      <c r="O835" s="476">
        <v>0.73541666666666672</v>
      </c>
      <c r="P835" s="476">
        <v>0.73541666666666672</v>
      </c>
      <c r="Q835" s="477">
        <v>0.74791666666666667</v>
      </c>
      <c r="R835" s="472">
        <f>IF(Table6[[#This Row],[Work Start TimeStamp]]="","",(Table6[[#This Row],[Work Start TimeStamp]]-Table6[[#This Row],[Fault Start TimeStamp]])*24)</f>
        <v>0</v>
      </c>
      <c r="S835" s="472">
        <f>(Table6[[#This Row],[Fault Clearance time]]-Table6[[#This Row],[Work Start TimeStamp]])*24</f>
        <v>0.29999999999999893</v>
      </c>
      <c r="T835" s="472">
        <f>(Table6[[#This Row],[Fault Clearance time]]-Table6[[#This Row],[Fault Start TimeStamp]])*24</f>
        <v>0.29999999999999893</v>
      </c>
      <c r="U835" s="35" t="s">
        <v>1744</v>
      </c>
      <c r="V835" s="102" t="s">
        <v>293</v>
      </c>
      <c r="W835" s="478">
        <f>IFERROR(Table6[[#This Row],[Breakdown Time]]*Table6[[#This Row],[Plant Equivalent Weightage]],"")</f>
        <v>1.1538461538461494E-2</v>
      </c>
      <c r="X835" s="473" t="s">
        <v>294</v>
      </c>
      <c r="Y835" s="474" t="s">
        <v>315</v>
      </c>
      <c r="Z835" s="102">
        <v>13668</v>
      </c>
      <c r="AA835" s="468">
        <f>(Table6[[#This Row],[Paired WTG Generation for loss calculation]]/24)*Table6[[#This Row],[Breakdown Time]]</f>
        <v>170.8499999999994</v>
      </c>
      <c r="AB835" s="102"/>
      <c r="AC835" s="35"/>
      <c r="AD835" s="35"/>
    </row>
    <row r="836" spans="1:30">
      <c r="A836" s="102">
        <f t="shared" si="13"/>
        <v>835</v>
      </c>
      <c r="B836" s="468">
        <f>YEAR(Table6[[#This Row],[Date]])+IF(MONTH(Table6[[#This Row],[Date]])&gt;=4,1,0)</f>
        <v>2026</v>
      </c>
      <c r="C836" s="102">
        <f>YEAR(Table6[[#This Row],[Date]])</f>
        <v>2025</v>
      </c>
      <c r="D836" s="102" t="s">
        <v>1992</v>
      </c>
      <c r="E836" s="469">
        <f>Table6[[#This Row],[Date]]-DAY(Table6[[#This Row],[Date]])+1</f>
        <v>45778</v>
      </c>
      <c r="F836" s="470">
        <v>45800</v>
      </c>
      <c r="G836" s="35" t="s">
        <v>98</v>
      </c>
      <c r="H836" s="35" t="str">
        <f>IFERROR(_xlfn.XLOOKUP(Table6[[#This Row],[Affected WTG]],'Basic Data'!$A:$A,'Basic Data'!$B:$B),"")</f>
        <v>TQGXIIPL</v>
      </c>
      <c r="I836" s="35" t="str">
        <f>IFERROR(_xlfn.XLOOKUP(Table6[[#This Row],[Affected WTG]],'Basic Data'!$A:$A,'Basic Data'!$C:$C),"")</f>
        <v>GEDA</v>
      </c>
      <c r="J836" s="471">
        <f>IFERROR(_xlfn.XLOOKUP(Table6[[#This Row],[Affected WTG]],'Basic Data'!$A:$A,'Basic Data'!$E:$E),"")</f>
        <v>3.846153846153845E-2</v>
      </c>
      <c r="K836" s="102">
        <v>55</v>
      </c>
      <c r="L836" s="35" t="str">
        <f>IFERROR(_xlfn.XLOOKUP(Table6[[#This Row],[Error Code]],'Basic Data'!$AA:$AA,'Basic Data'!$AB:$AB),"Incorrect Error Code")</f>
        <v>WTG shut down</v>
      </c>
      <c r="M836" s="35" t="s">
        <v>330</v>
      </c>
      <c r="N836" s="475"/>
      <c r="O836" s="476">
        <v>0.80555555555555558</v>
      </c>
      <c r="P836" s="476">
        <v>0.80555555555555558</v>
      </c>
      <c r="Q836" s="477">
        <v>0.82222222222222219</v>
      </c>
      <c r="R836" s="472">
        <f>IF(Table6[[#This Row],[Work Start TimeStamp]]="","",(Table6[[#This Row],[Work Start TimeStamp]]-Table6[[#This Row],[Fault Start TimeStamp]])*24)</f>
        <v>0</v>
      </c>
      <c r="S836" s="472">
        <f>(Table6[[#This Row],[Fault Clearance time]]-Table6[[#This Row],[Work Start TimeStamp]])*24</f>
        <v>0.39999999999999858</v>
      </c>
      <c r="T836" s="472">
        <f>(Table6[[#This Row],[Fault Clearance time]]-Table6[[#This Row],[Fault Start TimeStamp]])*24</f>
        <v>0.39999999999999858</v>
      </c>
      <c r="U836" s="35" t="s">
        <v>1744</v>
      </c>
      <c r="V836" s="102" t="s">
        <v>293</v>
      </c>
      <c r="W836" s="478">
        <f>IFERROR(Table6[[#This Row],[Breakdown Time]]*Table6[[#This Row],[Plant Equivalent Weightage]],"")</f>
        <v>1.5384615384615325E-2</v>
      </c>
      <c r="X836" s="473" t="s">
        <v>294</v>
      </c>
      <c r="Y836" s="474" t="s">
        <v>315</v>
      </c>
      <c r="Z836" s="102">
        <v>13668</v>
      </c>
      <c r="AA836" s="468">
        <f>(Table6[[#This Row],[Paired WTG Generation for loss calculation]]/24)*Table6[[#This Row],[Breakdown Time]]</f>
        <v>227.79999999999919</v>
      </c>
      <c r="AB836" s="102"/>
      <c r="AC836" s="35"/>
      <c r="AD836" s="35"/>
    </row>
    <row r="837" spans="1:30">
      <c r="A837" s="102">
        <f t="shared" si="13"/>
        <v>836</v>
      </c>
      <c r="B837" s="468">
        <f>YEAR(Table6[[#This Row],[Date]])+IF(MONTH(Table6[[#This Row],[Date]])&gt;=4,1,0)</f>
        <v>2026</v>
      </c>
      <c r="C837" s="102">
        <f>YEAR(Table6[[#This Row],[Date]])</f>
        <v>2025</v>
      </c>
      <c r="D837" s="102" t="s">
        <v>1992</v>
      </c>
      <c r="E837" s="469">
        <f>Table6[[#This Row],[Date]]-DAY(Table6[[#This Row],[Date]])+1</f>
        <v>45778</v>
      </c>
      <c r="F837" s="470">
        <v>45801</v>
      </c>
      <c r="G837" s="35" t="s">
        <v>75</v>
      </c>
      <c r="H837" s="35" t="str">
        <f>IFERROR(_xlfn.XLOOKUP(Table6[[#This Row],[Affected WTG]],'Basic Data'!$A:$A,'Basic Data'!$B:$B),"")</f>
        <v>TQGXIIPL</v>
      </c>
      <c r="I837" s="35" t="str">
        <f>IFERROR(_xlfn.XLOOKUP(Table6[[#This Row],[Affected WTG]],'Basic Data'!$A:$A,'Basic Data'!$C:$C),"")</f>
        <v>GEDA</v>
      </c>
      <c r="J837" s="471">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291</v>
      </c>
      <c r="N837" s="475"/>
      <c r="O837" s="476">
        <v>0.76944444444444449</v>
      </c>
      <c r="P837" s="476">
        <v>0.76944444444444449</v>
      </c>
      <c r="Q837" s="477">
        <v>0.79722222222222228</v>
      </c>
      <c r="R837" s="472">
        <f>IF(Table6[[#This Row],[Work Start TimeStamp]]="","",(Table6[[#This Row],[Work Start TimeStamp]]-Table6[[#This Row],[Fault Start TimeStamp]])*24)</f>
        <v>0</v>
      </c>
      <c r="S837" s="472">
        <f>(Table6[[#This Row],[Fault Clearance time]]-Table6[[#This Row],[Work Start TimeStamp]])*24</f>
        <v>0.66666666666666696</v>
      </c>
      <c r="T837" s="472">
        <f>(Table6[[#This Row],[Fault Clearance time]]-Table6[[#This Row],[Fault Start TimeStamp]])*24</f>
        <v>0.66666666666666696</v>
      </c>
      <c r="U837" s="35" t="s">
        <v>341</v>
      </c>
      <c r="V837" s="102" t="s">
        <v>293</v>
      </c>
      <c r="W837" s="478">
        <f>IFERROR(Table6[[#This Row],[Breakdown Time]]*Table6[[#This Row],[Plant Equivalent Weightage]],"")</f>
        <v>2.5641025641025644E-2</v>
      </c>
      <c r="X837" s="473" t="s">
        <v>294</v>
      </c>
      <c r="Y837" s="474" t="s">
        <v>318</v>
      </c>
      <c r="Z837" s="102">
        <v>32935</v>
      </c>
      <c r="AA837" s="468">
        <f>(Table6[[#This Row],[Paired WTG Generation for loss calculation]]/24)*Table6[[#This Row],[Breakdown Time]]</f>
        <v>914.86111111111154</v>
      </c>
      <c r="AB837" s="102"/>
      <c r="AC837" s="35"/>
      <c r="AD837" s="35"/>
    </row>
    <row r="838" spans="1:30">
      <c r="A838" s="102">
        <f t="shared" si="13"/>
        <v>837</v>
      </c>
      <c r="B838" s="468">
        <f>YEAR(Table6[[#This Row],[Date]])+IF(MONTH(Table6[[#This Row],[Date]])&gt;=4,1,0)</f>
        <v>2026</v>
      </c>
      <c r="C838" s="102">
        <f>YEAR(Table6[[#This Row],[Date]])</f>
        <v>2025</v>
      </c>
      <c r="D838" s="102" t="s">
        <v>1992</v>
      </c>
      <c r="E838" s="469">
        <f>Table6[[#This Row],[Date]]-DAY(Table6[[#This Row],[Date]])+1</f>
        <v>45778</v>
      </c>
      <c r="F838" s="470">
        <v>45801</v>
      </c>
      <c r="G838" s="35" t="s">
        <v>76</v>
      </c>
      <c r="H838" s="35" t="str">
        <f>IFERROR(_xlfn.XLOOKUP(Table6[[#This Row],[Affected WTG]],'Basic Data'!$A:$A,'Basic Data'!$B:$B),"")</f>
        <v>TQGXIIPL</v>
      </c>
      <c r="I838" s="35" t="str">
        <f>IFERROR(_xlfn.XLOOKUP(Table6[[#This Row],[Affected WTG]],'Basic Data'!$A:$A,'Basic Data'!$C:$C),"")</f>
        <v>GEDA</v>
      </c>
      <c r="J838" s="471">
        <f>IFERROR(_xlfn.XLOOKUP(Table6[[#This Row],[Affected WTG]],'Basic Data'!$A:$A,'Basic Data'!$E:$E),"")</f>
        <v>3.846153846153845E-2</v>
      </c>
      <c r="K838" s="102">
        <v>550</v>
      </c>
      <c r="L838" s="35" t="str">
        <f>IFERROR(_xlfn.XLOOKUP(Table6[[#This Row],[Error Code]],'Basic Data'!$AA:$AA,'Basic Data'!$AB:$AB),"Incorrect Error Code")</f>
        <v>Pitch current asymmetry</v>
      </c>
      <c r="M838" s="35" t="s">
        <v>291</v>
      </c>
      <c r="N838" s="475"/>
      <c r="O838" s="476">
        <v>0.44097222222222221</v>
      </c>
      <c r="P838" s="476">
        <v>0.44097222222222221</v>
      </c>
      <c r="Q838" s="477">
        <v>0.45277777777777778</v>
      </c>
      <c r="R838" s="472">
        <f>IF(Table6[[#This Row],[Work Start TimeStamp]]="","",(Table6[[#This Row],[Work Start TimeStamp]]-Table6[[#This Row],[Fault Start TimeStamp]])*24)</f>
        <v>0</v>
      </c>
      <c r="S838" s="472">
        <f>(Table6[[#This Row],[Fault Clearance time]]-Table6[[#This Row],[Work Start TimeStamp]])*24</f>
        <v>0.28333333333333366</v>
      </c>
      <c r="T838" s="472">
        <f>(Table6[[#This Row],[Fault Clearance time]]-Table6[[#This Row],[Fault Start TimeStamp]])*24</f>
        <v>0.28333333333333366</v>
      </c>
      <c r="U838" s="35" t="s">
        <v>1858</v>
      </c>
      <c r="V838" s="102" t="s">
        <v>293</v>
      </c>
      <c r="W838" s="478">
        <f>IFERROR(Table6[[#This Row],[Breakdown Time]]*Table6[[#This Row],[Plant Equivalent Weightage]],"")</f>
        <v>1.0897435897435907E-2</v>
      </c>
      <c r="X838" s="473" t="s">
        <v>294</v>
      </c>
      <c r="Y838" s="474" t="s">
        <v>309</v>
      </c>
      <c r="Z838" s="102">
        <v>27378</v>
      </c>
      <c r="AA838" s="468">
        <f>(Table6[[#This Row],[Paired WTG Generation for loss calculation]]/24)*Table6[[#This Row],[Breakdown Time]]</f>
        <v>323.21250000000038</v>
      </c>
      <c r="AB838" s="102"/>
      <c r="AC838" s="35"/>
      <c r="AD838" s="35"/>
    </row>
    <row r="839" spans="1:30">
      <c r="A839" s="102">
        <f t="shared" si="13"/>
        <v>838</v>
      </c>
      <c r="B839" s="468">
        <f>YEAR(Table6[[#This Row],[Date]])+IF(MONTH(Table6[[#This Row],[Date]])&gt;=4,1,0)</f>
        <v>2026</v>
      </c>
      <c r="C839" s="102">
        <f>YEAR(Table6[[#This Row],[Date]])</f>
        <v>2025</v>
      </c>
      <c r="D839" s="102" t="s">
        <v>1992</v>
      </c>
      <c r="E839" s="469">
        <f>Table6[[#This Row],[Date]]-DAY(Table6[[#This Row],[Date]])+1</f>
        <v>45778</v>
      </c>
      <c r="F839" s="470">
        <v>45801</v>
      </c>
      <c r="G839" s="35" t="s">
        <v>81</v>
      </c>
      <c r="H839" s="35" t="str">
        <f>IFERROR(_xlfn.XLOOKUP(Table6[[#This Row],[Affected WTG]],'Basic Data'!$A:$A,'Basic Data'!$B:$B),"")</f>
        <v>TQGXIIPL</v>
      </c>
      <c r="I839" s="35" t="str">
        <f>IFERROR(_xlfn.XLOOKUP(Table6[[#This Row],[Affected WTG]],'Basic Data'!$A:$A,'Basic Data'!$C:$C),"")</f>
        <v>GEDA</v>
      </c>
      <c r="J839" s="471">
        <f>IFERROR(_xlfn.XLOOKUP(Table6[[#This Row],[Affected WTG]],'Basic Data'!$A:$A,'Basic Data'!$E:$E),"")</f>
        <v>3.846153846153845E-2</v>
      </c>
      <c r="K839" s="102">
        <v>55</v>
      </c>
      <c r="L839" s="35" t="str">
        <f>IFERROR(_xlfn.XLOOKUP(Table6[[#This Row],[Error Code]],'Basic Data'!$AA:$AA,'Basic Data'!$AB:$AB),"Incorrect Error Code")</f>
        <v>WTG shut down</v>
      </c>
      <c r="M839" s="35" t="s">
        <v>330</v>
      </c>
      <c r="N839" s="475"/>
      <c r="O839" s="476">
        <v>0.80138888888888893</v>
      </c>
      <c r="P839" s="476">
        <v>0.80138888888888893</v>
      </c>
      <c r="Q839" s="477">
        <v>0.99998842592592596</v>
      </c>
      <c r="R839" s="472">
        <f>IF(Table6[[#This Row],[Work Start TimeStamp]]="","",(Table6[[#This Row],[Work Start TimeStamp]]-Table6[[#This Row],[Fault Start TimeStamp]])*24)</f>
        <v>0</v>
      </c>
      <c r="S839" s="472">
        <f>(Table6[[#This Row],[Fault Clearance time]]-Table6[[#This Row],[Work Start TimeStamp]])*24</f>
        <v>4.7663888888888888</v>
      </c>
      <c r="T839" s="472">
        <f>(Table6[[#This Row],[Fault Clearance time]]-Table6[[#This Row],[Fault Start TimeStamp]])*24</f>
        <v>4.7663888888888888</v>
      </c>
      <c r="U839" s="35" t="s">
        <v>1744</v>
      </c>
      <c r="V839" s="102" t="s">
        <v>335</v>
      </c>
      <c r="W839" s="478">
        <f>IFERROR(Table6[[#This Row],[Breakdown Time]]*Table6[[#This Row],[Plant Equivalent Weightage]],"")</f>
        <v>0.18332264957264952</v>
      </c>
      <c r="X839" s="473" t="s">
        <v>294</v>
      </c>
      <c r="Y839" s="474" t="s">
        <v>321</v>
      </c>
      <c r="Z839" s="102">
        <v>25631</v>
      </c>
      <c r="AA839" s="468">
        <f>(Table6[[#This Row],[Paired WTG Generation for loss calculation]]/24)*Table6[[#This Row],[Breakdown Time]]</f>
        <v>5090.3047337962962</v>
      </c>
      <c r="AB839" s="102"/>
      <c r="AC839" s="35"/>
      <c r="AD839" s="35"/>
    </row>
    <row r="840" spans="1:30">
      <c r="A840" s="102">
        <f t="shared" si="13"/>
        <v>839</v>
      </c>
      <c r="B840" s="468">
        <f>YEAR(Table6[[#This Row],[Date]])+IF(MONTH(Table6[[#This Row],[Date]])&gt;=4,1,0)</f>
        <v>2026</v>
      </c>
      <c r="C840" s="102">
        <f>YEAR(Table6[[#This Row],[Date]])</f>
        <v>2025</v>
      </c>
      <c r="D840" s="102" t="s">
        <v>1992</v>
      </c>
      <c r="E840" s="469">
        <f>Table6[[#This Row],[Date]]-DAY(Table6[[#This Row],[Date]])+1</f>
        <v>45778</v>
      </c>
      <c r="F840" s="470">
        <v>45801</v>
      </c>
      <c r="G840" s="35" t="s">
        <v>84</v>
      </c>
      <c r="H840" s="35" t="str">
        <f>IFERROR(_xlfn.XLOOKUP(Table6[[#This Row],[Affected WTG]],'Basic Data'!$A:$A,'Basic Data'!$B:$B),"")</f>
        <v>TQGXIIPL</v>
      </c>
      <c r="I840" s="35" t="str">
        <f>IFERROR(_xlfn.XLOOKUP(Table6[[#This Row],[Affected WTG]],'Basic Data'!$A:$A,'Basic Data'!$C:$C),"")</f>
        <v>GEDA</v>
      </c>
      <c r="J840" s="471">
        <f>IFERROR(_xlfn.XLOOKUP(Table6[[#This Row],[Affected WTG]],'Basic Data'!$A:$A,'Basic Data'!$E:$E),"")</f>
        <v>3.846153846153845E-2</v>
      </c>
      <c r="K840" s="102">
        <v>6130</v>
      </c>
      <c r="L840" s="35" t="str">
        <f>IFERROR(_xlfn.XLOOKUP(Table6[[#This Row],[Error Code]],'Basic Data'!$AA:$AA,'Basic Data'!$AB:$AB),"Incorrect Error Code")</f>
        <v>Yaw speed high</v>
      </c>
      <c r="M840" s="35" t="s">
        <v>292</v>
      </c>
      <c r="N840" s="475"/>
      <c r="O840" s="476">
        <v>0.62222222222222223</v>
      </c>
      <c r="P840" s="476">
        <v>0.62222222222222223</v>
      </c>
      <c r="Q840" s="477">
        <v>0.62569444444444444</v>
      </c>
      <c r="R840" s="472">
        <f>IF(Table6[[#This Row],[Work Start TimeStamp]]="","",(Table6[[#This Row],[Work Start TimeStamp]]-Table6[[#This Row],[Fault Start TimeStamp]])*24)</f>
        <v>0</v>
      </c>
      <c r="S840" s="472">
        <f>(Table6[[#This Row],[Fault Clearance time]]-Table6[[#This Row],[Work Start TimeStamp]])*24</f>
        <v>8.3333333333333037E-2</v>
      </c>
      <c r="T840" s="472">
        <f>(Table6[[#This Row],[Fault Clearance time]]-Table6[[#This Row],[Fault Start TimeStamp]])*24</f>
        <v>8.3333333333333037E-2</v>
      </c>
      <c r="U840" s="35" t="s">
        <v>346</v>
      </c>
      <c r="V840" s="102" t="s">
        <v>293</v>
      </c>
      <c r="W840" s="478">
        <f>IFERROR(Table6[[#This Row],[Breakdown Time]]*Table6[[#This Row],[Plant Equivalent Weightage]],"")</f>
        <v>3.2051282051281929E-3</v>
      </c>
      <c r="X840" s="473" t="s">
        <v>294</v>
      </c>
      <c r="Y840" s="474" t="s">
        <v>327</v>
      </c>
      <c r="Z840" s="102">
        <v>14646</v>
      </c>
      <c r="AA840" s="468">
        <f>(Table6[[#This Row],[Paired WTG Generation for loss calculation]]/24)*Table6[[#This Row],[Breakdown Time]]</f>
        <v>50.854166666666487</v>
      </c>
      <c r="AB840" s="102"/>
      <c r="AC840" s="35"/>
      <c r="AD840" s="35"/>
    </row>
    <row r="841" spans="1:30">
      <c r="A841" s="102">
        <f t="shared" si="13"/>
        <v>840</v>
      </c>
      <c r="B841" s="468">
        <f>YEAR(Table6[[#This Row],[Date]])+IF(MONTH(Table6[[#This Row],[Date]])&gt;=4,1,0)</f>
        <v>2026</v>
      </c>
      <c r="C841" s="102">
        <f>YEAR(Table6[[#This Row],[Date]])</f>
        <v>2025</v>
      </c>
      <c r="D841" s="102" t="s">
        <v>1992</v>
      </c>
      <c r="E841" s="469">
        <f>Table6[[#This Row],[Date]]-DAY(Table6[[#This Row],[Date]])+1</f>
        <v>45778</v>
      </c>
      <c r="F841" s="470">
        <v>45801</v>
      </c>
      <c r="G841" s="35" t="s">
        <v>85</v>
      </c>
      <c r="H841" s="35" t="str">
        <f>IFERROR(_xlfn.XLOOKUP(Table6[[#This Row],[Affected WTG]],'Basic Data'!$A:$A,'Basic Data'!$B:$B),"")</f>
        <v>TQGXIIPL</v>
      </c>
      <c r="I841" s="35" t="str">
        <f>IFERROR(_xlfn.XLOOKUP(Table6[[#This Row],[Affected WTG]],'Basic Data'!$A:$A,'Basic Data'!$C:$C),"")</f>
        <v>GEDA</v>
      </c>
      <c r="J841" s="471">
        <f>IFERROR(_xlfn.XLOOKUP(Table6[[#This Row],[Affected WTG]],'Basic Data'!$A:$A,'Basic Data'!$E:$E),"")</f>
        <v>3.846153846153845E-2</v>
      </c>
      <c r="K841" s="102">
        <v>3110</v>
      </c>
      <c r="L841" s="35" t="str">
        <f>IFERROR(_xlfn.XLOOKUP(Table6[[#This Row],[Error Code]],'Basic Data'!$AA:$AA,'Basic Data'!$AB:$AB),"Incorrect Error Code")</f>
        <v>Frequency converter error</v>
      </c>
      <c r="M841" s="35" t="s">
        <v>291</v>
      </c>
      <c r="N841" s="475"/>
      <c r="O841" s="476">
        <v>0.78194444444444444</v>
      </c>
      <c r="P841" s="476">
        <v>0.78194444444444444</v>
      </c>
      <c r="Q841" s="477">
        <v>0.8041666666666667</v>
      </c>
      <c r="R841" s="472">
        <f>IF(Table6[[#This Row],[Work Start TimeStamp]]="","",(Table6[[#This Row],[Work Start TimeStamp]]-Table6[[#This Row],[Fault Start TimeStamp]])*24)</f>
        <v>0</v>
      </c>
      <c r="S841" s="472">
        <f>(Table6[[#This Row],[Fault Clearance time]]-Table6[[#This Row],[Work Start TimeStamp]])*24</f>
        <v>0.5333333333333341</v>
      </c>
      <c r="T841" s="472">
        <f>(Table6[[#This Row],[Fault Clearance time]]-Table6[[#This Row],[Fault Start TimeStamp]])*24</f>
        <v>0.5333333333333341</v>
      </c>
      <c r="U841" s="35" t="s">
        <v>1860</v>
      </c>
      <c r="V841" s="102" t="s">
        <v>293</v>
      </c>
      <c r="W841" s="478">
        <f>IFERROR(Table6[[#This Row],[Breakdown Time]]*Table6[[#This Row],[Plant Equivalent Weightage]],"")</f>
        <v>2.0512820512820537E-2</v>
      </c>
      <c r="X841" s="473" t="s">
        <v>290</v>
      </c>
      <c r="Y841" s="474" t="s">
        <v>322</v>
      </c>
      <c r="Z841" s="102">
        <v>28337</v>
      </c>
      <c r="AA841" s="468">
        <f>(Table6[[#This Row],[Paired WTG Generation for loss calculation]]/24)*Table6[[#This Row],[Breakdown Time]]</f>
        <v>629.71111111111202</v>
      </c>
      <c r="AB841" s="102"/>
      <c r="AC841" s="35"/>
      <c r="AD841" s="35"/>
    </row>
    <row r="842" spans="1:30">
      <c r="A842" s="102">
        <f t="shared" si="13"/>
        <v>841</v>
      </c>
      <c r="B842" s="468">
        <f>YEAR(Table6[[#This Row],[Date]])+IF(MONTH(Table6[[#This Row],[Date]])&gt;=4,1,0)</f>
        <v>2026</v>
      </c>
      <c r="C842" s="102">
        <f>YEAR(Table6[[#This Row],[Date]])</f>
        <v>2025</v>
      </c>
      <c r="D842" s="102" t="s">
        <v>1992</v>
      </c>
      <c r="E842" s="469">
        <f>Table6[[#This Row],[Date]]-DAY(Table6[[#This Row],[Date]])+1</f>
        <v>45778</v>
      </c>
      <c r="F842" s="470">
        <v>45801</v>
      </c>
      <c r="G842" s="35" t="s">
        <v>85</v>
      </c>
      <c r="H842" s="35" t="str">
        <f>IFERROR(_xlfn.XLOOKUP(Table6[[#This Row],[Affected WTG]],'Basic Data'!$A:$A,'Basic Data'!$B:$B),"")</f>
        <v>TQGXIIPL</v>
      </c>
      <c r="I842" s="35" t="str">
        <f>IFERROR(_xlfn.XLOOKUP(Table6[[#This Row],[Affected WTG]],'Basic Data'!$A:$A,'Basic Data'!$C:$C),"")</f>
        <v>GEDA</v>
      </c>
      <c r="J842" s="471">
        <f>IFERROR(_xlfn.XLOOKUP(Table6[[#This Row],[Affected WTG]],'Basic Data'!$A:$A,'Basic Data'!$E:$E),"")</f>
        <v>3.846153846153845E-2</v>
      </c>
      <c r="K842" s="102">
        <v>55</v>
      </c>
      <c r="L842" s="35" t="str">
        <f>IFERROR(_xlfn.XLOOKUP(Table6[[#This Row],[Error Code]],'Basic Data'!$AA:$AA,'Basic Data'!$AB:$AB),"Incorrect Error Code")</f>
        <v>WTG shut down</v>
      </c>
      <c r="M842" s="35" t="s">
        <v>330</v>
      </c>
      <c r="N842" s="475"/>
      <c r="O842" s="476">
        <v>0.80763888888888891</v>
      </c>
      <c r="P842" s="476">
        <v>0.80763888888888891</v>
      </c>
      <c r="Q842" s="477">
        <v>0.93541666666666667</v>
      </c>
      <c r="R842" s="472">
        <f>IF(Table6[[#This Row],[Work Start TimeStamp]]="","",(Table6[[#This Row],[Work Start TimeStamp]]-Table6[[#This Row],[Fault Start TimeStamp]])*24)</f>
        <v>0</v>
      </c>
      <c r="S842" s="472">
        <f>(Table6[[#This Row],[Fault Clearance time]]-Table6[[#This Row],[Work Start TimeStamp]])*24</f>
        <v>3.0666666666666664</v>
      </c>
      <c r="T842" s="472">
        <f>(Table6[[#This Row],[Fault Clearance time]]-Table6[[#This Row],[Fault Start TimeStamp]])*24</f>
        <v>3.0666666666666664</v>
      </c>
      <c r="U842" s="35" t="s">
        <v>1744</v>
      </c>
      <c r="V842" s="102" t="s">
        <v>293</v>
      </c>
      <c r="W842" s="478">
        <f>IFERROR(Table6[[#This Row],[Breakdown Time]]*Table6[[#This Row],[Plant Equivalent Weightage]],"")</f>
        <v>0.1179487179487179</v>
      </c>
      <c r="X842" s="473" t="s">
        <v>294</v>
      </c>
      <c r="Y842" s="474" t="s">
        <v>322</v>
      </c>
      <c r="Z842" s="102">
        <v>28337</v>
      </c>
      <c r="AA842" s="468">
        <f>(Table6[[#This Row],[Paired WTG Generation for loss calculation]]/24)*Table6[[#This Row],[Breakdown Time]]</f>
        <v>3620.8388888888885</v>
      </c>
      <c r="AB842" s="102"/>
      <c r="AC842" s="35"/>
      <c r="AD842" s="35"/>
    </row>
    <row r="843" spans="1:30">
      <c r="A843" s="102">
        <f t="shared" si="13"/>
        <v>842</v>
      </c>
      <c r="B843" s="468">
        <f>YEAR(Table6[[#This Row],[Date]])+IF(MONTH(Table6[[#This Row],[Date]])&gt;=4,1,0)</f>
        <v>2026</v>
      </c>
      <c r="C843" s="102">
        <f>YEAR(Table6[[#This Row],[Date]])</f>
        <v>2025</v>
      </c>
      <c r="D843" s="102" t="s">
        <v>1992</v>
      </c>
      <c r="E843" s="469">
        <f>Table6[[#This Row],[Date]]-DAY(Table6[[#This Row],[Date]])+1</f>
        <v>45778</v>
      </c>
      <c r="F843" s="470">
        <v>45801</v>
      </c>
      <c r="G843" s="35" t="s">
        <v>85</v>
      </c>
      <c r="H843" s="35" t="str">
        <f>IFERROR(_xlfn.XLOOKUP(Table6[[#This Row],[Affected WTG]],'Basic Data'!$A:$A,'Basic Data'!$B:$B),"")</f>
        <v>TQGXIIPL</v>
      </c>
      <c r="I843" s="35" t="str">
        <f>IFERROR(_xlfn.XLOOKUP(Table6[[#This Row],[Affected WTG]],'Basic Data'!$A:$A,'Basic Data'!$C:$C),"")</f>
        <v>GEDA</v>
      </c>
      <c r="J843" s="471">
        <f>IFERROR(_xlfn.XLOOKUP(Table6[[#This Row],[Affected WTG]],'Basic Data'!$A:$A,'Basic Data'!$E:$E),"")</f>
        <v>3.846153846153845E-2</v>
      </c>
      <c r="K843" s="102">
        <v>55</v>
      </c>
      <c r="L843" s="35" t="str">
        <f>IFERROR(_xlfn.XLOOKUP(Table6[[#This Row],[Error Code]],'Basic Data'!$AA:$AA,'Basic Data'!$AB:$AB),"Incorrect Error Code")</f>
        <v>WTG shut down</v>
      </c>
      <c r="M843" s="35" t="s">
        <v>330</v>
      </c>
      <c r="N843" s="475"/>
      <c r="O843" s="476">
        <v>0.95</v>
      </c>
      <c r="P843" s="476">
        <v>0.95</v>
      </c>
      <c r="Q843" s="477">
        <v>0.99998842592592596</v>
      </c>
      <c r="R843" s="472">
        <f>IF(Table6[[#This Row],[Work Start TimeStamp]]="","",(Table6[[#This Row],[Work Start TimeStamp]]-Table6[[#This Row],[Fault Start TimeStamp]])*24)</f>
        <v>0</v>
      </c>
      <c r="S843" s="472">
        <f>(Table6[[#This Row],[Fault Clearance time]]-Table6[[#This Row],[Work Start TimeStamp]])*24</f>
        <v>1.1997222222222241</v>
      </c>
      <c r="T843" s="472">
        <f>(Table6[[#This Row],[Fault Clearance time]]-Table6[[#This Row],[Fault Start TimeStamp]])*24</f>
        <v>1.1997222222222241</v>
      </c>
      <c r="U843" s="35" t="s">
        <v>1744</v>
      </c>
      <c r="V843" s="102" t="s">
        <v>335</v>
      </c>
      <c r="W843" s="478">
        <f>IFERROR(Table6[[#This Row],[Breakdown Time]]*Table6[[#This Row],[Plant Equivalent Weightage]],"")</f>
        <v>4.6143162393162455E-2</v>
      </c>
      <c r="X843" s="473" t="s">
        <v>294</v>
      </c>
      <c r="Y843" s="474" t="s">
        <v>322</v>
      </c>
      <c r="Z843" s="102">
        <v>28337</v>
      </c>
      <c r="AA843" s="468">
        <f>(Table6[[#This Row],[Paired WTG Generation for loss calculation]]/24)*Table6[[#This Row],[Breakdown Time]]</f>
        <v>1416.5220254629651</v>
      </c>
      <c r="AB843" s="102"/>
      <c r="AC843" s="35"/>
      <c r="AD843" s="35"/>
    </row>
    <row r="844" spans="1:30">
      <c r="A844" s="102">
        <f t="shared" si="13"/>
        <v>843</v>
      </c>
      <c r="B844" s="468">
        <f>YEAR(Table6[[#This Row],[Date]])+IF(MONTH(Table6[[#This Row],[Date]])&gt;=4,1,0)</f>
        <v>2026</v>
      </c>
      <c r="C844" s="102">
        <f>YEAR(Table6[[#This Row],[Date]])</f>
        <v>2025</v>
      </c>
      <c r="D844" s="102" t="s">
        <v>1992</v>
      </c>
      <c r="E844" s="469">
        <f>Table6[[#This Row],[Date]]-DAY(Table6[[#This Row],[Date]])+1</f>
        <v>45778</v>
      </c>
      <c r="F844" s="470">
        <v>45801</v>
      </c>
      <c r="G844" s="35" t="s">
        <v>87</v>
      </c>
      <c r="H844" s="35" t="str">
        <f>IFERROR(_xlfn.XLOOKUP(Table6[[#This Row],[Affected WTG]],'Basic Data'!$A:$A,'Basic Data'!$B:$B),"")</f>
        <v>TQGXIIPL</v>
      </c>
      <c r="I844" s="35" t="str">
        <f>IFERROR(_xlfn.XLOOKUP(Table6[[#This Row],[Affected WTG]],'Basic Data'!$A:$A,'Basic Data'!$C:$C),"")</f>
        <v>GEDA</v>
      </c>
      <c r="J844" s="471">
        <f>IFERROR(_xlfn.XLOOKUP(Table6[[#This Row],[Affected WTG]],'Basic Data'!$A:$A,'Basic Data'!$E:$E),"")</f>
        <v>3.846153846153845E-2</v>
      </c>
      <c r="K844" s="102">
        <v>6130</v>
      </c>
      <c r="L844" s="35" t="str">
        <f>IFERROR(_xlfn.XLOOKUP(Table6[[#This Row],[Error Code]],'Basic Data'!$AA:$AA,'Basic Data'!$AB:$AB),"Incorrect Error Code")</f>
        <v>Yaw speed high</v>
      </c>
      <c r="M844" s="35" t="s">
        <v>292</v>
      </c>
      <c r="N844" s="475"/>
      <c r="O844" s="476">
        <v>0.68541666666666667</v>
      </c>
      <c r="P844" s="476">
        <v>0.68541666666666667</v>
      </c>
      <c r="Q844" s="477">
        <v>0.68958333333333333</v>
      </c>
      <c r="R844" s="472">
        <f>IF(Table6[[#This Row],[Work Start TimeStamp]]="","",(Table6[[#This Row],[Work Start TimeStamp]]-Table6[[#This Row],[Fault Start TimeStamp]])*24)</f>
        <v>0</v>
      </c>
      <c r="S844" s="472">
        <f>(Table6[[#This Row],[Fault Clearance time]]-Table6[[#This Row],[Work Start TimeStamp]])*24</f>
        <v>9.9999999999999645E-2</v>
      </c>
      <c r="T844" s="472">
        <f>(Table6[[#This Row],[Fault Clearance time]]-Table6[[#This Row],[Fault Start TimeStamp]])*24</f>
        <v>9.9999999999999645E-2</v>
      </c>
      <c r="U844" s="35" t="s">
        <v>346</v>
      </c>
      <c r="V844" s="102" t="s">
        <v>293</v>
      </c>
      <c r="W844" s="478">
        <f>IFERROR(Table6[[#This Row],[Breakdown Time]]*Table6[[#This Row],[Plant Equivalent Weightage]],"")</f>
        <v>3.8461538461538312E-3</v>
      </c>
      <c r="X844" s="473" t="s">
        <v>294</v>
      </c>
      <c r="Y844" s="474" t="s">
        <v>327</v>
      </c>
      <c r="Z844" s="102">
        <v>14646</v>
      </c>
      <c r="AA844" s="468">
        <f>(Table6[[#This Row],[Paired WTG Generation for loss calculation]]/24)*Table6[[#This Row],[Breakdown Time]]</f>
        <v>61.024999999999785</v>
      </c>
      <c r="AB844" s="102"/>
      <c r="AC844" s="35"/>
      <c r="AD844" s="35"/>
    </row>
    <row r="845" spans="1:30">
      <c r="A845" s="102">
        <f t="shared" si="13"/>
        <v>844</v>
      </c>
      <c r="B845" s="468">
        <f>YEAR(Table6[[#This Row],[Date]])+IF(MONTH(Table6[[#This Row],[Date]])&gt;=4,1,0)</f>
        <v>2026</v>
      </c>
      <c r="C845" s="102">
        <f>YEAR(Table6[[#This Row],[Date]])</f>
        <v>2025</v>
      </c>
      <c r="D845" s="102" t="s">
        <v>1992</v>
      </c>
      <c r="E845" s="469">
        <f>Table6[[#This Row],[Date]]-DAY(Table6[[#This Row],[Date]])+1</f>
        <v>45778</v>
      </c>
      <c r="F845" s="470">
        <v>45801</v>
      </c>
      <c r="G845" s="35" t="s">
        <v>88</v>
      </c>
      <c r="H845" s="35" t="str">
        <f>IFERROR(_xlfn.XLOOKUP(Table6[[#This Row],[Affected WTG]],'Basic Data'!$A:$A,'Basic Data'!$B:$B),"")</f>
        <v>TQGXIIPL</v>
      </c>
      <c r="I845" s="35" t="str">
        <f>IFERROR(_xlfn.XLOOKUP(Table6[[#This Row],[Affected WTG]],'Basic Data'!$A:$A,'Basic Data'!$C:$C),"")</f>
        <v>GEDA</v>
      </c>
      <c r="J845" s="471">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291</v>
      </c>
      <c r="N845" s="475"/>
      <c r="O845" s="476">
        <v>0.76944444444444449</v>
      </c>
      <c r="P845" s="476">
        <v>0.76944444444444449</v>
      </c>
      <c r="Q845" s="477">
        <v>0.78402777777777777</v>
      </c>
      <c r="R845" s="472">
        <f>IF(Table6[[#This Row],[Work Start TimeStamp]]="","",(Table6[[#This Row],[Work Start TimeStamp]]-Table6[[#This Row],[Fault Start TimeStamp]])*24)</f>
        <v>0</v>
      </c>
      <c r="S845" s="472">
        <f>(Table6[[#This Row],[Fault Clearance time]]-Table6[[#This Row],[Work Start TimeStamp]])*24</f>
        <v>0.34999999999999876</v>
      </c>
      <c r="T845" s="472">
        <f>(Table6[[#This Row],[Fault Clearance time]]-Table6[[#This Row],[Fault Start TimeStamp]])*24</f>
        <v>0.34999999999999876</v>
      </c>
      <c r="U845" s="35" t="s">
        <v>1900</v>
      </c>
      <c r="V845" s="102" t="s">
        <v>293</v>
      </c>
      <c r="W845" s="478">
        <f>IFERROR(Table6[[#This Row],[Breakdown Time]]*Table6[[#This Row],[Plant Equivalent Weightage]],"")</f>
        <v>1.346153846153841E-2</v>
      </c>
      <c r="X845" s="473" t="s">
        <v>294</v>
      </c>
      <c r="Y845" s="474" t="s">
        <v>323</v>
      </c>
      <c r="Z845" s="102">
        <v>28918</v>
      </c>
      <c r="AA845" s="468">
        <f>(Table6[[#This Row],[Paired WTG Generation for loss calculation]]/24)*Table6[[#This Row],[Breakdown Time]]</f>
        <v>421.72083333333188</v>
      </c>
      <c r="AB845" s="102"/>
      <c r="AC845" s="35"/>
      <c r="AD845" s="35"/>
    </row>
    <row r="846" spans="1:30">
      <c r="A846" s="102">
        <f t="shared" ref="A846:A909" si="14">A845+1</f>
        <v>845</v>
      </c>
      <c r="B846" s="468">
        <f>YEAR(Table6[[#This Row],[Date]])+IF(MONTH(Table6[[#This Row],[Date]])&gt;=4,1,0)</f>
        <v>2026</v>
      </c>
      <c r="C846" s="102">
        <f>YEAR(Table6[[#This Row],[Date]])</f>
        <v>2025</v>
      </c>
      <c r="D846" s="102" t="s">
        <v>1992</v>
      </c>
      <c r="E846" s="469">
        <f>Table6[[#This Row],[Date]]-DAY(Table6[[#This Row],[Date]])+1</f>
        <v>45778</v>
      </c>
      <c r="F846" s="470">
        <v>45801</v>
      </c>
      <c r="G846" s="35" t="s">
        <v>96</v>
      </c>
      <c r="H846" s="35" t="str">
        <f>IFERROR(_xlfn.XLOOKUP(Table6[[#This Row],[Affected WTG]],'Basic Data'!$A:$A,'Basic Data'!$B:$B),"")</f>
        <v>TQGXIIPL</v>
      </c>
      <c r="I846" s="35" t="str">
        <f>IFERROR(_xlfn.XLOOKUP(Table6[[#This Row],[Affected WTG]],'Basic Data'!$A:$A,'Basic Data'!$C:$C),"")</f>
        <v>GEDA</v>
      </c>
      <c r="J846" s="471">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291</v>
      </c>
      <c r="N846" s="475"/>
      <c r="O846" s="476">
        <v>0.47499999999999998</v>
      </c>
      <c r="P846" s="476">
        <v>0.47499999999999998</v>
      </c>
      <c r="Q846" s="477">
        <v>0.48680555555555555</v>
      </c>
      <c r="R846" s="472">
        <f>IF(Table6[[#This Row],[Work Start TimeStamp]]="","",(Table6[[#This Row],[Work Start TimeStamp]]-Table6[[#This Row],[Fault Start TimeStamp]])*24)</f>
        <v>0</v>
      </c>
      <c r="S846" s="472">
        <f>(Table6[[#This Row],[Fault Clearance time]]-Table6[[#This Row],[Work Start TimeStamp]])*24</f>
        <v>0.28333333333333366</v>
      </c>
      <c r="T846" s="472">
        <f>(Table6[[#This Row],[Fault Clearance time]]-Table6[[#This Row],[Fault Start TimeStamp]])*24</f>
        <v>0.28333333333333366</v>
      </c>
      <c r="U846" s="35" t="s">
        <v>1901</v>
      </c>
      <c r="V846" s="102" t="s">
        <v>293</v>
      </c>
      <c r="W846" s="478">
        <f>IFERROR(Table6[[#This Row],[Breakdown Time]]*Table6[[#This Row],[Plant Equivalent Weightage]],"")</f>
        <v>1.0897435897435907E-2</v>
      </c>
      <c r="X846" s="473" t="s">
        <v>294</v>
      </c>
      <c r="Y846" s="474" t="s">
        <v>313</v>
      </c>
      <c r="Z846" s="102">
        <v>28336</v>
      </c>
      <c r="AA846" s="468">
        <f>(Table6[[#This Row],[Paired WTG Generation for loss calculation]]/24)*Table6[[#This Row],[Breakdown Time]]</f>
        <v>334.52222222222264</v>
      </c>
      <c r="AB846" s="102"/>
      <c r="AC846" s="35"/>
      <c r="AD846" s="35"/>
    </row>
    <row r="847" spans="1:30">
      <c r="A847" s="102">
        <f t="shared" si="14"/>
        <v>846</v>
      </c>
      <c r="B847" s="468">
        <f>YEAR(Table6[[#This Row],[Date]])+IF(MONTH(Table6[[#This Row],[Date]])&gt;=4,1,0)</f>
        <v>2026</v>
      </c>
      <c r="C847" s="102">
        <f>YEAR(Table6[[#This Row],[Date]])</f>
        <v>2025</v>
      </c>
      <c r="D847" s="102" t="s">
        <v>1992</v>
      </c>
      <c r="E847" s="469">
        <f>Table6[[#This Row],[Date]]-DAY(Table6[[#This Row],[Date]])+1</f>
        <v>45778</v>
      </c>
      <c r="F847" s="470">
        <v>45801</v>
      </c>
      <c r="G847" s="35" t="s">
        <v>98</v>
      </c>
      <c r="H847" s="35" t="str">
        <f>IFERROR(_xlfn.XLOOKUP(Table6[[#This Row],[Affected WTG]],'Basic Data'!$A:$A,'Basic Data'!$B:$B),"")</f>
        <v>TQGXIIPL</v>
      </c>
      <c r="I847" s="35" t="str">
        <f>IFERROR(_xlfn.XLOOKUP(Table6[[#This Row],[Affected WTG]],'Basic Data'!$A:$A,'Basic Data'!$C:$C),"")</f>
        <v>GEDA</v>
      </c>
      <c r="J847" s="471">
        <f>IFERROR(_xlfn.XLOOKUP(Table6[[#This Row],[Affected WTG]],'Basic Data'!$A:$A,'Basic Data'!$E:$E),"")</f>
        <v>3.846153846153845E-2</v>
      </c>
      <c r="K847" s="102">
        <v>55</v>
      </c>
      <c r="L847" s="35" t="str">
        <f>IFERROR(_xlfn.XLOOKUP(Table6[[#This Row],[Error Code]],'Basic Data'!$AA:$AA,'Basic Data'!$AB:$AB),"Incorrect Error Code")</f>
        <v>WTG shut down</v>
      </c>
      <c r="M847" s="35" t="s">
        <v>330</v>
      </c>
      <c r="N847" s="475"/>
      <c r="O847" s="476">
        <v>0.31527777777777777</v>
      </c>
      <c r="P847" s="476">
        <v>0.31527777777777777</v>
      </c>
      <c r="Q847" s="477">
        <v>0.33194444444444443</v>
      </c>
      <c r="R847" s="472">
        <f>IF(Table6[[#This Row],[Work Start TimeStamp]]="","",(Table6[[#This Row],[Work Start TimeStamp]]-Table6[[#This Row],[Fault Start TimeStamp]])*24)</f>
        <v>0</v>
      </c>
      <c r="S847" s="472">
        <f>(Table6[[#This Row],[Fault Clearance time]]-Table6[[#This Row],[Work Start TimeStamp]])*24</f>
        <v>0.39999999999999991</v>
      </c>
      <c r="T847" s="472">
        <f>(Table6[[#This Row],[Fault Clearance time]]-Table6[[#This Row],[Fault Start TimeStamp]])*24</f>
        <v>0.39999999999999991</v>
      </c>
      <c r="U847" s="35" t="s">
        <v>1744</v>
      </c>
      <c r="V847" s="102" t="s">
        <v>293</v>
      </c>
      <c r="W847" s="478">
        <f>IFERROR(Table6[[#This Row],[Breakdown Time]]*Table6[[#This Row],[Plant Equivalent Weightage]],"")</f>
        <v>1.5384615384615377E-2</v>
      </c>
      <c r="X847" s="473" t="s">
        <v>294</v>
      </c>
      <c r="Y847" s="474" t="s">
        <v>315</v>
      </c>
      <c r="Z847" s="102">
        <v>27867</v>
      </c>
      <c r="AA847" s="468">
        <f>(Table6[[#This Row],[Paired WTG Generation for loss calculation]]/24)*Table6[[#This Row],[Breakdown Time]]</f>
        <v>464.44999999999987</v>
      </c>
      <c r="AB847" s="102"/>
      <c r="AC847" s="35"/>
      <c r="AD847" s="35"/>
    </row>
    <row r="848" spans="1:30">
      <c r="A848" s="102">
        <f t="shared" si="14"/>
        <v>847</v>
      </c>
      <c r="B848" s="468">
        <f>YEAR(Table6[[#This Row],[Date]])+IF(MONTH(Table6[[#This Row],[Date]])&gt;=4,1,0)</f>
        <v>2026</v>
      </c>
      <c r="C848" s="102">
        <f>YEAR(Table6[[#This Row],[Date]])</f>
        <v>2025</v>
      </c>
      <c r="D848" s="102" t="s">
        <v>1992</v>
      </c>
      <c r="E848" s="469">
        <f>Table6[[#This Row],[Date]]-DAY(Table6[[#This Row],[Date]])+1</f>
        <v>45778</v>
      </c>
      <c r="F848" s="470">
        <v>45801</v>
      </c>
      <c r="G848" s="35" t="s">
        <v>99</v>
      </c>
      <c r="H848" s="35" t="str">
        <f>IFERROR(_xlfn.XLOOKUP(Table6[[#This Row],[Affected WTG]],'Basic Data'!$A:$A,'Basic Data'!$B:$B),"")</f>
        <v>TQGXIIPL</v>
      </c>
      <c r="I848" s="35" t="str">
        <f>IFERROR(_xlfn.XLOOKUP(Table6[[#This Row],[Affected WTG]],'Basic Data'!$A:$A,'Basic Data'!$C:$C),"")</f>
        <v>GEDA</v>
      </c>
      <c r="J848" s="471">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291</v>
      </c>
      <c r="N848" s="475"/>
      <c r="O848" s="476">
        <v>0.76944444444444449</v>
      </c>
      <c r="P848" s="476">
        <v>0.76944444444444449</v>
      </c>
      <c r="Q848" s="477">
        <v>0.79722222222222228</v>
      </c>
      <c r="R848" s="472">
        <f>IF(Table6[[#This Row],[Work Start TimeStamp]]="","",(Table6[[#This Row],[Work Start TimeStamp]]-Table6[[#This Row],[Fault Start TimeStamp]])*24)</f>
        <v>0</v>
      </c>
      <c r="S848" s="472">
        <f>(Table6[[#This Row],[Fault Clearance time]]-Table6[[#This Row],[Work Start TimeStamp]])*24</f>
        <v>0.66666666666666696</v>
      </c>
      <c r="T848" s="472">
        <f>(Table6[[#This Row],[Fault Clearance time]]-Table6[[#This Row],[Fault Start TimeStamp]])*24</f>
        <v>0.66666666666666696</v>
      </c>
      <c r="U848" s="35" t="s">
        <v>341</v>
      </c>
      <c r="V848" s="102" t="s">
        <v>293</v>
      </c>
      <c r="W848" s="478">
        <f>IFERROR(Table6[[#This Row],[Breakdown Time]]*Table6[[#This Row],[Plant Equivalent Weightage]],"")</f>
        <v>2.5641025641025644E-2</v>
      </c>
      <c r="X848" s="473" t="s">
        <v>294</v>
      </c>
      <c r="Y848" s="474" t="s">
        <v>315</v>
      </c>
      <c r="Z848" s="102">
        <v>27867</v>
      </c>
      <c r="AA848" s="468">
        <f>(Table6[[#This Row],[Paired WTG Generation for loss calculation]]/24)*Table6[[#This Row],[Breakdown Time]]</f>
        <v>774.08333333333371</v>
      </c>
      <c r="AB848" s="102"/>
      <c r="AC848" s="35"/>
      <c r="AD848" s="35"/>
    </row>
    <row r="849" spans="1:30">
      <c r="A849" s="102">
        <f t="shared" si="14"/>
        <v>848</v>
      </c>
      <c r="B849" s="468">
        <f>YEAR(Table6[[#This Row],[Date]])+IF(MONTH(Table6[[#This Row],[Date]])&gt;=4,1,0)</f>
        <v>2026</v>
      </c>
      <c r="C849" s="102">
        <f>YEAR(Table6[[#This Row],[Date]])</f>
        <v>2025</v>
      </c>
      <c r="D849" s="102" t="s">
        <v>1992</v>
      </c>
      <c r="E849" s="469">
        <f>Table6[[#This Row],[Date]]-DAY(Table6[[#This Row],[Date]])+1</f>
        <v>45778</v>
      </c>
      <c r="F849" s="470">
        <v>45802</v>
      </c>
      <c r="G849" s="35" t="s">
        <v>74</v>
      </c>
      <c r="H849" s="35" t="str">
        <f>IFERROR(_xlfn.XLOOKUP(Table6[[#This Row],[Affected WTG]],'Basic Data'!$A:$A,'Basic Data'!$B:$B),"")</f>
        <v>TQGXIIPL</v>
      </c>
      <c r="I849" s="35" t="str">
        <f>IFERROR(_xlfn.XLOOKUP(Table6[[#This Row],[Affected WTG]],'Basic Data'!$A:$A,'Basic Data'!$C:$C),"")</f>
        <v>GEDA</v>
      </c>
      <c r="J849" s="471">
        <f>IFERROR(_xlfn.XLOOKUP(Table6[[#This Row],[Affected WTG]],'Basic Data'!$A:$A,'Basic Data'!$E:$E),"")</f>
        <v>3.846153846153845E-2</v>
      </c>
      <c r="K849" s="102">
        <v>6130</v>
      </c>
      <c r="L849" s="35" t="str">
        <f>IFERROR(_xlfn.XLOOKUP(Table6[[#This Row],[Error Code]],'Basic Data'!$AA:$AA,'Basic Data'!$AB:$AB),"Incorrect Error Code")</f>
        <v>Yaw speed high</v>
      </c>
      <c r="M849" s="35" t="s">
        <v>292</v>
      </c>
      <c r="N849" s="475"/>
      <c r="O849" s="476">
        <v>0.34861111111111109</v>
      </c>
      <c r="P849" s="476">
        <v>0.34930555555555554</v>
      </c>
      <c r="Q849" s="477">
        <v>0.34930555555555554</v>
      </c>
      <c r="R849" s="472">
        <f>IF(Table6[[#This Row],[Work Start TimeStamp]]="","",(Table6[[#This Row],[Work Start TimeStamp]]-Table6[[#This Row],[Fault Start TimeStamp]])*24)</f>
        <v>1.6666666666666607E-2</v>
      </c>
      <c r="S849" s="472">
        <f>(Table6[[#This Row],[Fault Clearance time]]-Table6[[#This Row],[Work Start TimeStamp]])*24</f>
        <v>0</v>
      </c>
      <c r="T849" s="472">
        <f>(Table6[[#This Row],[Fault Clearance time]]-Table6[[#This Row],[Fault Start TimeStamp]])*24</f>
        <v>1.6666666666666607E-2</v>
      </c>
      <c r="U849" s="35" t="s">
        <v>346</v>
      </c>
      <c r="V849" s="102" t="s">
        <v>293</v>
      </c>
      <c r="W849" s="478">
        <f>IFERROR(Table6[[#This Row],[Breakdown Time]]*Table6[[#This Row],[Plant Equivalent Weightage]],"")</f>
        <v>6.4102564102563853E-4</v>
      </c>
      <c r="X849" s="473" t="s">
        <v>294</v>
      </c>
      <c r="Y849" s="474" t="s">
        <v>321</v>
      </c>
      <c r="Z849" s="102">
        <v>33380</v>
      </c>
      <c r="AA849" s="468">
        <f>(Table6[[#This Row],[Paired WTG Generation for loss calculation]]/24)*Table6[[#This Row],[Breakdown Time]]</f>
        <v>23.180555555555472</v>
      </c>
      <c r="AB849" s="102"/>
      <c r="AC849" s="35"/>
      <c r="AD849" s="35"/>
    </row>
    <row r="850" spans="1:30">
      <c r="A850" s="102">
        <f t="shared" si="14"/>
        <v>849</v>
      </c>
      <c r="B850" s="468">
        <f>YEAR(Table6[[#This Row],[Date]])+IF(MONTH(Table6[[#This Row],[Date]])&gt;=4,1,0)</f>
        <v>2026</v>
      </c>
      <c r="C850" s="102">
        <f>YEAR(Table6[[#This Row],[Date]])</f>
        <v>2025</v>
      </c>
      <c r="D850" s="102" t="s">
        <v>1992</v>
      </c>
      <c r="E850" s="469">
        <f>Table6[[#This Row],[Date]]-DAY(Table6[[#This Row],[Date]])+1</f>
        <v>45778</v>
      </c>
      <c r="F850" s="470">
        <v>45802</v>
      </c>
      <c r="G850" s="35" t="s">
        <v>75</v>
      </c>
      <c r="H850" s="35" t="str">
        <f>IFERROR(_xlfn.XLOOKUP(Table6[[#This Row],[Affected WTG]],'Basic Data'!$A:$A,'Basic Data'!$B:$B),"")</f>
        <v>TQGXIIPL</v>
      </c>
      <c r="I850" s="35" t="str">
        <f>IFERROR(_xlfn.XLOOKUP(Table6[[#This Row],[Affected WTG]],'Basic Data'!$A:$A,'Basic Data'!$C:$C),"")</f>
        <v>GEDA</v>
      </c>
      <c r="J850" s="471">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291</v>
      </c>
      <c r="N850" s="475"/>
      <c r="O850" s="476">
        <v>0.70625000000000004</v>
      </c>
      <c r="P850" s="476">
        <v>0.73611111111111116</v>
      </c>
      <c r="Q850" s="477">
        <v>0.73611111111111116</v>
      </c>
      <c r="R850" s="472">
        <f>IF(Table6[[#This Row],[Work Start TimeStamp]]="","",(Table6[[#This Row],[Work Start TimeStamp]]-Table6[[#This Row],[Fault Start TimeStamp]])*24)</f>
        <v>0.71666666666666679</v>
      </c>
      <c r="S850" s="472">
        <f>(Table6[[#This Row],[Fault Clearance time]]-Table6[[#This Row],[Work Start TimeStamp]])*24</f>
        <v>0</v>
      </c>
      <c r="T850" s="472">
        <f>(Table6[[#This Row],[Fault Clearance time]]-Table6[[#This Row],[Fault Start TimeStamp]])*24</f>
        <v>0.71666666666666679</v>
      </c>
      <c r="U850" s="35" t="s">
        <v>341</v>
      </c>
      <c r="V850" s="102" t="s">
        <v>293</v>
      </c>
      <c r="W850" s="478">
        <f>IFERROR(Table6[[#This Row],[Breakdown Time]]*Table6[[#This Row],[Plant Equivalent Weightage]],"")</f>
        <v>2.756410256410256E-2</v>
      </c>
      <c r="X850" s="473" t="s">
        <v>290</v>
      </c>
      <c r="Y850" s="474" t="s">
        <v>318</v>
      </c>
      <c r="Z850" s="102">
        <v>30576</v>
      </c>
      <c r="AA850" s="468">
        <f>(Table6[[#This Row],[Paired WTG Generation for loss calculation]]/24)*Table6[[#This Row],[Breakdown Time]]</f>
        <v>913.03333333333353</v>
      </c>
      <c r="AB850" s="102"/>
      <c r="AC850" s="35"/>
      <c r="AD850" s="35"/>
    </row>
    <row r="851" spans="1:30">
      <c r="A851" s="102">
        <f t="shared" si="14"/>
        <v>850</v>
      </c>
      <c r="B851" s="468">
        <f>YEAR(Table6[[#This Row],[Date]])+IF(MONTH(Table6[[#This Row],[Date]])&gt;=4,1,0)</f>
        <v>2026</v>
      </c>
      <c r="C851" s="102">
        <f>YEAR(Table6[[#This Row],[Date]])</f>
        <v>2025</v>
      </c>
      <c r="D851" s="102" t="s">
        <v>1992</v>
      </c>
      <c r="E851" s="469">
        <f>Table6[[#This Row],[Date]]-DAY(Table6[[#This Row],[Date]])+1</f>
        <v>45778</v>
      </c>
      <c r="F851" s="470">
        <v>45802</v>
      </c>
      <c r="G851" s="35" t="s">
        <v>79</v>
      </c>
      <c r="H851" s="35" t="str">
        <f>IFERROR(_xlfn.XLOOKUP(Table6[[#This Row],[Affected WTG]],'Basic Data'!$A:$A,'Basic Data'!$B:$B),"")</f>
        <v>TQGXIIPL</v>
      </c>
      <c r="I851" s="35" t="str">
        <f>IFERROR(_xlfn.XLOOKUP(Table6[[#This Row],[Affected WTG]],'Basic Data'!$A:$A,'Basic Data'!$C:$C),"")</f>
        <v>GEDA</v>
      </c>
      <c r="J851" s="471">
        <f>IFERROR(_xlfn.XLOOKUP(Table6[[#This Row],[Affected WTG]],'Basic Data'!$A:$A,'Basic Data'!$E:$E),"")</f>
        <v>3.846153846153845E-2</v>
      </c>
      <c r="K851" s="102">
        <v>55</v>
      </c>
      <c r="L851" s="35" t="str">
        <f>IFERROR(_xlfn.XLOOKUP(Table6[[#This Row],[Error Code]],'Basic Data'!$AA:$AA,'Basic Data'!$AB:$AB),"Incorrect Error Code")</f>
        <v>WTG shut down</v>
      </c>
      <c r="M851" s="35" t="s">
        <v>291</v>
      </c>
      <c r="N851" s="475"/>
      <c r="O851" s="476">
        <v>0.65069444444444446</v>
      </c>
      <c r="P851" s="476">
        <v>0.66249999999999998</v>
      </c>
      <c r="Q851" s="477">
        <v>0.66249999999999998</v>
      </c>
      <c r="R851" s="472">
        <f>IF(Table6[[#This Row],[Work Start TimeStamp]]="","",(Table6[[#This Row],[Work Start TimeStamp]]-Table6[[#This Row],[Fault Start TimeStamp]])*24)</f>
        <v>0.28333333333333233</v>
      </c>
      <c r="S851" s="472">
        <f>(Table6[[#This Row],[Fault Clearance time]]-Table6[[#This Row],[Work Start TimeStamp]])*24</f>
        <v>0</v>
      </c>
      <c r="T851" s="472">
        <f>(Table6[[#This Row],[Fault Clearance time]]-Table6[[#This Row],[Fault Start TimeStamp]])*24</f>
        <v>0.28333333333333233</v>
      </c>
      <c r="U851" s="35" t="s">
        <v>1788</v>
      </c>
      <c r="V851" s="102" t="s">
        <v>293</v>
      </c>
      <c r="W851" s="478">
        <f>IFERROR(Table6[[#This Row],[Breakdown Time]]*Table6[[#This Row],[Plant Equivalent Weightage]],"")</f>
        <v>1.0897435897435855E-2</v>
      </c>
      <c r="X851" s="473" t="s">
        <v>294</v>
      </c>
      <c r="Y851" s="474" t="s">
        <v>325</v>
      </c>
      <c r="Z851" s="102">
        <v>19043</v>
      </c>
      <c r="AA851" s="468">
        <f>(Table6[[#This Row],[Paired WTG Generation for loss calculation]]/24)*Table6[[#This Row],[Breakdown Time]]</f>
        <v>224.81319444444367</v>
      </c>
      <c r="AB851" s="102"/>
      <c r="AC851" s="35"/>
      <c r="AD851" s="35"/>
    </row>
    <row r="852" spans="1:30">
      <c r="A852" s="102">
        <f t="shared" si="14"/>
        <v>851</v>
      </c>
      <c r="B852" s="468">
        <f>YEAR(Table6[[#This Row],[Date]])+IF(MONTH(Table6[[#This Row],[Date]])&gt;=4,1,0)</f>
        <v>2026</v>
      </c>
      <c r="C852" s="102">
        <f>YEAR(Table6[[#This Row],[Date]])</f>
        <v>2025</v>
      </c>
      <c r="D852" s="102" t="s">
        <v>1992</v>
      </c>
      <c r="E852" s="469">
        <f>Table6[[#This Row],[Date]]-DAY(Table6[[#This Row],[Date]])+1</f>
        <v>45778</v>
      </c>
      <c r="F852" s="470">
        <v>45802</v>
      </c>
      <c r="G852" s="35" t="s">
        <v>81</v>
      </c>
      <c r="H852" s="35" t="str">
        <f>IFERROR(_xlfn.XLOOKUP(Table6[[#This Row],[Affected WTG]],'Basic Data'!$A:$A,'Basic Data'!$B:$B),"")</f>
        <v>TQGXIIPL</v>
      </c>
      <c r="I852" s="35" t="str">
        <f>IFERROR(_xlfn.XLOOKUP(Table6[[#This Row],[Affected WTG]],'Basic Data'!$A:$A,'Basic Data'!$C:$C),"")</f>
        <v>GEDA</v>
      </c>
      <c r="J852" s="471">
        <f>IFERROR(_xlfn.XLOOKUP(Table6[[#This Row],[Affected WTG]],'Basic Data'!$A:$A,'Basic Data'!$E:$E),"")</f>
        <v>3.846153846153845E-2</v>
      </c>
      <c r="K852" s="102">
        <v>55</v>
      </c>
      <c r="L852" s="35" t="str">
        <f>IFERROR(_xlfn.XLOOKUP(Table6[[#This Row],[Error Code]],'Basic Data'!$AA:$AA,'Basic Data'!$AB:$AB),"Incorrect Error Code")</f>
        <v>WTG shut down</v>
      </c>
      <c r="M852" s="35" t="s">
        <v>330</v>
      </c>
      <c r="N852" s="475"/>
      <c r="O852" s="476">
        <v>0</v>
      </c>
      <c r="P852" s="476">
        <v>0.14444444444444443</v>
      </c>
      <c r="Q852" s="477">
        <v>0.14444444444444443</v>
      </c>
      <c r="R852" s="472">
        <f>IF(Table6[[#This Row],[Work Start TimeStamp]]="","",(Table6[[#This Row],[Work Start TimeStamp]]-Table6[[#This Row],[Fault Start TimeStamp]])*24)</f>
        <v>3.4666666666666663</v>
      </c>
      <c r="S852" s="472">
        <f>(Table6[[#This Row],[Fault Clearance time]]-Table6[[#This Row],[Work Start TimeStamp]])*24</f>
        <v>0</v>
      </c>
      <c r="T852" s="472">
        <f>(Table6[[#This Row],[Fault Clearance time]]-Table6[[#This Row],[Fault Start TimeStamp]])*24</f>
        <v>3.4666666666666663</v>
      </c>
      <c r="U852" s="35" t="s">
        <v>1744</v>
      </c>
      <c r="V852" s="102" t="s">
        <v>293</v>
      </c>
      <c r="W852" s="478">
        <f>IFERROR(Table6[[#This Row],[Breakdown Time]]*Table6[[#This Row],[Plant Equivalent Weightage]],"")</f>
        <v>0.13333333333333328</v>
      </c>
      <c r="X852" s="473" t="s">
        <v>294</v>
      </c>
      <c r="Y852" s="474" t="s">
        <v>321</v>
      </c>
      <c r="Z852" s="102">
        <v>33380</v>
      </c>
      <c r="AA852" s="468">
        <f>(Table6[[#This Row],[Paired WTG Generation for loss calculation]]/24)*Table6[[#This Row],[Breakdown Time]]</f>
        <v>4821.5555555555547</v>
      </c>
      <c r="AB852" s="102"/>
      <c r="AC852" s="35"/>
      <c r="AD852" s="35"/>
    </row>
    <row r="853" spans="1:30">
      <c r="A853" s="102">
        <f t="shared" si="14"/>
        <v>852</v>
      </c>
      <c r="B853" s="468">
        <f>YEAR(Table6[[#This Row],[Date]])+IF(MONTH(Table6[[#This Row],[Date]])&gt;=4,1,0)</f>
        <v>2026</v>
      </c>
      <c r="C853" s="102">
        <f>YEAR(Table6[[#This Row],[Date]])</f>
        <v>2025</v>
      </c>
      <c r="D853" s="102" t="s">
        <v>1992</v>
      </c>
      <c r="E853" s="469">
        <f>Table6[[#This Row],[Date]]-DAY(Table6[[#This Row],[Date]])+1</f>
        <v>45778</v>
      </c>
      <c r="F853" s="470">
        <v>45802</v>
      </c>
      <c r="G853" s="35" t="s">
        <v>81</v>
      </c>
      <c r="H853" s="35" t="str">
        <f>IFERROR(_xlfn.XLOOKUP(Table6[[#This Row],[Affected WTG]],'Basic Data'!$A:$A,'Basic Data'!$B:$B),"")</f>
        <v>TQGXIIPL</v>
      </c>
      <c r="I853" s="35" t="str">
        <f>IFERROR(_xlfn.XLOOKUP(Table6[[#This Row],[Affected WTG]],'Basic Data'!$A:$A,'Basic Data'!$C:$C),"")</f>
        <v>GEDA</v>
      </c>
      <c r="J853" s="471">
        <f>IFERROR(_xlfn.XLOOKUP(Table6[[#This Row],[Affected WTG]],'Basic Data'!$A:$A,'Basic Data'!$E:$E),"")</f>
        <v>3.846153846153845E-2</v>
      </c>
      <c r="K853" s="102">
        <v>55</v>
      </c>
      <c r="L853" s="35" t="str">
        <f>IFERROR(_xlfn.XLOOKUP(Table6[[#This Row],[Error Code]],'Basic Data'!$AA:$AA,'Basic Data'!$AB:$AB),"Incorrect Error Code")</f>
        <v>WTG shut down</v>
      </c>
      <c r="M853" s="35" t="s">
        <v>330</v>
      </c>
      <c r="N853" s="475"/>
      <c r="O853" s="476">
        <v>0.31458333333333333</v>
      </c>
      <c r="P853" s="476">
        <v>0.3611111111111111</v>
      </c>
      <c r="Q853" s="477">
        <v>0.3611111111111111</v>
      </c>
      <c r="R853" s="472">
        <f>IF(Table6[[#This Row],[Work Start TimeStamp]]="","",(Table6[[#This Row],[Work Start TimeStamp]]-Table6[[#This Row],[Fault Start TimeStamp]])*24)</f>
        <v>1.1166666666666667</v>
      </c>
      <c r="S853" s="472">
        <f>(Table6[[#This Row],[Fault Clearance time]]-Table6[[#This Row],[Work Start TimeStamp]])*24</f>
        <v>0</v>
      </c>
      <c r="T853" s="472">
        <f>(Table6[[#This Row],[Fault Clearance time]]-Table6[[#This Row],[Fault Start TimeStamp]])*24</f>
        <v>1.1166666666666667</v>
      </c>
      <c r="U853" s="35" t="s">
        <v>1744</v>
      </c>
      <c r="V853" s="102" t="s">
        <v>293</v>
      </c>
      <c r="W853" s="478">
        <f>IFERROR(Table6[[#This Row],[Breakdown Time]]*Table6[[#This Row],[Plant Equivalent Weightage]],"")</f>
        <v>4.2948717948717935E-2</v>
      </c>
      <c r="X853" s="473" t="s">
        <v>294</v>
      </c>
      <c r="Y853" s="474" t="s">
        <v>321</v>
      </c>
      <c r="Z853" s="102">
        <v>33380</v>
      </c>
      <c r="AA853" s="468">
        <f>(Table6[[#This Row],[Paired WTG Generation for loss calculation]]/24)*Table6[[#This Row],[Breakdown Time]]</f>
        <v>1553.0972222222222</v>
      </c>
      <c r="AB853" s="102"/>
      <c r="AC853" s="35"/>
      <c r="AD853" s="35"/>
    </row>
    <row r="854" spans="1:30">
      <c r="A854" s="102">
        <f t="shared" si="14"/>
        <v>853</v>
      </c>
      <c r="B854" s="468">
        <f>YEAR(Table6[[#This Row],[Date]])+IF(MONTH(Table6[[#This Row],[Date]])&gt;=4,1,0)</f>
        <v>2026</v>
      </c>
      <c r="C854" s="102">
        <f>YEAR(Table6[[#This Row],[Date]])</f>
        <v>2025</v>
      </c>
      <c r="D854" s="102" t="s">
        <v>1992</v>
      </c>
      <c r="E854" s="469">
        <f>Table6[[#This Row],[Date]]-DAY(Table6[[#This Row],[Date]])+1</f>
        <v>45778</v>
      </c>
      <c r="F854" s="470">
        <v>45802</v>
      </c>
      <c r="G854" s="35" t="s">
        <v>81</v>
      </c>
      <c r="H854" s="35" t="str">
        <f>IFERROR(_xlfn.XLOOKUP(Table6[[#This Row],[Affected WTG]],'Basic Data'!$A:$A,'Basic Data'!$B:$B),"")</f>
        <v>TQGXIIPL</v>
      </c>
      <c r="I854" s="35" t="str">
        <f>IFERROR(_xlfn.XLOOKUP(Table6[[#This Row],[Affected WTG]],'Basic Data'!$A:$A,'Basic Data'!$C:$C),"")</f>
        <v>GEDA</v>
      </c>
      <c r="J854" s="471">
        <f>IFERROR(_xlfn.XLOOKUP(Table6[[#This Row],[Affected WTG]],'Basic Data'!$A:$A,'Basic Data'!$E:$E),"")</f>
        <v>3.846153846153845E-2</v>
      </c>
      <c r="K854" s="102">
        <v>6130</v>
      </c>
      <c r="L854" s="35" t="str">
        <f>IFERROR(_xlfn.XLOOKUP(Table6[[#This Row],[Error Code]],'Basic Data'!$AA:$AA,'Basic Data'!$AB:$AB),"Incorrect Error Code")</f>
        <v>Yaw speed high</v>
      </c>
      <c r="M854" s="35" t="s">
        <v>292</v>
      </c>
      <c r="N854" s="475"/>
      <c r="O854" s="476">
        <v>0.17847222222222223</v>
      </c>
      <c r="P854" s="476">
        <v>0.18263888888888888</v>
      </c>
      <c r="Q854" s="477">
        <v>0.18263888888888888</v>
      </c>
      <c r="R854" s="472">
        <f>IF(Table6[[#This Row],[Work Start TimeStamp]]="","",(Table6[[#This Row],[Work Start TimeStamp]]-Table6[[#This Row],[Fault Start TimeStamp]])*24)</f>
        <v>9.9999999999999645E-2</v>
      </c>
      <c r="S854" s="472">
        <f>(Table6[[#This Row],[Fault Clearance time]]-Table6[[#This Row],[Work Start TimeStamp]])*24</f>
        <v>0</v>
      </c>
      <c r="T854" s="472">
        <f>(Table6[[#This Row],[Fault Clearance time]]-Table6[[#This Row],[Fault Start TimeStamp]])*24</f>
        <v>9.9999999999999645E-2</v>
      </c>
      <c r="U854" s="35" t="s">
        <v>336</v>
      </c>
      <c r="V854" s="102" t="s">
        <v>293</v>
      </c>
      <c r="W854" s="478">
        <f>IFERROR(Table6[[#This Row],[Breakdown Time]]*Table6[[#This Row],[Plant Equivalent Weightage]],"")</f>
        <v>3.8461538461538312E-3</v>
      </c>
      <c r="X854" s="473" t="s">
        <v>294</v>
      </c>
      <c r="Y854" s="474" t="s">
        <v>321</v>
      </c>
      <c r="Z854" s="102">
        <v>33380</v>
      </c>
      <c r="AA854" s="468">
        <f>(Table6[[#This Row],[Paired WTG Generation for loss calculation]]/24)*Table6[[#This Row],[Breakdown Time]]</f>
        <v>139.08333333333283</v>
      </c>
      <c r="AB854" s="102"/>
      <c r="AC854" s="35"/>
      <c r="AD854" s="35"/>
    </row>
    <row r="855" spans="1:30">
      <c r="A855" s="102">
        <f t="shared" si="14"/>
        <v>854</v>
      </c>
      <c r="B855" s="468">
        <f>YEAR(Table6[[#This Row],[Date]])+IF(MONTH(Table6[[#This Row],[Date]])&gt;=4,1,0)</f>
        <v>2026</v>
      </c>
      <c r="C855" s="102">
        <f>YEAR(Table6[[#This Row],[Date]])</f>
        <v>2025</v>
      </c>
      <c r="D855" s="102" t="s">
        <v>1992</v>
      </c>
      <c r="E855" s="469">
        <f>Table6[[#This Row],[Date]]-DAY(Table6[[#This Row],[Date]])+1</f>
        <v>45778</v>
      </c>
      <c r="F855" s="470">
        <v>45802</v>
      </c>
      <c r="G855" s="35" t="s">
        <v>81</v>
      </c>
      <c r="H855" s="35" t="str">
        <f>IFERROR(_xlfn.XLOOKUP(Table6[[#This Row],[Affected WTG]],'Basic Data'!$A:$A,'Basic Data'!$B:$B),"")</f>
        <v>TQGXIIPL</v>
      </c>
      <c r="I855" s="35" t="str">
        <f>IFERROR(_xlfn.XLOOKUP(Table6[[#This Row],[Affected WTG]],'Basic Data'!$A:$A,'Basic Data'!$C:$C),"")</f>
        <v>GEDA</v>
      </c>
      <c r="J855" s="471">
        <f>IFERROR(_xlfn.XLOOKUP(Table6[[#This Row],[Affected WTG]],'Basic Data'!$A:$A,'Basic Data'!$E:$E),"")</f>
        <v>3.846153846153845E-2</v>
      </c>
      <c r="K855" s="102">
        <v>55</v>
      </c>
      <c r="L855" s="35" t="str">
        <f>IFERROR(_xlfn.XLOOKUP(Table6[[#This Row],[Error Code]],'Basic Data'!$AA:$AA,'Basic Data'!$AB:$AB),"Incorrect Error Code")</f>
        <v>WTG shut down</v>
      </c>
      <c r="M855" s="35" t="s">
        <v>330</v>
      </c>
      <c r="N855" s="475"/>
      <c r="O855" s="476">
        <v>0.81736111111111109</v>
      </c>
      <c r="P855" s="476">
        <v>0.96388888888888891</v>
      </c>
      <c r="Q855" s="477">
        <v>0.96388888888888891</v>
      </c>
      <c r="R855" s="472">
        <f>IF(Table6[[#This Row],[Work Start TimeStamp]]="","",(Table6[[#This Row],[Work Start TimeStamp]]-Table6[[#This Row],[Fault Start TimeStamp]])*24)</f>
        <v>3.5166666666666675</v>
      </c>
      <c r="S855" s="472">
        <f>(Table6[[#This Row],[Fault Clearance time]]-Table6[[#This Row],[Work Start TimeStamp]])*24</f>
        <v>0</v>
      </c>
      <c r="T855" s="472">
        <f>(Table6[[#This Row],[Fault Clearance time]]-Table6[[#This Row],[Fault Start TimeStamp]])*24</f>
        <v>3.5166666666666675</v>
      </c>
      <c r="U855" s="35" t="s">
        <v>1744</v>
      </c>
      <c r="V855" s="102" t="s">
        <v>293</v>
      </c>
      <c r="W855" s="478">
        <f>IFERROR(Table6[[#This Row],[Breakdown Time]]*Table6[[#This Row],[Plant Equivalent Weightage]],"")</f>
        <v>0.13525641025641025</v>
      </c>
      <c r="X855" s="473" t="s">
        <v>294</v>
      </c>
      <c r="Y855" s="474" t="s">
        <v>321</v>
      </c>
      <c r="Z855" s="102">
        <v>33380</v>
      </c>
      <c r="AA855" s="468">
        <f>(Table6[[#This Row],[Paired WTG Generation for loss calculation]]/24)*Table6[[#This Row],[Breakdown Time]]</f>
        <v>4891.0972222222235</v>
      </c>
      <c r="AB855" s="102"/>
      <c r="AC855" s="35"/>
      <c r="AD855" s="35"/>
    </row>
    <row r="856" spans="1:30">
      <c r="A856" s="102">
        <f t="shared" si="14"/>
        <v>855</v>
      </c>
      <c r="B856" s="468">
        <f>YEAR(Table6[[#This Row],[Date]])+IF(MONTH(Table6[[#This Row],[Date]])&gt;=4,1,0)</f>
        <v>2026</v>
      </c>
      <c r="C856" s="102">
        <f>YEAR(Table6[[#This Row],[Date]])</f>
        <v>2025</v>
      </c>
      <c r="D856" s="102" t="s">
        <v>1992</v>
      </c>
      <c r="E856" s="469">
        <f>Table6[[#This Row],[Date]]-DAY(Table6[[#This Row],[Date]])+1</f>
        <v>45778</v>
      </c>
      <c r="F856" s="470">
        <v>45802</v>
      </c>
      <c r="G856" s="35" t="s">
        <v>85</v>
      </c>
      <c r="H856" s="35" t="str">
        <f>IFERROR(_xlfn.XLOOKUP(Table6[[#This Row],[Affected WTG]],'Basic Data'!$A:$A,'Basic Data'!$B:$B),"")</f>
        <v>TQGXIIPL</v>
      </c>
      <c r="I856" s="35" t="str">
        <f>IFERROR(_xlfn.XLOOKUP(Table6[[#This Row],[Affected WTG]],'Basic Data'!$A:$A,'Basic Data'!$C:$C),"")</f>
        <v>GEDA</v>
      </c>
      <c r="J856" s="471">
        <f>IFERROR(_xlfn.XLOOKUP(Table6[[#This Row],[Affected WTG]],'Basic Data'!$A:$A,'Basic Data'!$E:$E),"")</f>
        <v>3.846153846153845E-2</v>
      </c>
      <c r="K856" s="102">
        <v>55</v>
      </c>
      <c r="L856" s="35" t="str">
        <f>IFERROR(_xlfn.XLOOKUP(Table6[[#This Row],[Error Code]],'Basic Data'!$AA:$AA,'Basic Data'!$AB:$AB),"Incorrect Error Code")</f>
        <v>WTG shut down</v>
      </c>
      <c r="M856" s="35" t="s">
        <v>330</v>
      </c>
      <c r="N856" s="475"/>
      <c r="O856" s="476">
        <v>0</v>
      </c>
      <c r="P856" s="476">
        <v>5.5555555555555552E-2</v>
      </c>
      <c r="Q856" s="477">
        <v>5.5555555555555552E-2</v>
      </c>
      <c r="R856" s="472">
        <f>IF(Table6[[#This Row],[Work Start TimeStamp]]="","",(Table6[[#This Row],[Work Start TimeStamp]]-Table6[[#This Row],[Fault Start TimeStamp]])*24)</f>
        <v>1.3333333333333333</v>
      </c>
      <c r="S856" s="472">
        <f>(Table6[[#This Row],[Fault Clearance time]]-Table6[[#This Row],[Work Start TimeStamp]])*24</f>
        <v>0</v>
      </c>
      <c r="T856" s="472">
        <f>(Table6[[#This Row],[Fault Clearance time]]-Table6[[#This Row],[Fault Start TimeStamp]])*24</f>
        <v>1.3333333333333333</v>
      </c>
      <c r="U856" s="35" t="s">
        <v>1744</v>
      </c>
      <c r="V856" s="102" t="s">
        <v>293</v>
      </c>
      <c r="W856" s="478">
        <f>IFERROR(Table6[[#This Row],[Breakdown Time]]*Table6[[#This Row],[Plant Equivalent Weightage]],"")</f>
        <v>5.1282051282051266E-2</v>
      </c>
      <c r="X856" s="473" t="s">
        <v>294</v>
      </c>
      <c r="Y856" s="474" t="s">
        <v>322</v>
      </c>
      <c r="Z856" s="102">
        <v>34055</v>
      </c>
      <c r="AA856" s="468">
        <f>(Table6[[#This Row],[Paired WTG Generation for loss calculation]]/24)*Table6[[#This Row],[Breakdown Time]]</f>
        <v>1891.9444444444443</v>
      </c>
      <c r="AB856" s="102"/>
      <c r="AC856" s="35"/>
      <c r="AD856" s="35"/>
    </row>
    <row r="857" spans="1:30">
      <c r="A857" s="102">
        <f t="shared" si="14"/>
        <v>856</v>
      </c>
      <c r="B857" s="468">
        <f>YEAR(Table6[[#This Row],[Date]])+IF(MONTH(Table6[[#This Row],[Date]])&gt;=4,1,0)</f>
        <v>2026</v>
      </c>
      <c r="C857" s="102">
        <f>YEAR(Table6[[#This Row],[Date]])</f>
        <v>2025</v>
      </c>
      <c r="D857" s="102" t="s">
        <v>1992</v>
      </c>
      <c r="E857" s="469">
        <f>Table6[[#This Row],[Date]]-DAY(Table6[[#This Row],[Date]])+1</f>
        <v>45778</v>
      </c>
      <c r="F857" s="470">
        <v>45802</v>
      </c>
      <c r="G857" s="35" t="s">
        <v>85</v>
      </c>
      <c r="H857" s="35" t="str">
        <f>IFERROR(_xlfn.XLOOKUP(Table6[[#This Row],[Affected WTG]],'Basic Data'!$A:$A,'Basic Data'!$B:$B),"")</f>
        <v>TQGXIIPL</v>
      </c>
      <c r="I857" s="35" t="str">
        <f>IFERROR(_xlfn.XLOOKUP(Table6[[#This Row],[Affected WTG]],'Basic Data'!$A:$A,'Basic Data'!$C:$C),"")</f>
        <v>GEDA</v>
      </c>
      <c r="J857" s="471">
        <f>IFERROR(_xlfn.XLOOKUP(Table6[[#This Row],[Affected WTG]],'Basic Data'!$A:$A,'Basic Data'!$E:$E),"")</f>
        <v>3.846153846153845E-2</v>
      </c>
      <c r="K857" s="102">
        <v>665</v>
      </c>
      <c r="L857" s="35" t="str">
        <f>IFERROR(_xlfn.XLOOKUP(Table6[[#This Row],[Error Code]],'Basic Data'!$AA:$AA,'Basic Data'!$AB:$AB),"Incorrect Error Code")</f>
        <v>Pitch error</v>
      </c>
      <c r="M857" s="35" t="s">
        <v>292</v>
      </c>
      <c r="N857" s="475"/>
      <c r="O857" s="476">
        <v>5.6250000000000001E-2</v>
      </c>
      <c r="P857" s="476">
        <v>5.9722222222222225E-2</v>
      </c>
      <c r="Q857" s="477">
        <v>5.9722222222222225E-2</v>
      </c>
      <c r="R857" s="472">
        <f>IF(Table6[[#This Row],[Work Start TimeStamp]]="","",(Table6[[#This Row],[Work Start TimeStamp]]-Table6[[#This Row],[Fault Start TimeStamp]])*24)</f>
        <v>8.333333333333337E-2</v>
      </c>
      <c r="S857" s="472">
        <f>(Table6[[#This Row],[Fault Clearance time]]-Table6[[#This Row],[Work Start TimeStamp]])*24</f>
        <v>0</v>
      </c>
      <c r="T857" s="472">
        <f>(Table6[[#This Row],[Fault Clearance time]]-Table6[[#This Row],[Fault Start TimeStamp]])*24</f>
        <v>8.333333333333337E-2</v>
      </c>
      <c r="U857" s="35" t="s">
        <v>346</v>
      </c>
      <c r="V857" s="102" t="s">
        <v>293</v>
      </c>
      <c r="W857" s="478">
        <f>IFERROR(Table6[[#This Row],[Breakdown Time]]*Table6[[#This Row],[Plant Equivalent Weightage]],"")</f>
        <v>3.2051282051282055E-3</v>
      </c>
      <c r="X857" s="473" t="s">
        <v>294</v>
      </c>
      <c r="Y857" s="474" t="s">
        <v>322</v>
      </c>
      <c r="Z857" s="102">
        <v>34055</v>
      </c>
      <c r="AA857" s="468">
        <f>(Table6[[#This Row],[Paired WTG Generation for loss calculation]]/24)*Table6[[#This Row],[Breakdown Time]]</f>
        <v>118.24652777777783</v>
      </c>
      <c r="AB857" s="102"/>
      <c r="AC857" s="35"/>
      <c r="AD857" s="35"/>
    </row>
    <row r="858" spans="1:30">
      <c r="A858" s="102">
        <f t="shared" si="14"/>
        <v>857</v>
      </c>
      <c r="B858" s="468">
        <f>YEAR(Table6[[#This Row],[Date]])+IF(MONTH(Table6[[#This Row],[Date]])&gt;=4,1,0)</f>
        <v>2026</v>
      </c>
      <c r="C858" s="102">
        <f>YEAR(Table6[[#This Row],[Date]])</f>
        <v>2025</v>
      </c>
      <c r="D858" s="102" t="s">
        <v>1992</v>
      </c>
      <c r="E858" s="469">
        <f>Table6[[#This Row],[Date]]-DAY(Table6[[#This Row],[Date]])+1</f>
        <v>45778</v>
      </c>
      <c r="F858" s="470">
        <v>45802</v>
      </c>
      <c r="G858" s="35" t="s">
        <v>94</v>
      </c>
      <c r="H858" s="35" t="str">
        <f>IFERROR(_xlfn.XLOOKUP(Table6[[#This Row],[Affected WTG]],'Basic Data'!$A:$A,'Basic Data'!$B:$B),"")</f>
        <v>TQGXIIPL</v>
      </c>
      <c r="I858" s="35" t="str">
        <f>IFERROR(_xlfn.XLOOKUP(Table6[[#This Row],[Affected WTG]],'Basic Data'!$A:$A,'Basic Data'!$C:$C),"")</f>
        <v>GEDA</v>
      </c>
      <c r="J858" s="471">
        <f>IFERROR(_xlfn.XLOOKUP(Table6[[#This Row],[Affected WTG]],'Basic Data'!$A:$A,'Basic Data'!$E:$E),"")</f>
        <v>3.846153846153845E-2</v>
      </c>
      <c r="K858" s="102">
        <v>3000</v>
      </c>
      <c r="L858" s="35" t="str">
        <f>IFERROR(_xlfn.XLOOKUP(Table6[[#This Row],[Error Code]],'Basic Data'!$AA:$AA,'Basic Data'!$AB:$AB),"Incorrect Error Code")</f>
        <v>Frequency converter not ready</v>
      </c>
      <c r="M858" s="35" t="s">
        <v>295</v>
      </c>
      <c r="N858" s="475"/>
      <c r="O858" s="476">
        <v>0.59097222222222223</v>
      </c>
      <c r="P858" s="476">
        <v>0.65625</v>
      </c>
      <c r="Q858" s="477">
        <v>0.99722222222222223</v>
      </c>
      <c r="R858" s="472">
        <f>IF(Table6[[#This Row],[Work Start TimeStamp]]="","",(Table6[[#This Row],[Work Start TimeStamp]]-Table6[[#This Row],[Fault Start TimeStamp]])*24)</f>
        <v>1.5666666666666664</v>
      </c>
      <c r="S858" s="472">
        <f>(Table6[[#This Row],[Fault Clearance time]]-Table6[[#This Row],[Work Start TimeStamp]])*24</f>
        <v>8.1833333333333336</v>
      </c>
      <c r="T858" s="472">
        <f>(Table6[[#This Row],[Fault Clearance time]]-Table6[[#This Row],[Fault Start TimeStamp]])*24</f>
        <v>9.75</v>
      </c>
      <c r="U858" s="35" t="s">
        <v>1902</v>
      </c>
      <c r="V858" s="102" t="s">
        <v>293</v>
      </c>
      <c r="W858" s="478">
        <f>IFERROR(Table6[[#This Row],[Breakdown Time]]*Table6[[#This Row],[Plant Equivalent Weightage]],"")</f>
        <v>0.37499999999999989</v>
      </c>
      <c r="X858" s="473" t="s">
        <v>290</v>
      </c>
      <c r="Y858" s="474" t="s">
        <v>319</v>
      </c>
      <c r="Z858" s="102">
        <v>37549</v>
      </c>
      <c r="AA858" s="468">
        <f>(Table6[[#This Row],[Paired WTG Generation for loss calculation]]/24)*Table6[[#This Row],[Breakdown Time]]</f>
        <v>15254.28125</v>
      </c>
      <c r="AB858" s="102"/>
      <c r="AC858" s="35"/>
      <c r="AD858" s="35"/>
    </row>
    <row r="859" spans="1:30">
      <c r="A859" s="102">
        <f t="shared" si="14"/>
        <v>858</v>
      </c>
      <c r="B859" s="468">
        <f>YEAR(Table6[[#This Row],[Date]])+IF(MONTH(Table6[[#This Row],[Date]])&gt;=4,1,0)</f>
        <v>2026</v>
      </c>
      <c r="C859" s="102">
        <f>YEAR(Table6[[#This Row],[Date]])</f>
        <v>2025</v>
      </c>
      <c r="D859" s="102" t="s">
        <v>1992</v>
      </c>
      <c r="E859" s="469">
        <f>Table6[[#This Row],[Date]]-DAY(Table6[[#This Row],[Date]])+1</f>
        <v>45778</v>
      </c>
      <c r="F859" s="470">
        <v>45802</v>
      </c>
      <c r="G859" s="35" t="s">
        <v>98</v>
      </c>
      <c r="H859" s="35" t="str">
        <f>IFERROR(_xlfn.XLOOKUP(Table6[[#This Row],[Affected WTG]],'Basic Data'!$A:$A,'Basic Data'!$B:$B),"")</f>
        <v>TQGXIIPL</v>
      </c>
      <c r="I859" s="35" t="str">
        <f>IFERROR(_xlfn.XLOOKUP(Table6[[#This Row],[Affected WTG]],'Basic Data'!$A:$A,'Basic Data'!$C:$C),"")</f>
        <v>GEDA</v>
      </c>
      <c r="J859" s="471">
        <f>IFERROR(_xlfn.XLOOKUP(Table6[[#This Row],[Affected WTG]],'Basic Data'!$A:$A,'Basic Data'!$E:$E),"")</f>
        <v>3.846153846153845E-2</v>
      </c>
      <c r="K859" s="102">
        <v>55</v>
      </c>
      <c r="L859" s="35" t="str">
        <f>IFERROR(_xlfn.XLOOKUP(Table6[[#This Row],[Error Code]],'Basic Data'!$AA:$AA,'Basic Data'!$AB:$AB),"Incorrect Error Code")</f>
        <v>WTG shut down</v>
      </c>
      <c r="M859" s="35" t="s">
        <v>330</v>
      </c>
      <c r="N859" s="475"/>
      <c r="O859" s="476">
        <v>0.82708333333333328</v>
      </c>
      <c r="P859" s="476">
        <v>0.93333333333333335</v>
      </c>
      <c r="Q859" s="477">
        <v>0.93333333333333335</v>
      </c>
      <c r="R859" s="472">
        <f>IF(Table6[[#This Row],[Work Start TimeStamp]]="","",(Table6[[#This Row],[Work Start TimeStamp]]-Table6[[#This Row],[Fault Start TimeStamp]])*24)</f>
        <v>2.5500000000000016</v>
      </c>
      <c r="S859" s="472">
        <f>(Table6[[#This Row],[Fault Clearance time]]-Table6[[#This Row],[Work Start TimeStamp]])*24</f>
        <v>0</v>
      </c>
      <c r="T859" s="472">
        <f>(Table6[[#This Row],[Fault Clearance time]]-Table6[[#This Row],[Fault Start TimeStamp]])*24</f>
        <v>2.5500000000000016</v>
      </c>
      <c r="U859" s="35" t="s">
        <v>1744</v>
      </c>
      <c r="V859" s="102" t="s">
        <v>293</v>
      </c>
      <c r="W859" s="478">
        <f>IFERROR(Table6[[#This Row],[Breakdown Time]]*Table6[[#This Row],[Plant Equivalent Weightage]],"")</f>
        <v>9.8076923076923103E-2</v>
      </c>
      <c r="X859" s="473" t="s">
        <v>294</v>
      </c>
      <c r="Y859" s="474" t="s">
        <v>315</v>
      </c>
      <c r="Z859" s="102">
        <v>31523</v>
      </c>
      <c r="AA859" s="468">
        <f>(Table6[[#This Row],[Paired WTG Generation for loss calculation]]/24)*Table6[[#This Row],[Breakdown Time]]</f>
        <v>3349.3187500000017</v>
      </c>
      <c r="AB859" s="102"/>
      <c r="AC859" s="35"/>
      <c r="AD859" s="35"/>
    </row>
    <row r="860" spans="1:30">
      <c r="A860" s="102">
        <f t="shared" si="14"/>
        <v>859</v>
      </c>
      <c r="B860" s="468">
        <f>YEAR(Table6[[#This Row],[Date]])+IF(MONTH(Table6[[#This Row],[Date]])&gt;=4,1,0)</f>
        <v>2026</v>
      </c>
      <c r="C860" s="102">
        <f>YEAR(Table6[[#This Row],[Date]])</f>
        <v>2025</v>
      </c>
      <c r="D860" s="102" t="s">
        <v>1992</v>
      </c>
      <c r="E860" s="469">
        <f>Table6[[#This Row],[Date]]-DAY(Table6[[#This Row],[Date]])+1</f>
        <v>45778</v>
      </c>
      <c r="F860" s="470">
        <v>45803</v>
      </c>
      <c r="G860" s="35" t="s">
        <v>74</v>
      </c>
      <c r="H860" s="35" t="str">
        <f>IFERROR(_xlfn.XLOOKUP(Table6[[#This Row],[Affected WTG]],'Basic Data'!$A:$A,'Basic Data'!$B:$B),"")</f>
        <v>TQGXIIPL</v>
      </c>
      <c r="I860" s="35" t="str">
        <f>IFERROR(_xlfn.XLOOKUP(Table6[[#This Row],[Affected WTG]],'Basic Data'!$A:$A,'Basic Data'!$C:$C),"")</f>
        <v>GEDA</v>
      </c>
      <c r="J860" s="471">
        <f>IFERROR(_xlfn.XLOOKUP(Table6[[#This Row],[Affected WTG]],'Basic Data'!$A:$A,'Basic Data'!$E:$E),"")</f>
        <v>3.846153846153845E-2</v>
      </c>
      <c r="K860" s="102">
        <v>58</v>
      </c>
      <c r="L860" s="35" t="str">
        <f>IFERROR(_xlfn.XLOOKUP(Table6[[#This Row],[Error Code]],'Basic Data'!$AA:$AA,'Basic Data'!$AB:$AB),"Incorrect Error Code")</f>
        <v>Wind dir.dev. level 2</v>
      </c>
      <c r="M860" s="35" t="s">
        <v>292</v>
      </c>
      <c r="N860" s="475"/>
      <c r="O860" s="476">
        <v>6.2500000000000003E-3</v>
      </c>
      <c r="P860" s="476">
        <v>8.3333333333333332E-3</v>
      </c>
      <c r="Q860" s="477">
        <v>8.3333333333333332E-3</v>
      </c>
      <c r="R860" s="472">
        <f>IF(Table6[[#This Row],[Work Start TimeStamp]]="","",(Table6[[#This Row],[Work Start TimeStamp]]-Table6[[#This Row],[Fault Start TimeStamp]])*24)</f>
        <v>4.9999999999999989E-2</v>
      </c>
      <c r="S860" s="472">
        <f>(Table6[[#This Row],[Fault Clearance time]]-Table6[[#This Row],[Work Start TimeStamp]])*24</f>
        <v>0</v>
      </c>
      <c r="T860" s="472">
        <f>(Table6[[#This Row],[Fault Clearance time]]-Table6[[#This Row],[Fault Start TimeStamp]])*24</f>
        <v>4.9999999999999989E-2</v>
      </c>
      <c r="U860" s="35" t="s">
        <v>336</v>
      </c>
      <c r="V860" s="102" t="s">
        <v>293</v>
      </c>
      <c r="W860" s="478">
        <f>IFERROR(Table6[[#This Row],[Breakdown Time]]*Table6[[#This Row],[Plant Equivalent Weightage]],"")</f>
        <v>1.9230769230769221E-3</v>
      </c>
      <c r="X860" s="473" t="s">
        <v>294</v>
      </c>
      <c r="Y860" s="474" t="s">
        <v>321</v>
      </c>
      <c r="Z860" s="102">
        <v>29985</v>
      </c>
      <c r="AA860" s="468">
        <f>(Table6[[#This Row],[Paired WTG Generation for loss calculation]]/24)*Table6[[#This Row],[Breakdown Time]]</f>
        <v>62.468749999999986</v>
      </c>
      <c r="AB860" s="102"/>
      <c r="AC860" s="35"/>
      <c r="AD860" s="35"/>
    </row>
    <row r="861" spans="1:30">
      <c r="A861" s="102">
        <f t="shared" si="14"/>
        <v>860</v>
      </c>
      <c r="B861" s="468">
        <f>YEAR(Table6[[#This Row],[Date]])+IF(MONTH(Table6[[#This Row],[Date]])&gt;=4,1,0)</f>
        <v>2026</v>
      </c>
      <c r="C861" s="102">
        <f>YEAR(Table6[[#This Row],[Date]])</f>
        <v>2025</v>
      </c>
      <c r="D861" s="102" t="s">
        <v>1992</v>
      </c>
      <c r="E861" s="469">
        <f>Table6[[#This Row],[Date]]-DAY(Table6[[#This Row],[Date]])+1</f>
        <v>45778</v>
      </c>
      <c r="F861" s="470">
        <v>45803</v>
      </c>
      <c r="G861" s="35" t="s">
        <v>75</v>
      </c>
      <c r="H861" s="35" t="str">
        <f>IFERROR(_xlfn.XLOOKUP(Table6[[#This Row],[Affected WTG]],'Basic Data'!$A:$A,'Basic Data'!$B:$B),"")</f>
        <v>TQGXIIPL</v>
      </c>
      <c r="I861" s="35" t="str">
        <f>IFERROR(_xlfn.XLOOKUP(Table6[[#This Row],[Affected WTG]],'Basic Data'!$A:$A,'Basic Data'!$C:$C),"")</f>
        <v>GEDA</v>
      </c>
      <c r="J861" s="471">
        <f>IFERROR(_xlfn.XLOOKUP(Table6[[#This Row],[Affected WTG]],'Basic Data'!$A:$A,'Basic Data'!$E:$E),"")</f>
        <v>3.846153846153845E-2</v>
      </c>
      <c r="K861" s="102">
        <v>565</v>
      </c>
      <c r="L861" s="35" t="str">
        <f>IFERROR(_xlfn.XLOOKUP(Table6[[#This Row],[Error Code]],'Basic Data'!$AA:$AA,'Basic Data'!$AB:$AB),"Incorrect Error Code")</f>
        <v>Max. windspeed bladeangle</v>
      </c>
      <c r="M861" s="35" t="s">
        <v>307</v>
      </c>
      <c r="N861" s="475"/>
      <c r="O861" s="476">
        <v>4.8611111111111112E-3</v>
      </c>
      <c r="P861" s="476">
        <v>6.2500000000000003E-3</v>
      </c>
      <c r="Q861" s="477">
        <v>6.2500000000000003E-3</v>
      </c>
      <c r="R861" s="472">
        <f>IF(Table6[[#This Row],[Work Start TimeStamp]]="","",(Table6[[#This Row],[Work Start TimeStamp]]-Table6[[#This Row],[Fault Start TimeStamp]])*24)</f>
        <v>3.333333333333334E-2</v>
      </c>
      <c r="S861" s="472">
        <f>(Table6[[#This Row],[Fault Clearance time]]-Table6[[#This Row],[Work Start TimeStamp]])*24</f>
        <v>0</v>
      </c>
      <c r="T861" s="472">
        <f>(Table6[[#This Row],[Fault Clearance time]]-Table6[[#This Row],[Fault Start TimeStamp]])*24</f>
        <v>3.333333333333334E-2</v>
      </c>
      <c r="U861" s="35" t="s">
        <v>336</v>
      </c>
      <c r="V861" s="102" t="s">
        <v>293</v>
      </c>
      <c r="W861" s="478">
        <f>IFERROR(Table6[[#This Row],[Breakdown Time]]*Table6[[#This Row],[Plant Equivalent Weightage]],"")</f>
        <v>1.2820512820512818E-3</v>
      </c>
      <c r="X861" s="473" t="s">
        <v>294</v>
      </c>
      <c r="Y861" s="474" t="s">
        <v>318</v>
      </c>
      <c r="Z861" s="102">
        <v>29206</v>
      </c>
      <c r="AA861" s="468">
        <f>(Table6[[#This Row],[Paired WTG Generation for loss calculation]]/24)*Table6[[#This Row],[Breakdown Time]]</f>
        <v>40.563888888888897</v>
      </c>
      <c r="AB861" s="102"/>
      <c r="AC861" s="35"/>
      <c r="AD861" s="35"/>
    </row>
    <row r="862" spans="1:30">
      <c r="A862" s="102">
        <f t="shared" si="14"/>
        <v>861</v>
      </c>
      <c r="B862" s="468">
        <f>YEAR(Table6[[#This Row],[Date]])+IF(MONTH(Table6[[#This Row],[Date]])&gt;=4,1,0)</f>
        <v>2026</v>
      </c>
      <c r="C862" s="102">
        <f>YEAR(Table6[[#This Row],[Date]])</f>
        <v>2025</v>
      </c>
      <c r="D862" s="102" t="s">
        <v>1992</v>
      </c>
      <c r="E862" s="469">
        <f>Table6[[#This Row],[Date]]-DAY(Table6[[#This Row],[Date]])+1</f>
        <v>45778</v>
      </c>
      <c r="F862" s="470">
        <v>45803</v>
      </c>
      <c r="G862" s="35" t="s">
        <v>76</v>
      </c>
      <c r="H862" s="35" t="str">
        <f>IFERROR(_xlfn.XLOOKUP(Table6[[#This Row],[Affected WTG]],'Basic Data'!$A:$A,'Basic Data'!$B:$B),"")</f>
        <v>TQGXIIPL</v>
      </c>
      <c r="I862" s="35" t="str">
        <f>IFERROR(_xlfn.XLOOKUP(Table6[[#This Row],[Affected WTG]],'Basic Data'!$A:$A,'Basic Data'!$C:$C),"")</f>
        <v>GEDA</v>
      </c>
      <c r="J862" s="471">
        <f>IFERROR(_xlfn.XLOOKUP(Table6[[#This Row],[Affected WTG]],'Basic Data'!$A:$A,'Basic Data'!$E:$E),"")</f>
        <v>3.846153846153845E-2</v>
      </c>
      <c r="K862" s="102">
        <v>53</v>
      </c>
      <c r="L862" s="35" t="str">
        <f>IFERROR(_xlfn.XLOOKUP(Table6[[#This Row],[Error Code]],'Basic Data'!$AA:$AA,'Basic Data'!$AB:$AB),"Incorrect Error Code")</f>
        <v>Wind dir.dev. level 1</v>
      </c>
      <c r="M862" s="35" t="s">
        <v>292</v>
      </c>
      <c r="N862" s="475"/>
      <c r="O862" s="476">
        <v>9.7222222222222224E-3</v>
      </c>
      <c r="P862" s="476">
        <v>1.1805555555555555E-2</v>
      </c>
      <c r="Q862" s="477">
        <v>1.1805555555555555E-2</v>
      </c>
      <c r="R862" s="472">
        <f>IF(Table6[[#This Row],[Work Start TimeStamp]]="","",(Table6[[#This Row],[Work Start TimeStamp]]-Table6[[#This Row],[Fault Start TimeStamp]])*24)</f>
        <v>4.9999999999999989E-2</v>
      </c>
      <c r="S862" s="472">
        <f>(Table6[[#This Row],[Fault Clearance time]]-Table6[[#This Row],[Work Start TimeStamp]])*24</f>
        <v>0</v>
      </c>
      <c r="T862" s="472">
        <f>(Table6[[#This Row],[Fault Clearance time]]-Table6[[#This Row],[Fault Start TimeStamp]])*24</f>
        <v>4.9999999999999989E-2</v>
      </c>
      <c r="U862" s="35" t="s">
        <v>336</v>
      </c>
      <c r="V862" s="102" t="s">
        <v>293</v>
      </c>
      <c r="W862" s="478">
        <f>IFERROR(Table6[[#This Row],[Breakdown Time]]*Table6[[#This Row],[Plant Equivalent Weightage]],"")</f>
        <v>1.9230769230769221E-3</v>
      </c>
      <c r="X862" s="473" t="s">
        <v>294</v>
      </c>
      <c r="Y862" s="474" t="s">
        <v>309</v>
      </c>
      <c r="Z862" s="102">
        <v>30386</v>
      </c>
      <c r="AA862" s="468">
        <f>(Table6[[#This Row],[Paired WTG Generation for loss calculation]]/24)*Table6[[#This Row],[Breakdown Time]]</f>
        <v>63.304166666666646</v>
      </c>
      <c r="AB862" s="102"/>
      <c r="AC862" s="35"/>
      <c r="AD862" s="35"/>
    </row>
    <row r="863" spans="1:30">
      <c r="A863" s="102">
        <f t="shared" si="14"/>
        <v>862</v>
      </c>
      <c r="B863" s="468">
        <f>YEAR(Table6[[#This Row],[Date]])+IF(MONTH(Table6[[#This Row],[Date]])&gt;=4,1,0)</f>
        <v>2026</v>
      </c>
      <c r="C863" s="102">
        <f>YEAR(Table6[[#This Row],[Date]])</f>
        <v>2025</v>
      </c>
      <c r="D863" s="102" t="s">
        <v>1992</v>
      </c>
      <c r="E863" s="469">
        <f>Table6[[#This Row],[Date]]-DAY(Table6[[#This Row],[Date]])+1</f>
        <v>45778</v>
      </c>
      <c r="F863" s="470">
        <v>45803</v>
      </c>
      <c r="G863" s="35" t="s">
        <v>76</v>
      </c>
      <c r="H863" s="35" t="str">
        <f>IFERROR(_xlfn.XLOOKUP(Table6[[#This Row],[Affected WTG]],'Basic Data'!$A:$A,'Basic Data'!$B:$B),"")</f>
        <v>TQGXIIPL</v>
      </c>
      <c r="I863" s="35" t="str">
        <f>IFERROR(_xlfn.XLOOKUP(Table6[[#This Row],[Affected WTG]],'Basic Data'!$A:$A,'Basic Data'!$C:$C),"")</f>
        <v>GEDA</v>
      </c>
      <c r="J863" s="471">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291</v>
      </c>
      <c r="N863" s="475"/>
      <c r="O863" s="476">
        <v>3.5416666666666666E-2</v>
      </c>
      <c r="P863" s="476">
        <v>4.2361111111111113E-2</v>
      </c>
      <c r="Q863" s="477">
        <v>4.2361111111111113E-2</v>
      </c>
      <c r="R863" s="472">
        <f>IF(Table6[[#This Row],[Work Start TimeStamp]]="","",(Table6[[#This Row],[Work Start TimeStamp]]-Table6[[#This Row],[Fault Start TimeStamp]])*24)</f>
        <v>0.16666666666666674</v>
      </c>
      <c r="S863" s="472">
        <f>(Table6[[#This Row],[Fault Clearance time]]-Table6[[#This Row],[Work Start TimeStamp]])*24</f>
        <v>0</v>
      </c>
      <c r="T863" s="472">
        <f>(Table6[[#This Row],[Fault Clearance time]]-Table6[[#This Row],[Fault Start TimeStamp]])*24</f>
        <v>0.16666666666666674</v>
      </c>
      <c r="U863" s="35" t="s">
        <v>1858</v>
      </c>
      <c r="V863" s="102" t="s">
        <v>293</v>
      </c>
      <c r="W863" s="478">
        <f>IFERROR(Table6[[#This Row],[Breakdown Time]]*Table6[[#This Row],[Plant Equivalent Weightage]],"")</f>
        <v>6.4102564102564109E-3</v>
      </c>
      <c r="X863" s="473" t="s">
        <v>290</v>
      </c>
      <c r="Y863" s="474" t="s">
        <v>309</v>
      </c>
      <c r="Z863" s="102">
        <v>30386</v>
      </c>
      <c r="AA863" s="468">
        <f>(Table6[[#This Row],[Paired WTG Generation for loss calculation]]/24)*Table6[[#This Row],[Breakdown Time]]</f>
        <v>211.01388888888897</v>
      </c>
      <c r="AB863" s="102"/>
      <c r="AC863" s="35"/>
      <c r="AD863" s="35"/>
    </row>
    <row r="864" spans="1:30">
      <c r="A864" s="102">
        <f t="shared" si="14"/>
        <v>863</v>
      </c>
      <c r="B864" s="468">
        <f>YEAR(Table6[[#This Row],[Date]])+IF(MONTH(Table6[[#This Row],[Date]])&gt;=4,1,0)</f>
        <v>2026</v>
      </c>
      <c r="C864" s="102">
        <f>YEAR(Table6[[#This Row],[Date]])</f>
        <v>2025</v>
      </c>
      <c r="D864" s="102" t="s">
        <v>1992</v>
      </c>
      <c r="E864" s="469">
        <f>Table6[[#This Row],[Date]]-DAY(Table6[[#This Row],[Date]])+1</f>
        <v>45778</v>
      </c>
      <c r="F864" s="470">
        <v>45803</v>
      </c>
      <c r="G864" s="35" t="s">
        <v>77</v>
      </c>
      <c r="H864" s="35" t="str">
        <f>IFERROR(_xlfn.XLOOKUP(Table6[[#This Row],[Affected WTG]],'Basic Data'!$A:$A,'Basic Data'!$B:$B),"")</f>
        <v>TQGXIIPL</v>
      </c>
      <c r="I864" s="35" t="str">
        <f>IFERROR(_xlfn.XLOOKUP(Table6[[#This Row],[Affected WTG]],'Basic Data'!$A:$A,'Basic Data'!$C:$C),"")</f>
        <v>GEDA</v>
      </c>
      <c r="J864" s="471">
        <f>IFERROR(_xlfn.XLOOKUP(Table6[[#This Row],[Affected WTG]],'Basic Data'!$A:$A,'Basic Data'!$E:$E),"")</f>
        <v>3.846153846153845E-2</v>
      </c>
      <c r="K864" s="102">
        <v>3420</v>
      </c>
      <c r="L864" s="35" t="str">
        <f>IFERROR(_xlfn.XLOOKUP(Table6[[#This Row],[Error Code]],'Basic Data'!$AA:$AA,'Basic Data'!$AB:$AB),"Incorrect Error Code")</f>
        <v>UPS buffer time too short</v>
      </c>
      <c r="M864" s="35" t="s">
        <v>291</v>
      </c>
      <c r="N864" s="475"/>
      <c r="O864" s="476">
        <v>3.6111111111111108E-2</v>
      </c>
      <c r="P864" s="476">
        <v>4.2361111111111113E-2</v>
      </c>
      <c r="Q864" s="477">
        <v>4.2361111111111113E-2</v>
      </c>
      <c r="R864" s="472">
        <f>IF(Table6[[#This Row],[Work Start TimeStamp]]="","",(Table6[[#This Row],[Work Start TimeStamp]]-Table6[[#This Row],[Fault Start TimeStamp]])*24)</f>
        <v>0.15000000000000013</v>
      </c>
      <c r="S864" s="472">
        <f>(Table6[[#This Row],[Fault Clearance time]]-Table6[[#This Row],[Work Start TimeStamp]])*24</f>
        <v>0</v>
      </c>
      <c r="T864" s="472">
        <f>(Table6[[#This Row],[Fault Clearance time]]-Table6[[#This Row],[Fault Start TimeStamp]])*24</f>
        <v>0.15000000000000013</v>
      </c>
      <c r="U864" s="35" t="s">
        <v>1858</v>
      </c>
      <c r="V864" s="102" t="s">
        <v>293</v>
      </c>
      <c r="W864" s="478">
        <f>IFERROR(Table6[[#This Row],[Breakdown Time]]*Table6[[#This Row],[Plant Equivalent Weightage]],"")</f>
        <v>5.769230769230773E-3</v>
      </c>
      <c r="X864" s="473" t="s">
        <v>290</v>
      </c>
      <c r="Y864" s="474" t="s">
        <v>310</v>
      </c>
      <c r="Z864" s="102">
        <v>29635</v>
      </c>
      <c r="AA864" s="468">
        <f>(Table6[[#This Row],[Paired WTG Generation for loss calculation]]/24)*Table6[[#This Row],[Breakdown Time]]</f>
        <v>185.21875000000017</v>
      </c>
      <c r="AB864" s="102"/>
      <c r="AC864" s="35"/>
      <c r="AD864" s="35"/>
    </row>
    <row r="865" spans="1:30">
      <c r="A865" s="102">
        <f t="shared" si="14"/>
        <v>864</v>
      </c>
      <c r="B865" s="468">
        <f>YEAR(Table6[[#This Row],[Date]])+IF(MONTH(Table6[[#This Row],[Date]])&gt;=4,1,0)</f>
        <v>2026</v>
      </c>
      <c r="C865" s="102">
        <f>YEAR(Table6[[#This Row],[Date]])</f>
        <v>2025</v>
      </c>
      <c r="D865" s="102" t="s">
        <v>1992</v>
      </c>
      <c r="E865" s="469">
        <f>Table6[[#This Row],[Date]]-DAY(Table6[[#This Row],[Date]])+1</f>
        <v>45778</v>
      </c>
      <c r="F865" s="470">
        <v>45803</v>
      </c>
      <c r="G865" s="35" t="s">
        <v>77</v>
      </c>
      <c r="H865" s="35" t="str">
        <f>IFERROR(_xlfn.XLOOKUP(Table6[[#This Row],[Affected WTG]],'Basic Data'!$A:$A,'Basic Data'!$B:$B),"")</f>
        <v>TQGXIIPL</v>
      </c>
      <c r="I865" s="35" t="str">
        <f>IFERROR(_xlfn.XLOOKUP(Table6[[#This Row],[Affected WTG]],'Basic Data'!$A:$A,'Basic Data'!$C:$C),"")</f>
        <v>GEDA</v>
      </c>
      <c r="J865" s="471">
        <f>IFERROR(_xlfn.XLOOKUP(Table6[[#This Row],[Affected WTG]],'Basic Data'!$A:$A,'Basic Data'!$E:$E),"")</f>
        <v>3.846153846153845E-2</v>
      </c>
      <c r="K865" s="102">
        <v>6130</v>
      </c>
      <c r="L865" s="35" t="str">
        <f>IFERROR(_xlfn.XLOOKUP(Table6[[#This Row],[Error Code]],'Basic Data'!$AA:$AA,'Basic Data'!$AB:$AB),"Incorrect Error Code")</f>
        <v>Yaw speed high</v>
      </c>
      <c r="M865" s="35" t="s">
        <v>292</v>
      </c>
      <c r="N865" s="475"/>
      <c r="O865" s="476">
        <v>0.19583333333333333</v>
      </c>
      <c r="P865" s="476">
        <v>0.2</v>
      </c>
      <c r="Q865" s="477">
        <v>0.2</v>
      </c>
      <c r="R865" s="472">
        <f>IF(Table6[[#This Row],[Work Start TimeStamp]]="","",(Table6[[#This Row],[Work Start TimeStamp]]-Table6[[#This Row],[Fault Start TimeStamp]])*24)</f>
        <v>0.10000000000000031</v>
      </c>
      <c r="S865" s="472">
        <f>(Table6[[#This Row],[Fault Clearance time]]-Table6[[#This Row],[Work Start TimeStamp]])*24</f>
        <v>0</v>
      </c>
      <c r="T865" s="472">
        <f>(Table6[[#This Row],[Fault Clearance time]]-Table6[[#This Row],[Fault Start TimeStamp]])*24</f>
        <v>0.10000000000000031</v>
      </c>
      <c r="U865" s="35" t="s">
        <v>336</v>
      </c>
      <c r="V865" s="102" t="s">
        <v>293</v>
      </c>
      <c r="W865" s="478">
        <f>IFERROR(Table6[[#This Row],[Breakdown Time]]*Table6[[#This Row],[Plant Equivalent Weightage]],"")</f>
        <v>3.8461538461538568E-3</v>
      </c>
      <c r="X865" s="473" t="s">
        <v>294</v>
      </c>
      <c r="Y865" s="474" t="s">
        <v>310</v>
      </c>
      <c r="Z865" s="102">
        <v>29635</v>
      </c>
      <c r="AA865" s="468">
        <f>(Table6[[#This Row],[Paired WTG Generation for loss calculation]]/24)*Table6[[#This Row],[Breakdown Time]]</f>
        <v>123.47916666666706</v>
      </c>
      <c r="AB865" s="102"/>
      <c r="AC865" s="35"/>
      <c r="AD865" s="35"/>
    </row>
    <row r="866" spans="1:30">
      <c r="A866" s="102">
        <f t="shared" si="14"/>
        <v>865</v>
      </c>
      <c r="B866" s="468">
        <f>YEAR(Table6[[#This Row],[Date]])+IF(MONTH(Table6[[#This Row],[Date]])&gt;=4,1,0)</f>
        <v>2026</v>
      </c>
      <c r="C866" s="102">
        <f>YEAR(Table6[[#This Row],[Date]])</f>
        <v>2025</v>
      </c>
      <c r="D866" s="102" t="s">
        <v>1992</v>
      </c>
      <c r="E866" s="469">
        <f>Table6[[#This Row],[Date]]-DAY(Table6[[#This Row],[Date]])+1</f>
        <v>45778</v>
      </c>
      <c r="F866" s="470">
        <v>45803</v>
      </c>
      <c r="G866" s="35" t="s">
        <v>78</v>
      </c>
      <c r="H866" s="35" t="str">
        <f>IFERROR(_xlfn.XLOOKUP(Table6[[#This Row],[Affected WTG]],'Basic Data'!$A:$A,'Basic Data'!$B:$B),"")</f>
        <v>TQGXIIPL</v>
      </c>
      <c r="I866" s="35" t="str">
        <f>IFERROR(_xlfn.XLOOKUP(Table6[[#This Row],[Affected WTG]],'Basic Data'!$A:$A,'Basic Data'!$C:$C),"")</f>
        <v>GEDA</v>
      </c>
      <c r="J866" s="471">
        <f>IFERROR(_xlfn.XLOOKUP(Table6[[#This Row],[Affected WTG]],'Basic Data'!$A:$A,'Basic Data'!$E:$E),"")</f>
        <v>3.846153846153845E-2</v>
      </c>
      <c r="K866" s="102">
        <v>53</v>
      </c>
      <c r="L866" s="35" t="str">
        <f>IFERROR(_xlfn.XLOOKUP(Table6[[#This Row],[Error Code]],'Basic Data'!$AA:$AA,'Basic Data'!$AB:$AB),"Incorrect Error Code")</f>
        <v>Wind dir.dev. level 1</v>
      </c>
      <c r="M866" s="35" t="s">
        <v>292</v>
      </c>
      <c r="N866" s="475"/>
      <c r="O866" s="476">
        <v>1.5972222222222221E-2</v>
      </c>
      <c r="P866" s="476">
        <v>1.7361111111111112E-2</v>
      </c>
      <c r="Q866" s="477">
        <v>1.7361111111111112E-2</v>
      </c>
      <c r="R866" s="472">
        <f>IF(Table6[[#This Row],[Work Start TimeStamp]]="","",(Table6[[#This Row],[Work Start TimeStamp]]-Table6[[#This Row],[Fault Start TimeStamp]])*24)</f>
        <v>3.3333333333333381E-2</v>
      </c>
      <c r="S866" s="472">
        <f>(Table6[[#This Row],[Fault Clearance time]]-Table6[[#This Row],[Work Start TimeStamp]])*24</f>
        <v>0</v>
      </c>
      <c r="T866" s="472">
        <f>(Table6[[#This Row],[Fault Clearance time]]-Table6[[#This Row],[Fault Start TimeStamp]])*24</f>
        <v>3.3333333333333381E-2</v>
      </c>
      <c r="U866" s="35" t="s">
        <v>336</v>
      </c>
      <c r="V866" s="102" t="s">
        <v>293</v>
      </c>
      <c r="W866" s="478">
        <f>IFERROR(Table6[[#This Row],[Breakdown Time]]*Table6[[#This Row],[Plant Equivalent Weightage]],"")</f>
        <v>1.2820512820512836E-3</v>
      </c>
      <c r="X866" s="473" t="s">
        <v>294</v>
      </c>
      <c r="Y866" s="474" t="s">
        <v>333</v>
      </c>
      <c r="Z866" s="102">
        <v>31689</v>
      </c>
      <c r="AA866" s="468">
        <f>(Table6[[#This Row],[Paired WTG Generation for loss calculation]]/24)*Table6[[#This Row],[Breakdown Time]]</f>
        <v>44.012500000000067</v>
      </c>
      <c r="AB866" s="102"/>
      <c r="AC866" s="35"/>
      <c r="AD866" s="35"/>
    </row>
    <row r="867" spans="1:30">
      <c r="A867" s="102">
        <f t="shared" si="14"/>
        <v>866</v>
      </c>
      <c r="B867" s="468">
        <f>YEAR(Table6[[#This Row],[Date]])+IF(MONTH(Table6[[#This Row],[Date]])&gt;=4,1,0)</f>
        <v>2026</v>
      </c>
      <c r="C867" s="102">
        <f>YEAR(Table6[[#This Row],[Date]])</f>
        <v>2025</v>
      </c>
      <c r="D867" s="102" t="s">
        <v>1992</v>
      </c>
      <c r="E867" s="469">
        <f>Table6[[#This Row],[Date]]-DAY(Table6[[#This Row],[Date]])+1</f>
        <v>45778</v>
      </c>
      <c r="F867" s="470">
        <v>45803</v>
      </c>
      <c r="G867" s="35" t="s">
        <v>78</v>
      </c>
      <c r="H867" s="35" t="str">
        <f>IFERROR(_xlfn.XLOOKUP(Table6[[#This Row],[Affected WTG]],'Basic Data'!$A:$A,'Basic Data'!$B:$B),"")</f>
        <v>TQGXIIPL</v>
      </c>
      <c r="I867" s="35" t="str">
        <f>IFERROR(_xlfn.XLOOKUP(Table6[[#This Row],[Affected WTG]],'Basic Data'!$A:$A,'Basic Data'!$C:$C),"")</f>
        <v>GEDA</v>
      </c>
      <c r="J867" s="471">
        <f>IFERROR(_xlfn.XLOOKUP(Table6[[#This Row],[Affected WTG]],'Basic Data'!$A:$A,'Basic Data'!$E:$E),"")</f>
        <v>3.846153846153845E-2</v>
      </c>
      <c r="K867" s="102">
        <v>3420</v>
      </c>
      <c r="L867" s="35" t="str">
        <f>IFERROR(_xlfn.XLOOKUP(Table6[[#This Row],[Error Code]],'Basic Data'!$AA:$AA,'Basic Data'!$AB:$AB),"Incorrect Error Code")</f>
        <v>UPS buffer time too short</v>
      </c>
      <c r="M867" s="35" t="s">
        <v>291</v>
      </c>
      <c r="N867" s="475"/>
      <c r="O867" s="476">
        <v>3.5416666666666666E-2</v>
      </c>
      <c r="P867" s="476">
        <v>5.6250000000000001E-2</v>
      </c>
      <c r="Q867" s="477">
        <v>5.6250000000000001E-2</v>
      </c>
      <c r="R867" s="472">
        <f>IF(Table6[[#This Row],[Work Start TimeStamp]]="","",(Table6[[#This Row],[Work Start TimeStamp]]-Table6[[#This Row],[Fault Start TimeStamp]])*24)</f>
        <v>0.5</v>
      </c>
      <c r="S867" s="472">
        <f>(Table6[[#This Row],[Fault Clearance time]]-Table6[[#This Row],[Work Start TimeStamp]])*24</f>
        <v>0</v>
      </c>
      <c r="T867" s="472">
        <f>(Table6[[#This Row],[Fault Clearance time]]-Table6[[#This Row],[Fault Start TimeStamp]])*24</f>
        <v>0.5</v>
      </c>
      <c r="U867" s="35" t="s">
        <v>1858</v>
      </c>
      <c r="V867" s="102" t="s">
        <v>293</v>
      </c>
      <c r="W867" s="478">
        <f>IFERROR(Table6[[#This Row],[Breakdown Time]]*Table6[[#This Row],[Plant Equivalent Weightage]],"")</f>
        <v>1.9230769230769225E-2</v>
      </c>
      <c r="X867" s="473" t="s">
        <v>290</v>
      </c>
      <c r="Y867" s="474" t="s">
        <v>333</v>
      </c>
      <c r="Z867" s="102">
        <v>31689</v>
      </c>
      <c r="AA867" s="468">
        <f>(Table6[[#This Row],[Paired WTG Generation for loss calculation]]/24)*Table6[[#This Row],[Breakdown Time]]</f>
        <v>660.1875</v>
      </c>
      <c r="AB867" s="102"/>
      <c r="AC867" s="35"/>
      <c r="AD867" s="35"/>
    </row>
    <row r="868" spans="1:30">
      <c r="A868" s="102">
        <f t="shared" si="14"/>
        <v>867</v>
      </c>
      <c r="B868" s="468">
        <f>YEAR(Table6[[#This Row],[Date]])+IF(MONTH(Table6[[#This Row],[Date]])&gt;=4,1,0)</f>
        <v>2026</v>
      </c>
      <c r="C868" s="102">
        <f>YEAR(Table6[[#This Row],[Date]])</f>
        <v>2025</v>
      </c>
      <c r="D868" s="102" t="s">
        <v>1992</v>
      </c>
      <c r="E868" s="469">
        <f>Table6[[#This Row],[Date]]-DAY(Table6[[#This Row],[Date]])+1</f>
        <v>45778</v>
      </c>
      <c r="F868" s="470">
        <v>45803</v>
      </c>
      <c r="G868" s="35" t="s">
        <v>78</v>
      </c>
      <c r="H868" s="35" t="str">
        <f>IFERROR(_xlfn.XLOOKUP(Table6[[#This Row],[Affected WTG]],'Basic Data'!$A:$A,'Basic Data'!$B:$B),"")</f>
        <v>TQGXIIPL</v>
      </c>
      <c r="I868" s="35" t="str">
        <f>IFERROR(_xlfn.XLOOKUP(Table6[[#This Row],[Affected WTG]],'Basic Data'!$A:$A,'Basic Data'!$C:$C),"")</f>
        <v>GEDA</v>
      </c>
      <c r="J868" s="471">
        <f>IFERROR(_xlfn.XLOOKUP(Table6[[#This Row],[Affected WTG]],'Basic Data'!$A:$A,'Basic Data'!$E:$E),"")</f>
        <v>3.846153846153845E-2</v>
      </c>
      <c r="K868" s="102">
        <v>3110</v>
      </c>
      <c r="L868" s="35" t="str">
        <f>IFERROR(_xlfn.XLOOKUP(Table6[[#This Row],[Error Code]],'Basic Data'!$AA:$AA,'Basic Data'!$AB:$AB),"Incorrect Error Code")</f>
        <v>Frequency converter error</v>
      </c>
      <c r="M868" s="35" t="s">
        <v>291</v>
      </c>
      <c r="N868" s="475"/>
      <c r="O868" s="476">
        <v>6.5972222222222224E-2</v>
      </c>
      <c r="P868" s="476">
        <v>0.1111111111111111</v>
      </c>
      <c r="Q868" s="477">
        <v>0.1111111111111111</v>
      </c>
      <c r="R868" s="472">
        <f>IF(Table6[[#This Row],[Work Start TimeStamp]]="","",(Table6[[#This Row],[Work Start TimeStamp]]-Table6[[#This Row],[Fault Start TimeStamp]])*24)</f>
        <v>1.083333333333333</v>
      </c>
      <c r="S868" s="472">
        <f>(Table6[[#This Row],[Fault Clearance time]]-Table6[[#This Row],[Work Start TimeStamp]])*24</f>
        <v>0</v>
      </c>
      <c r="T868" s="472">
        <f>(Table6[[#This Row],[Fault Clearance time]]-Table6[[#This Row],[Fault Start TimeStamp]])*24</f>
        <v>1.083333333333333</v>
      </c>
      <c r="U868" s="35" t="s">
        <v>1858</v>
      </c>
      <c r="V868" s="102" t="s">
        <v>293</v>
      </c>
      <c r="W868" s="478">
        <f>IFERROR(Table6[[#This Row],[Breakdown Time]]*Table6[[#This Row],[Plant Equivalent Weightage]],"")</f>
        <v>4.1666666666666644E-2</v>
      </c>
      <c r="X868" s="473" t="s">
        <v>290</v>
      </c>
      <c r="Y868" s="474" t="s">
        <v>333</v>
      </c>
      <c r="Z868" s="102">
        <v>31689</v>
      </c>
      <c r="AA868" s="468">
        <f>(Table6[[#This Row],[Paired WTG Generation for loss calculation]]/24)*Table6[[#This Row],[Breakdown Time]]</f>
        <v>1430.4062499999995</v>
      </c>
      <c r="AB868" s="102"/>
      <c r="AC868" s="35"/>
      <c r="AD868" s="35"/>
    </row>
    <row r="869" spans="1:30">
      <c r="A869" s="102">
        <f t="shared" si="14"/>
        <v>868</v>
      </c>
      <c r="B869" s="468">
        <f>YEAR(Table6[[#This Row],[Date]])+IF(MONTH(Table6[[#This Row],[Date]])&gt;=4,1,0)</f>
        <v>2026</v>
      </c>
      <c r="C869" s="102">
        <f>YEAR(Table6[[#This Row],[Date]])</f>
        <v>2025</v>
      </c>
      <c r="D869" s="102" t="s">
        <v>1992</v>
      </c>
      <c r="E869" s="469">
        <f>Table6[[#This Row],[Date]]-DAY(Table6[[#This Row],[Date]])+1</f>
        <v>45778</v>
      </c>
      <c r="F869" s="470">
        <v>45803</v>
      </c>
      <c r="G869" s="35" t="s">
        <v>78</v>
      </c>
      <c r="H869" s="35" t="str">
        <f>IFERROR(_xlfn.XLOOKUP(Table6[[#This Row],[Affected WTG]],'Basic Data'!$A:$A,'Basic Data'!$B:$B),"")</f>
        <v>TQGXIIPL</v>
      </c>
      <c r="I869" s="35" t="str">
        <f>IFERROR(_xlfn.XLOOKUP(Table6[[#This Row],[Affected WTG]],'Basic Data'!$A:$A,'Basic Data'!$C:$C),"")</f>
        <v>GEDA</v>
      </c>
      <c r="J869" s="471">
        <f>IFERROR(_xlfn.XLOOKUP(Table6[[#This Row],[Affected WTG]],'Basic Data'!$A:$A,'Basic Data'!$E:$E),"")</f>
        <v>3.846153846153845E-2</v>
      </c>
      <c r="K869" s="102">
        <v>2521</v>
      </c>
      <c r="L869" s="35" t="str">
        <f>IFERROR(_xlfn.XLOOKUP(Table6[[#This Row],[Error Code]],'Basic Data'!$AA:$AA,'Basic Data'!$AB:$AB),"Incorrect Error Code")</f>
        <v>Gen.sp.analog &lt;&lt;&gt;&gt; gearb.sp.</v>
      </c>
      <c r="M869" s="35" t="s">
        <v>291</v>
      </c>
      <c r="N869" s="475"/>
      <c r="O869" s="476">
        <v>0.59305555555555556</v>
      </c>
      <c r="P869" s="476">
        <v>0.59861111111111109</v>
      </c>
      <c r="Q869" s="477">
        <v>0.59861111111111109</v>
      </c>
      <c r="R869" s="472">
        <f>IF(Table6[[#This Row],[Work Start TimeStamp]]="","",(Table6[[#This Row],[Work Start TimeStamp]]-Table6[[#This Row],[Fault Start TimeStamp]])*24)</f>
        <v>0.13333333333333286</v>
      </c>
      <c r="S869" s="472">
        <f>(Table6[[#This Row],[Fault Clearance time]]-Table6[[#This Row],[Work Start TimeStamp]])*24</f>
        <v>0</v>
      </c>
      <c r="T869" s="472">
        <f>(Table6[[#This Row],[Fault Clearance time]]-Table6[[#This Row],[Fault Start TimeStamp]])*24</f>
        <v>0.13333333333333286</v>
      </c>
      <c r="U869" s="35" t="s">
        <v>344</v>
      </c>
      <c r="V869" s="102" t="s">
        <v>293</v>
      </c>
      <c r="W869" s="478">
        <f>IFERROR(Table6[[#This Row],[Breakdown Time]]*Table6[[#This Row],[Plant Equivalent Weightage]],"")</f>
        <v>5.1282051282051083E-3</v>
      </c>
      <c r="X869" s="473" t="s">
        <v>290</v>
      </c>
      <c r="Y869" s="474" t="s">
        <v>333</v>
      </c>
      <c r="Z869" s="102">
        <v>31689</v>
      </c>
      <c r="AA869" s="468">
        <f>(Table6[[#This Row],[Paired WTG Generation for loss calculation]]/24)*Table6[[#This Row],[Breakdown Time]]</f>
        <v>176.04999999999939</v>
      </c>
      <c r="AB869" s="102"/>
      <c r="AC869" s="35"/>
      <c r="AD869" s="35"/>
    </row>
    <row r="870" spans="1:30">
      <c r="A870" s="102">
        <f t="shared" si="14"/>
        <v>869</v>
      </c>
      <c r="B870" s="468">
        <f>YEAR(Table6[[#This Row],[Date]])+IF(MONTH(Table6[[#This Row],[Date]])&gt;=4,1,0)</f>
        <v>2026</v>
      </c>
      <c r="C870" s="102">
        <f>YEAR(Table6[[#This Row],[Date]])</f>
        <v>2025</v>
      </c>
      <c r="D870" s="102" t="s">
        <v>1992</v>
      </c>
      <c r="E870" s="469">
        <f>Table6[[#This Row],[Date]]-DAY(Table6[[#This Row],[Date]])+1</f>
        <v>45778</v>
      </c>
      <c r="F870" s="470">
        <v>45803</v>
      </c>
      <c r="G870" s="35" t="s">
        <v>81</v>
      </c>
      <c r="H870" s="35" t="str">
        <f>IFERROR(_xlfn.XLOOKUP(Table6[[#This Row],[Affected WTG]],'Basic Data'!$A:$A,'Basic Data'!$B:$B),"")</f>
        <v>TQGXIIPL</v>
      </c>
      <c r="I870" s="35" t="str">
        <f>IFERROR(_xlfn.XLOOKUP(Table6[[#This Row],[Affected WTG]],'Basic Data'!$A:$A,'Basic Data'!$C:$C),"")</f>
        <v>GEDA</v>
      </c>
      <c r="J870" s="471">
        <f>IFERROR(_xlfn.XLOOKUP(Table6[[#This Row],[Affected WTG]],'Basic Data'!$A:$A,'Basic Data'!$E:$E),"")</f>
        <v>3.846153846153845E-2</v>
      </c>
      <c r="K870" s="102">
        <v>58</v>
      </c>
      <c r="L870" s="35" t="str">
        <f>IFERROR(_xlfn.XLOOKUP(Table6[[#This Row],[Error Code]],'Basic Data'!$AA:$AA,'Basic Data'!$AB:$AB),"Incorrect Error Code")</f>
        <v>Wind dir.dev. level 2</v>
      </c>
      <c r="M870" s="35" t="s">
        <v>292</v>
      </c>
      <c r="N870" s="475"/>
      <c r="O870" s="476">
        <v>6.2500000000000003E-3</v>
      </c>
      <c r="P870" s="476">
        <v>8.3333333333333332E-3</v>
      </c>
      <c r="Q870" s="477">
        <v>8.3333333333333332E-3</v>
      </c>
      <c r="R870" s="472">
        <f>IF(Table6[[#This Row],[Work Start TimeStamp]]="","",(Table6[[#This Row],[Work Start TimeStamp]]-Table6[[#This Row],[Fault Start TimeStamp]])*24)</f>
        <v>4.9999999999999989E-2</v>
      </c>
      <c r="S870" s="472">
        <f>(Table6[[#This Row],[Fault Clearance time]]-Table6[[#This Row],[Work Start TimeStamp]])*24</f>
        <v>0</v>
      </c>
      <c r="T870" s="472">
        <f>(Table6[[#This Row],[Fault Clearance time]]-Table6[[#This Row],[Fault Start TimeStamp]])*24</f>
        <v>4.9999999999999989E-2</v>
      </c>
      <c r="U870" s="35" t="s">
        <v>336</v>
      </c>
      <c r="V870" s="102" t="s">
        <v>293</v>
      </c>
      <c r="W870" s="478">
        <f>IFERROR(Table6[[#This Row],[Breakdown Time]]*Table6[[#This Row],[Plant Equivalent Weightage]],"")</f>
        <v>1.9230769230769221E-3</v>
      </c>
      <c r="X870" s="473" t="s">
        <v>294</v>
      </c>
      <c r="Y870" s="474" t="s">
        <v>321</v>
      </c>
      <c r="Z870" s="102">
        <v>29985</v>
      </c>
      <c r="AA870" s="468">
        <f>(Table6[[#This Row],[Paired WTG Generation for loss calculation]]/24)*Table6[[#This Row],[Breakdown Time]]</f>
        <v>62.468749999999986</v>
      </c>
      <c r="AB870" s="102"/>
      <c r="AC870" s="35"/>
      <c r="AD870" s="35"/>
    </row>
    <row r="871" spans="1:30">
      <c r="A871" s="102">
        <f t="shared" si="14"/>
        <v>870</v>
      </c>
      <c r="B871" s="468">
        <f>YEAR(Table6[[#This Row],[Date]])+IF(MONTH(Table6[[#This Row],[Date]])&gt;=4,1,0)</f>
        <v>2026</v>
      </c>
      <c r="C871" s="102">
        <f>YEAR(Table6[[#This Row],[Date]])</f>
        <v>2025</v>
      </c>
      <c r="D871" s="102" t="s">
        <v>1992</v>
      </c>
      <c r="E871" s="469">
        <f>Table6[[#This Row],[Date]]-DAY(Table6[[#This Row],[Date]])+1</f>
        <v>45778</v>
      </c>
      <c r="F871" s="470">
        <v>45803</v>
      </c>
      <c r="G871" s="35" t="s">
        <v>81</v>
      </c>
      <c r="H871" s="35" t="str">
        <f>IFERROR(_xlfn.XLOOKUP(Table6[[#This Row],[Affected WTG]],'Basic Data'!$A:$A,'Basic Data'!$B:$B),"")</f>
        <v>TQGXIIPL</v>
      </c>
      <c r="I871" s="35" t="str">
        <f>IFERROR(_xlfn.XLOOKUP(Table6[[#This Row],[Affected WTG]],'Basic Data'!$A:$A,'Basic Data'!$C:$C),"")</f>
        <v>GEDA</v>
      </c>
      <c r="J871" s="471">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291</v>
      </c>
      <c r="N871" s="475"/>
      <c r="O871" s="476">
        <v>3.5416666666666666E-2</v>
      </c>
      <c r="P871" s="476">
        <v>4.5138888888888888E-2</v>
      </c>
      <c r="Q871" s="477">
        <v>4.5138888888888888E-2</v>
      </c>
      <c r="R871" s="472">
        <f>IF(Table6[[#This Row],[Work Start TimeStamp]]="","",(Table6[[#This Row],[Work Start TimeStamp]]-Table6[[#This Row],[Fault Start TimeStamp]])*24)</f>
        <v>0.23333333333333334</v>
      </c>
      <c r="S871" s="472">
        <f>(Table6[[#This Row],[Fault Clearance time]]-Table6[[#This Row],[Work Start TimeStamp]])*24</f>
        <v>0</v>
      </c>
      <c r="T871" s="472">
        <f>(Table6[[#This Row],[Fault Clearance time]]-Table6[[#This Row],[Fault Start TimeStamp]])*24</f>
        <v>0.23333333333333334</v>
      </c>
      <c r="U871" s="35" t="s">
        <v>1858</v>
      </c>
      <c r="V871" s="102" t="s">
        <v>293</v>
      </c>
      <c r="W871" s="478">
        <f>IFERROR(Table6[[#This Row],[Breakdown Time]]*Table6[[#This Row],[Plant Equivalent Weightage]],"")</f>
        <v>8.974358974358972E-3</v>
      </c>
      <c r="X871" s="473" t="s">
        <v>290</v>
      </c>
      <c r="Y871" s="474" t="s">
        <v>321</v>
      </c>
      <c r="Z871" s="102">
        <v>29985</v>
      </c>
      <c r="AA871" s="468">
        <f>(Table6[[#This Row],[Paired WTG Generation for loss calculation]]/24)*Table6[[#This Row],[Breakdown Time]]</f>
        <v>291.52083333333331</v>
      </c>
      <c r="AB871" s="102"/>
      <c r="AC871" s="35"/>
      <c r="AD871" s="35"/>
    </row>
    <row r="872" spans="1:30">
      <c r="A872" s="102">
        <f t="shared" si="14"/>
        <v>871</v>
      </c>
      <c r="B872" s="468">
        <f>YEAR(Table6[[#This Row],[Date]])+IF(MONTH(Table6[[#This Row],[Date]])&gt;=4,1,0)</f>
        <v>2026</v>
      </c>
      <c r="C872" s="102">
        <f>YEAR(Table6[[#This Row],[Date]])</f>
        <v>2025</v>
      </c>
      <c r="D872" s="102" t="s">
        <v>1992</v>
      </c>
      <c r="E872" s="469">
        <f>Table6[[#This Row],[Date]]-DAY(Table6[[#This Row],[Date]])+1</f>
        <v>45778</v>
      </c>
      <c r="F872" s="470">
        <v>45803</v>
      </c>
      <c r="G872" s="35" t="s">
        <v>81</v>
      </c>
      <c r="H872" s="35" t="str">
        <f>IFERROR(_xlfn.XLOOKUP(Table6[[#This Row],[Affected WTG]],'Basic Data'!$A:$A,'Basic Data'!$B:$B),"")</f>
        <v>TQGXIIPL</v>
      </c>
      <c r="I872" s="35" t="str">
        <f>IFERROR(_xlfn.XLOOKUP(Table6[[#This Row],[Affected WTG]],'Basic Data'!$A:$A,'Basic Data'!$C:$C),"")</f>
        <v>GEDA</v>
      </c>
      <c r="J872" s="471">
        <f>IFERROR(_xlfn.XLOOKUP(Table6[[#This Row],[Affected WTG]],'Basic Data'!$A:$A,'Basic Data'!$E:$E),"")</f>
        <v>3.846153846153845E-2</v>
      </c>
      <c r="K872" s="102">
        <v>55</v>
      </c>
      <c r="L872" s="35" t="str">
        <f>IFERROR(_xlfn.XLOOKUP(Table6[[#This Row],[Error Code]],'Basic Data'!$AA:$AA,'Basic Data'!$AB:$AB),"Incorrect Error Code")</f>
        <v>WTG shut down</v>
      </c>
      <c r="M872" s="35" t="s">
        <v>330</v>
      </c>
      <c r="N872" s="475"/>
      <c r="O872" s="476">
        <v>0.17777777777777778</v>
      </c>
      <c r="P872" s="476">
        <v>0.21111111111111111</v>
      </c>
      <c r="Q872" s="477">
        <v>0.21111111111111111</v>
      </c>
      <c r="R872" s="472">
        <f>IF(Table6[[#This Row],[Work Start TimeStamp]]="","",(Table6[[#This Row],[Work Start TimeStamp]]-Table6[[#This Row],[Fault Start TimeStamp]])*24)</f>
        <v>0.79999999999999982</v>
      </c>
      <c r="S872" s="472">
        <f>(Table6[[#This Row],[Fault Clearance time]]-Table6[[#This Row],[Work Start TimeStamp]])*24</f>
        <v>0</v>
      </c>
      <c r="T872" s="472">
        <f>(Table6[[#This Row],[Fault Clearance time]]-Table6[[#This Row],[Fault Start TimeStamp]])*24</f>
        <v>0.79999999999999982</v>
      </c>
      <c r="U872" s="35" t="s">
        <v>1744</v>
      </c>
      <c r="V872" s="102" t="s">
        <v>293</v>
      </c>
      <c r="W872" s="478">
        <f>IFERROR(Table6[[#This Row],[Breakdown Time]]*Table6[[#This Row],[Plant Equivalent Weightage]],"")</f>
        <v>3.0769230769230754E-2</v>
      </c>
      <c r="X872" s="473" t="s">
        <v>294</v>
      </c>
      <c r="Y872" s="474" t="s">
        <v>321</v>
      </c>
      <c r="Z872" s="102">
        <v>29985</v>
      </c>
      <c r="AA872" s="468">
        <f>(Table6[[#This Row],[Paired WTG Generation for loss calculation]]/24)*Table6[[#This Row],[Breakdown Time]]</f>
        <v>999.49999999999977</v>
      </c>
      <c r="AB872" s="102"/>
      <c r="AC872" s="35"/>
      <c r="AD872" s="35"/>
    </row>
    <row r="873" spans="1:30">
      <c r="A873" s="102">
        <f t="shared" si="14"/>
        <v>872</v>
      </c>
      <c r="B873" s="468">
        <f>YEAR(Table6[[#This Row],[Date]])+IF(MONTH(Table6[[#This Row],[Date]])&gt;=4,1,0)</f>
        <v>2026</v>
      </c>
      <c r="C873" s="102">
        <f>YEAR(Table6[[#This Row],[Date]])</f>
        <v>2025</v>
      </c>
      <c r="D873" s="102" t="s">
        <v>1992</v>
      </c>
      <c r="E873" s="469">
        <f>Table6[[#This Row],[Date]]-DAY(Table6[[#This Row],[Date]])+1</f>
        <v>45778</v>
      </c>
      <c r="F873" s="470">
        <v>45803</v>
      </c>
      <c r="G873" s="35" t="s">
        <v>81</v>
      </c>
      <c r="H873" s="35" t="str">
        <f>IFERROR(_xlfn.XLOOKUP(Table6[[#This Row],[Affected WTG]],'Basic Data'!$A:$A,'Basic Data'!$B:$B),"")</f>
        <v>TQGXIIPL</v>
      </c>
      <c r="I873" s="35" t="str">
        <f>IFERROR(_xlfn.XLOOKUP(Table6[[#This Row],[Affected WTG]],'Basic Data'!$A:$A,'Basic Data'!$C:$C),"")</f>
        <v>GEDA</v>
      </c>
      <c r="J873" s="471">
        <f>IFERROR(_xlfn.XLOOKUP(Table6[[#This Row],[Affected WTG]],'Basic Data'!$A:$A,'Basic Data'!$E:$E),"")</f>
        <v>3.846153846153845E-2</v>
      </c>
      <c r="K873" s="102">
        <v>55</v>
      </c>
      <c r="L873" s="35" t="str">
        <f>IFERROR(_xlfn.XLOOKUP(Table6[[#This Row],[Error Code]],'Basic Data'!$AA:$AA,'Basic Data'!$AB:$AB),"Incorrect Error Code")</f>
        <v>WTG shut down</v>
      </c>
      <c r="M873" s="35" t="s">
        <v>330</v>
      </c>
      <c r="N873" s="475"/>
      <c r="O873" s="476">
        <v>0.21805555555555556</v>
      </c>
      <c r="P873" s="476">
        <v>0.25694444444444442</v>
      </c>
      <c r="Q873" s="477">
        <v>0.25694444444444442</v>
      </c>
      <c r="R873" s="472">
        <f>IF(Table6[[#This Row],[Work Start TimeStamp]]="","",(Table6[[#This Row],[Work Start TimeStamp]]-Table6[[#This Row],[Fault Start TimeStamp]])*24)</f>
        <v>0.93333333333333268</v>
      </c>
      <c r="S873" s="472">
        <f>(Table6[[#This Row],[Fault Clearance time]]-Table6[[#This Row],[Work Start TimeStamp]])*24</f>
        <v>0</v>
      </c>
      <c r="T873" s="472">
        <f>(Table6[[#This Row],[Fault Clearance time]]-Table6[[#This Row],[Fault Start TimeStamp]])*24</f>
        <v>0.93333333333333268</v>
      </c>
      <c r="U873" s="35" t="s">
        <v>1744</v>
      </c>
      <c r="V873" s="102" t="s">
        <v>293</v>
      </c>
      <c r="W873" s="478">
        <f>IFERROR(Table6[[#This Row],[Breakdown Time]]*Table6[[#This Row],[Plant Equivalent Weightage]],"")</f>
        <v>3.589743589743586E-2</v>
      </c>
      <c r="X873" s="473" t="s">
        <v>294</v>
      </c>
      <c r="Y873" s="474" t="s">
        <v>321</v>
      </c>
      <c r="Z873" s="102">
        <v>29985</v>
      </c>
      <c r="AA873" s="468">
        <f>(Table6[[#This Row],[Paired WTG Generation for loss calculation]]/24)*Table6[[#This Row],[Breakdown Time]]</f>
        <v>1166.0833333333326</v>
      </c>
      <c r="AB873" s="102"/>
      <c r="AC873" s="35"/>
      <c r="AD873" s="35"/>
    </row>
    <row r="874" spans="1:30">
      <c r="A874" s="102">
        <f t="shared" si="14"/>
        <v>873</v>
      </c>
      <c r="B874" s="468">
        <f>YEAR(Table6[[#This Row],[Date]])+IF(MONTH(Table6[[#This Row],[Date]])&gt;=4,1,0)</f>
        <v>2026</v>
      </c>
      <c r="C874" s="102">
        <f>YEAR(Table6[[#This Row],[Date]])</f>
        <v>2025</v>
      </c>
      <c r="D874" s="102" t="s">
        <v>1992</v>
      </c>
      <c r="E874" s="469">
        <f>Table6[[#This Row],[Date]]-DAY(Table6[[#This Row],[Date]])+1</f>
        <v>45778</v>
      </c>
      <c r="F874" s="470">
        <v>45803</v>
      </c>
      <c r="G874" s="35" t="s">
        <v>81</v>
      </c>
      <c r="H874" s="35" t="str">
        <f>IFERROR(_xlfn.XLOOKUP(Table6[[#This Row],[Affected WTG]],'Basic Data'!$A:$A,'Basic Data'!$B:$B),"")</f>
        <v>TQGXIIPL</v>
      </c>
      <c r="I874" s="35" t="str">
        <f>IFERROR(_xlfn.XLOOKUP(Table6[[#This Row],[Affected WTG]],'Basic Data'!$A:$A,'Basic Data'!$C:$C),"")</f>
        <v>GEDA</v>
      </c>
      <c r="J874" s="471">
        <f>IFERROR(_xlfn.XLOOKUP(Table6[[#This Row],[Affected WTG]],'Basic Data'!$A:$A,'Basic Data'!$E:$E),"")</f>
        <v>3.846153846153845E-2</v>
      </c>
      <c r="K874" s="102">
        <v>55</v>
      </c>
      <c r="L874" s="35" t="str">
        <f>IFERROR(_xlfn.XLOOKUP(Table6[[#This Row],[Error Code]],'Basic Data'!$AA:$AA,'Basic Data'!$AB:$AB),"Incorrect Error Code")</f>
        <v>WTG shut down</v>
      </c>
      <c r="M874" s="35" t="s">
        <v>330</v>
      </c>
      <c r="N874" s="475"/>
      <c r="O874" s="476">
        <v>0.99097222222222225</v>
      </c>
      <c r="P874" s="476">
        <v>1</v>
      </c>
      <c r="Q874" s="477">
        <v>1</v>
      </c>
      <c r="R874" s="472">
        <f>IF(Table6[[#This Row],[Work Start TimeStamp]]="","",(Table6[[#This Row],[Work Start TimeStamp]]-Table6[[#This Row],[Fault Start TimeStamp]])*24)</f>
        <v>0.2166666666666659</v>
      </c>
      <c r="S874" s="472">
        <f>(Table6[[#This Row],[Fault Clearance time]]-Table6[[#This Row],[Work Start TimeStamp]])*24</f>
        <v>0</v>
      </c>
      <c r="T874" s="472">
        <f>(Table6[[#This Row],[Fault Clearance time]]-Table6[[#This Row],[Fault Start TimeStamp]])*24</f>
        <v>0.2166666666666659</v>
      </c>
      <c r="U874" s="35" t="s">
        <v>1744</v>
      </c>
      <c r="V874" s="102" t="s">
        <v>293</v>
      </c>
      <c r="W874" s="478">
        <f>IFERROR(Table6[[#This Row],[Breakdown Time]]*Table6[[#This Row],[Plant Equivalent Weightage]],"")</f>
        <v>8.333333333333302E-3</v>
      </c>
      <c r="X874" s="473" t="s">
        <v>294</v>
      </c>
      <c r="Y874" s="474" t="s">
        <v>321</v>
      </c>
      <c r="Z874" s="102">
        <v>29985</v>
      </c>
      <c r="AA874" s="468">
        <f>(Table6[[#This Row],[Paired WTG Generation for loss calculation]]/24)*Table6[[#This Row],[Breakdown Time]]</f>
        <v>270.69791666666572</v>
      </c>
      <c r="AB874" s="102"/>
      <c r="AC874" s="35"/>
      <c r="AD874" s="35"/>
    </row>
    <row r="875" spans="1:30">
      <c r="A875" s="102">
        <f t="shared" si="14"/>
        <v>874</v>
      </c>
      <c r="B875" s="468">
        <f>YEAR(Table6[[#This Row],[Date]])+IF(MONTH(Table6[[#This Row],[Date]])&gt;=4,1,0)</f>
        <v>2026</v>
      </c>
      <c r="C875" s="102">
        <f>YEAR(Table6[[#This Row],[Date]])</f>
        <v>2025</v>
      </c>
      <c r="D875" s="102" t="s">
        <v>1992</v>
      </c>
      <c r="E875" s="469">
        <f>Table6[[#This Row],[Date]]-DAY(Table6[[#This Row],[Date]])+1</f>
        <v>45778</v>
      </c>
      <c r="F875" s="470">
        <v>45803</v>
      </c>
      <c r="G875" s="35" t="s">
        <v>82</v>
      </c>
      <c r="H875" s="35" t="str">
        <f>IFERROR(_xlfn.XLOOKUP(Table6[[#This Row],[Affected WTG]],'Basic Data'!$A:$A,'Basic Data'!$B:$B),"")</f>
        <v>TQGXIIPL</v>
      </c>
      <c r="I875" s="35" t="str">
        <f>IFERROR(_xlfn.XLOOKUP(Table6[[#This Row],[Affected WTG]],'Basic Data'!$A:$A,'Basic Data'!$C:$C),"")</f>
        <v>GEDA</v>
      </c>
      <c r="J875" s="471">
        <f>IFERROR(_xlfn.XLOOKUP(Table6[[#This Row],[Affected WTG]],'Basic Data'!$A:$A,'Basic Data'!$E:$E),"")</f>
        <v>3.846153846153845E-2</v>
      </c>
      <c r="K875" s="102">
        <v>58</v>
      </c>
      <c r="L875" s="35" t="str">
        <f>IFERROR(_xlfn.XLOOKUP(Table6[[#This Row],[Error Code]],'Basic Data'!$AA:$AA,'Basic Data'!$AB:$AB),"Incorrect Error Code")</f>
        <v>Wind dir.dev. level 2</v>
      </c>
      <c r="M875" s="35" t="s">
        <v>292</v>
      </c>
      <c r="N875" s="475"/>
      <c r="O875" s="476">
        <v>8.3333333333333332E-3</v>
      </c>
      <c r="P875" s="476">
        <v>1.0416666666666666E-2</v>
      </c>
      <c r="Q875" s="477">
        <v>1.0416666666666666E-2</v>
      </c>
      <c r="R875" s="472">
        <f>IF(Table6[[#This Row],[Work Start TimeStamp]]="","",(Table6[[#This Row],[Work Start TimeStamp]]-Table6[[#This Row],[Fault Start TimeStamp]])*24)</f>
        <v>4.9999999999999989E-2</v>
      </c>
      <c r="S875" s="472">
        <f>(Table6[[#This Row],[Fault Clearance time]]-Table6[[#This Row],[Work Start TimeStamp]])*24</f>
        <v>0</v>
      </c>
      <c r="T875" s="472">
        <f>(Table6[[#This Row],[Fault Clearance time]]-Table6[[#This Row],[Fault Start TimeStamp]])*24</f>
        <v>4.9999999999999989E-2</v>
      </c>
      <c r="U875" s="35" t="s">
        <v>336</v>
      </c>
      <c r="V875" s="102" t="s">
        <v>293</v>
      </c>
      <c r="W875" s="478">
        <f>IFERROR(Table6[[#This Row],[Breakdown Time]]*Table6[[#This Row],[Plant Equivalent Weightage]],"")</f>
        <v>1.9230769230769221E-3</v>
      </c>
      <c r="X875" s="473" t="s">
        <v>294</v>
      </c>
      <c r="Y875" s="474" t="s">
        <v>332</v>
      </c>
      <c r="Z875" s="102">
        <v>28918</v>
      </c>
      <c r="AA875" s="468">
        <f>(Table6[[#This Row],[Paired WTG Generation for loss calculation]]/24)*Table6[[#This Row],[Breakdown Time]]</f>
        <v>60.245833333333323</v>
      </c>
      <c r="AB875" s="102"/>
      <c r="AC875" s="35"/>
      <c r="AD875" s="35"/>
    </row>
    <row r="876" spans="1:30">
      <c r="A876" s="102">
        <f t="shared" si="14"/>
        <v>875</v>
      </c>
      <c r="B876" s="468">
        <f>YEAR(Table6[[#This Row],[Date]])+IF(MONTH(Table6[[#This Row],[Date]])&gt;=4,1,0)</f>
        <v>2026</v>
      </c>
      <c r="C876" s="102">
        <f>YEAR(Table6[[#This Row],[Date]])</f>
        <v>2025</v>
      </c>
      <c r="D876" s="102" t="s">
        <v>1992</v>
      </c>
      <c r="E876" s="469">
        <f>Table6[[#This Row],[Date]]-DAY(Table6[[#This Row],[Date]])+1</f>
        <v>45778</v>
      </c>
      <c r="F876" s="470">
        <v>45803</v>
      </c>
      <c r="G876" s="35" t="s">
        <v>82</v>
      </c>
      <c r="H876" s="35" t="str">
        <f>IFERROR(_xlfn.XLOOKUP(Table6[[#This Row],[Affected WTG]],'Basic Data'!$A:$A,'Basic Data'!$B:$B),"")</f>
        <v>TQGXIIPL</v>
      </c>
      <c r="I876" s="35" t="str">
        <f>IFERROR(_xlfn.XLOOKUP(Table6[[#This Row],[Affected WTG]],'Basic Data'!$A:$A,'Basic Data'!$C:$C),"")</f>
        <v>GEDA</v>
      </c>
      <c r="J876" s="471">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291</v>
      </c>
      <c r="N876" s="475"/>
      <c r="O876" s="476">
        <v>3.5416666666666666E-2</v>
      </c>
      <c r="P876" s="476">
        <v>4.583333333333333E-2</v>
      </c>
      <c r="Q876" s="477">
        <v>4.583333333333333E-2</v>
      </c>
      <c r="R876" s="472">
        <f>IF(Table6[[#This Row],[Work Start TimeStamp]]="","",(Table6[[#This Row],[Work Start TimeStamp]]-Table6[[#This Row],[Fault Start TimeStamp]])*24)</f>
        <v>0.24999999999999994</v>
      </c>
      <c r="S876" s="472">
        <f>(Table6[[#This Row],[Fault Clearance time]]-Table6[[#This Row],[Work Start TimeStamp]])*24</f>
        <v>0</v>
      </c>
      <c r="T876" s="472">
        <f>(Table6[[#This Row],[Fault Clearance time]]-Table6[[#This Row],[Fault Start TimeStamp]])*24</f>
        <v>0.24999999999999994</v>
      </c>
      <c r="U876" s="35" t="s">
        <v>1858</v>
      </c>
      <c r="V876" s="102" t="s">
        <v>293</v>
      </c>
      <c r="W876" s="478">
        <f>IFERROR(Table6[[#This Row],[Breakdown Time]]*Table6[[#This Row],[Plant Equivalent Weightage]],"")</f>
        <v>9.6153846153846107E-3</v>
      </c>
      <c r="X876" s="473" t="s">
        <v>290</v>
      </c>
      <c r="Y876" s="474" t="s">
        <v>332</v>
      </c>
      <c r="Z876" s="102">
        <v>28918</v>
      </c>
      <c r="AA876" s="468">
        <f>(Table6[[#This Row],[Paired WTG Generation for loss calculation]]/24)*Table6[[#This Row],[Breakdown Time]]</f>
        <v>301.22916666666663</v>
      </c>
      <c r="AB876" s="102"/>
      <c r="AC876" s="35"/>
      <c r="AD876" s="35"/>
    </row>
    <row r="877" spans="1:30">
      <c r="A877" s="102">
        <f t="shared" si="14"/>
        <v>876</v>
      </c>
      <c r="B877" s="468">
        <f>YEAR(Table6[[#This Row],[Date]])+IF(MONTH(Table6[[#This Row],[Date]])&gt;=4,1,0)</f>
        <v>2026</v>
      </c>
      <c r="C877" s="102">
        <f>YEAR(Table6[[#This Row],[Date]])</f>
        <v>2025</v>
      </c>
      <c r="D877" s="102" t="s">
        <v>1992</v>
      </c>
      <c r="E877" s="469">
        <f>Table6[[#This Row],[Date]]-DAY(Table6[[#This Row],[Date]])+1</f>
        <v>45778</v>
      </c>
      <c r="F877" s="470">
        <v>45803</v>
      </c>
      <c r="G877" s="35" t="s">
        <v>83</v>
      </c>
      <c r="H877" s="35" t="str">
        <f>IFERROR(_xlfn.XLOOKUP(Table6[[#This Row],[Affected WTG]],'Basic Data'!$A:$A,'Basic Data'!$B:$B),"")</f>
        <v>TQGXIIPL</v>
      </c>
      <c r="I877" s="35" t="str">
        <f>IFERROR(_xlfn.XLOOKUP(Table6[[#This Row],[Affected WTG]],'Basic Data'!$A:$A,'Basic Data'!$C:$C),"")</f>
        <v>GEDA</v>
      </c>
      <c r="J877" s="471">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291</v>
      </c>
      <c r="N877" s="475"/>
      <c r="O877" s="476">
        <v>3.5416666666666666E-2</v>
      </c>
      <c r="P877" s="476">
        <v>4.6527777777777779E-2</v>
      </c>
      <c r="Q877" s="477">
        <v>4.6527777777777779E-2</v>
      </c>
      <c r="R877" s="472">
        <f>IF(Table6[[#This Row],[Work Start TimeStamp]]="","",(Table6[[#This Row],[Work Start TimeStamp]]-Table6[[#This Row],[Fault Start TimeStamp]])*24)</f>
        <v>0.26666666666666672</v>
      </c>
      <c r="S877" s="472">
        <f>(Table6[[#This Row],[Fault Clearance time]]-Table6[[#This Row],[Work Start TimeStamp]])*24</f>
        <v>0</v>
      </c>
      <c r="T877" s="472">
        <f>(Table6[[#This Row],[Fault Clearance time]]-Table6[[#This Row],[Fault Start TimeStamp]])*24</f>
        <v>0.26666666666666672</v>
      </c>
      <c r="U877" s="35" t="s">
        <v>1858</v>
      </c>
      <c r="V877" s="102" t="s">
        <v>293</v>
      </c>
      <c r="W877" s="478">
        <f>IFERROR(Table6[[#This Row],[Breakdown Time]]*Table6[[#This Row],[Plant Equivalent Weightage]],"")</f>
        <v>1.0256410256410255E-2</v>
      </c>
      <c r="X877" s="473" t="s">
        <v>290</v>
      </c>
      <c r="Y877" s="474" t="s">
        <v>312</v>
      </c>
      <c r="Z877" s="102">
        <v>26878</v>
      </c>
      <c r="AA877" s="468">
        <f>(Table6[[#This Row],[Paired WTG Generation for loss calculation]]/24)*Table6[[#This Row],[Breakdown Time]]</f>
        <v>298.6444444444445</v>
      </c>
      <c r="AB877" s="102"/>
      <c r="AC877" s="35"/>
      <c r="AD877" s="35"/>
    </row>
    <row r="878" spans="1:30">
      <c r="A878" s="102">
        <f t="shared" si="14"/>
        <v>877</v>
      </c>
      <c r="B878" s="468">
        <f>YEAR(Table6[[#This Row],[Date]])+IF(MONTH(Table6[[#This Row],[Date]])&gt;=4,1,0)</f>
        <v>2026</v>
      </c>
      <c r="C878" s="102">
        <f>YEAR(Table6[[#This Row],[Date]])</f>
        <v>2025</v>
      </c>
      <c r="D878" s="102" t="s">
        <v>1992</v>
      </c>
      <c r="E878" s="469">
        <f>Table6[[#This Row],[Date]]-DAY(Table6[[#This Row],[Date]])+1</f>
        <v>45778</v>
      </c>
      <c r="F878" s="470">
        <v>45803</v>
      </c>
      <c r="G878" s="35" t="s">
        <v>85</v>
      </c>
      <c r="H878" s="35" t="str">
        <f>IFERROR(_xlfn.XLOOKUP(Table6[[#This Row],[Affected WTG]],'Basic Data'!$A:$A,'Basic Data'!$B:$B),"")</f>
        <v>TQGXIIPL</v>
      </c>
      <c r="I878" s="35" t="str">
        <f>IFERROR(_xlfn.XLOOKUP(Table6[[#This Row],[Affected WTG]],'Basic Data'!$A:$A,'Basic Data'!$C:$C),"")</f>
        <v>GEDA</v>
      </c>
      <c r="J878" s="471">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291</v>
      </c>
      <c r="N878" s="475"/>
      <c r="O878" s="476">
        <v>3.5416666666666666E-2</v>
      </c>
      <c r="P878" s="476">
        <v>4.7222222222222221E-2</v>
      </c>
      <c r="Q878" s="477">
        <v>4.7222222222222221E-2</v>
      </c>
      <c r="R878" s="472">
        <f>IF(Table6[[#This Row],[Work Start TimeStamp]]="","",(Table6[[#This Row],[Work Start TimeStamp]]-Table6[[#This Row],[Fault Start TimeStamp]])*24)</f>
        <v>0.28333333333333333</v>
      </c>
      <c r="S878" s="472">
        <f>(Table6[[#This Row],[Fault Clearance time]]-Table6[[#This Row],[Work Start TimeStamp]])*24</f>
        <v>0</v>
      </c>
      <c r="T878" s="472">
        <f>(Table6[[#This Row],[Fault Clearance time]]-Table6[[#This Row],[Fault Start TimeStamp]])*24</f>
        <v>0.28333333333333333</v>
      </c>
      <c r="U878" s="35" t="s">
        <v>1858</v>
      </c>
      <c r="V878" s="102" t="s">
        <v>293</v>
      </c>
      <c r="W878" s="478">
        <f>IFERROR(Table6[[#This Row],[Breakdown Time]]*Table6[[#This Row],[Plant Equivalent Weightage]],"")</f>
        <v>1.0897435897435893E-2</v>
      </c>
      <c r="X878" s="473" t="s">
        <v>290</v>
      </c>
      <c r="Y878" s="474" t="s">
        <v>322</v>
      </c>
      <c r="Z878" s="102">
        <v>28114</v>
      </c>
      <c r="AA878" s="468">
        <f>(Table6[[#This Row],[Paired WTG Generation for loss calculation]]/24)*Table6[[#This Row],[Breakdown Time]]</f>
        <v>331.9013888888889</v>
      </c>
      <c r="AB878" s="102"/>
      <c r="AC878" s="35"/>
      <c r="AD878" s="35"/>
    </row>
    <row r="879" spans="1:30">
      <c r="A879" s="102">
        <f t="shared" si="14"/>
        <v>878</v>
      </c>
      <c r="B879" s="468">
        <f>YEAR(Table6[[#This Row],[Date]])+IF(MONTH(Table6[[#This Row],[Date]])&gt;=4,1,0)</f>
        <v>2026</v>
      </c>
      <c r="C879" s="102">
        <f>YEAR(Table6[[#This Row],[Date]])</f>
        <v>2025</v>
      </c>
      <c r="D879" s="102" t="s">
        <v>1992</v>
      </c>
      <c r="E879" s="469">
        <f>Table6[[#This Row],[Date]]-DAY(Table6[[#This Row],[Date]])+1</f>
        <v>45778</v>
      </c>
      <c r="F879" s="470">
        <v>45803</v>
      </c>
      <c r="G879" s="35" t="s">
        <v>87</v>
      </c>
      <c r="H879" s="35" t="str">
        <f>IFERROR(_xlfn.XLOOKUP(Table6[[#This Row],[Affected WTG]],'Basic Data'!$A:$A,'Basic Data'!$B:$B),"")</f>
        <v>TQGXIIPL</v>
      </c>
      <c r="I879" s="35" t="str">
        <f>IFERROR(_xlfn.XLOOKUP(Table6[[#This Row],[Affected WTG]],'Basic Data'!$A:$A,'Basic Data'!$C:$C),"")</f>
        <v>GEDA</v>
      </c>
      <c r="J879" s="471">
        <f>IFERROR(_xlfn.XLOOKUP(Table6[[#This Row],[Affected WTG]],'Basic Data'!$A:$A,'Basic Data'!$E:$E),"")</f>
        <v>3.846153846153845E-2</v>
      </c>
      <c r="K879" s="102">
        <v>175</v>
      </c>
      <c r="L879" s="35" t="str">
        <f>IFERROR(_xlfn.XLOOKUP(Table6[[#This Row],[Error Code]],'Basic Data'!$AA:$AA,'Basic Data'!$AB:$AB),"Incorrect Error Code")</f>
        <v>SLC error</v>
      </c>
      <c r="M879" s="35" t="s">
        <v>291</v>
      </c>
      <c r="N879" s="475"/>
      <c r="O879" s="476">
        <v>3.5416666666666666E-2</v>
      </c>
      <c r="P879" s="476">
        <v>4.791666666666667E-2</v>
      </c>
      <c r="Q879" s="477">
        <v>4.791666666666667E-2</v>
      </c>
      <c r="R879" s="472">
        <f>IF(Table6[[#This Row],[Work Start TimeStamp]]="","",(Table6[[#This Row],[Work Start TimeStamp]]-Table6[[#This Row],[Fault Start TimeStamp]])*24)</f>
        <v>0.3000000000000001</v>
      </c>
      <c r="S879" s="472">
        <f>(Table6[[#This Row],[Fault Clearance time]]-Table6[[#This Row],[Work Start TimeStamp]])*24</f>
        <v>0</v>
      </c>
      <c r="T879" s="472">
        <f>(Table6[[#This Row],[Fault Clearance time]]-Table6[[#This Row],[Fault Start TimeStamp]])*24</f>
        <v>0.3000000000000001</v>
      </c>
      <c r="U879" s="35" t="s">
        <v>1858</v>
      </c>
      <c r="V879" s="102" t="s">
        <v>293</v>
      </c>
      <c r="W879" s="478">
        <f>IFERROR(Table6[[#This Row],[Breakdown Time]]*Table6[[#This Row],[Plant Equivalent Weightage]],"")</f>
        <v>1.1538461538461539E-2</v>
      </c>
      <c r="X879" s="473" t="s">
        <v>290</v>
      </c>
      <c r="Y879" s="474" t="s">
        <v>327</v>
      </c>
      <c r="Z879" s="102">
        <v>27828</v>
      </c>
      <c r="AA879" s="468">
        <f>(Table6[[#This Row],[Paired WTG Generation for loss calculation]]/24)*Table6[[#This Row],[Breakdown Time]]</f>
        <v>347.85000000000014</v>
      </c>
      <c r="AB879" s="102"/>
      <c r="AC879" s="35"/>
      <c r="AD879" s="35"/>
    </row>
    <row r="880" spans="1:30">
      <c r="A880" s="102">
        <f t="shared" si="14"/>
        <v>879</v>
      </c>
      <c r="B880" s="468">
        <f>YEAR(Table6[[#This Row],[Date]])+IF(MONTH(Table6[[#This Row],[Date]])&gt;=4,1,0)</f>
        <v>2026</v>
      </c>
      <c r="C880" s="102">
        <f>YEAR(Table6[[#This Row],[Date]])</f>
        <v>2025</v>
      </c>
      <c r="D880" s="102" t="s">
        <v>1992</v>
      </c>
      <c r="E880" s="469">
        <f>Table6[[#This Row],[Date]]-DAY(Table6[[#This Row],[Date]])+1</f>
        <v>45778</v>
      </c>
      <c r="F880" s="470">
        <v>45803</v>
      </c>
      <c r="G880" s="35" t="s">
        <v>88</v>
      </c>
      <c r="H880" s="35" t="str">
        <f>IFERROR(_xlfn.XLOOKUP(Table6[[#This Row],[Affected WTG]],'Basic Data'!$A:$A,'Basic Data'!$B:$B),"")</f>
        <v>TQGXIIPL</v>
      </c>
      <c r="I880" s="35" t="str">
        <f>IFERROR(_xlfn.XLOOKUP(Table6[[#This Row],[Affected WTG]],'Basic Data'!$A:$A,'Basic Data'!$C:$C),"")</f>
        <v>GEDA</v>
      </c>
      <c r="J880" s="471">
        <f>IFERROR(_xlfn.XLOOKUP(Table6[[#This Row],[Affected WTG]],'Basic Data'!$A:$A,'Basic Data'!$E:$E),"")</f>
        <v>3.846153846153845E-2</v>
      </c>
      <c r="K880" s="102">
        <v>3420</v>
      </c>
      <c r="L880" s="35" t="str">
        <f>IFERROR(_xlfn.XLOOKUP(Table6[[#This Row],[Error Code]],'Basic Data'!$AA:$AA,'Basic Data'!$AB:$AB),"Incorrect Error Code")</f>
        <v>UPS buffer time too short</v>
      </c>
      <c r="M880" s="35" t="s">
        <v>291</v>
      </c>
      <c r="N880" s="475"/>
      <c r="O880" s="476">
        <v>3.5416666666666666E-2</v>
      </c>
      <c r="P880" s="476">
        <v>4.8611111111111112E-2</v>
      </c>
      <c r="Q880" s="477">
        <v>4.8611111111111112E-2</v>
      </c>
      <c r="R880" s="472">
        <f>IF(Table6[[#This Row],[Work Start TimeStamp]]="","",(Table6[[#This Row],[Work Start TimeStamp]]-Table6[[#This Row],[Fault Start TimeStamp]])*24)</f>
        <v>0.31666666666666671</v>
      </c>
      <c r="S880" s="472">
        <f>(Table6[[#This Row],[Fault Clearance time]]-Table6[[#This Row],[Work Start TimeStamp]])*24</f>
        <v>0</v>
      </c>
      <c r="T880" s="472">
        <f>(Table6[[#This Row],[Fault Clearance time]]-Table6[[#This Row],[Fault Start TimeStamp]])*24</f>
        <v>0.31666666666666671</v>
      </c>
      <c r="U880" s="35" t="s">
        <v>1858</v>
      </c>
      <c r="V880" s="102" t="s">
        <v>293</v>
      </c>
      <c r="W880" s="478">
        <f>IFERROR(Table6[[#This Row],[Breakdown Time]]*Table6[[#This Row],[Plant Equivalent Weightage]],"")</f>
        <v>1.2179487179487178E-2</v>
      </c>
      <c r="X880" s="473" t="s">
        <v>290</v>
      </c>
      <c r="Y880" s="474" t="s">
        <v>323</v>
      </c>
      <c r="Z880" s="102">
        <v>26076</v>
      </c>
      <c r="AA880" s="468">
        <f>(Table6[[#This Row],[Paired WTG Generation for loss calculation]]/24)*Table6[[#This Row],[Breakdown Time]]</f>
        <v>344.05833333333339</v>
      </c>
      <c r="AB880" s="102"/>
      <c r="AC880" s="35"/>
      <c r="AD880" s="35"/>
    </row>
    <row r="881" spans="1:30">
      <c r="A881" s="102">
        <f t="shared" si="14"/>
        <v>880</v>
      </c>
      <c r="B881" s="468">
        <f>YEAR(Table6[[#This Row],[Date]])+IF(MONTH(Table6[[#This Row],[Date]])&gt;=4,1,0)</f>
        <v>2026</v>
      </c>
      <c r="C881" s="102">
        <f>YEAR(Table6[[#This Row],[Date]])</f>
        <v>2025</v>
      </c>
      <c r="D881" s="102" t="s">
        <v>1992</v>
      </c>
      <c r="E881" s="469">
        <f>Table6[[#This Row],[Date]]-DAY(Table6[[#This Row],[Date]])+1</f>
        <v>45778</v>
      </c>
      <c r="F881" s="470">
        <v>45803</v>
      </c>
      <c r="G881" s="35" t="s">
        <v>89</v>
      </c>
      <c r="H881" s="35" t="str">
        <f>IFERROR(_xlfn.XLOOKUP(Table6[[#This Row],[Affected WTG]],'Basic Data'!$A:$A,'Basic Data'!$B:$B),"")</f>
        <v>TQGXIIPL</v>
      </c>
      <c r="I881" s="35" t="str">
        <f>IFERROR(_xlfn.XLOOKUP(Table6[[#This Row],[Affected WTG]],'Basic Data'!$A:$A,'Basic Data'!$C:$C),"")</f>
        <v>GEDA</v>
      </c>
      <c r="J881" s="471">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291</v>
      </c>
      <c r="N881" s="475"/>
      <c r="O881" s="476">
        <v>3.6111111111111108E-2</v>
      </c>
      <c r="P881" s="476">
        <v>4.9305555555555554E-2</v>
      </c>
      <c r="Q881" s="477">
        <v>4.9305555555555554E-2</v>
      </c>
      <c r="R881" s="472">
        <f>IF(Table6[[#This Row],[Work Start TimeStamp]]="","",(Table6[[#This Row],[Work Start TimeStamp]]-Table6[[#This Row],[Fault Start TimeStamp]])*24)</f>
        <v>0.31666666666666671</v>
      </c>
      <c r="S881" s="472">
        <f>(Table6[[#This Row],[Fault Clearance time]]-Table6[[#This Row],[Work Start TimeStamp]])*24</f>
        <v>0</v>
      </c>
      <c r="T881" s="472">
        <f>(Table6[[#This Row],[Fault Clearance time]]-Table6[[#This Row],[Fault Start TimeStamp]])*24</f>
        <v>0.31666666666666671</v>
      </c>
      <c r="U881" s="35" t="s">
        <v>1858</v>
      </c>
      <c r="V881" s="102" t="s">
        <v>293</v>
      </c>
      <c r="W881" s="478">
        <f>IFERROR(Table6[[#This Row],[Breakdown Time]]*Table6[[#This Row],[Plant Equivalent Weightage]],"")</f>
        <v>1.2179487179487178E-2</v>
      </c>
      <c r="X881" s="473" t="s">
        <v>290</v>
      </c>
      <c r="Y881" s="474" t="s">
        <v>325</v>
      </c>
      <c r="Z881" s="102">
        <v>27558</v>
      </c>
      <c r="AA881" s="468">
        <f>(Table6[[#This Row],[Paired WTG Generation for loss calculation]]/24)*Table6[[#This Row],[Breakdown Time]]</f>
        <v>363.61250000000007</v>
      </c>
      <c r="AB881" s="102"/>
      <c r="AC881" s="35"/>
      <c r="AD881" s="35"/>
    </row>
    <row r="882" spans="1:30">
      <c r="A882" s="102">
        <f t="shared" si="14"/>
        <v>881</v>
      </c>
      <c r="B882" s="468">
        <f>YEAR(Table6[[#This Row],[Date]])+IF(MONTH(Table6[[#This Row],[Date]])&gt;=4,1,0)</f>
        <v>2026</v>
      </c>
      <c r="C882" s="102">
        <f>YEAR(Table6[[#This Row],[Date]])</f>
        <v>2025</v>
      </c>
      <c r="D882" s="102" t="s">
        <v>1992</v>
      </c>
      <c r="E882" s="469">
        <f>Table6[[#This Row],[Date]]-DAY(Table6[[#This Row],[Date]])+1</f>
        <v>45778</v>
      </c>
      <c r="F882" s="470">
        <v>45803</v>
      </c>
      <c r="G882" s="35" t="s">
        <v>90</v>
      </c>
      <c r="H882" s="35" t="str">
        <f>IFERROR(_xlfn.XLOOKUP(Table6[[#This Row],[Affected WTG]],'Basic Data'!$A:$A,'Basic Data'!$B:$B),"")</f>
        <v>TQGXIIPL</v>
      </c>
      <c r="I882" s="35" t="str">
        <f>IFERROR(_xlfn.XLOOKUP(Table6[[#This Row],[Affected WTG]],'Basic Data'!$A:$A,'Basic Data'!$C:$C),"")</f>
        <v>GEDA</v>
      </c>
      <c r="J882" s="471">
        <f>IFERROR(_xlfn.XLOOKUP(Table6[[#This Row],[Affected WTG]],'Basic Data'!$A:$A,'Basic Data'!$E:$E),"")</f>
        <v>3.846153846153845E-2</v>
      </c>
      <c r="K882" s="102">
        <v>175</v>
      </c>
      <c r="L882" s="35" t="str">
        <f>IFERROR(_xlfn.XLOOKUP(Table6[[#This Row],[Error Code]],'Basic Data'!$AA:$AA,'Basic Data'!$AB:$AB),"Incorrect Error Code")</f>
        <v>SLC error</v>
      </c>
      <c r="M882" s="35" t="s">
        <v>291</v>
      </c>
      <c r="N882" s="475"/>
      <c r="O882" s="476">
        <v>3.6111111111111108E-2</v>
      </c>
      <c r="P882" s="476">
        <v>4.9305555555555554E-2</v>
      </c>
      <c r="Q882" s="477">
        <v>4.9305555555555554E-2</v>
      </c>
      <c r="R882" s="472">
        <f>IF(Table6[[#This Row],[Work Start TimeStamp]]="","",(Table6[[#This Row],[Work Start TimeStamp]]-Table6[[#This Row],[Fault Start TimeStamp]])*24)</f>
        <v>0.31666666666666671</v>
      </c>
      <c r="S882" s="472">
        <f>(Table6[[#This Row],[Fault Clearance time]]-Table6[[#This Row],[Work Start TimeStamp]])*24</f>
        <v>0</v>
      </c>
      <c r="T882" s="472">
        <f>(Table6[[#This Row],[Fault Clearance time]]-Table6[[#This Row],[Fault Start TimeStamp]])*24</f>
        <v>0.31666666666666671</v>
      </c>
      <c r="U882" s="35" t="s">
        <v>1858</v>
      </c>
      <c r="V882" s="102" t="s">
        <v>293</v>
      </c>
      <c r="W882" s="478">
        <f>IFERROR(Table6[[#This Row],[Breakdown Time]]*Table6[[#This Row],[Plant Equivalent Weightage]],"")</f>
        <v>1.2179487179487178E-2</v>
      </c>
      <c r="X882" s="473" t="s">
        <v>290</v>
      </c>
      <c r="Y882" s="474" t="s">
        <v>339</v>
      </c>
      <c r="Z882" s="102">
        <v>31331</v>
      </c>
      <c r="AA882" s="468">
        <f>(Table6[[#This Row],[Paired WTG Generation for loss calculation]]/24)*Table6[[#This Row],[Breakdown Time]]</f>
        <v>413.39513888888894</v>
      </c>
      <c r="AB882" s="102"/>
      <c r="AC882" s="35"/>
      <c r="AD882" s="35"/>
    </row>
    <row r="883" spans="1:30">
      <c r="A883" s="102">
        <f t="shared" si="14"/>
        <v>882</v>
      </c>
      <c r="B883" s="468">
        <f>YEAR(Table6[[#This Row],[Date]])+IF(MONTH(Table6[[#This Row],[Date]])&gt;=4,1,0)</f>
        <v>2026</v>
      </c>
      <c r="C883" s="102">
        <f>YEAR(Table6[[#This Row],[Date]])</f>
        <v>2025</v>
      </c>
      <c r="D883" s="102" t="s">
        <v>1992</v>
      </c>
      <c r="E883" s="469">
        <f>Table6[[#This Row],[Date]]-DAY(Table6[[#This Row],[Date]])+1</f>
        <v>45778</v>
      </c>
      <c r="F883" s="470">
        <v>45803</v>
      </c>
      <c r="G883" s="35" t="s">
        <v>91</v>
      </c>
      <c r="H883" s="35" t="str">
        <f>IFERROR(_xlfn.XLOOKUP(Table6[[#This Row],[Affected WTG]],'Basic Data'!$A:$A,'Basic Data'!$B:$B),"")</f>
        <v>TQGXIIPL</v>
      </c>
      <c r="I883" s="35" t="str">
        <f>IFERROR(_xlfn.XLOOKUP(Table6[[#This Row],[Affected WTG]],'Basic Data'!$A:$A,'Basic Data'!$C:$C),"")</f>
        <v>GEDA</v>
      </c>
      <c r="J883" s="471">
        <f>IFERROR(_xlfn.XLOOKUP(Table6[[#This Row],[Affected WTG]],'Basic Data'!$A:$A,'Basic Data'!$E:$E),"")</f>
        <v>3.846153846153845E-2</v>
      </c>
      <c r="K883" s="102">
        <v>3420</v>
      </c>
      <c r="L883" s="35" t="str">
        <f>IFERROR(_xlfn.XLOOKUP(Table6[[#This Row],[Error Code]],'Basic Data'!$AA:$AA,'Basic Data'!$AB:$AB),"Incorrect Error Code")</f>
        <v>UPS buffer time too short</v>
      </c>
      <c r="M883" s="35" t="s">
        <v>291</v>
      </c>
      <c r="N883" s="475"/>
      <c r="O883" s="476">
        <v>3.6111111111111108E-2</v>
      </c>
      <c r="P883" s="476">
        <v>0.05</v>
      </c>
      <c r="Q883" s="477">
        <v>0.05</v>
      </c>
      <c r="R883" s="472">
        <f>IF(Table6[[#This Row],[Work Start TimeStamp]]="","",(Table6[[#This Row],[Work Start TimeStamp]]-Table6[[#This Row],[Fault Start TimeStamp]])*24)</f>
        <v>0.33333333333333348</v>
      </c>
      <c r="S883" s="472">
        <f>(Table6[[#This Row],[Fault Clearance time]]-Table6[[#This Row],[Work Start TimeStamp]])*24</f>
        <v>0</v>
      </c>
      <c r="T883" s="472">
        <f>(Table6[[#This Row],[Fault Clearance time]]-Table6[[#This Row],[Fault Start TimeStamp]])*24</f>
        <v>0.33333333333333348</v>
      </c>
      <c r="U883" s="35" t="s">
        <v>1858</v>
      </c>
      <c r="V883" s="102" t="s">
        <v>293</v>
      </c>
      <c r="W883" s="478">
        <f>IFERROR(Table6[[#This Row],[Breakdown Time]]*Table6[[#This Row],[Plant Equivalent Weightage]],"")</f>
        <v>1.2820512820512822E-2</v>
      </c>
      <c r="X883" s="473" t="s">
        <v>290</v>
      </c>
      <c r="Y883" s="474" t="s">
        <v>319</v>
      </c>
      <c r="Z883" s="102">
        <v>30683</v>
      </c>
      <c r="AA883" s="468">
        <f>(Table6[[#This Row],[Paired WTG Generation for loss calculation]]/24)*Table6[[#This Row],[Breakdown Time]]</f>
        <v>426.15277777777794</v>
      </c>
      <c r="AB883" s="102"/>
      <c r="AC883" s="35"/>
      <c r="AD883" s="35"/>
    </row>
    <row r="884" spans="1:30">
      <c r="A884" s="102">
        <f t="shared" si="14"/>
        <v>883</v>
      </c>
      <c r="B884" s="468">
        <f>YEAR(Table6[[#This Row],[Date]])+IF(MONTH(Table6[[#This Row],[Date]])&gt;=4,1,0)</f>
        <v>2026</v>
      </c>
      <c r="C884" s="102">
        <f>YEAR(Table6[[#This Row],[Date]])</f>
        <v>2025</v>
      </c>
      <c r="D884" s="102" t="s">
        <v>1992</v>
      </c>
      <c r="E884" s="469">
        <f>Table6[[#This Row],[Date]]-DAY(Table6[[#This Row],[Date]])+1</f>
        <v>45778</v>
      </c>
      <c r="F884" s="470">
        <v>45803</v>
      </c>
      <c r="G884" s="35" t="s">
        <v>92</v>
      </c>
      <c r="H884" s="35" t="str">
        <f>IFERROR(_xlfn.XLOOKUP(Table6[[#This Row],[Affected WTG]],'Basic Data'!$A:$A,'Basic Data'!$B:$B),"")</f>
        <v>TQGXIIPL</v>
      </c>
      <c r="I884" s="35" t="str">
        <f>IFERROR(_xlfn.XLOOKUP(Table6[[#This Row],[Affected WTG]],'Basic Data'!$A:$A,'Basic Data'!$C:$C),"")</f>
        <v>GEDA</v>
      </c>
      <c r="J884" s="471">
        <f>IFERROR(_xlfn.XLOOKUP(Table6[[#This Row],[Affected WTG]],'Basic Data'!$A:$A,'Basic Data'!$E:$E),"")</f>
        <v>3.846153846153845E-2</v>
      </c>
      <c r="K884" s="102">
        <v>3420</v>
      </c>
      <c r="L884" s="35" t="str">
        <f>IFERROR(_xlfn.XLOOKUP(Table6[[#This Row],[Error Code]],'Basic Data'!$AA:$AA,'Basic Data'!$AB:$AB),"Incorrect Error Code")</f>
        <v>UPS buffer time too short</v>
      </c>
      <c r="M884" s="35" t="s">
        <v>291</v>
      </c>
      <c r="N884" s="475"/>
      <c r="O884" s="476">
        <v>3.6111111111111108E-2</v>
      </c>
      <c r="P884" s="476">
        <v>5.0694444444444445E-2</v>
      </c>
      <c r="Q884" s="477">
        <v>5.0694444444444445E-2</v>
      </c>
      <c r="R884" s="472">
        <f>IF(Table6[[#This Row],[Work Start TimeStamp]]="","",(Table6[[#This Row],[Work Start TimeStamp]]-Table6[[#This Row],[Fault Start TimeStamp]])*24)</f>
        <v>0.35000000000000009</v>
      </c>
      <c r="S884" s="472">
        <f>(Table6[[#This Row],[Fault Clearance time]]-Table6[[#This Row],[Work Start TimeStamp]])*24</f>
        <v>0</v>
      </c>
      <c r="T884" s="472">
        <f>(Table6[[#This Row],[Fault Clearance time]]-Table6[[#This Row],[Fault Start TimeStamp]])*24</f>
        <v>0.35000000000000009</v>
      </c>
      <c r="U884" s="35" t="s">
        <v>1858</v>
      </c>
      <c r="V884" s="102" t="s">
        <v>293</v>
      </c>
      <c r="W884" s="478">
        <f>IFERROR(Table6[[#This Row],[Breakdown Time]]*Table6[[#This Row],[Plant Equivalent Weightage]],"")</f>
        <v>1.3461538461538461E-2</v>
      </c>
      <c r="X884" s="473" t="s">
        <v>290</v>
      </c>
      <c r="Y884" s="474" t="s">
        <v>310</v>
      </c>
      <c r="Z884" s="102">
        <v>29635</v>
      </c>
      <c r="AA884" s="468">
        <f>(Table6[[#This Row],[Paired WTG Generation for loss calculation]]/24)*Table6[[#This Row],[Breakdown Time]]</f>
        <v>432.17708333333348</v>
      </c>
      <c r="AB884" s="102"/>
      <c r="AC884" s="35"/>
      <c r="AD884" s="35"/>
    </row>
    <row r="885" spans="1:30">
      <c r="A885" s="102">
        <f t="shared" si="14"/>
        <v>884</v>
      </c>
      <c r="B885" s="468">
        <f>YEAR(Table6[[#This Row],[Date]])+IF(MONTH(Table6[[#This Row],[Date]])&gt;=4,1,0)</f>
        <v>2026</v>
      </c>
      <c r="C885" s="102">
        <f>YEAR(Table6[[#This Row],[Date]])</f>
        <v>2025</v>
      </c>
      <c r="D885" s="102" t="s">
        <v>1992</v>
      </c>
      <c r="E885" s="469">
        <f>Table6[[#This Row],[Date]]-DAY(Table6[[#This Row],[Date]])+1</f>
        <v>45778</v>
      </c>
      <c r="F885" s="470">
        <v>45803</v>
      </c>
      <c r="G885" s="35" t="s">
        <v>93</v>
      </c>
      <c r="H885" s="35" t="str">
        <f>IFERROR(_xlfn.XLOOKUP(Table6[[#This Row],[Affected WTG]],'Basic Data'!$A:$A,'Basic Data'!$B:$B),"")</f>
        <v>TQGXIIPL</v>
      </c>
      <c r="I885" s="35" t="str">
        <f>IFERROR(_xlfn.XLOOKUP(Table6[[#This Row],[Affected WTG]],'Basic Data'!$A:$A,'Basic Data'!$C:$C),"")</f>
        <v>GEDA</v>
      </c>
      <c r="J885" s="471">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291</v>
      </c>
      <c r="N885" s="475"/>
      <c r="O885" s="476">
        <v>3.6111111111111108E-2</v>
      </c>
      <c r="P885" s="476">
        <v>4.9305555555555554E-2</v>
      </c>
      <c r="Q885" s="477">
        <v>4.9305555555555554E-2</v>
      </c>
      <c r="R885" s="472">
        <f>IF(Table6[[#This Row],[Work Start TimeStamp]]="","",(Table6[[#This Row],[Work Start TimeStamp]]-Table6[[#This Row],[Fault Start TimeStamp]])*24)</f>
        <v>0.31666666666666671</v>
      </c>
      <c r="S885" s="472">
        <f>(Table6[[#This Row],[Fault Clearance time]]-Table6[[#This Row],[Work Start TimeStamp]])*24</f>
        <v>0</v>
      </c>
      <c r="T885" s="472">
        <f>(Table6[[#This Row],[Fault Clearance time]]-Table6[[#This Row],[Fault Start TimeStamp]])*24</f>
        <v>0.31666666666666671</v>
      </c>
      <c r="U885" s="35" t="s">
        <v>1858</v>
      </c>
      <c r="V885" s="102" t="s">
        <v>293</v>
      </c>
      <c r="W885" s="478">
        <f>IFERROR(Table6[[#This Row],[Breakdown Time]]*Table6[[#This Row],[Plant Equivalent Weightage]],"")</f>
        <v>1.2179487179487178E-2</v>
      </c>
      <c r="X885" s="473" t="s">
        <v>290</v>
      </c>
      <c r="Y885" s="474" t="s">
        <v>314</v>
      </c>
      <c r="Z885" s="102">
        <v>28117</v>
      </c>
      <c r="AA885" s="468">
        <f>(Table6[[#This Row],[Paired WTG Generation for loss calculation]]/24)*Table6[[#This Row],[Breakdown Time]]</f>
        <v>370.9881944444445</v>
      </c>
      <c r="AB885" s="102"/>
      <c r="AC885" s="35"/>
      <c r="AD885" s="35"/>
    </row>
    <row r="886" spans="1:30">
      <c r="A886" s="102">
        <f t="shared" si="14"/>
        <v>885</v>
      </c>
      <c r="B886" s="468">
        <f>YEAR(Table6[[#This Row],[Date]])+IF(MONTH(Table6[[#This Row],[Date]])&gt;=4,1,0)</f>
        <v>2026</v>
      </c>
      <c r="C886" s="102">
        <f>YEAR(Table6[[#This Row],[Date]])</f>
        <v>2025</v>
      </c>
      <c r="D886" s="102" t="s">
        <v>1992</v>
      </c>
      <c r="E886" s="469">
        <f>Table6[[#This Row],[Date]]-DAY(Table6[[#This Row],[Date]])+1</f>
        <v>45778</v>
      </c>
      <c r="F886" s="470">
        <v>45803</v>
      </c>
      <c r="G886" s="35" t="s">
        <v>94</v>
      </c>
      <c r="H886" s="35" t="str">
        <f>IFERROR(_xlfn.XLOOKUP(Table6[[#This Row],[Affected WTG]],'Basic Data'!$A:$A,'Basic Data'!$B:$B),"")</f>
        <v>TQGXIIPL</v>
      </c>
      <c r="I886" s="35" t="str">
        <f>IFERROR(_xlfn.XLOOKUP(Table6[[#This Row],[Affected WTG]],'Basic Data'!$A:$A,'Basic Data'!$C:$C),"")</f>
        <v>GEDA</v>
      </c>
      <c r="J886" s="471">
        <f>IFERROR(_xlfn.XLOOKUP(Table6[[#This Row],[Affected WTG]],'Basic Data'!$A:$A,'Basic Data'!$E:$E),"")</f>
        <v>3.846153846153845E-2</v>
      </c>
      <c r="K886" s="102">
        <v>3420</v>
      </c>
      <c r="L886" s="35" t="str">
        <f>IFERROR(_xlfn.XLOOKUP(Table6[[#This Row],[Error Code]],'Basic Data'!$AA:$AA,'Basic Data'!$AB:$AB),"Incorrect Error Code")</f>
        <v>UPS buffer time too short</v>
      </c>
      <c r="M886" s="35" t="s">
        <v>291</v>
      </c>
      <c r="N886" s="475"/>
      <c r="O886" s="476">
        <v>4.9305555555555554E-2</v>
      </c>
      <c r="P886" s="476">
        <v>7.7777777777777779E-2</v>
      </c>
      <c r="Q886" s="477">
        <v>7.7777777777777779E-2</v>
      </c>
      <c r="R886" s="472">
        <f>IF(Table6[[#This Row],[Work Start TimeStamp]]="","",(Table6[[#This Row],[Work Start TimeStamp]]-Table6[[#This Row],[Fault Start TimeStamp]])*24)</f>
        <v>0.68333333333333335</v>
      </c>
      <c r="S886" s="472">
        <f>(Table6[[#This Row],[Fault Clearance time]]-Table6[[#This Row],[Work Start TimeStamp]])*24</f>
        <v>0</v>
      </c>
      <c r="T886" s="472">
        <f>(Table6[[#This Row],[Fault Clearance time]]-Table6[[#This Row],[Fault Start TimeStamp]])*24</f>
        <v>0.68333333333333335</v>
      </c>
      <c r="U886" s="35" t="s">
        <v>1853</v>
      </c>
      <c r="V886" s="102" t="s">
        <v>293</v>
      </c>
      <c r="W886" s="478">
        <f>IFERROR(Table6[[#This Row],[Breakdown Time]]*Table6[[#This Row],[Plant Equivalent Weightage]],"")</f>
        <v>2.6282051282051275E-2</v>
      </c>
      <c r="X886" s="473" t="s">
        <v>290</v>
      </c>
      <c r="Y886" s="474" t="s">
        <v>319</v>
      </c>
      <c r="Z886" s="102">
        <v>30683</v>
      </c>
      <c r="AA886" s="468">
        <f>(Table6[[#This Row],[Paired WTG Generation for loss calculation]]/24)*Table6[[#This Row],[Breakdown Time]]</f>
        <v>873.61319444444439</v>
      </c>
      <c r="AB886" s="102"/>
      <c r="AC886" s="35"/>
      <c r="AD886" s="35"/>
    </row>
    <row r="887" spans="1:30">
      <c r="A887" s="102">
        <f t="shared" si="14"/>
        <v>886</v>
      </c>
      <c r="B887" s="468">
        <f>YEAR(Table6[[#This Row],[Date]])+IF(MONTH(Table6[[#This Row],[Date]])&gt;=4,1,0)</f>
        <v>2026</v>
      </c>
      <c r="C887" s="102">
        <f>YEAR(Table6[[#This Row],[Date]])</f>
        <v>2025</v>
      </c>
      <c r="D887" s="102" t="s">
        <v>1992</v>
      </c>
      <c r="E887" s="469">
        <f>Table6[[#This Row],[Date]]-DAY(Table6[[#This Row],[Date]])+1</f>
        <v>45778</v>
      </c>
      <c r="F887" s="470">
        <v>45803</v>
      </c>
      <c r="G887" s="35" t="s">
        <v>94</v>
      </c>
      <c r="H887" s="35" t="str">
        <f>IFERROR(_xlfn.XLOOKUP(Table6[[#This Row],[Affected WTG]],'Basic Data'!$A:$A,'Basic Data'!$B:$B),"")</f>
        <v>TQGXIIPL</v>
      </c>
      <c r="I887" s="35" t="str">
        <f>IFERROR(_xlfn.XLOOKUP(Table6[[#This Row],[Affected WTG]],'Basic Data'!$A:$A,'Basic Data'!$C:$C),"")</f>
        <v>GEDA</v>
      </c>
      <c r="J887" s="471">
        <f>IFERROR(_xlfn.XLOOKUP(Table6[[#This Row],[Affected WTG]],'Basic Data'!$A:$A,'Basic Data'!$E:$E),"")</f>
        <v>3.846153846153845E-2</v>
      </c>
      <c r="K887" s="102">
        <v>55</v>
      </c>
      <c r="L887" s="35" t="str">
        <f>IFERROR(_xlfn.XLOOKUP(Table6[[#This Row],[Error Code]],'Basic Data'!$AA:$AA,'Basic Data'!$AB:$AB),"Incorrect Error Code")</f>
        <v>WTG shut down</v>
      </c>
      <c r="M887" s="35" t="s">
        <v>291</v>
      </c>
      <c r="N887" s="475"/>
      <c r="O887" s="476">
        <v>0.70486111111111116</v>
      </c>
      <c r="P887" s="476">
        <v>0.75763888888888886</v>
      </c>
      <c r="Q887" s="477">
        <v>0.75763888888888886</v>
      </c>
      <c r="R887" s="472">
        <f>IF(Table6[[#This Row],[Work Start TimeStamp]]="","",(Table6[[#This Row],[Work Start TimeStamp]]-Table6[[#This Row],[Fault Start TimeStamp]])*24)</f>
        <v>1.2666666666666648</v>
      </c>
      <c r="S887" s="472">
        <f>(Table6[[#This Row],[Fault Clearance time]]-Table6[[#This Row],[Work Start TimeStamp]])*24</f>
        <v>0</v>
      </c>
      <c r="T887" s="472">
        <f>(Table6[[#This Row],[Fault Clearance time]]-Table6[[#This Row],[Fault Start TimeStamp]])*24</f>
        <v>1.2666666666666648</v>
      </c>
      <c r="U887" s="35" t="s">
        <v>1905</v>
      </c>
      <c r="V887" s="102" t="s">
        <v>293</v>
      </c>
      <c r="W887" s="478">
        <f>IFERROR(Table6[[#This Row],[Breakdown Time]]*Table6[[#This Row],[Plant Equivalent Weightage]],"")</f>
        <v>4.8717948717948635E-2</v>
      </c>
      <c r="X887" s="473" t="s">
        <v>290</v>
      </c>
      <c r="Y887" s="474" t="s">
        <v>319</v>
      </c>
      <c r="Z887" s="102">
        <v>30683</v>
      </c>
      <c r="AA887" s="468">
        <f>(Table6[[#This Row],[Paired WTG Generation for loss calculation]]/24)*Table6[[#This Row],[Breakdown Time]]</f>
        <v>1619.3805555555532</v>
      </c>
      <c r="AB887" s="102"/>
      <c r="AC887" s="35"/>
      <c r="AD887" s="35"/>
    </row>
    <row r="888" spans="1:30">
      <c r="A888" s="102">
        <f t="shared" si="14"/>
        <v>887</v>
      </c>
      <c r="B888" s="468">
        <f>YEAR(Table6[[#This Row],[Date]])+IF(MONTH(Table6[[#This Row],[Date]])&gt;=4,1,0)</f>
        <v>2026</v>
      </c>
      <c r="C888" s="102">
        <f>YEAR(Table6[[#This Row],[Date]])</f>
        <v>2025</v>
      </c>
      <c r="D888" s="102" t="s">
        <v>1992</v>
      </c>
      <c r="E888" s="469">
        <f>Table6[[#This Row],[Date]]-DAY(Table6[[#This Row],[Date]])+1</f>
        <v>45778</v>
      </c>
      <c r="F888" s="470">
        <v>45803</v>
      </c>
      <c r="G888" s="35" t="s">
        <v>95</v>
      </c>
      <c r="H888" s="35" t="str">
        <f>IFERROR(_xlfn.XLOOKUP(Table6[[#This Row],[Affected WTG]],'Basic Data'!$A:$A,'Basic Data'!$B:$B),"")</f>
        <v>TQGXIIPL</v>
      </c>
      <c r="I888" s="35" t="str">
        <f>IFERROR(_xlfn.XLOOKUP(Table6[[#This Row],[Affected WTG]],'Basic Data'!$A:$A,'Basic Data'!$C:$C),"")</f>
        <v>GEDA</v>
      </c>
      <c r="J888" s="471">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291</v>
      </c>
      <c r="N888" s="475"/>
      <c r="O888" s="476">
        <v>5.6250000000000001E-2</v>
      </c>
      <c r="P888" s="476">
        <v>7.013888888888889E-2</v>
      </c>
      <c r="Q888" s="477">
        <v>7.013888888888889E-2</v>
      </c>
      <c r="R888" s="472">
        <f>IF(Table6[[#This Row],[Work Start TimeStamp]]="","",(Table6[[#This Row],[Work Start TimeStamp]]-Table6[[#This Row],[Fault Start TimeStamp]])*24)</f>
        <v>0.33333333333333331</v>
      </c>
      <c r="S888" s="472">
        <f>(Table6[[#This Row],[Fault Clearance time]]-Table6[[#This Row],[Work Start TimeStamp]])*24</f>
        <v>0</v>
      </c>
      <c r="T888" s="472">
        <f>(Table6[[#This Row],[Fault Clearance time]]-Table6[[#This Row],[Fault Start TimeStamp]])*24</f>
        <v>0.33333333333333331</v>
      </c>
      <c r="U888" s="35" t="s">
        <v>1858</v>
      </c>
      <c r="V888" s="102" t="s">
        <v>293</v>
      </c>
      <c r="W888" s="478">
        <f>IFERROR(Table6[[#This Row],[Breakdown Time]]*Table6[[#This Row],[Plant Equivalent Weightage]],"")</f>
        <v>1.2820512820512817E-2</v>
      </c>
      <c r="X888" s="473" t="s">
        <v>290</v>
      </c>
      <c r="Y888" s="474" t="s">
        <v>319</v>
      </c>
      <c r="Z888" s="102">
        <v>30683</v>
      </c>
      <c r="AA888" s="468">
        <f>(Table6[[#This Row],[Paired WTG Generation for loss calculation]]/24)*Table6[[#This Row],[Breakdown Time]]</f>
        <v>426.15277777777771</v>
      </c>
      <c r="AB888" s="102"/>
      <c r="AC888" s="35"/>
      <c r="AD888" s="35"/>
    </row>
    <row r="889" spans="1:30">
      <c r="A889" s="102">
        <f t="shared" si="14"/>
        <v>888</v>
      </c>
      <c r="B889" s="468">
        <f>YEAR(Table6[[#This Row],[Date]])+IF(MONTH(Table6[[#This Row],[Date]])&gt;=4,1,0)</f>
        <v>2026</v>
      </c>
      <c r="C889" s="102">
        <f>YEAR(Table6[[#This Row],[Date]])</f>
        <v>2025</v>
      </c>
      <c r="D889" s="102" t="s">
        <v>1992</v>
      </c>
      <c r="E889" s="469">
        <f>Table6[[#This Row],[Date]]-DAY(Table6[[#This Row],[Date]])+1</f>
        <v>45778</v>
      </c>
      <c r="F889" s="470">
        <v>45803</v>
      </c>
      <c r="G889" s="35" t="s">
        <v>96</v>
      </c>
      <c r="H889" s="35" t="str">
        <f>IFERROR(_xlfn.XLOOKUP(Table6[[#This Row],[Affected WTG]],'Basic Data'!$A:$A,'Basic Data'!$B:$B),"")</f>
        <v>TQGXIIPL</v>
      </c>
      <c r="I889" s="35" t="str">
        <f>IFERROR(_xlfn.XLOOKUP(Table6[[#This Row],[Affected WTG]],'Basic Data'!$A:$A,'Basic Data'!$C:$C),"")</f>
        <v>GEDA</v>
      </c>
      <c r="J889" s="471">
        <f>IFERROR(_xlfn.XLOOKUP(Table6[[#This Row],[Affected WTG]],'Basic Data'!$A:$A,'Basic Data'!$E:$E),"")</f>
        <v>3.846153846153845E-2</v>
      </c>
      <c r="K889" s="102">
        <v>58</v>
      </c>
      <c r="L889" s="35" t="str">
        <f>IFERROR(_xlfn.XLOOKUP(Table6[[#This Row],[Error Code]],'Basic Data'!$AA:$AA,'Basic Data'!$AB:$AB),"Incorrect Error Code")</f>
        <v>Wind dir.dev. level 2</v>
      </c>
      <c r="M889" s="35" t="s">
        <v>292</v>
      </c>
      <c r="N889" s="475"/>
      <c r="O889" s="476">
        <v>8.3333333333333332E-3</v>
      </c>
      <c r="P889" s="476">
        <v>1.0416666666666666E-2</v>
      </c>
      <c r="Q889" s="477">
        <v>1.0416666666666666E-2</v>
      </c>
      <c r="R889" s="472">
        <f>IF(Table6[[#This Row],[Work Start TimeStamp]]="","",(Table6[[#This Row],[Work Start TimeStamp]]-Table6[[#This Row],[Fault Start TimeStamp]])*24)</f>
        <v>4.9999999999999989E-2</v>
      </c>
      <c r="S889" s="472">
        <f>(Table6[[#This Row],[Fault Clearance time]]-Table6[[#This Row],[Work Start TimeStamp]])*24</f>
        <v>0</v>
      </c>
      <c r="T889" s="472">
        <f>(Table6[[#This Row],[Fault Clearance time]]-Table6[[#This Row],[Fault Start TimeStamp]])*24</f>
        <v>4.9999999999999989E-2</v>
      </c>
      <c r="U889" s="35" t="s">
        <v>336</v>
      </c>
      <c r="V889" s="102" t="s">
        <v>293</v>
      </c>
      <c r="W889" s="478">
        <f>IFERROR(Table6[[#This Row],[Breakdown Time]]*Table6[[#This Row],[Plant Equivalent Weightage]],"")</f>
        <v>1.9230769230769221E-3</v>
      </c>
      <c r="X889" s="473" t="s">
        <v>294</v>
      </c>
      <c r="Y889" s="474" t="s">
        <v>313</v>
      </c>
      <c r="Z889" s="102">
        <v>29120</v>
      </c>
      <c r="AA889" s="468">
        <f>(Table6[[#This Row],[Paired WTG Generation for loss calculation]]/24)*Table6[[#This Row],[Breakdown Time]]</f>
        <v>60.66666666666665</v>
      </c>
      <c r="AB889" s="102"/>
      <c r="AC889" s="35"/>
      <c r="AD889" s="35"/>
    </row>
    <row r="890" spans="1:30">
      <c r="A890" s="102">
        <f t="shared" si="14"/>
        <v>889</v>
      </c>
      <c r="B890" s="468">
        <f>YEAR(Table6[[#This Row],[Date]])+IF(MONTH(Table6[[#This Row],[Date]])&gt;=4,1,0)</f>
        <v>2026</v>
      </c>
      <c r="C890" s="102">
        <f>YEAR(Table6[[#This Row],[Date]])</f>
        <v>2025</v>
      </c>
      <c r="D890" s="102" t="s">
        <v>1992</v>
      </c>
      <c r="E890" s="469">
        <f>Table6[[#This Row],[Date]]-DAY(Table6[[#This Row],[Date]])+1</f>
        <v>45778</v>
      </c>
      <c r="F890" s="470">
        <v>45803</v>
      </c>
      <c r="G890" s="35" t="s">
        <v>96</v>
      </c>
      <c r="H890" s="35" t="str">
        <f>IFERROR(_xlfn.XLOOKUP(Table6[[#This Row],[Affected WTG]],'Basic Data'!$A:$A,'Basic Data'!$B:$B),"")</f>
        <v>TQGXIIPL</v>
      </c>
      <c r="I890" s="35" t="str">
        <f>IFERROR(_xlfn.XLOOKUP(Table6[[#This Row],[Affected WTG]],'Basic Data'!$A:$A,'Basic Data'!$C:$C),"")</f>
        <v>GEDA</v>
      </c>
      <c r="J890" s="471">
        <f>IFERROR(_xlfn.XLOOKUP(Table6[[#This Row],[Affected WTG]],'Basic Data'!$A:$A,'Basic Data'!$E:$E),"")</f>
        <v>3.846153846153845E-2</v>
      </c>
      <c r="K890" s="102">
        <v>3420</v>
      </c>
      <c r="L890" s="35" t="str">
        <f>IFERROR(_xlfn.XLOOKUP(Table6[[#This Row],[Error Code]],'Basic Data'!$AA:$AA,'Basic Data'!$AB:$AB),"Incorrect Error Code")</f>
        <v>UPS buffer time too short</v>
      </c>
      <c r="M890" s="35" t="s">
        <v>291</v>
      </c>
      <c r="N890" s="475"/>
      <c r="O890" s="476">
        <v>3.5416666666666666E-2</v>
      </c>
      <c r="P890" s="476">
        <v>5.2083333333333336E-2</v>
      </c>
      <c r="Q890" s="477">
        <v>5.2083333333333336E-2</v>
      </c>
      <c r="R890" s="472">
        <f>IF(Table6[[#This Row],[Work Start TimeStamp]]="","",(Table6[[#This Row],[Work Start TimeStamp]]-Table6[[#This Row],[Fault Start TimeStamp]])*24)</f>
        <v>0.40000000000000008</v>
      </c>
      <c r="S890" s="472">
        <f>(Table6[[#This Row],[Fault Clearance time]]-Table6[[#This Row],[Work Start TimeStamp]])*24</f>
        <v>0</v>
      </c>
      <c r="T890" s="472">
        <f>(Table6[[#This Row],[Fault Clearance time]]-Table6[[#This Row],[Fault Start TimeStamp]])*24</f>
        <v>0.40000000000000008</v>
      </c>
      <c r="U890" s="35" t="s">
        <v>1858</v>
      </c>
      <c r="V890" s="102" t="s">
        <v>293</v>
      </c>
      <c r="W890" s="478">
        <f>IFERROR(Table6[[#This Row],[Breakdown Time]]*Table6[[#This Row],[Plant Equivalent Weightage]],"")</f>
        <v>1.5384615384615384E-2</v>
      </c>
      <c r="X890" s="473" t="s">
        <v>290</v>
      </c>
      <c r="Y890" s="474" t="s">
        <v>313</v>
      </c>
      <c r="Z890" s="102">
        <v>29120</v>
      </c>
      <c r="AA890" s="468">
        <f>(Table6[[#This Row],[Paired WTG Generation for loss calculation]]/24)*Table6[[#This Row],[Breakdown Time]]</f>
        <v>485.33333333333337</v>
      </c>
      <c r="AB890" s="102"/>
      <c r="AC890" s="35"/>
      <c r="AD890" s="35"/>
    </row>
    <row r="891" spans="1:30">
      <c r="A891" s="102">
        <f t="shared" si="14"/>
        <v>890</v>
      </c>
      <c r="B891" s="468">
        <f>YEAR(Table6[[#This Row],[Date]])+IF(MONTH(Table6[[#This Row],[Date]])&gt;=4,1,0)</f>
        <v>2026</v>
      </c>
      <c r="C891" s="102">
        <f>YEAR(Table6[[#This Row],[Date]])</f>
        <v>2025</v>
      </c>
      <c r="D891" s="102" t="s">
        <v>1992</v>
      </c>
      <c r="E891" s="469">
        <f>Table6[[#This Row],[Date]]-DAY(Table6[[#This Row],[Date]])+1</f>
        <v>45778</v>
      </c>
      <c r="F891" s="470">
        <v>45803</v>
      </c>
      <c r="G891" s="35" t="s">
        <v>97</v>
      </c>
      <c r="H891" s="35" t="str">
        <f>IFERROR(_xlfn.XLOOKUP(Table6[[#This Row],[Affected WTG]],'Basic Data'!$A:$A,'Basic Data'!$B:$B),"")</f>
        <v>TQGXIIPL</v>
      </c>
      <c r="I891" s="35" t="str">
        <f>IFERROR(_xlfn.XLOOKUP(Table6[[#This Row],[Affected WTG]],'Basic Data'!$A:$A,'Basic Data'!$C:$C),"")</f>
        <v>GEDA</v>
      </c>
      <c r="J891" s="471">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291</v>
      </c>
      <c r="N891" s="475"/>
      <c r="O891" s="476">
        <v>3.6111111111111108E-2</v>
      </c>
      <c r="P891" s="476">
        <v>5.2777777777777778E-2</v>
      </c>
      <c r="Q891" s="477">
        <v>5.2777777777777778E-2</v>
      </c>
      <c r="R891" s="472">
        <f>IF(Table6[[#This Row],[Work Start TimeStamp]]="","",(Table6[[#This Row],[Work Start TimeStamp]]-Table6[[#This Row],[Fault Start TimeStamp]])*24)</f>
        <v>0.40000000000000008</v>
      </c>
      <c r="S891" s="472">
        <f>(Table6[[#This Row],[Fault Clearance time]]-Table6[[#This Row],[Work Start TimeStamp]])*24</f>
        <v>0</v>
      </c>
      <c r="T891" s="472">
        <f>(Table6[[#This Row],[Fault Clearance time]]-Table6[[#This Row],[Fault Start TimeStamp]])*24</f>
        <v>0.40000000000000008</v>
      </c>
      <c r="U891" s="35" t="s">
        <v>1858</v>
      </c>
      <c r="V891" s="102" t="s">
        <v>293</v>
      </c>
      <c r="W891" s="478">
        <f>IFERROR(Table6[[#This Row],[Breakdown Time]]*Table6[[#This Row],[Plant Equivalent Weightage]],"")</f>
        <v>1.5384615384615384E-2</v>
      </c>
      <c r="X891" s="473" t="s">
        <v>290</v>
      </c>
      <c r="Y891" s="474" t="s">
        <v>320</v>
      </c>
      <c r="Z891" s="102">
        <v>26825</v>
      </c>
      <c r="AA891" s="468">
        <f>(Table6[[#This Row],[Paired WTG Generation for loss calculation]]/24)*Table6[[#This Row],[Breakdown Time]]</f>
        <v>447.08333333333337</v>
      </c>
      <c r="AB891" s="102"/>
      <c r="AC891" s="35"/>
      <c r="AD891" s="35"/>
    </row>
    <row r="892" spans="1:30">
      <c r="A892" s="102">
        <f t="shared" si="14"/>
        <v>891</v>
      </c>
      <c r="B892" s="468">
        <f>YEAR(Table6[[#This Row],[Date]])+IF(MONTH(Table6[[#This Row],[Date]])&gt;=4,1,0)</f>
        <v>2026</v>
      </c>
      <c r="C892" s="102">
        <f>YEAR(Table6[[#This Row],[Date]])</f>
        <v>2025</v>
      </c>
      <c r="D892" s="102" t="s">
        <v>1992</v>
      </c>
      <c r="E892" s="469">
        <f>Table6[[#This Row],[Date]]-DAY(Table6[[#This Row],[Date]])+1</f>
        <v>45778</v>
      </c>
      <c r="F892" s="470">
        <v>45803</v>
      </c>
      <c r="G892" s="35" t="s">
        <v>98</v>
      </c>
      <c r="H892" s="35" t="str">
        <f>IFERROR(_xlfn.XLOOKUP(Table6[[#This Row],[Affected WTG]],'Basic Data'!$A:$A,'Basic Data'!$B:$B),"")</f>
        <v>TQGXIIPL</v>
      </c>
      <c r="I892" s="35" t="str">
        <f>IFERROR(_xlfn.XLOOKUP(Table6[[#This Row],[Affected WTG]],'Basic Data'!$A:$A,'Basic Data'!$C:$C),"")</f>
        <v>GEDA</v>
      </c>
      <c r="J892" s="471">
        <f>IFERROR(_xlfn.XLOOKUP(Table6[[#This Row],[Affected WTG]],'Basic Data'!$A:$A,'Basic Data'!$E:$E),"")</f>
        <v>3.846153846153845E-2</v>
      </c>
      <c r="K892" s="102">
        <v>58</v>
      </c>
      <c r="L892" s="35" t="str">
        <f>IFERROR(_xlfn.XLOOKUP(Table6[[#This Row],[Error Code]],'Basic Data'!$AA:$AA,'Basic Data'!$AB:$AB),"Incorrect Error Code")</f>
        <v>Wind dir.dev. level 2</v>
      </c>
      <c r="M892" s="35" t="s">
        <v>292</v>
      </c>
      <c r="N892" s="475"/>
      <c r="O892" s="476">
        <v>3.472222222222222E-3</v>
      </c>
      <c r="P892" s="476">
        <v>5.5555555555555558E-3</v>
      </c>
      <c r="Q892" s="477">
        <v>5.5555555555555558E-3</v>
      </c>
      <c r="R892" s="472">
        <f>IF(Table6[[#This Row],[Work Start TimeStamp]]="","",(Table6[[#This Row],[Work Start TimeStamp]]-Table6[[#This Row],[Fault Start TimeStamp]])*24)</f>
        <v>5.000000000000001E-2</v>
      </c>
      <c r="S892" s="472">
        <f>(Table6[[#This Row],[Fault Clearance time]]-Table6[[#This Row],[Work Start TimeStamp]])*24</f>
        <v>0</v>
      </c>
      <c r="T892" s="472">
        <f>(Table6[[#This Row],[Fault Clearance time]]-Table6[[#This Row],[Fault Start TimeStamp]])*24</f>
        <v>5.000000000000001E-2</v>
      </c>
      <c r="U892" s="35" t="s">
        <v>336</v>
      </c>
      <c r="V892" s="102" t="s">
        <v>293</v>
      </c>
      <c r="W892" s="478">
        <f>IFERROR(Table6[[#This Row],[Breakdown Time]]*Table6[[#This Row],[Plant Equivalent Weightage]],"")</f>
        <v>1.923076923076923E-3</v>
      </c>
      <c r="X892" s="473" t="s">
        <v>294</v>
      </c>
      <c r="Y892" s="474" t="s">
        <v>315</v>
      </c>
      <c r="Z892" s="102">
        <v>30294</v>
      </c>
      <c r="AA892" s="468">
        <f>(Table6[[#This Row],[Paired WTG Generation for loss calculation]]/24)*Table6[[#This Row],[Breakdown Time]]</f>
        <v>63.112500000000011</v>
      </c>
      <c r="AB892" s="102"/>
      <c r="AC892" s="35"/>
      <c r="AD892" s="35"/>
    </row>
    <row r="893" spans="1:30">
      <c r="A893" s="102">
        <f t="shared" si="14"/>
        <v>892</v>
      </c>
      <c r="B893" s="468">
        <f>YEAR(Table6[[#This Row],[Date]])+IF(MONTH(Table6[[#This Row],[Date]])&gt;=4,1,0)</f>
        <v>2026</v>
      </c>
      <c r="C893" s="102">
        <f>YEAR(Table6[[#This Row],[Date]])</f>
        <v>2025</v>
      </c>
      <c r="D893" s="102" t="s">
        <v>1992</v>
      </c>
      <c r="E893" s="469">
        <f>Table6[[#This Row],[Date]]-DAY(Table6[[#This Row],[Date]])+1</f>
        <v>45778</v>
      </c>
      <c r="F893" s="470">
        <v>45803</v>
      </c>
      <c r="G893" s="35" t="s">
        <v>98</v>
      </c>
      <c r="H893" s="35" t="str">
        <f>IFERROR(_xlfn.XLOOKUP(Table6[[#This Row],[Affected WTG]],'Basic Data'!$A:$A,'Basic Data'!$B:$B),"")</f>
        <v>TQGXIIPL</v>
      </c>
      <c r="I893" s="35" t="str">
        <f>IFERROR(_xlfn.XLOOKUP(Table6[[#This Row],[Affected WTG]],'Basic Data'!$A:$A,'Basic Data'!$C:$C),"")</f>
        <v>GEDA</v>
      </c>
      <c r="J893" s="471">
        <f>IFERROR(_xlfn.XLOOKUP(Table6[[#This Row],[Affected WTG]],'Basic Data'!$A:$A,'Basic Data'!$E:$E),"")</f>
        <v>3.846153846153845E-2</v>
      </c>
      <c r="K893" s="102">
        <v>3420</v>
      </c>
      <c r="L893" s="35" t="str">
        <f>IFERROR(_xlfn.XLOOKUP(Table6[[#This Row],[Error Code]],'Basic Data'!$AA:$AA,'Basic Data'!$AB:$AB),"Incorrect Error Code")</f>
        <v>UPS buffer time too short</v>
      </c>
      <c r="M893" s="35" t="s">
        <v>291</v>
      </c>
      <c r="N893" s="475"/>
      <c r="O893" s="476">
        <v>3.5416666666666666E-2</v>
      </c>
      <c r="P893" s="476">
        <v>5.2083333333333336E-2</v>
      </c>
      <c r="Q893" s="477">
        <v>5.2083333333333336E-2</v>
      </c>
      <c r="R893" s="472">
        <f>IF(Table6[[#This Row],[Work Start TimeStamp]]="","",(Table6[[#This Row],[Work Start TimeStamp]]-Table6[[#This Row],[Fault Start TimeStamp]])*24)</f>
        <v>0.40000000000000008</v>
      </c>
      <c r="S893" s="472">
        <f>(Table6[[#This Row],[Fault Clearance time]]-Table6[[#This Row],[Work Start TimeStamp]])*24</f>
        <v>0</v>
      </c>
      <c r="T893" s="472">
        <f>(Table6[[#This Row],[Fault Clearance time]]-Table6[[#This Row],[Fault Start TimeStamp]])*24</f>
        <v>0.40000000000000008</v>
      </c>
      <c r="U893" s="35" t="s">
        <v>1858</v>
      </c>
      <c r="V893" s="102" t="s">
        <v>293</v>
      </c>
      <c r="W893" s="478">
        <f>IFERROR(Table6[[#This Row],[Breakdown Time]]*Table6[[#This Row],[Plant Equivalent Weightage]],"")</f>
        <v>1.5384615384615384E-2</v>
      </c>
      <c r="X893" s="473" t="s">
        <v>290</v>
      </c>
      <c r="Y893" s="474" t="s">
        <v>315</v>
      </c>
      <c r="Z893" s="102">
        <v>30294</v>
      </c>
      <c r="AA893" s="468">
        <f>(Table6[[#This Row],[Paired WTG Generation for loss calculation]]/24)*Table6[[#This Row],[Breakdown Time]]</f>
        <v>504.90000000000009</v>
      </c>
      <c r="AB893" s="102"/>
      <c r="AC893" s="35"/>
      <c r="AD893" s="35"/>
    </row>
    <row r="894" spans="1:30">
      <c r="A894" s="102">
        <f t="shared" si="14"/>
        <v>893</v>
      </c>
      <c r="B894" s="468">
        <f>YEAR(Table6[[#This Row],[Date]])+IF(MONTH(Table6[[#This Row],[Date]])&gt;=4,1,0)</f>
        <v>2026</v>
      </c>
      <c r="C894" s="102">
        <f>YEAR(Table6[[#This Row],[Date]])</f>
        <v>2025</v>
      </c>
      <c r="D894" s="102" t="s">
        <v>1992</v>
      </c>
      <c r="E894" s="469">
        <f>Table6[[#This Row],[Date]]-DAY(Table6[[#This Row],[Date]])+1</f>
        <v>45778</v>
      </c>
      <c r="F894" s="470">
        <v>45803</v>
      </c>
      <c r="G894" s="35" t="s">
        <v>98</v>
      </c>
      <c r="H894" s="35" t="str">
        <f>IFERROR(_xlfn.XLOOKUP(Table6[[#This Row],[Affected WTG]],'Basic Data'!$A:$A,'Basic Data'!$B:$B),"")</f>
        <v>TQGXIIPL</v>
      </c>
      <c r="I894" s="35" t="str">
        <f>IFERROR(_xlfn.XLOOKUP(Table6[[#This Row],[Affected WTG]],'Basic Data'!$A:$A,'Basic Data'!$C:$C),"")</f>
        <v>GEDA</v>
      </c>
      <c r="J894" s="471">
        <f>IFERROR(_xlfn.XLOOKUP(Table6[[#This Row],[Affected WTG]],'Basic Data'!$A:$A,'Basic Data'!$E:$E),"")</f>
        <v>3.846153846153845E-2</v>
      </c>
      <c r="K894" s="102">
        <v>55</v>
      </c>
      <c r="L894" s="35" t="str">
        <f>IFERROR(_xlfn.XLOOKUP(Table6[[#This Row],[Error Code]],'Basic Data'!$AA:$AA,'Basic Data'!$AB:$AB),"Incorrect Error Code")</f>
        <v>WTG shut down</v>
      </c>
      <c r="M894" s="35" t="s">
        <v>330</v>
      </c>
      <c r="N894" s="475"/>
      <c r="O894" s="476">
        <v>0.17847222222222223</v>
      </c>
      <c r="P894" s="476">
        <v>0.21180555555555555</v>
      </c>
      <c r="Q894" s="477">
        <v>0.21180555555555555</v>
      </c>
      <c r="R894" s="472">
        <f>IF(Table6[[#This Row],[Work Start TimeStamp]]="","",(Table6[[#This Row],[Work Start TimeStamp]]-Table6[[#This Row],[Fault Start TimeStamp]])*24)</f>
        <v>0.79999999999999982</v>
      </c>
      <c r="S894" s="472">
        <f>(Table6[[#This Row],[Fault Clearance time]]-Table6[[#This Row],[Work Start TimeStamp]])*24</f>
        <v>0</v>
      </c>
      <c r="T894" s="472">
        <f>(Table6[[#This Row],[Fault Clearance time]]-Table6[[#This Row],[Fault Start TimeStamp]])*24</f>
        <v>0.79999999999999982</v>
      </c>
      <c r="U894" s="35" t="s">
        <v>1744</v>
      </c>
      <c r="V894" s="102" t="s">
        <v>293</v>
      </c>
      <c r="W894" s="478">
        <f>IFERROR(Table6[[#This Row],[Breakdown Time]]*Table6[[#This Row],[Plant Equivalent Weightage]],"")</f>
        <v>3.0769230769230754E-2</v>
      </c>
      <c r="X894" s="473" t="s">
        <v>294</v>
      </c>
      <c r="Y894" s="474" t="s">
        <v>315</v>
      </c>
      <c r="Z894" s="102">
        <v>30294</v>
      </c>
      <c r="AA894" s="468">
        <f>(Table6[[#This Row],[Paired WTG Generation for loss calculation]]/24)*Table6[[#This Row],[Breakdown Time]]</f>
        <v>1009.7999999999997</v>
      </c>
      <c r="AB894" s="102"/>
      <c r="AC894" s="35"/>
      <c r="AD894" s="35"/>
    </row>
    <row r="895" spans="1:30">
      <c r="A895" s="102">
        <f t="shared" si="14"/>
        <v>894</v>
      </c>
      <c r="B895" s="468">
        <f>YEAR(Table6[[#This Row],[Date]])+IF(MONTH(Table6[[#This Row],[Date]])&gt;=4,1,0)</f>
        <v>2026</v>
      </c>
      <c r="C895" s="102">
        <f>YEAR(Table6[[#This Row],[Date]])</f>
        <v>2025</v>
      </c>
      <c r="D895" s="102" t="s">
        <v>1992</v>
      </c>
      <c r="E895" s="469">
        <f>Table6[[#This Row],[Date]]-DAY(Table6[[#This Row],[Date]])+1</f>
        <v>45778</v>
      </c>
      <c r="F895" s="470">
        <v>45803</v>
      </c>
      <c r="G895" s="35" t="s">
        <v>98</v>
      </c>
      <c r="H895" s="35" t="str">
        <f>IFERROR(_xlfn.XLOOKUP(Table6[[#This Row],[Affected WTG]],'Basic Data'!$A:$A,'Basic Data'!$B:$B),"")</f>
        <v>TQGXIIPL</v>
      </c>
      <c r="I895" s="35" t="str">
        <f>IFERROR(_xlfn.XLOOKUP(Table6[[#This Row],[Affected WTG]],'Basic Data'!$A:$A,'Basic Data'!$C:$C),"")</f>
        <v>GEDA</v>
      </c>
      <c r="J895" s="471">
        <f>IFERROR(_xlfn.XLOOKUP(Table6[[#This Row],[Affected WTG]],'Basic Data'!$A:$A,'Basic Data'!$E:$E),"")</f>
        <v>3.846153846153845E-2</v>
      </c>
      <c r="K895" s="102">
        <v>55</v>
      </c>
      <c r="L895" s="35" t="str">
        <f>IFERROR(_xlfn.XLOOKUP(Table6[[#This Row],[Error Code]],'Basic Data'!$AA:$AA,'Basic Data'!$AB:$AB),"Incorrect Error Code")</f>
        <v>WTG shut down</v>
      </c>
      <c r="M895" s="35" t="s">
        <v>330</v>
      </c>
      <c r="N895" s="475"/>
      <c r="O895" s="476">
        <v>0.21805555555555556</v>
      </c>
      <c r="P895" s="476">
        <v>0.26319444444444445</v>
      </c>
      <c r="Q895" s="477">
        <v>0.26319444444444445</v>
      </c>
      <c r="R895" s="472">
        <f>IF(Table6[[#This Row],[Work Start TimeStamp]]="","",(Table6[[#This Row],[Work Start TimeStamp]]-Table6[[#This Row],[Fault Start TimeStamp]])*24)</f>
        <v>1.0833333333333335</v>
      </c>
      <c r="S895" s="472">
        <f>(Table6[[#This Row],[Fault Clearance time]]-Table6[[#This Row],[Work Start TimeStamp]])*24</f>
        <v>0</v>
      </c>
      <c r="T895" s="472">
        <f>(Table6[[#This Row],[Fault Clearance time]]-Table6[[#This Row],[Fault Start TimeStamp]])*24</f>
        <v>1.0833333333333335</v>
      </c>
      <c r="U895" s="35" t="s">
        <v>1744</v>
      </c>
      <c r="V895" s="102" t="s">
        <v>293</v>
      </c>
      <c r="W895" s="478">
        <f>IFERROR(Table6[[#This Row],[Breakdown Time]]*Table6[[#This Row],[Plant Equivalent Weightage]],"")</f>
        <v>4.1666666666666657E-2</v>
      </c>
      <c r="X895" s="473" t="s">
        <v>294</v>
      </c>
      <c r="Y895" s="474" t="s">
        <v>315</v>
      </c>
      <c r="Z895" s="102">
        <v>30294</v>
      </c>
      <c r="AA895" s="468">
        <f>(Table6[[#This Row],[Paired WTG Generation for loss calculation]]/24)*Table6[[#This Row],[Breakdown Time]]</f>
        <v>1367.4375000000002</v>
      </c>
      <c r="AB895" s="102"/>
      <c r="AC895" s="35"/>
      <c r="AD895" s="35"/>
    </row>
    <row r="896" spans="1:30">
      <c r="A896" s="102">
        <f t="shared" si="14"/>
        <v>895</v>
      </c>
      <c r="B896" s="468">
        <f>YEAR(Table6[[#This Row],[Date]])+IF(MONTH(Table6[[#This Row],[Date]])&gt;=4,1,0)</f>
        <v>2026</v>
      </c>
      <c r="C896" s="102">
        <f>YEAR(Table6[[#This Row],[Date]])</f>
        <v>2025</v>
      </c>
      <c r="D896" s="102" t="s">
        <v>1992</v>
      </c>
      <c r="E896" s="469">
        <f>Table6[[#This Row],[Date]]-DAY(Table6[[#This Row],[Date]])+1</f>
        <v>45778</v>
      </c>
      <c r="F896" s="470">
        <v>45803</v>
      </c>
      <c r="G896" s="35" t="s">
        <v>99</v>
      </c>
      <c r="H896" s="35" t="str">
        <f>IFERROR(_xlfn.XLOOKUP(Table6[[#This Row],[Affected WTG]],'Basic Data'!$A:$A,'Basic Data'!$B:$B),"")</f>
        <v>TQGXIIPL</v>
      </c>
      <c r="I896" s="35" t="str">
        <f>IFERROR(_xlfn.XLOOKUP(Table6[[#This Row],[Affected WTG]],'Basic Data'!$A:$A,'Basic Data'!$C:$C),"")</f>
        <v>GEDA</v>
      </c>
      <c r="J896" s="471">
        <f>IFERROR(_xlfn.XLOOKUP(Table6[[#This Row],[Affected WTG]],'Basic Data'!$A:$A,'Basic Data'!$E:$E),"")</f>
        <v>3.846153846153845E-2</v>
      </c>
      <c r="K896" s="102">
        <v>675</v>
      </c>
      <c r="L896" s="35" t="str">
        <f>IFERROR(_xlfn.XLOOKUP(Table6[[#This Row],[Error Code]],'Basic Data'!$AA:$AA,'Basic Data'!$AB:$AB),"Incorrect Error Code")</f>
        <v>Pitch measuring system 1&gt;&lt;2</v>
      </c>
      <c r="M896" s="35" t="s">
        <v>291</v>
      </c>
      <c r="N896" s="475"/>
      <c r="O896" s="476">
        <v>3.5416666666666666E-2</v>
      </c>
      <c r="P896" s="476">
        <v>5.2777777777777778E-2</v>
      </c>
      <c r="Q896" s="477">
        <v>5.2777777777777778E-2</v>
      </c>
      <c r="R896" s="472">
        <f>IF(Table6[[#This Row],[Work Start TimeStamp]]="","",(Table6[[#This Row],[Work Start TimeStamp]]-Table6[[#This Row],[Fault Start TimeStamp]])*24)</f>
        <v>0.41666666666666669</v>
      </c>
      <c r="S896" s="472">
        <f>(Table6[[#This Row],[Fault Clearance time]]-Table6[[#This Row],[Work Start TimeStamp]])*24</f>
        <v>0</v>
      </c>
      <c r="T896" s="472">
        <f>(Table6[[#This Row],[Fault Clearance time]]-Table6[[#This Row],[Fault Start TimeStamp]])*24</f>
        <v>0.41666666666666669</v>
      </c>
      <c r="U896" s="35" t="s">
        <v>1858</v>
      </c>
      <c r="V896" s="102" t="s">
        <v>293</v>
      </c>
      <c r="W896" s="478">
        <f>IFERROR(Table6[[#This Row],[Breakdown Time]]*Table6[[#This Row],[Plant Equivalent Weightage]],"")</f>
        <v>1.6025641025641021E-2</v>
      </c>
      <c r="X896" s="473" t="s">
        <v>290</v>
      </c>
      <c r="Y896" s="474" t="s">
        <v>315</v>
      </c>
      <c r="Z896" s="102">
        <v>30294</v>
      </c>
      <c r="AA896" s="468">
        <f>(Table6[[#This Row],[Paired WTG Generation for loss calculation]]/24)*Table6[[#This Row],[Breakdown Time]]</f>
        <v>525.9375</v>
      </c>
      <c r="AB896" s="102"/>
      <c r="AC896" s="35"/>
      <c r="AD896" s="35"/>
    </row>
    <row r="897" spans="1:30">
      <c r="A897" s="102">
        <f t="shared" si="14"/>
        <v>896</v>
      </c>
      <c r="B897" s="468">
        <f>YEAR(Table6[[#This Row],[Date]])+IF(MONTH(Table6[[#This Row],[Date]])&gt;=4,1,0)</f>
        <v>2026</v>
      </c>
      <c r="C897" s="102">
        <f>YEAR(Table6[[#This Row],[Date]])</f>
        <v>2025</v>
      </c>
      <c r="D897" s="102" t="s">
        <v>1992</v>
      </c>
      <c r="E897" s="469">
        <f>Table6[[#This Row],[Date]]-DAY(Table6[[#This Row],[Date]])+1</f>
        <v>45778</v>
      </c>
      <c r="F897" s="470">
        <v>45804</v>
      </c>
      <c r="G897" s="35" t="s">
        <v>76</v>
      </c>
      <c r="H897" s="35" t="str">
        <f>IFERROR(_xlfn.XLOOKUP(Table6[[#This Row],[Affected WTG]],'Basic Data'!$A:$A,'Basic Data'!$B:$B),"")</f>
        <v>TQGXIIPL</v>
      </c>
      <c r="I897" s="35" t="str">
        <f>IFERROR(_xlfn.XLOOKUP(Table6[[#This Row],[Affected WTG]],'Basic Data'!$A:$A,'Basic Data'!$C:$C),"")</f>
        <v>GEDA</v>
      </c>
      <c r="J897" s="471">
        <f>IFERROR(_xlfn.XLOOKUP(Table6[[#This Row],[Affected WTG]],'Basic Data'!$A:$A,'Basic Data'!$E:$E),"")</f>
        <v>3.846153846153845E-2</v>
      </c>
      <c r="K897" s="102">
        <v>55</v>
      </c>
      <c r="L897" s="35" t="str">
        <f>IFERROR(_xlfn.XLOOKUP(Table6[[#This Row],[Error Code]],'Basic Data'!$AA:$AA,'Basic Data'!$AB:$AB),"Incorrect Error Code")</f>
        <v>WTG shut down</v>
      </c>
      <c r="M897" s="35" t="s">
        <v>330</v>
      </c>
      <c r="N897" s="475"/>
      <c r="O897" s="476">
        <v>1.5972222222222221E-2</v>
      </c>
      <c r="P897" s="476">
        <v>0.26944444444444443</v>
      </c>
      <c r="Q897" s="477">
        <v>0.26944444444444443</v>
      </c>
      <c r="R897" s="472">
        <f>IF(Table6[[#This Row],[Work Start TimeStamp]]="","",(Table6[[#This Row],[Work Start TimeStamp]]-Table6[[#This Row],[Fault Start TimeStamp]])*24)</f>
        <v>6.083333333333333</v>
      </c>
      <c r="S897" s="472">
        <f>(Table6[[#This Row],[Fault Clearance time]]-Table6[[#This Row],[Work Start TimeStamp]])*24</f>
        <v>0</v>
      </c>
      <c r="T897" s="472">
        <f>(Table6[[#This Row],[Fault Clearance time]]-Table6[[#This Row],[Fault Start TimeStamp]])*24</f>
        <v>6.083333333333333</v>
      </c>
      <c r="U897" s="35" t="s">
        <v>1744</v>
      </c>
      <c r="V897" s="102" t="s">
        <v>293</v>
      </c>
      <c r="W897" s="478">
        <f>IFERROR(Table6[[#This Row],[Breakdown Time]]*Table6[[#This Row],[Plant Equivalent Weightage]],"")</f>
        <v>0.23397435897435889</v>
      </c>
      <c r="X897" s="473" t="s">
        <v>294</v>
      </c>
      <c r="Y897" s="474" t="s">
        <v>309</v>
      </c>
      <c r="Z897" s="102">
        <v>43632</v>
      </c>
      <c r="AA897" s="468">
        <f>(Table6[[#This Row],[Paired WTG Generation for loss calculation]]/24)*Table6[[#This Row],[Breakdown Time]]</f>
        <v>11059.5</v>
      </c>
      <c r="AB897" s="102"/>
      <c r="AC897" s="35"/>
      <c r="AD897" s="35"/>
    </row>
    <row r="898" spans="1:30">
      <c r="A898" s="102">
        <f t="shared" si="14"/>
        <v>897</v>
      </c>
      <c r="B898" s="468">
        <f>YEAR(Table6[[#This Row],[Date]])+IF(MONTH(Table6[[#This Row],[Date]])&gt;=4,1,0)</f>
        <v>2026</v>
      </c>
      <c r="C898" s="102">
        <f>YEAR(Table6[[#This Row],[Date]])</f>
        <v>2025</v>
      </c>
      <c r="D898" s="102" t="s">
        <v>1992</v>
      </c>
      <c r="E898" s="469">
        <f>Table6[[#This Row],[Date]]-DAY(Table6[[#This Row],[Date]])+1</f>
        <v>45778</v>
      </c>
      <c r="F898" s="470">
        <v>45804</v>
      </c>
      <c r="G898" s="35" t="s">
        <v>78</v>
      </c>
      <c r="H898" s="35" t="str">
        <f>IFERROR(_xlfn.XLOOKUP(Table6[[#This Row],[Affected WTG]],'Basic Data'!$A:$A,'Basic Data'!$B:$B),"")</f>
        <v>TQGXIIPL</v>
      </c>
      <c r="I898" s="35" t="str">
        <f>IFERROR(_xlfn.XLOOKUP(Table6[[#This Row],[Affected WTG]],'Basic Data'!$A:$A,'Basic Data'!$C:$C),"")</f>
        <v>GEDA</v>
      </c>
      <c r="J898" s="471">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291</v>
      </c>
      <c r="N898" s="475"/>
      <c r="O898" s="476">
        <v>0.27708333333333335</v>
      </c>
      <c r="P898" s="476">
        <v>0.28472222222222221</v>
      </c>
      <c r="Q898" s="477">
        <v>0.28472222222222221</v>
      </c>
      <c r="R898" s="472">
        <f>IF(Table6[[#This Row],[Work Start TimeStamp]]="","",(Table6[[#This Row],[Work Start TimeStamp]]-Table6[[#This Row],[Fault Start TimeStamp]])*24)</f>
        <v>0.18333333333333268</v>
      </c>
      <c r="S898" s="472">
        <f>(Table6[[#This Row],[Fault Clearance time]]-Table6[[#This Row],[Work Start TimeStamp]])*24</f>
        <v>0</v>
      </c>
      <c r="T898" s="472">
        <f>(Table6[[#This Row],[Fault Clearance time]]-Table6[[#This Row],[Fault Start TimeStamp]])*24</f>
        <v>0.18333333333333268</v>
      </c>
      <c r="U898" s="35" t="s">
        <v>1853</v>
      </c>
      <c r="V898" s="102" t="s">
        <v>293</v>
      </c>
      <c r="W898" s="478">
        <f>IFERROR(Table6[[#This Row],[Breakdown Time]]*Table6[[#This Row],[Plant Equivalent Weightage]],"")</f>
        <v>7.0512820512820245E-3</v>
      </c>
      <c r="X898" s="473" t="s">
        <v>290</v>
      </c>
      <c r="Y898" s="474" t="s">
        <v>333</v>
      </c>
      <c r="Z898" s="102">
        <v>48703</v>
      </c>
      <c r="AA898" s="468">
        <f>(Table6[[#This Row],[Paired WTG Generation for loss calculation]]/24)*Table6[[#This Row],[Breakdown Time]]</f>
        <v>372.03680555555422</v>
      </c>
      <c r="AB898" s="102"/>
      <c r="AC898" s="35"/>
      <c r="AD898" s="35"/>
    </row>
    <row r="899" spans="1:30">
      <c r="A899" s="102">
        <f t="shared" si="14"/>
        <v>898</v>
      </c>
      <c r="B899" s="468">
        <f>YEAR(Table6[[#This Row],[Date]])+IF(MONTH(Table6[[#This Row],[Date]])&gt;=4,1,0)</f>
        <v>2026</v>
      </c>
      <c r="C899" s="102">
        <f>YEAR(Table6[[#This Row],[Date]])</f>
        <v>2025</v>
      </c>
      <c r="D899" s="102" t="s">
        <v>1992</v>
      </c>
      <c r="E899" s="469">
        <f>Table6[[#This Row],[Date]]-DAY(Table6[[#This Row],[Date]])+1</f>
        <v>45778</v>
      </c>
      <c r="F899" s="470">
        <v>45804</v>
      </c>
      <c r="G899" s="35" t="s">
        <v>78</v>
      </c>
      <c r="H899" s="35" t="str">
        <f>IFERROR(_xlfn.XLOOKUP(Table6[[#This Row],[Affected WTG]],'Basic Data'!$A:$A,'Basic Data'!$B:$B),"")</f>
        <v>TQGXIIPL</v>
      </c>
      <c r="I899" s="35" t="str">
        <f>IFERROR(_xlfn.XLOOKUP(Table6[[#This Row],[Affected WTG]],'Basic Data'!$A:$A,'Basic Data'!$C:$C),"")</f>
        <v>GEDA</v>
      </c>
      <c r="J899" s="471">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291</v>
      </c>
      <c r="N899" s="475"/>
      <c r="O899" s="476">
        <v>0.8833333333333333</v>
      </c>
      <c r="P899" s="476">
        <v>0.89861111111111114</v>
      </c>
      <c r="Q899" s="477">
        <v>0.89861111111111114</v>
      </c>
      <c r="R899" s="472">
        <f>IF(Table6[[#This Row],[Work Start TimeStamp]]="","",(Table6[[#This Row],[Work Start TimeStamp]]-Table6[[#This Row],[Fault Start TimeStamp]])*24)</f>
        <v>0.36666666666666803</v>
      </c>
      <c r="S899" s="472">
        <f>(Table6[[#This Row],[Fault Clearance time]]-Table6[[#This Row],[Work Start TimeStamp]])*24</f>
        <v>0</v>
      </c>
      <c r="T899" s="472">
        <f>(Table6[[#This Row],[Fault Clearance time]]-Table6[[#This Row],[Fault Start TimeStamp]])*24</f>
        <v>0.36666666666666803</v>
      </c>
      <c r="U899" s="35" t="s">
        <v>1853</v>
      </c>
      <c r="V899" s="102" t="s">
        <v>293</v>
      </c>
      <c r="W899" s="478">
        <f>IFERROR(Table6[[#This Row],[Breakdown Time]]*Table6[[#This Row],[Plant Equivalent Weightage]],"")</f>
        <v>1.4102564102564151E-2</v>
      </c>
      <c r="X899" s="473" t="s">
        <v>290</v>
      </c>
      <c r="Y899" s="474" t="s">
        <v>333</v>
      </c>
      <c r="Z899" s="102">
        <v>48703</v>
      </c>
      <c r="AA899" s="468">
        <f>(Table6[[#This Row],[Paired WTG Generation for loss calculation]]/24)*Table6[[#This Row],[Breakdown Time]]</f>
        <v>744.07361111111391</v>
      </c>
      <c r="AB899" s="102"/>
      <c r="AC899" s="35"/>
      <c r="AD899" s="35"/>
    </row>
    <row r="900" spans="1:30">
      <c r="A900" s="102">
        <f t="shared" si="14"/>
        <v>899</v>
      </c>
      <c r="B900" s="468">
        <f>YEAR(Table6[[#This Row],[Date]])+IF(MONTH(Table6[[#This Row],[Date]])&gt;=4,1,0)</f>
        <v>2026</v>
      </c>
      <c r="C900" s="102">
        <f>YEAR(Table6[[#This Row],[Date]])</f>
        <v>2025</v>
      </c>
      <c r="D900" s="102" t="s">
        <v>1992</v>
      </c>
      <c r="E900" s="469">
        <f>Table6[[#This Row],[Date]]-DAY(Table6[[#This Row],[Date]])+1</f>
        <v>45778</v>
      </c>
      <c r="F900" s="470">
        <v>45804</v>
      </c>
      <c r="G900" s="35" t="s">
        <v>80</v>
      </c>
      <c r="H900" s="35" t="str">
        <f>IFERROR(_xlfn.XLOOKUP(Table6[[#This Row],[Affected WTG]],'Basic Data'!$A:$A,'Basic Data'!$B:$B),"")</f>
        <v>TQGXIIPL</v>
      </c>
      <c r="I900" s="35" t="str">
        <f>IFERROR(_xlfn.XLOOKUP(Table6[[#This Row],[Affected WTG]],'Basic Data'!$A:$A,'Basic Data'!$C:$C),"")</f>
        <v>GEDA</v>
      </c>
      <c r="J900" s="471">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291</v>
      </c>
      <c r="N900" s="475"/>
      <c r="O900" s="476">
        <v>0.23055555555555557</v>
      </c>
      <c r="P900" s="476">
        <v>0.23819444444444443</v>
      </c>
      <c r="Q900" s="477">
        <v>0.23819444444444443</v>
      </c>
      <c r="R900" s="472">
        <f>IF(Table6[[#This Row],[Work Start TimeStamp]]="","",(Table6[[#This Row],[Work Start TimeStamp]]-Table6[[#This Row],[Fault Start TimeStamp]])*24)</f>
        <v>0.18333333333333268</v>
      </c>
      <c r="S900" s="472">
        <f>(Table6[[#This Row],[Fault Clearance time]]-Table6[[#This Row],[Work Start TimeStamp]])*24</f>
        <v>0</v>
      </c>
      <c r="T900" s="472">
        <f>(Table6[[#This Row],[Fault Clearance time]]-Table6[[#This Row],[Fault Start TimeStamp]])*24</f>
        <v>0.18333333333333268</v>
      </c>
      <c r="U900" s="35" t="s">
        <v>1853</v>
      </c>
      <c r="V900" s="102" t="s">
        <v>293</v>
      </c>
      <c r="W900" s="478">
        <f>IFERROR(Table6[[#This Row],[Breakdown Time]]*Table6[[#This Row],[Plant Equivalent Weightage]],"")</f>
        <v>7.0512820512820245E-3</v>
      </c>
      <c r="X900" s="473" t="s">
        <v>290</v>
      </c>
      <c r="Y900" s="474" t="s">
        <v>317</v>
      </c>
      <c r="Z900" s="102">
        <v>55945</v>
      </c>
      <c r="AA900" s="468">
        <f>(Table6[[#This Row],[Paired WTG Generation for loss calculation]]/24)*Table6[[#This Row],[Breakdown Time]]</f>
        <v>427.35763888888732</v>
      </c>
      <c r="AB900" s="102"/>
      <c r="AC900" s="35"/>
      <c r="AD900" s="35"/>
    </row>
    <row r="901" spans="1:30">
      <c r="A901" s="102">
        <f t="shared" si="14"/>
        <v>900</v>
      </c>
      <c r="B901" s="468">
        <f>YEAR(Table6[[#This Row],[Date]])+IF(MONTH(Table6[[#This Row],[Date]])&gt;=4,1,0)</f>
        <v>2026</v>
      </c>
      <c r="C901" s="102">
        <f>YEAR(Table6[[#This Row],[Date]])</f>
        <v>2025</v>
      </c>
      <c r="D901" s="102" t="s">
        <v>1992</v>
      </c>
      <c r="E901" s="469">
        <f>Table6[[#This Row],[Date]]-DAY(Table6[[#This Row],[Date]])+1</f>
        <v>45778</v>
      </c>
      <c r="F901" s="470">
        <v>45804</v>
      </c>
      <c r="G901" s="35" t="s">
        <v>80</v>
      </c>
      <c r="H901" s="35" t="str">
        <f>IFERROR(_xlfn.XLOOKUP(Table6[[#This Row],[Affected WTG]],'Basic Data'!$A:$A,'Basic Data'!$B:$B),"")</f>
        <v>TQGXIIPL</v>
      </c>
      <c r="I901" s="35" t="str">
        <f>IFERROR(_xlfn.XLOOKUP(Table6[[#This Row],[Affected WTG]],'Basic Data'!$A:$A,'Basic Data'!$C:$C),"")</f>
        <v>GEDA</v>
      </c>
      <c r="J901" s="471">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291</v>
      </c>
      <c r="N901" s="475"/>
      <c r="O901" s="476">
        <v>0.26319444444444445</v>
      </c>
      <c r="P901" s="476">
        <v>0.29444444444444445</v>
      </c>
      <c r="Q901" s="477">
        <v>0.3527777777777778</v>
      </c>
      <c r="R901" s="472">
        <f>IF(Table6[[#This Row],[Work Start TimeStamp]]="","",(Table6[[#This Row],[Work Start TimeStamp]]-Table6[[#This Row],[Fault Start TimeStamp]])*24)</f>
        <v>0.75</v>
      </c>
      <c r="S901" s="472">
        <f>(Table6[[#This Row],[Fault Clearance time]]-Table6[[#This Row],[Work Start TimeStamp]])*24</f>
        <v>1.4000000000000004</v>
      </c>
      <c r="T901" s="472">
        <f>(Table6[[#This Row],[Fault Clearance time]]-Table6[[#This Row],[Fault Start TimeStamp]])*24</f>
        <v>2.1500000000000004</v>
      </c>
      <c r="U901" s="35" t="s">
        <v>1906</v>
      </c>
      <c r="V901" s="102" t="s">
        <v>293</v>
      </c>
      <c r="W901" s="478">
        <f>IFERROR(Table6[[#This Row],[Breakdown Time]]*Table6[[#This Row],[Plant Equivalent Weightage]],"")</f>
        <v>8.2692307692307676E-2</v>
      </c>
      <c r="X901" s="473" t="s">
        <v>290</v>
      </c>
      <c r="Y901" s="474" t="s">
        <v>317</v>
      </c>
      <c r="Z901" s="102">
        <v>55945</v>
      </c>
      <c r="AA901" s="468">
        <f>(Table6[[#This Row],[Paired WTG Generation for loss calculation]]/24)*Table6[[#This Row],[Breakdown Time]]</f>
        <v>5011.7395833333339</v>
      </c>
      <c r="AB901" s="102"/>
      <c r="AC901" s="35"/>
      <c r="AD901" s="35"/>
    </row>
    <row r="902" spans="1:30">
      <c r="A902" s="102">
        <f t="shared" si="14"/>
        <v>901</v>
      </c>
      <c r="B902" s="468">
        <f>YEAR(Table6[[#This Row],[Date]])+IF(MONTH(Table6[[#This Row],[Date]])&gt;=4,1,0)</f>
        <v>2026</v>
      </c>
      <c r="C902" s="102">
        <f>YEAR(Table6[[#This Row],[Date]])</f>
        <v>2025</v>
      </c>
      <c r="D902" s="102" t="s">
        <v>1992</v>
      </c>
      <c r="E902" s="469">
        <f>Table6[[#This Row],[Date]]-DAY(Table6[[#This Row],[Date]])+1</f>
        <v>45778</v>
      </c>
      <c r="F902" s="470">
        <v>45804</v>
      </c>
      <c r="G902" s="35" t="s">
        <v>81</v>
      </c>
      <c r="H902" s="35" t="str">
        <f>IFERROR(_xlfn.XLOOKUP(Table6[[#This Row],[Affected WTG]],'Basic Data'!$A:$A,'Basic Data'!$B:$B),"")</f>
        <v>TQGXIIPL</v>
      </c>
      <c r="I902" s="35" t="str">
        <f>IFERROR(_xlfn.XLOOKUP(Table6[[#This Row],[Affected WTG]],'Basic Data'!$A:$A,'Basic Data'!$C:$C),"")</f>
        <v>GEDA</v>
      </c>
      <c r="J902" s="471">
        <f>IFERROR(_xlfn.XLOOKUP(Table6[[#This Row],[Affected WTG]],'Basic Data'!$A:$A,'Basic Data'!$E:$E),"")</f>
        <v>3.846153846153845E-2</v>
      </c>
      <c r="K902" s="102">
        <v>55</v>
      </c>
      <c r="L902" s="35" t="str">
        <f>IFERROR(_xlfn.XLOOKUP(Table6[[#This Row],[Error Code]],'Basic Data'!$AA:$AA,'Basic Data'!$AB:$AB),"Incorrect Error Code")</f>
        <v>WTG shut down</v>
      </c>
      <c r="M902" s="35" t="s">
        <v>330</v>
      </c>
      <c r="N902" s="475"/>
      <c r="O902" s="476">
        <v>0</v>
      </c>
      <c r="P902" s="476">
        <v>0.21111111111111111</v>
      </c>
      <c r="Q902" s="477">
        <v>0.21111111111111111</v>
      </c>
      <c r="R902" s="472">
        <f>IF(Table6[[#This Row],[Work Start TimeStamp]]="","",(Table6[[#This Row],[Work Start TimeStamp]]-Table6[[#This Row],[Fault Start TimeStamp]])*24)</f>
        <v>5.0666666666666664</v>
      </c>
      <c r="S902" s="472">
        <f>(Table6[[#This Row],[Fault Clearance time]]-Table6[[#This Row],[Work Start TimeStamp]])*24</f>
        <v>0</v>
      </c>
      <c r="T902" s="472">
        <f>(Table6[[#This Row],[Fault Clearance time]]-Table6[[#This Row],[Fault Start TimeStamp]])*24</f>
        <v>5.0666666666666664</v>
      </c>
      <c r="U902" s="35" t="s">
        <v>1744</v>
      </c>
      <c r="V902" s="102" t="s">
        <v>293</v>
      </c>
      <c r="W902" s="478">
        <f>IFERROR(Table6[[#This Row],[Breakdown Time]]*Table6[[#This Row],[Plant Equivalent Weightage]],"")</f>
        <v>0.19487179487179479</v>
      </c>
      <c r="X902" s="473" t="s">
        <v>294</v>
      </c>
      <c r="Y902" s="474" t="s">
        <v>321</v>
      </c>
      <c r="Z902" s="102">
        <v>45417</v>
      </c>
      <c r="AA902" s="468">
        <f>(Table6[[#This Row],[Paired WTG Generation for loss calculation]]/24)*Table6[[#This Row],[Breakdown Time]]</f>
        <v>9588.0333333333328</v>
      </c>
      <c r="AB902" s="102"/>
      <c r="AC902" s="35"/>
      <c r="AD902" s="35"/>
    </row>
    <row r="903" spans="1:30">
      <c r="A903" s="102">
        <f t="shared" si="14"/>
        <v>902</v>
      </c>
      <c r="B903" s="468">
        <f>YEAR(Table6[[#This Row],[Date]])+IF(MONTH(Table6[[#This Row],[Date]])&gt;=4,1,0)</f>
        <v>2026</v>
      </c>
      <c r="C903" s="102">
        <f>YEAR(Table6[[#This Row],[Date]])</f>
        <v>2025</v>
      </c>
      <c r="D903" s="102" t="s">
        <v>1992</v>
      </c>
      <c r="E903" s="469">
        <f>Table6[[#This Row],[Date]]-DAY(Table6[[#This Row],[Date]])+1</f>
        <v>45778</v>
      </c>
      <c r="F903" s="470">
        <v>45804</v>
      </c>
      <c r="G903" s="35" t="s">
        <v>81</v>
      </c>
      <c r="H903" s="35" t="str">
        <f>IFERROR(_xlfn.XLOOKUP(Table6[[#This Row],[Affected WTG]],'Basic Data'!$A:$A,'Basic Data'!$B:$B),"")</f>
        <v>TQGXIIPL</v>
      </c>
      <c r="I903" s="35" t="str">
        <f>IFERROR(_xlfn.XLOOKUP(Table6[[#This Row],[Affected WTG]],'Basic Data'!$A:$A,'Basic Data'!$C:$C),"")</f>
        <v>GEDA</v>
      </c>
      <c r="J903" s="471">
        <f>IFERROR(_xlfn.XLOOKUP(Table6[[#This Row],[Affected WTG]],'Basic Data'!$A:$A,'Basic Data'!$E:$E),"")</f>
        <v>3.846153846153845E-2</v>
      </c>
      <c r="K903" s="102">
        <v>55</v>
      </c>
      <c r="L903" s="35" t="str">
        <f>IFERROR(_xlfn.XLOOKUP(Table6[[#This Row],[Error Code]],'Basic Data'!$AA:$AA,'Basic Data'!$AB:$AB),"Incorrect Error Code")</f>
        <v>WTG shut down</v>
      </c>
      <c r="M903" s="35" t="s">
        <v>330</v>
      </c>
      <c r="N903" s="475"/>
      <c r="O903" s="476">
        <v>0.57499999999999996</v>
      </c>
      <c r="P903" s="476">
        <v>0.9243055555555556</v>
      </c>
      <c r="Q903" s="477">
        <v>0.9243055555555556</v>
      </c>
      <c r="R903" s="472">
        <f>IF(Table6[[#This Row],[Work Start TimeStamp]]="","",(Table6[[#This Row],[Work Start TimeStamp]]-Table6[[#This Row],[Fault Start TimeStamp]])*24)</f>
        <v>8.3833333333333364</v>
      </c>
      <c r="S903" s="472">
        <f>(Table6[[#This Row],[Fault Clearance time]]-Table6[[#This Row],[Work Start TimeStamp]])*24</f>
        <v>0</v>
      </c>
      <c r="T903" s="472">
        <f>(Table6[[#This Row],[Fault Clearance time]]-Table6[[#This Row],[Fault Start TimeStamp]])*24</f>
        <v>8.3833333333333364</v>
      </c>
      <c r="U903" s="35" t="s">
        <v>1744</v>
      </c>
      <c r="V903" s="102" t="s">
        <v>293</v>
      </c>
      <c r="W903" s="478">
        <f>IFERROR(Table6[[#This Row],[Breakdown Time]]*Table6[[#This Row],[Plant Equivalent Weightage]],"")</f>
        <v>0.32243589743589746</v>
      </c>
      <c r="X903" s="473" t="s">
        <v>294</v>
      </c>
      <c r="Y903" s="474" t="s">
        <v>321</v>
      </c>
      <c r="Z903" s="102">
        <v>45417</v>
      </c>
      <c r="AA903" s="468">
        <f>(Table6[[#This Row],[Paired WTG Generation for loss calculation]]/24)*Table6[[#This Row],[Breakdown Time]]</f>
        <v>15864.410416666673</v>
      </c>
      <c r="AB903" s="102"/>
      <c r="AC903" s="35"/>
      <c r="AD903" s="35"/>
    </row>
    <row r="904" spans="1:30">
      <c r="A904" s="102">
        <f t="shared" si="14"/>
        <v>903</v>
      </c>
      <c r="B904" s="468">
        <f>YEAR(Table6[[#This Row],[Date]])+IF(MONTH(Table6[[#This Row],[Date]])&gt;=4,1,0)</f>
        <v>2026</v>
      </c>
      <c r="C904" s="102">
        <f>YEAR(Table6[[#This Row],[Date]])</f>
        <v>2025</v>
      </c>
      <c r="D904" s="102" t="s">
        <v>1992</v>
      </c>
      <c r="E904" s="469">
        <f>Table6[[#This Row],[Date]]-DAY(Table6[[#This Row],[Date]])+1</f>
        <v>45778</v>
      </c>
      <c r="F904" s="470">
        <v>45804</v>
      </c>
      <c r="G904" s="35" t="s">
        <v>90</v>
      </c>
      <c r="H904" s="35" t="str">
        <f>IFERROR(_xlfn.XLOOKUP(Table6[[#This Row],[Affected WTG]],'Basic Data'!$A:$A,'Basic Data'!$B:$B),"")</f>
        <v>TQGXIIPL</v>
      </c>
      <c r="I904" s="35" t="str">
        <f>IFERROR(_xlfn.XLOOKUP(Table6[[#This Row],[Affected WTG]],'Basic Data'!$A:$A,'Basic Data'!$C:$C),"")</f>
        <v>GEDA</v>
      </c>
      <c r="J904" s="471">
        <f>IFERROR(_xlfn.XLOOKUP(Table6[[#This Row],[Affected WTG]],'Basic Data'!$A:$A,'Basic Data'!$E:$E),"")</f>
        <v>3.846153846153845E-2</v>
      </c>
      <c r="K904" s="102">
        <v>3110</v>
      </c>
      <c r="L904" s="35" t="str">
        <f>IFERROR(_xlfn.XLOOKUP(Table6[[#This Row],[Error Code]],'Basic Data'!$AA:$AA,'Basic Data'!$AB:$AB),"Incorrect Error Code")</f>
        <v>Frequency converter error</v>
      </c>
      <c r="M904" s="35" t="s">
        <v>291</v>
      </c>
      <c r="N904" s="475"/>
      <c r="O904" s="476">
        <v>0.21666666666666667</v>
      </c>
      <c r="P904" s="476">
        <v>0.22152777777777777</v>
      </c>
      <c r="Q904" s="477">
        <v>0.22152777777777777</v>
      </c>
      <c r="R904" s="472">
        <f>IF(Table6[[#This Row],[Work Start TimeStamp]]="","",(Table6[[#This Row],[Work Start TimeStamp]]-Table6[[#This Row],[Fault Start TimeStamp]])*24)</f>
        <v>0.11666666666666625</v>
      </c>
      <c r="S904" s="472">
        <f>(Table6[[#This Row],[Fault Clearance time]]-Table6[[#This Row],[Work Start TimeStamp]])*24</f>
        <v>0</v>
      </c>
      <c r="T904" s="472">
        <f>(Table6[[#This Row],[Fault Clearance time]]-Table6[[#This Row],[Fault Start TimeStamp]])*24</f>
        <v>0.11666666666666625</v>
      </c>
      <c r="U904" s="35" t="s">
        <v>344</v>
      </c>
      <c r="V904" s="102" t="s">
        <v>293</v>
      </c>
      <c r="W904" s="478">
        <f>IFERROR(Table6[[#This Row],[Breakdown Time]]*Table6[[#This Row],[Plant Equivalent Weightage]],"")</f>
        <v>4.4871794871794695E-3</v>
      </c>
      <c r="X904" s="473" t="s">
        <v>290</v>
      </c>
      <c r="Y904" s="474" t="s">
        <v>339</v>
      </c>
      <c r="Z904" s="102">
        <v>54059</v>
      </c>
      <c r="AA904" s="468">
        <f>(Table6[[#This Row],[Paired WTG Generation for loss calculation]]/24)*Table6[[#This Row],[Breakdown Time]]</f>
        <v>262.78680555555462</v>
      </c>
      <c r="AB904" s="102"/>
      <c r="AC904" s="35"/>
      <c r="AD904" s="35"/>
    </row>
    <row r="905" spans="1:30">
      <c r="A905" s="102">
        <f t="shared" si="14"/>
        <v>904</v>
      </c>
      <c r="B905" s="468">
        <f>YEAR(Table6[[#This Row],[Date]])+IF(MONTH(Table6[[#This Row],[Date]])&gt;=4,1,0)</f>
        <v>2026</v>
      </c>
      <c r="C905" s="102">
        <f>YEAR(Table6[[#This Row],[Date]])</f>
        <v>2025</v>
      </c>
      <c r="D905" s="102" t="s">
        <v>1992</v>
      </c>
      <c r="E905" s="469">
        <f>Table6[[#This Row],[Date]]-DAY(Table6[[#This Row],[Date]])+1</f>
        <v>45778</v>
      </c>
      <c r="F905" s="470">
        <v>45804</v>
      </c>
      <c r="G905" s="35" t="s">
        <v>90</v>
      </c>
      <c r="H905" s="35" t="str">
        <f>IFERROR(_xlfn.XLOOKUP(Table6[[#This Row],[Affected WTG]],'Basic Data'!$A:$A,'Basic Data'!$B:$B),"")</f>
        <v>TQGXIIPL</v>
      </c>
      <c r="I905" s="35" t="str">
        <f>IFERROR(_xlfn.XLOOKUP(Table6[[#This Row],[Affected WTG]],'Basic Data'!$A:$A,'Basic Data'!$C:$C),"")</f>
        <v>GEDA</v>
      </c>
      <c r="J905" s="471">
        <f>IFERROR(_xlfn.XLOOKUP(Table6[[#This Row],[Affected WTG]],'Basic Data'!$A:$A,'Basic Data'!$E:$E),"")</f>
        <v>3.846153846153845E-2</v>
      </c>
      <c r="K905" s="102">
        <v>3110</v>
      </c>
      <c r="L905" s="35" t="str">
        <f>IFERROR(_xlfn.XLOOKUP(Table6[[#This Row],[Error Code]],'Basic Data'!$AA:$AA,'Basic Data'!$AB:$AB),"Incorrect Error Code")</f>
        <v>Frequency converter error</v>
      </c>
      <c r="M905" s="35" t="s">
        <v>291</v>
      </c>
      <c r="N905" s="475"/>
      <c r="O905" s="476">
        <v>0.23958333333333334</v>
      </c>
      <c r="P905" s="476">
        <v>0.24791666666666667</v>
      </c>
      <c r="Q905" s="477">
        <v>0.24791666666666667</v>
      </c>
      <c r="R905" s="472">
        <f>IF(Table6[[#This Row],[Work Start TimeStamp]]="","",(Table6[[#This Row],[Work Start TimeStamp]]-Table6[[#This Row],[Fault Start TimeStamp]])*24)</f>
        <v>0.19999999999999996</v>
      </c>
      <c r="S905" s="472">
        <f>(Table6[[#This Row],[Fault Clearance time]]-Table6[[#This Row],[Work Start TimeStamp]])*24</f>
        <v>0</v>
      </c>
      <c r="T905" s="472">
        <f>(Table6[[#This Row],[Fault Clearance time]]-Table6[[#This Row],[Fault Start TimeStamp]])*24</f>
        <v>0.19999999999999996</v>
      </c>
      <c r="U905" s="35" t="s">
        <v>1853</v>
      </c>
      <c r="V905" s="102" t="s">
        <v>293</v>
      </c>
      <c r="W905" s="478">
        <f>IFERROR(Table6[[#This Row],[Breakdown Time]]*Table6[[#This Row],[Plant Equivalent Weightage]],"")</f>
        <v>7.6923076923076884E-3</v>
      </c>
      <c r="X905" s="473" t="s">
        <v>290</v>
      </c>
      <c r="Y905" s="474" t="s">
        <v>339</v>
      </c>
      <c r="Z905" s="102">
        <v>54059</v>
      </c>
      <c r="AA905" s="468">
        <f>(Table6[[#This Row],[Paired WTG Generation for loss calculation]]/24)*Table6[[#This Row],[Breakdown Time]]</f>
        <v>450.49166666666662</v>
      </c>
      <c r="AB905" s="102"/>
      <c r="AC905" s="35"/>
      <c r="AD905" s="35"/>
    </row>
    <row r="906" spans="1:30">
      <c r="A906" s="102">
        <f t="shared" si="14"/>
        <v>905</v>
      </c>
      <c r="B906" s="468">
        <f>YEAR(Table6[[#This Row],[Date]])+IF(MONTH(Table6[[#This Row],[Date]])&gt;=4,1,0)</f>
        <v>2026</v>
      </c>
      <c r="C906" s="102">
        <f>YEAR(Table6[[#This Row],[Date]])</f>
        <v>2025</v>
      </c>
      <c r="D906" s="102" t="s">
        <v>1992</v>
      </c>
      <c r="E906" s="469">
        <f>Table6[[#This Row],[Date]]-DAY(Table6[[#This Row],[Date]])+1</f>
        <v>45778</v>
      </c>
      <c r="F906" s="470">
        <v>45804</v>
      </c>
      <c r="G906" s="35" t="s">
        <v>98</v>
      </c>
      <c r="H906" s="35" t="str">
        <f>IFERROR(_xlfn.XLOOKUP(Table6[[#This Row],[Affected WTG]],'Basic Data'!$A:$A,'Basic Data'!$B:$B),"")</f>
        <v>TQGXIIPL</v>
      </c>
      <c r="I906" s="35" t="str">
        <f>IFERROR(_xlfn.XLOOKUP(Table6[[#This Row],[Affected WTG]],'Basic Data'!$A:$A,'Basic Data'!$C:$C),"")</f>
        <v>GEDA</v>
      </c>
      <c r="J906" s="471">
        <f>IFERROR(_xlfn.XLOOKUP(Table6[[#This Row],[Affected WTG]],'Basic Data'!$A:$A,'Basic Data'!$E:$E),"")</f>
        <v>3.846153846153845E-2</v>
      </c>
      <c r="K906" s="102">
        <v>55</v>
      </c>
      <c r="L906" s="35" t="str">
        <f>IFERROR(_xlfn.XLOOKUP(Table6[[#This Row],[Error Code]],'Basic Data'!$AA:$AA,'Basic Data'!$AB:$AB),"Incorrect Error Code")</f>
        <v>WTG shut down</v>
      </c>
      <c r="M906" s="35" t="s">
        <v>330</v>
      </c>
      <c r="N906" s="475"/>
      <c r="O906" s="476">
        <v>0.57499999999999996</v>
      </c>
      <c r="P906" s="476">
        <v>0.90625</v>
      </c>
      <c r="Q906" s="477">
        <v>0.90625</v>
      </c>
      <c r="R906" s="472">
        <f>IF(Table6[[#This Row],[Work Start TimeStamp]]="","",(Table6[[#This Row],[Work Start TimeStamp]]-Table6[[#This Row],[Fault Start TimeStamp]])*24)</f>
        <v>7.9500000000000011</v>
      </c>
      <c r="S906" s="472">
        <f>(Table6[[#This Row],[Fault Clearance time]]-Table6[[#This Row],[Work Start TimeStamp]])*24</f>
        <v>0</v>
      </c>
      <c r="T906" s="472">
        <f>(Table6[[#This Row],[Fault Clearance time]]-Table6[[#This Row],[Fault Start TimeStamp]])*24</f>
        <v>7.9500000000000011</v>
      </c>
      <c r="U906" s="35" t="s">
        <v>1744</v>
      </c>
      <c r="V906" s="102" t="s">
        <v>293</v>
      </c>
      <c r="W906" s="478">
        <f>IFERROR(Table6[[#This Row],[Breakdown Time]]*Table6[[#This Row],[Plant Equivalent Weightage]],"")</f>
        <v>0.30576923076923074</v>
      </c>
      <c r="X906" s="473" t="s">
        <v>294</v>
      </c>
      <c r="Y906" s="474" t="s">
        <v>315</v>
      </c>
      <c r="Z906" s="102">
        <v>45298</v>
      </c>
      <c r="AA906" s="468">
        <f>(Table6[[#This Row],[Paired WTG Generation for loss calculation]]/24)*Table6[[#This Row],[Breakdown Time]]</f>
        <v>15004.962500000003</v>
      </c>
      <c r="AB906" s="102"/>
      <c r="AC906" s="35"/>
      <c r="AD906" s="35"/>
    </row>
    <row r="907" spans="1:30">
      <c r="A907" s="102">
        <f t="shared" si="14"/>
        <v>906</v>
      </c>
      <c r="B907" s="468">
        <f>YEAR(Table6[[#This Row],[Date]])+IF(MONTH(Table6[[#This Row],[Date]])&gt;=4,1,0)</f>
        <v>2026</v>
      </c>
      <c r="C907" s="102">
        <f>YEAR(Table6[[#This Row],[Date]])</f>
        <v>2025</v>
      </c>
      <c r="D907" s="102" t="s">
        <v>1992</v>
      </c>
      <c r="E907" s="469">
        <f>Table6[[#This Row],[Date]]-DAY(Table6[[#This Row],[Date]])+1</f>
        <v>45778</v>
      </c>
      <c r="F907" s="470">
        <v>45805</v>
      </c>
      <c r="G907" s="35" t="s">
        <v>77</v>
      </c>
      <c r="H907" s="35" t="str">
        <f>IFERROR(_xlfn.XLOOKUP(Table6[[#This Row],[Affected WTG]],'Basic Data'!$A:$A,'Basic Data'!$B:$B),"")</f>
        <v>TQGXIIPL</v>
      </c>
      <c r="I907" s="35" t="str">
        <f>IFERROR(_xlfn.XLOOKUP(Table6[[#This Row],[Affected WTG]],'Basic Data'!$A:$A,'Basic Data'!$C:$C),"")</f>
        <v>GEDA</v>
      </c>
      <c r="J907" s="471">
        <f>IFERROR(_xlfn.XLOOKUP(Table6[[#This Row],[Affected WTG]],'Basic Data'!$A:$A,'Basic Data'!$E:$E),"")</f>
        <v>3.846153846153845E-2</v>
      </c>
      <c r="K907" s="102">
        <v>6130</v>
      </c>
      <c r="L907" s="35" t="str">
        <f>IFERROR(_xlfn.XLOOKUP(Table6[[#This Row],[Error Code]],'Basic Data'!$AA:$AA,'Basic Data'!$AB:$AB),"Incorrect Error Code")</f>
        <v>Yaw speed high</v>
      </c>
      <c r="M907" s="35" t="s">
        <v>292</v>
      </c>
      <c r="N907" s="475"/>
      <c r="O907" s="476">
        <v>0.88958333333333328</v>
      </c>
      <c r="P907" s="476">
        <v>0.89097222222222228</v>
      </c>
      <c r="Q907" s="477">
        <v>0.89097222222222228</v>
      </c>
      <c r="R907" s="472">
        <f>IF(Table6[[#This Row],[Work Start TimeStamp]]="","",(Table6[[#This Row],[Work Start TimeStamp]]-Table6[[#This Row],[Fault Start TimeStamp]])*24)</f>
        <v>3.3333333333335879E-2</v>
      </c>
      <c r="S907" s="472">
        <f>(Table6[[#This Row],[Fault Clearance time]]-Table6[[#This Row],[Work Start TimeStamp]])*24</f>
        <v>0</v>
      </c>
      <c r="T907" s="472">
        <f>(Table6[[#This Row],[Fault Clearance time]]-Table6[[#This Row],[Fault Start TimeStamp]])*24</f>
        <v>3.3333333333335879E-2</v>
      </c>
      <c r="U907" s="35" t="s">
        <v>336</v>
      </c>
      <c r="V907" s="102" t="s">
        <v>293</v>
      </c>
      <c r="W907" s="478">
        <f>IFERROR(Table6[[#This Row],[Breakdown Time]]*Table6[[#This Row],[Plant Equivalent Weightage]],"")</f>
        <v>1.2820512820513796E-3</v>
      </c>
      <c r="X907" s="473" t="s">
        <v>294</v>
      </c>
      <c r="Y907" s="474" t="s">
        <v>310</v>
      </c>
      <c r="Z907" s="102">
        <v>38555</v>
      </c>
      <c r="AA907" s="468">
        <f>(Table6[[#This Row],[Paired WTG Generation for loss calculation]]/24)*Table6[[#This Row],[Breakdown Time]]</f>
        <v>53.5486111111152</v>
      </c>
      <c r="AB907" s="102"/>
      <c r="AC907" s="35"/>
      <c r="AD907" s="35"/>
    </row>
    <row r="908" spans="1:30">
      <c r="A908" s="102">
        <f t="shared" si="14"/>
        <v>907</v>
      </c>
      <c r="B908" s="468">
        <f>YEAR(Table6[[#This Row],[Date]])+IF(MONTH(Table6[[#This Row],[Date]])&gt;=4,1,0)</f>
        <v>2026</v>
      </c>
      <c r="C908" s="102">
        <f>YEAR(Table6[[#This Row],[Date]])</f>
        <v>2025</v>
      </c>
      <c r="D908" s="102" t="s">
        <v>1992</v>
      </c>
      <c r="E908" s="469">
        <f>Table6[[#This Row],[Date]]-DAY(Table6[[#This Row],[Date]])+1</f>
        <v>45778</v>
      </c>
      <c r="F908" s="470">
        <v>45805</v>
      </c>
      <c r="G908" s="35" t="s">
        <v>81</v>
      </c>
      <c r="H908" s="35" t="str">
        <f>IFERROR(_xlfn.XLOOKUP(Table6[[#This Row],[Affected WTG]],'Basic Data'!$A:$A,'Basic Data'!$B:$B),"")</f>
        <v>TQGXIIPL</v>
      </c>
      <c r="I908" s="35" t="str">
        <f>IFERROR(_xlfn.XLOOKUP(Table6[[#This Row],[Affected WTG]],'Basic Data'!$A:$A,'Basic Data'!$C:$C),"")</f>
        <v>GEDA</v>
      </c>
      <c r="J908" s="471">
        <f>IFERROR(_xlfn.XLOOKUP(Table6[[#This Row],[Affected WTG]],'Basic Data'!$A:$A,'Basic Data'!$E:$E),"")</f>
        <v>3.846153846153845E-2</v>
      </c>
      <c r="K908" s="102">
        <v>55</v>
      </c>
      <c r="L908" s="35" t="str">
        <f>IFERROR(_xlfn.XLOOKUP(Table6[[#This Row],[Error Code]],'Basic Data'!$AA:$AA,'Basic Data'!$AB:$AB),"Incorrect Error Code")</f>
        <v>WTG shut down</v>
      </c>
      <c r="M908" s="35" t="s">
        <v>330</v>
      </c>
      <c r="N908" s="475"/>
      <c r="O908" s="476">
        <v>0.15486111111111112</v>
      </c>
      <c r="P908" s="476">
        <v>0.20555555555555555</v>
      </c>
      <c r="Q908" s="477">
        <v>0.20555555555555555</v>
      </c>
      <c r="R908" s="472">
        <f>IF(Table6[[#This Row],[Work Start TimeStamp]]="","",(Table6[[#This Row],[Work Start TimeStamp]]-Table6[[#This Row],[Fault Start TimeStamp]])*24)</f>
        <v>1.2166666666666663</v>
      </c>
      <c r="S908" s="472">
        <f>(Table6[[#This Row],[Fault Clearance time]]-Table6[[#This Row],[Work Start TimeStamp]])*24</f>
        <v>0</v>
      </c>
      <c r="T908" s="472">
        <f>(Table6[[#This Row],[Fault Clearance time]]-Table6[[#This Row],[Fault Start TimeStamp]])*24</f>
        <v>1.2166666666666663</v>
      </c>
      <c r="U908" s="35" t="s">
        <v>1744</v>
      </c>
      <c r="V908" s="102" t="s">
        <v>293</v>
      </c>
      <c r="W908" s="478">
        <f>IFERROR(Table6[[#This Row],[Breakdown Time]]*Table6[[#This Row],[Plant Equivalent Weightage]],"")</f>
        <v>4.6794871794871767E-2</v>
      </c>
      <c r="X908" s="473" t="s">
        <v>294</v>
      </c>
      <c r="Y908" s="474" t="s">
        <v>321</v>
      </c>
      <c r="Z908" s="102">
        <v>30364</v>
      </c>
      <c r="AA908" s="468">
        <f>(Table6[[#This Row],[Paired WTG Generation for loss calculation]]/24)*Table6[[#This Row],[Breakdown Time]]</f>
        <v>1539.2861111111108</v>
      </c>
      <c r="AB908" s="102"/>
      <c r="AC908" s="35"/>
      <c r="AD908" s="35"/>
    </row>
    <row r="909" spans="1:30">
      <c r="A909" s="102">
        <f t="shared" si="14"/>
        <v>908</v>
      </c>
      <c r="B909" s="468">
        <f>YEAR(Table6[[#This Row],[Date]])+IF(MONTH(Table6[[#This Row],[Date]])&gt;=4,1,0)</f>
        <v>2026</v>
      </c>
      <c r="C909" s="102">
        <f>YEAR(Table6[[#This Row],[Date]])</f>
        <v>2025</v>
      </c>
      <c r="D909" s="102" t="s">
        <v>1992</v>
      </c>
      <c r="E909" s="469">
        <f>Table6[[#This Row],[Date]]-DAY(Table6[[#This Row],[Date]])+1</f>
        <v>45778</v>
      </c>
      <c r="F909" s="470">
        <v>45805</v>
      </c>
      <c r="G909" s="35" t="s">
        <v>86</v>
      </c>
      <c r="H909" s="35" t="str">
        <f>IFERROR(_xlfn.XLOOKUP(Table6[[#This Row],[Affected WTG]],'Basic Data'!$A:$A,'Basic Data'!$B:$B),"")</f>
        <v>TQGXIIPL</v>
      </c>
      <c r="I909" s="35" t="str">
        <f>IFERROR(_xlfn.XLOOKUP(Table6[[#This Row],[Affected WTG]],'Basic Data'!$A:$A,'Basic Data'!$C:$C),"")</f>
        <v>GEDA</v>
      </c>
      <c r="J909" s="471">
        <f>IFERROR(_xlfn.XLOOKUP(Table6[[#This Row],[Affected WTG]],'Basic Data'!$A:$A,'Basic Data'!$E:$E),"")</f>
        <v>3.846153846153845E-2</v>
      </c>
      <c r="K909" s="102">
        <v>6130</v>
      </c>
      <c r="L909" s="35" t="str">
        <f>IFERROR(_xlfn.XLOOKUP(Table6[[#This Row],[Error Code]],'Basic Data'!$AA:$AA,'Basic Data'!$AB:$AB),"Incorrect Error Code")</f>
        <v>Yaw speed high</v>
      </c>
      <c r="M909" s="35" t="s">
        <v>292</v>
      </c>
      <c r="N909" s="475"/>
      <c r="O909" s="476">
        <v>0.1388888888888889</v>
      </c>
      <c r="P909" s="476">
        <v>0.14305555555555555</v>
      </c>
      <c r="Q909" s="477">
        <v>0.14305555555555555</v>
      </c>
      <c r="R909" s="472">
        <f>IF(Table6[[#This Row],[Work Start TimeStamp]]="","",(Table6[[#This Row],[Work Start TimeStamp]]-Table6[[#This Row],[Fault Start TimeStamp]])*24)</f>
        <v>9.9999999999999645E-2</v>
      </c>
      <c r="S909" s="472">
        <f>(Table6[[#This Row],[Fault Clearance time]]-Table6[[#This Row],[Work Start TimeStamp]])*24</f>
        <v>0</v>
      </c>
      <c r="T909" s="472">
        <f>(Table6[[#This Row],[Fault Clearance time]]-Table6[[#This Row],[Fault Start TimeStamp]])*24</f>
        <v>9.9999999999999645E-2</v>
      </c>
      <c r="U909" s="35" t="s">
        <v>336</v>
      </c>
      <c r="V909" s="102" t="s">
        <v>293</v>
      </c>
      <c r="W909" s="478">
        <f>IFERROR(Table6[[#This Row],[Breakdown Time]]*Table6[[#This Row],[Plant Equivalent Weightage]],"")</f>
        <v>3.8461538461538312E-3</v>
      </c>
      <c r="X909" s="473" t="s">
        <v>294</v>
      </c>
      <c r="Y909" s="474" t="s">
        <v>313</v>
      </c>
      <c r="Z909" s="102">
        <v>37551</v>
      </c>
      <c r="AA909" s="468">
        <f>(Table6[[#This Row],[Paired WTG Generation for loss calculation]]/24)*Table6[[#This Row],[Breakdown Time]]</f>
        <v>156.46249999999944</v>
      </c>
      <c r="AB909" s="102"/>
      <c r="AC909" s="35"/>
      <c r="AD909" s="35"/>
    </row>
    <row r="910" spans="1:30">
      <c r="A910" s="102">
        <f t="shared" ref="A910:A973" si="15">A909+1</f>
        <v>909</v>
      </c>
      <c r="B910" s="468">
        <f>YEAR(Table6[[#This Row],[Date]])+IF(MONTH(Table6[[#This Row],[Date]])&gt;=4,1,0)</f>
        <v>2026</v>
      </c>
      <c r="C910" s="102">
        <f>YEAR(Table6[[#This Row],[Date]])</f>
        <v>2025</v>
      </c>
      <c r="D910" s="102" t="s">
        <v>1992</v>
      </c>
      <c r="E910" s="469">
        <f>Table6[[#This Row],[Date]]-DAY(Table6[[#This Row],[Date]])+1</f>
        <v>45778</v>
      </c>
      <c r="F910" s="470">
        <v>45805</v>
      </c>
      <c r="G910" s="35" t="s">
        <v>86</v>
      </c>
      <c r="H910" s="35" t="str">
        <f>IFERROR(_xlfn.XLOOKUP(Table6[[#This Row],[Affected WTG]],'Basic Data'!$A:$A,'Basic Data'!$B:$B),"")</f>
        <v>TQGXIIPL</v>
      </c>
      <c r="I910" s="35" t="str">
        <f>IFERROR(_xlfn.XLOOKUP(Table6[[#This Row],[Affected WTG]],'Basic Data'!$A:$A,'Basic Data'!$C:$C),"")</f>
        <v>GEDA</v>
      </c>
      <c r="J910" s="471">
        <f>IFERROR(_xlfn.XLOOKUP(Table6[[#This Row],[Affected WTG]],'Basic Data'!$A:$A,'Basic Data'!$E:$E),"")</f>
        <v>3.846153846153845E-2</v>
      </c>
      <c r="K910" s="102">
        <v>6130</v>
      </c>
      <c r="L910" s="35" t="str">
        <f>IFERROR(_xlfn.XLOOKUP(Table6[[#This Row],[Error Code]],'Basic Data'!$AA:$AA,'Basic Data'!$AB:$AB),"Incorrect Error Code")</f>
        <v>Yaw speed high</v>
      </c>
      <c r="M910" s="35" t="s">
        <v>292</v>
      </c>
      <c r="N910" s="475"/>
      <c r="O910" s="476">
        <v>0.62638888888888888</v>
      </c>
      <c r="P910" s="476">
        <v>0.63055555555555554</v>
      </c>
      <c r="Q910" s="477">
        <v>0.63055555555555554</v>
      </c>
      <c r="R910" s="472">
        <f>IF(Table6[[#This Row],[Work Start TimeStamp]]="","",(Table6[[#This Row],[Work Start TimeStamp]]-Table6[[#This Row],[Fault Start TimeStamp]])*24)</f>
        <v>9.9999999999999645E-2</v>
      </c>
      <c r="S910" s="472">
        <f>(Table6[[#This Row],[Fault Clearance time]]-Table6[[#This Row],[Work Start TimeStamp]])*24</f>
        <v>0</v>
      </c>
      <c r="T910" s="472">
        <f>(Table6[[#This Row],[Fault Clearance time]]-Table6[[#This Row],[Fault Start TimeStamp]])*24</f>
        <v>9.9999999999999645E-2</v>
      </c>
      <c r="U910" s="35" t="s">
        <v>1915</v>
      </c>
      <c r="V910" s="102" t="s">
        <v>293</v>
      </c>
      <c r="W910" s="478">
        <f>IFERROR(Table6[[#This Row],[Breakdown Time]]*Table6[[#This Row],[Plant Equivalent Weightage]],"")</f>
        <v>3.8461538461538312E-3</v>
      </c>
      <c r="X910" s="473" t="s">
        <v>294</v>
      </c>
      <c r="Y910" s="474" t="s">
        <v>313</v>
      </c>
      <c r="Z910" s="102">
        <v>37551</v>
      </c>
      <c r="AA910" s="468">
        <f>(Table6[[#This Row],[Paired WTG Generation for loss calculation]]/24)*Table6[[#This Row],[Breakdown Time]]</f>
        <v>156.46249999999944</v>
      </c>
      <c r="AB910" s="102"/>
      <c r="AC910" s="35"/>
      <c r="AD910" s="35"/>
    </row>
    <row r="911" spans="1:30">
      <c r="A911" s="102">
        <f t="shared" si="15"/>
        <v>910</v>
      </c>
      <c r="B911" s="468">
        <f>YEAR(Table6[[#This Row],[Date]])+IF(MONTH(Table6[[#This Row],[Date]])&gt;=4,1,0)</f>
        <v>2026</v>
      </c>
      <c r="C911" s="102">
        <f>YEAR(Table6[[#This Row],[Date]])</f>
        <v>2025</v>
      </c>
      <c r="D911" s="102" t="s">
        <v>1992</v>
      </c>
      <c r="E911" s="469">
        <f>Table6[[#This Row],[Date]]-DAY(Table6[[#This Row],[Date]])+1</f>
        <v>45778</v>
      </c>
      <c r="F911" s="470">
        <v>45805</v>
      </c>
      <c r="G911" s="35" t="s">
        <v>88</v>
      </c>
      <c r="H911" s="35" t="str">
        <f>IFERROR(_xlfn.XLOOKUP(Table6[[#This Row],[Affected WTG]],'Basic Data'!$A:$A,'Basic Data'!$B:$B),"")</f>
        <v>TQGXIIPL</v>
      </c>
      <c r="I911" s="35" t="str">
        <f>IFERROR(_xlfn.XLOOKUP(Table6[[#This Row],[Affected WTG]],'Basic Data'!$A:$A,'Basic Data'!$C:$C),"")</f>
        <v>GEDA</v>
      </c>
      <c r="J911" s="471">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291</v>
      </c>
      <c r="N911" s="475"/>
      <c r="O911" s="476">
        <v>0.40347222222222223</v>
      </c>
      <c r="P911" s="476">
        <v>0.41319444444444442</v>
      </c>
      <c r="Q911" s="477">
        <v>0.41319444444444442</v>
      </c>
      <c r="R911" s="472">
        <f>IF(Table6[[#This Row],[Work Start TimeStamp]]="","",(Table6[[#This Row],[Work Start TimeStamp]]-Table6[[#This Row],[Fault Start TimeStamp]])*24)</f>
        <v>0.2333333333333325</v>
      </c>
      <c r="S911" s="472">
        <f>(Table6[[#This Row],[Fault Clearance time]]-Table6[[#This Row],[Work Start TimeStamp]])*24</f>
        <v>0</v>
      </c>
      <c r="T911" s="472">
        <f>(Table6[[#This Row],[Fault Clearance time]]-Table6[[#This Row],[Fault Start TimeStamp]])*24</f>
        <v>0.2333333333333325</v>
      </c>
      <c r="U911" s="35" t="s">
        <v>349</v>
      </c>
      <c r="V911" s="102" t="s">
        <v>293</v>
      </c>
      <c r="W911" s="478">
        <f>IFERROR(Table6[[#This Row],[Breakdown Time]]*Table6[[#This Row],[Plant Equivalent Weightage]],"")</f>
        <v>8.974358974358939E-3</v>
      </c>
      <c r="X911" s="473" t="s">
        <v>290</v>
      </c>
      <c r="Y911" s="474" t="s">
        <v>323</v>
      </c>
      <c r="Z911" s="102">
        <v>40745</v>
      </c>
      <c r="AA911" s="468">
        <f>(Table6[[#This Row],[Paired WTG Generation for loss calculation]]/24)*Table6[[#This Row],[Breakdown Time]]</f>
        <v>396.13194444444304</v>
      </c>
      <c r="AB911" s="102"/>
      <c r="AC911" s="35"/>
      <c r="AD911" s="35"/>
    </row>
    <row r="912" spans="1:30">
      <c r="A912" s="102">
        <f t="shared" si="15"/>
        <v>911</v>
      </c>
      <c r="B912" s="468">
        <f>YEAR(Table6[[#This Row],[Date]])+IF(MONTH(Table6[[#This Row],[Date]])&gt;=4,1,0)</f>
        <v>2026</v>
      </c>
      <c r="C912" s="102">
        <f>YEAR(Table6[[#This Row],[Date]])</f>
        <v>2025</v>
      </c>
      <c r="D912" s="102" t="s">
        <v>1992</v>
      </c>
      <c r="E912" s="469">
        <f>Table6[[#This Row],[Date]]-DAY(Table6[[#This Row],[Date]])+1</f>
        <v>45778</v>
      </c>
      <c r="F912" s="470">
        <v>45805</v>
      </c>
      <c r="G912" s="35" t="s">
        <v>90</v>
      </c>
      <c r="H912" s="35" t="str">
        <f>IFERROR(_xlfn.XLOOKUP(Table6[[#This Row],[Affected WTG]],'Basic Data'!$A:$A,'Basic Data'!$B:$B),"")</f>
        <v>TQGXIIPL</v>
      </c>
      <c r="I912" s="35" t="str">
        <f>IFERROR(_xlfn.XLOOKUP(Table6[[#This Row],[Affected WTG]],'Basic Data'!$A:$A,'Basic Data'!$C:$C),"")</f>
        <v>GEDA</v>
      </c>
      <c r="J912" s="471">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291</v>
      </c>
      <c r="N912" s="475"/>
      <c r="O912" s="476">
        <v>0.16319444444444445</v>
      </c>
      <c r="P912" s="476">
        <v>0.16597222222222222</v>
      </c>
      <c r="Q912" s="477">
        <v>0.16597222222222222</v>
      </c>
      <c r="R912" s="472">
        <f>IF(Table6[[#This Row],[Work Start TimeStamp]]="","",(Table6[[#This Row],[Work Start TimeStamp]]-Table6[[#This Row],[Fault Start TimeStamp]])*24)</f>
        <v>6.666666666666643E-2</v>
      </c>
      <c r="S912" s="472">
        <f>(Table6[[#This Row],[Fault Clearance time]]-Table6[[#This Row],[Work Start TimeStamp]])*24</f>
        <v>0</v>
      </c>
      <c r="T912" s="472">
        <f>(Table6[[#This Row],[Fault Clearance time]]-Table6[[#This Row],[Fault Start TimeStamp]])*24</f>
        <v>6.666666666666643E-2</v>
      </c>
      <c r="U912" s="35" t="s">
        <v>349</v>
      </c>
      <c r="V912" s="102" t="s">
        <v>293</v>
      </c>
      <c r="W912" s="478">
        <f>IFERROR(Table6[[#This Row],[Breakdown Time]]*Table6[[#This Row],[Plant Equivalent Weightage]],"")</f>
        <v>2.5641025641025541E-3</v>
      </c>
      <c r="X912" s="473" t="s">
        <v>290</v>
      </c>
      <c r="Y912" s="474" t="s">
        <v>339</v>
      </c>
      <c r="Z912" s="102">
        <v>39494</v>
      </c>
      <c r="AA912" s="468">
        <f>(Table6[[#This Row],[Paired WTG Generation for loss calculation]]/24)*Table6[[#This Row],[Breakdown Time]]</f>
        <v>109.70555555555516</v>
      </c>
      <c r="AB912" s="102"/>
      <c r="AC912" s="35"/>
      <c r="AD912" s="35"/>
    </row>
    <row r="913" spans="1:30">
      <c r="A913" s="102">
        <f t="shared" si="15"/>
        <v>912</v>
      </c>
      <c r="B913" s="468">
        <f>YEAR(Table6[[#This Row],[Date]])+IF(MONTH(Table6[[#This Row],[Date]])&gt;=4,1,0)</f>
        <v>2026</v>
      </c>
      <c r="C913" s="102">
        <f>YEAR(Table6[[#This Row],[Date]])</f>
        <v>2025</v>
      </c>
      <c r="D913" s="102" t="s">
        <v>1992</v>
      </c>
      <c r="E913" s="469">
        <f>Table6[[#This Row],[Date]]-DAY(Table6[[#This Row],[Date]])+1</f>
        <v>45778</v>
      </c>
      <c r="F913" s="470">
        <v>45805</v>
      </c>
      <c r="G913" s="35" t="s">
        <v>90</v>
      </c>
      <c r="H913" s="35" t="str">
        <f>IFERROR(_xlfn.XLOOKUP(Table6[[#This Row],[Affected WTG]],'Basic Data'!$A:$A,'Basic Data'!$B:$B),"")</f>
        <v>TQGXIIPL</v>
      </c>
      <c r="I913" s="35" t="str">
        <f>IFERROR(_xlfn.XLOOKUP(Table6[[#This Row],[Affected WTG]],'Basic Data'!$A:$A,'Basic Data'!$C:$C),"")</f>
        <v>GEDA</v>
      </c>
      <c r="J913" s="471">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291</v>
      </c>
      <c r="N913" s="475"/>
      <c r="O913" s="476">
        <v>0.17986111111111111</v>
      </c>
      <c r="P913" s="476">
        <v>0.18402777777777779</v>
      </c>
      <c r="Q913" s="477">
        <v>0.18402777777777779</v>
      </c>
      <c r="R913" s="472">
        <f>IF(Table6[[#This Row],[Work Start TimeStamp]]="","",(Table6[[#This Row],[Work Start TimeStamp]]-Table6[[#This Row],[Fault Start TimeStamp]])*24)</f>
        <v>0.10000000000000031</v>
      </c>
      <c r="S913" s="472">
        <f>(Table6[[#This Row],[Fault Clearance time]]-Table6[[#This Row],[Work Start TimeStamp]])*24</f>
        <v>0</v>
      </c>
      <c r="T913" s="472">
        <f>(Table6[[#This Row],[Fault Clearance time]]-Table6[[#This Row],[Fault Start TimeStamp]])*24</f>
        <v>0.10000000000000031</v>
      </c>
      <c r="U913" s="35" t="s">
        <v>349</v>
      </c>
      <c r="V913" s="102" t="s">
        <v>293</v>
      </c>
      <c r="W913" s="478">
        <f>IFERROR(Table6[[#This Row],[Breakdown Time]]*Table6[[#This Row],[Plant Equivalent Weightage]],"")</f>
        <v>3.8461538461538568E-3</v>
      </c>
      <c r="X913" s="473" t="s">
        <v>290</v>
      </c>
      <c r="Y913" s="474" t="s">
        <v>339</v>
      </c>
      <c r="Z913" s="102">
        <v>39494</v>
      </c>
      <c r="AA913" s="468">
        <f>(Table6[[#This Row],[Paired WTG Generation for loss calculation]]/24)*Table6[[#This Row],[Breakdown Time]]</f>
        <v>164.55833333333385</v>
      </c>
      <c r="AB913" s="102"/>
      <c r="AC913" s="35"/>
      <c r="AD913" s="35"/>
    </row>
    <row r="914" spans="1:30">
      <c r="A914" s="102">
        <f t="shared" si="15"/>
        <v>913</v>
      </c>
      <c r="B914" s="468">
        <f>YEAR(Table6[[#This Row],[Date]])+IF(MONTH(Table6[[#This Row],[Date]])&gt;=4,1,0)</f>
        <v>2026</v>
      </c>
      <c r="C914" s="102">
        <f>YEAR(Table6[[#This Row],[Date]])</f>
        <v>2025</v>
      </c>
      <c r="D914" s="102" t="s">
        <v>1992</v>
      </c>
      <c r="E914" s="469">
        <f>Table6[[#This Row],[Date]]-DAY(Table6[[#This Row],[Date]])+1</f>
        <v>45778</v>
      </c>
      <c r="F914" s="470">
        <v>45805</v>
      </c>
      <c r="G914" s="35" t="s">
        <v>95</v>
      </c>
      <c r="H914" s="35" t="str">
        <f>IFERROR(_xlfn.XLOOKUP(Table6[[#This Row],[Affected WTG]],'Basic Data'!$A:$A,'Basic Data'!$B:$B),"")</f>
        <v>TQGXIIPL</v>
      </c>
      <c r="I914" s="35" t="str">
        <f>IFERROR(_xlfn.XLOOKUP(Table6[[#This Row],[Affected WTG]],'Basic Data'!$A:$A,'Basic Data'!$C:$C),"")</f>
        <v>GEDA</v>
      </c>
      <c r="J914" s="471">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292</v>
      </c>
      <c r="N914" s="475"/>
      <c r="O914" s="476">
        <v>0.39861111111111114</v>
      </c>
      <c r="P914" s="476">
        <v>0.4</v>
      </c>
      <c r="Q914" s="477">
        <v>0.4</v>
      </c>
      <c r="R914" s="472">
        <f>IF(Table6[[#This Row],[Work Start TimeStamp]]="","",(Table6[[#This Row],[Work Start TimeStamp]]-Table6[[#This Row],[Fault Start TimeStamp]])*24)</f>
        <v>3.3333333333333215E-2</v>
      </c>
      <c r="S914" s="472">
        <f>(Table6[[#This Row],[Fault Clearance time]]-Table6[[#This Row],[Work Start TimeStamp]])*24</f>
        <v>0</v>
      </c>
      <c r="T914" s="472">
        <f>(Table6[[#This Row],[Fault Clearance time]]-Table6[[#This Row],[Fault Start TimeStamp]])*24</f>
        <v>3.3333333333333215E-2</v>
      </c>
      <c r="U914" s="35" t="s">
        <v>336</v>
      </c>
      <c r="V914" s="102" t="s">
        <v>293</v>
      </c>
      <c r="W914" s="478">
        <f>IFERROR(Table6[[#This Row],[Breakdown Time]]*Table6[[#This Row],[Plant Equivalent Weightage]],"")</f>
        <v>1.2820512820512771E-3</v>
      </c>
      <c r="X914" s="473" t="s">
        <v>294</v>
      </c>
      <c r="Y914" s="474" t="s">
        <v>319</v>
      </c>
      <c r="Z914" s="102">
        <v>38856</v>
      </c>
      <c r="AA914" s="468">
        <f>(Table6[[#This Row],[Paired WTG Generation for loss calculation]]/24)*Table6[[#This Row],[Breakdown Time]]</f>
        <v>53.966666666666477</v>
      </c>
      <c r="AB914" s="102"/>
      <c r="AC914" s="35"/>
      <c r="AD914" s="35"/>
    </row>
    <row r="915" spans="1:30">
      <c r="A915" s="102">
        <f t="shared" si="15"/>
        <v>914</v>
      </c>
      <c r="B915" s="468">
        <f>YEAR(Table6[[#This Row],[Date]])+IF(MONTH(Table6[[#This Row],[Date]])&gt;=4,1,0)</f>
        <v>2026</v>
      </c>
      <c r="C915" s="102">
        <f>YEAR(Table6[[#This Row],[Date]])</f>
        <v>2025</v>
      </c>
      <c r="D915" s="102" t="s">
        <v>1992</v>
      </c>
      <c r="E915" s="469">
        <f>Table6[[#This Row],[Date]]-DAY(Table6[[#This Row],[Date]])+1</f>
        <v>45778</v>
      </c>
      <c r="F915" s="470">
        <v>45805</v>
      </c>
      <c r="G915" s="35" t="s">
        <v>98</v>
      </c>
      <c r="H915" s="35" t="str">
        <f>IFERROR(_xlfn.XLOOKUP(Table6[[#This Row],[Affected WTG]],'Basic Data'!$A:$A,'Basic Data'!$B:$B),"")</f>
        <v>TQGXIIPL</v>
      </c>
      <c r="I915" s="35" t="str">
        <f>IFERROR(_xlfn.XLOOKUP(Table6[[#This Row],[Affected WTG]],'Basic Data'!$A:$A,'Basic Data'!$C:$C),"")</f>
        <v>GEDA</v>
      </c>
      <c r="J915" s="471">
        <f>IFERROR(_xlfn.XLOOKUP(Table6[[#This Row],[Affected WTG]],'Basic Data'!$A:$A,'Basic Data'!$E:$E),"")</f>
        <v>3.846153846153845E-2</v>
      </c>
      <c r="K915" s="102">
        <v>55</v>
      </c>
      <c r="L915" s="35" t="str">
        <f>IFERROR(_xlfn.XLOOKUP(Table6[[#This Row],[Error Code]],'Basic Data'!$AA:$AA,'Basic Data'!$AB:$AB),"Incorrect Error Code")</f>
        <v>WTG shut down</v>
      </c>
      <c r="M915" s="35" t="s">
        <v>330</v>
      </c>
      <c r="N915" s="475"/>
      <c r="O915" s="476">
        <v>0.15694444444444444</v>
      </c>
      <c r="P915" s="476">
        <v>0.20555555555555555</v>
      </c>
      <c r="Q915" s="477">
        <v>0.20555555555555555</v>
      </c>
      <c r="R915" s="472">
        <f>IF(Table6[[#This Row],[Work Start TimeStamp]]="","",(Table6[[#This Row],[Work Start TimeStamp]]-Table6[[#This Row],[Fault Start TimeStamp]])*24)</f>
        <v>1.1666666666666665</v>
      </c>
      <c r="S915" s="472">
        <f>(Table6[[#This Row],[Fault Clearance time]]-Table6[[#This Row],[Work Start TimeStamp]])*24</f>
        <v>0</v>
      </c>
      <c r="T915" s="472">
        <f>(Table6[[#This Row],[Fault Clearance time]]-Table6[[#This Row],[Fault Start TimeStamp]])*24</f>
        <v>1.1666666666666665</v>
      </c>
      <c r="U915" s="35" t="s">
        <v>1744</v>
      </c>
      <c r="V915" s="102" t="s">
        <v>293</v>
      </c>
      <c r="W915" s="478">
        <f>IFERROR(Table6[[#This Row],[Breakdown Time]]*Table6[[#This Row],[Plant Equivalent Weightage]],"")</f>
        <v>4.4871794871794851E-2</v>
      </c>
      <c r="X915" s="473" t="s">
        <v>294</v>
      </c>
      <c r="Y915" s="474" t="s">
        <v>315</v>
      </c>
      <c r="Z915" s="102">
        <v>36145</v>
      </c>
      <c r="AA915" s="468">
        <f>(Table6[[#This Row],[Paired WTG Generation for loss calculation]]/24)*Table6[[#This Row],[Breakdown Time]]</f>
        <v>1757.0486111111111</v>
      </c>
      <c r="AB915" s="102"/>
      <c r="AC915" s="35"/>
      <c r="AD915" s="35"/>
    </row>
    <row r="916" spans="1:30">
      <c r="A916" s="102">
        <f t="shared" si="15"/>
        <v>915</v>
      </c>
      <c r="B916" s="468">
        <f>YEAR(Table6[[#This Row],[Date]])+IF(MONTH(Table6[[#This Row],[Date]])&gt;=4,1,0)</f>
        <v>2026</v>
      </c>
      <c r="C916" s="102">
        <f>YEAR(Table6[[#This Row],[Date]])</f>
        <v>2025</v>
      </c>
      <c r="D916" s="102" t="s">
        <v>1992</v>
      </c>
      <c r="E916" s="469">
        <f>Table6[[#This Row],[Date]]-DAY(Table6[[#This Row],[Date]])+1</f>
        <v>45778</v>
      </c>
      <c r="F916" s="470">
        <v>45805</v>
      </c>
      <c r="G916" s="35" t="s">
        <v>98</v>
      </c>
      <c r="H916" s="35" t="str">
        <f>IFERROR(_xlfn.XLOOKUP(Table6[[#This Row],[Affected WTG]],'Basic Data'!$A:$A,'Basic Data'!$B:$B),"")</f>
        <v>TQGXIIPL</v>
      </c>
      <c r="I916" s="35" t="str">
        <f>IFERROR(_xlfn.XLOOKUP(Table6[[#This Row],[Affected WTG]],'Basic Data'!$A:$A,'Basic Data'!$C:$C),"")</f>
        <v>GEDA</v>
      </c>
      <c r="J916" s="471">
        <f>IFERROR(_xlfn.XLOOKUP(Table6[[#This Row],[Affected WTG]],'Basic Data'!$A:$A,'Basic Data'!$E:$E),"")</f>
        <v>3.846153846153845E-2</v>
      </c>
      <c r="K916" s="102">
        <v>172</v>
      </c>
      <c r="L916" s="35" t="str">
        <f>IFERROR(_xlfn.XLOOKUP(Table6[[#This Row],[Error Code]],'Basic Data'!$AA:$AA,'Basic Data'!$AB:$AB),"Incorrect Error Code")</f>
        <v>SLC MF torque protection</v>
      </c>
      <c r="M916" s="35" t="s">
        <v>291</v>
      </c>
      <c r="N916" s="475"/>
      <c r="O916" s="476">
        <v>0.7006944444444444</v>
      </c>
      <c r="P916" s="476">
        <v>0.80347222222222225</v>
      </c>
      <c r="Q916" s="477">
        <v>0.80347222222222225</v>
      </c>
      <c r="R916" s="472">
        <f>IF(Table6[[#This Row],[Work Start TimeStamp]]="","",(Table6[[#This Row],[Work Start TimeStamp]]-Table6[[#This Row],[Fault Start TimeStamp]])*24)</f>
        <v>2.4666666666666686</v>
      </c>
      <c r="S916" s="472">
        <f>(Table6[[#This Row],[Fault Clearance time]]-Table6[[#This Row],[Work Start TimeStamp]])*24</f>
        <v>0</v>
      </c>
      <c r="T916" s="472">
        <f>(Table6[[#This Row],[Fault Clearance time]]-Table6[[#This Row],[Fault Start TimeStamp]])*24</f>
        <v>2.4666666666666686</v>
      </c>
      <c r="U916" s="35" t="s">
        <v>1916</v>
      </c>
      <c r="V916" s="102" t="s">
        <v>293</v>
      </c>
      <c r="W916" s="478">
        <f>IFERROR(Table6[[#This Row],[Breakdown Time]]*Table6[[#This Row],[Plant Equivalent Weightage]],"")</f>
        <v>9.4871794871794909E-2</v>
      </c>
      <c r="X916" s="473" t="s">
        <v>290</v>
      </c>
      <c r="Y916" s="474" t="s">
        <v>315</v>
      </c>
      <c r="Z916" s="102">
        <v>36145</v>
      </c>
      <c r="AA916" s="468">
        <f>(Table6[[#This Row],[Paired WTG Generation for loss calculation]]/24)*Table6[[#This Row],[Breakdown Time]]</f>
        <v>3714.902777777781</v>
      </c>
      <c r="AB916" s="102"/>
      <c r="AC916" s="35"/>
      <c r="AD916" s="35"/>
    </row>
    <row r="917" spans="1:30">
      <c r="A917" s="102">
        <f t="shared" si="15"/>
        <v>916</v>
      </c>
      <c r="B917" s="468">
        <f>YEAR(Table6[[#This Row],[Date]])+IF(MONTH(Table6[[#This Row],[Date]])&gt;=4,1,0)</f>
        <v>2026</v>
      </c>
      <c r="C917" s="102">
        <f>YEAR(Table6[[#This Row],[Date]])</f>
        <v>2025</v>
      </c>
      <c r="D917" s="102" t="s">
        <v>1992</v>
      </c>
      <c r="E917" s="469">
        <f>Table6[[#This Row],[Date]]-DAY(Table6[[#This Row],[Date]])+1</f>
        <v>45778</v>
      </c>
      <c r="F917" s="470">
        <v>45806</v>
      </c>
      <c r="G917" s="35" t="s">
        <v>75</v>
      </c>
      <c r="H917" s="35" t="str">
        <f>IFERROR(_xlfn.XLOOKUP(Table6[[#This Row],[Affected WTG]],'Basic Data'!$A:$A,'Basic Data'!$B:$B),"")</f>
        <v>TQGXIIPL</v>
      </c>
      <c r="I917" s="35" t="str">
        <f>IFERROR(_xlfn.XLOOKUP(Table6[[#This Row],[Affected WTG]],'Basic Data'!$A:$A,'Basic Data'!$C:$C),"")</f>
        <v>GEDA</v>
      </c>
      <c r="J917" s="471">
        <f>IFERROR(_xlfn.XLOOKUP(Table6[[#This Row],[Affected WTG]],'Basic Data'!$A:$A,'Basic Data'!$E:$E),"")</f>
        <v>3.846153846153845E-2</v>
      </c>
      <c r="K917" s="102">
        <v>3500</v>
      </c>
      <c r="L917" s="35" t="str">
        <f>IFERROR(_xlfn.XLOOKUP(Table6[[#This Row],[Error Code]],'Basic Data'!$AA:$AA,'Basic Data'!$AB:$AB),"Incorrect Error Code")</f>
        <v>Grid loss</v>
      </c>
      <c r="M917" s="35" t="s">
        <v>288</v>
      </c>
      <c r="N917" s="475"/>
      <c r="O917" s="476">
        <v>0.42708333333333331</v>
      </c>
      <c r="P917" s="476">
        <v>0.4861111111111111</v>
      </c>
      <c r="Q917" s="477">
        <v>0.4861111111111111</v>
      </c>
      <c r="R917" s="472">
        <f>IF(Table6[[#This Row],[Work Start TimeStamp]]="","",(Table6[[#This Row],[Work Start TimeStamp]]-Table6[[#This Row],[Fault Start TimeStamp]])*24)</f>
        <v>1.416666666666667</v>
      </c>
      <c r="S917" s="472">
        <f>(Table6[[#This Row],[Fault Clearance time]]-Table6[[#This Row],[Work Start TimeStamp]])*24</f>
        <v>0</v>
      </c>
      <c r="T917" s="472">
        <f>(Table6[[#This Row],[Fault Clearance time]]-Table6[[#This Row],[Fault Start TimeStamp]])*24</f>
        <v>1.416666666666667</v>
      </c>
      <c r="U917" s="35" t="s">
        <v>1919</v>
      </c>
      <c r="V917" s="102" t="s">
        <v>293</v>
      </c>
      <c r="W917" s="478">
        <f>IFERROR(Table6[[#This Row],[Breakdown Time]]*Table6[[#This Row],[Plant Equivalent Weightage]],"")</f>
        <v>5.4487179487179481E-2</v>
      </c>
      <c r="X917" s="473" t="s">
        <v>290</v>
      </c>
      <c r="Y917" s="474" t="s">
        <v>318</v>
      </c>
      <c r="Z917" s="102">
        <v>34066</v>
      </c>
      <c r="AA917" s="468">
        <f>(Table6[[#This Row],[Paired WTG Generation for loss calculation]]/24)*Table6[[#This Row],[Breakdown Time]]</f>
        <v>2010.8402777777783</v>
      </c>
      <c r="AB917" s="102"/>
      <c r="AC917" s="35"/>
      <c r="AD917" s="35"/>
    </row>
    <row r="918" spans="1:30">
      <c r="A918" s="102">
        <f t="shared" si="15"/>
        <v>917</v>
      </c>
      <c r="B918" s="468">
        <f>YEAR(Table6[[#This Row],[Date]])+IF(MONTH(Table6[[#This Row],[Date]])&gt;=4,1,0)</f>
        <v>2026</v>
      </c>
      <c r="C918" s="102">
        <f>YEAR(Table6[[#This Row],[Date]])</f>
        <v>2025</v>
      </c>
      <c r="D918" s="102" t="s">
        <v>1992</v>
      </c>
      <c r="E918" s="469">
        <f>Table6[[#This Row],[Date]]-DAY(Table6[[#This Row],[Date]])+1</f>
        <v>45778</v>
      </c>
      <c r="F918" s="470">
        <v>45806</v>
      </c>
      <c r="G918" s="35" t="s">
        <v>78</v>
      </c>
      <c r="H918" s="35" t="str">
        <f>IFERROR(_xlfn.XLOOKUP(Table6[[#This Row],[Affected WTG]],'Basic Data'!$A:$A,'Basic Data'!$B:$B),"")</f>
        <v>TQGXIIPL</v>
      </c>
      <c r="I918" s="35" t="str">
        <f>IFERROR(_xlfn.XLOOKUP(Table6[[#This Row],[Affected WTG]],'Basic Data'!$A:$A,'Basic Data'!$C:$C),"")</f>
        <v>GEDA</v>
      </c>
      <c r="J918" s="471">
        <f>IFERROR(_xlfn.XLOOKUP(Table6[[#This Row],[Affected WTG]],'Basic Data'!$A:$A,'Basic Data'!$E:$E),"")</f>
        <v>3.846153846153845E-2</v>
      </c>
      <c r="K918" s="102">
        <v>3500</v>
      </c>
      <c r="L918" s="35" t="str">
        <f>IFERROR(_xlfn.XLOOKUP(Table6[[#This Row],[Error Code]],'Basic Data'!$AA:$AA,'Basic Data'!$AB:$AB),"Incorrect Error Code")</f>
        <v>Grid loss</v>
      </c>
      <c r="M918" s="35" t="s">
        <v>288</v>
      </c>
      <c r="N918" s="475"/>
      <c r="O918" s="476">
        <v>0.42708333333333331</v>
      </c>
      <c r="P918" s="476">
        <v>0.4861111111111111</v>
      </c>
      <c r="Q918" s="477">
        <v>0.4861111111111111</v>
      </c>
      <c r="R918" s="472">
        <f>IF(Table6[[#This Row],[Work Start TimeStamp]]="","",(Table6[[#This Row],[Work Start TimeStamp]]-Table6[[#This Row],[Fault Start TimeStamp]])*24)</f>
        <v>1.416666666666667</v>
      </c>
      <c r="S918" s="472">
        <f>(Table6[[#This Row],[Fault Clearance time]]-Table6[[#This Row],[Work Start TimeStamp]])*24</f>
        <v>0</v>
      </c>
      <c r="T918" s="472">
        <f>(Table6[[#This Row],[Fault Clearance time]]-Table6[[#This Row],[Fault Start TimeStamp]])*24</f>
        <v>1.416666666666667</v>
      </c>
      <c r="U918" s="35" t="s">
        <v>1919</v>
      </c>
      <c r="V918" s="102" t="s">
        <v>293</v>
      </c>
      <c r="W918" s="478">
        <f>IFERROR(Table6[[#This Row],[Breakdown Time]]*Table6[[#This Row],[Plant Equivalent Weightage]],"")</f>
        <v>5.4487179487179481E-2</v>
      </c>
      <c r="X918" s="473" t="s">
        <v>290</v>
      </c>
      <c r="Y918" s="474" t="s">
        <v>333</v>
      </c>
      <c r="Z918" s="102">
        <v>35336</v>
      </c>
      <c r="AA918" s="468">
        <f>(Table6[[#This Row],[Paired WTG Generation for loss calculation]]/24)*Table6[[#This Row],[Breakdown Time]]</f>
        <v>2085.8055555555557</v>
      </c>
      <c r="AB918" s="102"/>
      <c r="AC918" s="35"/>
      <c r="AD918" s="35"/>
    </row>
    <row r="919" spans="1:30">
      <c r="A919" s="102">
        <f t="shared" si="15"/>
        <v>918</v>
      </c>
      <c r="B919" s="468">
        <f>YEAR(Table6[[#This Row],[Date]])+IF(MONTH(Table6[[#This Row],[Date]])&gt;=4,1,0)</f>
        <v>2026</v>
      </c>
      <c r="C919" s="102">
        <f>YEAR(Table6[[#This Row],[Date]])</f>
        <v>2025</v>
      </c>
      <c r="D919" s="102" t="s">
        <v>1992</v>
      </c>
      <c r="E919" s="469">
        <f>Table6[[#This Row],[Date]]-DAY(Table6[[#This Row],[Date]])+1</f>
        <v>45778</v>
      </c>
      <c r="F919" s="470">
        <v>45806</v>
      </c>
      <c r="G919" s="35" t="s">
        <v>98</v>
      </c>
      <c r="H919" s="35" t="str">
        <f>IFERROR(_xlfn.XLOOKUP(Table6[[#This Row],[Affected WTG]],'Basic Data'!$A:$A,'Basic Data'!$B:$B),"")</f>
        <v>TQGXIIPL</v>
      </c>
      <c r="I919" s="35" t="str">
        <f>IFERROR(_xlfn.XLOOKUP(Table6[[#This Row],[Affected WTG]],'Basic Data'!$A:$A,'Basic Data'!$C:$C),"")</f>
        <v>GEDA</v>
      </c>
      <c r="J919" s="471">
        <f>IFERROR(_xlfn.XLOOKUP(Table6[[#This Row],[Affected WTG]],'Basic Data'!$A:$A,'Basic Data'!$E:$E),"")</f>
        <v>3.846153846153845E-2</v>
      </c>
      <c r="K919" s="102">
        <v>3500</v>
      </c>
      <c r="L919" s="35" t="str">
        <f>IFERROR(_xlfn.XLOOKUP(Table6[[#This Row],[Error Code]],'Basic Data'!$AA:$AA,'Basic Data'!$AB:$AB),"Incorrect Error Code")</f>
        <v>Grid loss</v>
      </c>
      <c r="M919" s="35" t="s">
        <v>288</v>
      </c>
      <c r="N919" s="475"/>
      <c r="O919" s="476">
        <v>0.42708333333333331</v>
      </c>
      <c r="P919" s="476">
        <v>0.4861111111111111</v>
      </c>
      <c r="Q919" s="477">
        <v>0.4861111111111111</v>
      </c>
      <c r="R919" s="472">
        <f>IF(Table6[[#This Row],[Work Start TimeStamp]]="","",(Table6[[#This Row],[Work Start TimeStamp]]-Table6[[#This Row],[Fault Start TimeStamp]])*24)</f>
        <v>1.416666666666667</v>
      </c>
      <c r="S919" s="472">
        <f>(Table6[[#This Row],[Fault Clearance time]]-Table6[[#This Row],[Work Start TimeStamp]])*24</f>
        <v>0</v>
      </c>
      <c r="T919" s="472">
        <f>(Table6[[#This Row],[Fault Clearance time]]-Table6[[#This Row],[Fault Start TimeStamp]])*24</f>
        <v>1.416666666666667</v>
      </c>
      <c r="U919" s="35" t="s">
        <v>1919</v>
      </c>
      <c r="V919" s="102" t="s">
        <v>293</v>
      </c>
      <c r="W919" s="478">
        <f>IFERROR(Table6[[#This Row],[Breakdown Time]]*Table6[[#This Row],[Plant Equivalent Weightage]],"")</f>
        <v>5.4487179487179481E-2</v>
      </c>
      <c r="X919" s="473" t="s">
        <v>290</v>
      </c>
      <c r="Y919" s="474" t="s">
        <v>315</v>
      </c>
      <c r="Z919" s="102">
        <v>34991</v>
      </c>
      <c r="AA919" s="468">
        <f>(Table6[[#This Row],[Paired WTG Generation for loss calculation]]/24)*Table6[[#This Row],[Breakdown Time]]</f>
        <v>2065.4409722222226</v>
      </c>
      <c r="AB919" s="102"/>
      <c r="AC919" s="35"/>
      <c r="AD919" s="35"/>
    </row>
    <row r="920" spans="1:30">
      <c r="A920" s="102">
        <f t="shared" si="15"/>
        <v>919</v>
      </c>
      <c r="B920" s="468">
        <f>YEAR(Table6[[#This Row],[Date]])+IF(MONTH(Table6[[#This Row],[Date]])&gt;=4,1,0)</f>
        <v>2026</v>
      </c>
      <c r="C920" s="102">
        <f>YEAR(Table6[[#This Row],[Date]])</f>
        <v>2025</v>
      </c>
      <c r="D920" s="102" t="s">
        <v>1992</v>
      </c>
      <c r="E920" s="469">
        <f>Table6[[#This Row],[Date]]-DAY(Table6[[#This Row],[Date]])+1</f>
        <v>45778</v>
      </c>
      <c r="F920" s="470">
        <v>45806</v>
      </c>
      <c r="G920" s="35" t="s">
        <v>76</v>
      </c>
      <c r="H920" s="35" t="str">
        <f>IFERROR(_xlfn.XLOOKUP(Table6[[#This Row],[Affected WTG]],'Basic Data'!$A:$A,'Basic Data'!$B:$B),"")</f>
        <v>TQGXIIPL</v>
      </c>
      <c r="I920" s="35" t="str">
        <f>IFERROR(_xlfn.XLOOKUP(Table6[[#This Row],[Affected WTG]],'Basic Data'!$A:$A,'Basic Data'!$C:$C),"")</f>
        <v>GEDA</v>
      </c>
      <c r="J920" s="471">
        <f>IFERROR(_xlfn.XLOOKUP(Table6[[#This Row],[Affected WTG]],'Basic Data'!$A:$A,'Basic Data'!$E:$E),"")</f>
        <v>3.846153846153845E-2</v>
      </c>
      <c r="K920" s="102">
        <v>6605</v>
      </c>
      <c r="L920" s="35" t="str">
        <f>IFERROR(_xlfn.XLOOKUP(Table6[[#This Row],[Error Code]],'Basic Data'!$AA:$AA,'Basic Data'!$AB:$AB),"Incorrect Error Code")</f>
        <v>Wind.dir. diff. level 2</v>
      </c>
      <c r="M920" s="35" t="s">
        <v>292</v>
      </c>
      <c r="N920" s="475"/>
      <c r="O920" s="476">
        <v>0.52986111111111112</v>
      </c>
      <c r="P920" s="476">
        <v>0.53263888888888888</v>
      </c>
      <c r="Q920" s="477">
        <v>0.53263888888888888</v>
      </c>
      <c r="R920" s="472">
        <f>IF(Table6[[#This Row],[Work Start TimeStamp]]="","",(Table6[[#This Row],[Work Start TimeStamp]]-Table6[[#This Row],[Fault Start TimeStamp]])*24)</f>
        <v>6.666666666666643E-2</v>
      </c>
      <c r="S920" s="472">
        <f>(Table6[[#This Row],[Fault Clearance time]]-Table6[[#This Row],[Work Start TimeStamp]])*24</f>
        <v>0</v>
      </c>
      <c r="T920" s="472">
        <f>(Table6[[#This Row],[Fault Clearance time]]-Table6[[#This Row],[Fault Start TimeStamp]])*24</f>
        <v>6.666666666666643E-2</v>
      </c>
      <c r="U920" s="35" t="s">
        <v>336</v>
      </c>
      <c r="V920" s="102" t="s">
        <v>293</v>
      </c>
      <c r="W920" s="478">
        <f>IFERROR(Table6[[#This Row],[Breakdown Time]]*Table6[[#This Row],[Plant Equivalent Weightage]],"")</f>
        <v>2.5641025641025541E-3</v>
      </c>
      <c r="X920" s="473" t="s">
        <v>294</v>
      </c>
      <c r="Y920" s="474" t="s">
        <v>309</v>
      </c>
      <c r="Z920" s="102">
        <v>35770</v>
      </c>
      <c r="AA920" s="468">
        <f>(Table6[[#This Row],[Paired WTG Generation for loss calculation]]/24)*Table6[[#This Row],[Breakdown Time]]</f>
        <v>99.361111111110759</v>
      </c>
      <c r="AB920" s="102"/>
      <c r="AC920" s="35"/>
      <c r="AD920" s="35"/>
    </row>
    <row r="921" spans="1:30">
      <c r="A921" s="102">
        <f t="shared" si="15"/>
        <v>920</v>
      </c>
      <c r="B921" s="468">
        <f>YEAR(Table6[[#This Row],[Date]])+IF(MONTH(Table6[[#This Row],[Date]])&gt;=4,1,0)</f>
        <v>2026</v>
      </c>
      <c r="C921" s="102">
        <f>YEAR(Table6[[#This Row],[Date]])</f>
        <v>2025</v>
      </c>
      <c r="D921" s="102" t="s">
        <v>1992</v>
      </c>
      <c r="E921" s="469">
        <f>Table6[[#This Row],[Date]]-DAY(Table6[[#This Row],[Date]])+1</f>
        <v>45778</v>
      </c>
      <c r="F921" s="470">
        <v>45806</v>
      </c>
      <c r="G921" s="35" t="s">
        <v>77</v>
      </c>
      <c r="H921" s="35" t="str">
        <f>IFERROR(_xlfn.XLOOKUP(Table6[[#This Row],[Affected WTG]],'Basic Data'!$A:$A,'Basic Data'!$B:$B),"")</f>
        <v>TQGXIIPL</v>
      </c>
      <c r="I921" s="35" t="str">
        <f>IFERROR(_xlfn.XLOOKUP(Table6[[#This Row],[Affected WTG]],'Basic Data'!$A:$A,'Basic Data'!$C:$C),"")</f>
        <v>GEDA</v>
      </c>
      <c r="J921" s="471">
        <f>IFERROR(_xlfn.XLOOKUP(Table6[[#This Row],[Affected WTG]],'Basic Data'!$A:$A,'Basic Data'!$E:$E),"")</f>
        <v>3.846153846153845E-2</v>
      </c>
      <c r="K921" s="102">
        <v>6130</v>
      </c>
      <c r="L921" s="35" t="str">
        <f>IFERROR(_xlfn.XLOOKUP(Table6[[#This Row],[Error Code]],'Basic Data'!$AA:$AA,'Basic Data'!$AB:$AB),"Incorrect Error Code")</f>
        <v>Yaw speed high</v>
      </c>
      <c r="M921" s="35" t="s">
        <v>292</v>
      </c>
      <c r="N921" s="475"/>
      <c r="O921" s="476">
        <v>0.61875000000000002</v>
      </c>
      <c r="P921" s="476">
        <v>0.61944444444444446</v>
      </c>
      <c r="Q921" s="477">
        <v>0.61944444444444446</v>
      </c>
      <c r="R921" s="472">
        <f>IF(Table6[[#This Row],[Work Start TimeStamp]]="","",(Table6[[#This Row],[Work Start TimeStamp]]-Table6[[#This Row],[Fault Start TimeStamp]])*24)</f>
        <v>1.6666666666666607E-2</v>
      </c>
      <c r="S921" s="472">
        <f>(Table6[[#This Row],[Fault Clearance time]]-Table6[[#This Row],[Work Start TimeStamp]])*24</f>
        <v>0</v>
      </c>
      <c r="T921" s="472">
        <f>(Table6[[#This Row],[Fault Clearance time]]-Table6[[#This Row],[Fault Start TimeStamp]])*24</f>
        <v>1.6666666666666607E-2</v>
      </c>
      <c r="U921" s="35" t="s">
        <v>336</v>
      </c>
      <c r="V921" s="102" t="s">
        <v>293</v>
      </c>
      <c r="W921" s="478">
        <f>IFERROR(Table6[[#This Row],[Breakdown Time]]*Table6[[#This Row],[Plant Equivalent Weightage]],"")</f>
        <v>6.4102564102563853E-4</v>
      </c>
      <c r="X921" s="473" t="s">
        <v>294</v>
      </c>
      <c r="Y921" s="474" t="s">
        <v>310</v>
      </c>
      <c r="Z921" s="102">
        <v>36624</v>
      </c>
      <c r="AA921" s="468">
        <f>(Table6[[#This Row],[Paired WTG Generation for loss calculation]]/24)*Table6[[#This Row],[Breakdown Time]]</f>
        <v>25.433333333333245</v>
      </c>
      <c r="AB921" s="102"/>
      <c r="AC921" s="35"/>
      <c r="AD921" s="35"/>
    </row>
    <row r="922" spans="1:30">
      <c r="A922" s="102">
        <f t="shared" si="15"/>
        <v>921</v>
      </c>
      <c r="B922" s="468">
        <f>YEAR(Table6[[#This Row],[Date]])+IF(MONTH(Table6[[#This Row],[Date]])&gt;=4,1,0)</f>
        <v>2026</v>
      </c>
      <c r="C922" s="102">
        <f>YEAR(Table6[[#This Row],[Date]])</f>
        <v>2025</v>
      </c>
      <c r="D922" s="102" t="s">
        <v>1992</v>
      </c>
      <c r="E922" s="469">
        <f>Table6[[#This Row],[Date]]-DAY(Table6[[#This Row],[Date]])+1</f>
        <v>45778</v>
      </c>
      <c r="F922" s="470">
        <v>45806</v>
      </c>
      <c r="G922" s="35" t="s">
        <v>77</v>
      </c>
      <c r="H922" s="35" t="str">
        <f>IFERROR(_xlfn.XLOOKUP(Table6[[#This Row],[Affected WTG]],'Basic Data'!$A:$A,'Basic Data'!$B:$B),"")</f>
        <v>TQGXIIPL</v>
      </c>
      <c r="I922" s="35" t="str">
        <f>IFERROR(_xlfn.XLOOKUP(Table6[[#This Row],[Affected WTG]],'Basic Data'!$A:$A,'Basic Data'!$C:$C),"")</f>
        <v>GEDA</v>
      </c>
      <c r="J922" s="471">
        <f>IFERROR(_xlfn.XLOOKUP(Table6[[#This Row],[Affected WTG]],'Basic Data'!$A:$A,'Basic Data'!$E:$E),"")</f>
        <v>3.846153846153845E-2</v>
      </c>
      <c r="K922" s="102">
        <v>6130</v>
      </c>
      <c r="L922" s="35" t="str">
        <f>IFERROR(_xlfn.XLOOKUP(Table6[[#This Row],[Error Code]],'Basic Data'!$AA:$AA,'Basic Data'!$AB:$AB),"Incorrect Error Code")</f>
        <v>Yaw speed high</v>
      </c>
      <c r="M922" s="35" t="s">
        <v>292</v>
      </c>
      <c r="N922" s="475"/>
      <c r="O922" s="476">
        <v>0.72222222222222221</v>
      </c>
      <c r="P922" s="476">
        <v>0.72638888888888886</v>
      </c>
      <c r="Q922" s="477">
        <v>0.72638888888888886</v>
      </c>
      <c r="R922" s="472">
        <f>IF(Table6[[#This Row],[Work Start TimeStamp]]="","",(Table6[[#This Row],[Work Start TimeStamp]]-Table6[[#This Row],[Fault Start TimeStamp]])*24)</f>
        <v>9.9999999999999645E-2</v>
      </c>
      <c r="S922" s="472">
        <f>(Table6[[#This Row],[Fault Clearance time]]-Table6[[#This Row],[Work Start TimeStamp]])*24</f>
        <v>0</v>
      </c>
      <c r="T922" s="472">
        <f>(Table6[[#This Row],[Fault Clearance time]]-Table6[[#This Row],[Fault Start TimeStamp]])*24</f>
        <v>9.9999999999999645E-2</v>
      </c>
      <c r="U922" s="35" t="s">
        <v>336</v>
      </c>
      <c r="V922" s="102" t="s">
        <v>293</v>
      </c>
      <c r="W922" s="478">
        <f>IFERROR(Table6[[#This Row],[Breakdown Time]]*Table6[[#This Row],[Plant Equivalent Weightage]],"")</f>
        <v>3.8461538461538312E-3</v>
      </c>
      <c r="X922" s="473" t="s">
        <v>294</v>
      </c>
      <c r="Y922" s="474" t="s">
        <v>310</v>
      </c>
      <c r="Z922" s="102">
        <v>36624</v>
      </c>
      <c r="AA922" s="468">
        <f>(Table6[[#This Row],[Paired WTG Generation for loss calculation]]/24)*Table6[[#This Row],[Breakdown Time]]</f>
        <v>152.59999999999945</v>
      </c>
      <c r="AB922" s="102"/>
      <c r="AC922" s="35"/>
      <c r="AD922" s="35"/>
    </row>
    <row r="923" spans="1:30">
      <c r="A923" s="102">
        <f t="shared" si="15"/>
        <v>922</v>
      </c>
      <c r="B923" s="468">
        <f>YEAR(Table6[[#This Row],[Date]])+IF(MONTH(Table6[[#This Row],[Date]])&gt;=4,1,0)</f>
        <v>2026</v>
      </c>
      <c r="C923" s="102">
        <f>YEAR(Table6[[#This Row],[Date]])</f>
        <v>2025</v>
      </c>
      <c r="D923" s="102" t="s">
        <v>1992</v>
      </c>
      <c r="E923" s="469">
        <f>Table6[[#This Row],[Date]]-DAY(Table6[[#This Row],[Date]])+1</f>
        <v>45778</v>
      </c>
      <c r="F923" s="470">
        <v>45806</v>
      </c>
      <c r="G923" s="35" t="s">
        <v>77</v>
      </c>
      <c r="H923" s="35" t="str">
        <f>IFERROR(_xlfn.XLOOKUP(Table6[[#This Row],[Affected WTG]],'Basic Data'!$A:$A,'Basic Data'!$B:$B),"")</f>
        <v>TQGXIIPL</v>
      </c>
      <c r="I923" s="35" t="str">
        <f>IFERROR(_xlfn.XLOOKUP(Table6[[#This Row],[Affected WTG]],'Basic Data'!$A:$A,'Basic Data'!$C:$C),"")</f>
        <v>GEDA</v>
      </c>
      <c r="J923" s="471">
        <f>IFERROR(_xlfn.XLOOKUP(Table6[[#This Row],[Affected WTG]],'Basic Data'!$A:$A,'Basic Data'!$E:$E),"")</f>
        <v>3.846153846153845E-2</v>
      </c>
      <c r="K923" s="102">
        <v>5550</v>
      </c>
      <c r="L923" s="35" t="str">
        <f>IFERROR(_xlfn.XLOOKUP(Table6[[#This Row],[Error Code]],'Basic Data'!$AA:$AA,'Basic Data'!$AB:$AB),"Incorrect Error Code")</f>
        <v>Low hydraulic oil level</v>
      </c>
      <c r="M923" s="35" t="s">
        <v>291</v>
      </c>
      <c r="N923" s="475"/>
      <c r="O923" s="476">
        <v>0.8520833333333333</v>
      </c>
      <c r="P923" s="476">
        <v>0.91249999999999998</v>
      </c>
      <c r="Q923" s="477">
        <v>1</v>
      </c>
      <c r="R923" s="472">
        <f>IF(Table6[[#This Row],[Work Start TimeStamp]]="","",(Table6[[#This Row],[Work Start TimeStamp]]-Table6[[#This Row],[Fault Start TimeStamp]])*24)</f>
        <v>1.4500000000000002</v>
      </c>
      <c r="S923" s="472">
        <f>(Table6[[#This Row],[Fault Clearance time]]-Table6[[#This Row],[Work Start TimeStamp]])*24</f>
        <v>2.1000000000000005</v>
      </c>
      <c r="T923" s="472">
        <f>(Table6[[#This Row],[Fault Clearance time]]-Table6[[#This Row],[Fault Start TimeStamp]])*24</f>
        <v>3.5500000000000007</v>
      </c>
      <c r="U923" s="35" t="s">
        <v>1920</v>
      </c>
      <c r="V923" s="102" t="s">
        <v>293</v>
      </c>
      <c r="W923" s="478">
        <f>IFERROR(Table6[[#This Row],[Breakdown Time]]*Table6[[#This Row],[Plant Equivalent Weightage]],"")</f>
        <v>0.13653846153846153</v>
      </c>
      <c r="X923" s="473" t="s">
        <v>290</v>
      </c>
      <c r="Y923" s="474" t="s">
        <v>310</v>
      </c>
      <c r="Z923" s="102">
        <v>36624</v>
      </c>
      <c r="AA923" s="468">
        <f>(Table6[[#This Row],[Paired WTG Generation for loss calculation]]/24)*Table6[[#This Row],[Breakdown Time]]</f>
        <v>5417.3000000000011</v>
      </c>
      <c r="AB923" s="102"/>
      <c r="AC923" s="35"/>
      <c r="AD923" s="35"/>
    </row>
    <row r="924" spans="1:30">
      <c r="A924" s="102">
        <f t="shared" si="15"/>
        <v>923</v>
      </c>
      <c r="B924" s="468">
        <f>YEAR(Table6[[#This Row],[Date]])+IF(MONTH(Table6[[#This Row],[Date]])&gt;=4,1,0)</f>
        <v>2026</v>
      </c>
      <c r="C924" s="102">
        <f>YEAR(Table6[[#This Row],[Date]])</f>
        <v>2025</v>
      </c>
      <c r="D924" s="102" t="s">
        <v>1992</v>
      </c>
      <c r="E924" s="469">
        <f>Table6[[#This Row],[Date]]-DAY(Table6[[#This Row],[Date]])+1</f>
        <v>45778</v>
      </c>
      <c r="F924" s="470">
        <v>45806</v>
      </c>
      <c r="G924" s="35" t="s">
        <v>78</v>
      </c>
      <c r="H924" s="35" t="str">
        <f>IFERROR(_xlfn.XLOOKUP(Table6[[#This Row],[Affected WTG]],'Basic Data'!$A:$A,'Basic Data'!$B:$B),"")</f>
        <v>TQGXIIPL</v>
      </c>
      <c r="I924" s="35" t="str">
        <f>IFERROR(_xlfn.XLOOKUP(Table6[[#This Row],[Affected WTG]],'Basic Data'!$A:$A,'Basic Data'!$C:$C),"")</f>
        <v>GEDA</v>
      </c>
      <c r="J924" s="471">
        <f>IFERROR(_xlfn.XLOOKUP(Table6[[#This Row],[Affected WTG]],'Basic Data'!$A:$A,'Basic Data'!$E:$E),"")</f>
        <v>3.846153846153845E-2</v>
      </c>
      <c r="K924" s="102">
        <v>6605</v>
      </c>
      <c r="L924" s="35" t="str">
        <f>IFERROR(_xlfn.XLOOKUP(Table6[[#This Row],[Error Code]],'Basic Data'!$AA:$AA,'Basic Data'!$AB:$AB),"Incorrect Error Code")</f>
        <v>Wind.dir. diff. level 2</v>
      </c>
      <c r="M924" s="35" t="s">
        <v>292</v>
      </c>
      <c r="N924" s="475"/>
      <c r="O924" s="476">
        <v>0.61875000000000002</v>
      </c>
      <c r="P924" s="476">
        <v>0.62361111111111112</v>
      </c>
      <c r="Q924" s="477">
        <v>0.62361111111111112</v>
      </c>
      <c r="R924" s="472">
        <f>IF(Table6[[#This Row],[Work Start TimeStamp]]="","",(Table6[[#This Row],[Work Start TimeStamp]]-Table6[[#This Row],[Fault Start TimeStamp]])*24)</f>
        <v>0.11666666666666625</v>
      </c>
      <c r="S924" s="472">
        <f>(Table6[[#This Row],[Fault Clearance time]]-Table6[[#This Row],[Work Start TimeStamp]])*24</f>
        <v>0</v>
      </c>
      <c r="T924" s="472">
        <f>(Table6[[#This Row],[Fault Clearance time]]-Table6[[#This Row],[Fault Start TimeStamp]])*24</f>
        <v>0.11666666666666625</v>
      </c>
      <c r="U924" s="35" t="s">
        <v>336</v>
      </c>
      <c r="V924" s="102" t="s">
        <v>293</v>
      </c>
      <c r="W924" s="478">
        <f>IFERROR(Table6[[#This Row],[Breakdown Time]]*Table6[[#This Row],[Plant Equivalent Weightage]],"")</f>
        <v>4.4871794871794695E-3</v>
      </c>
      <c r="X924" s="473" t="s">
        <v>294</v>
      </c>
      <c r="Y924" s="474" t="s">
        <v>333</v>
      </c>
      <c r="Z924" s="102">
        <v>35336</v>
      </c>
      <c r="AA924" s="468">
        <f>(Table6[[#This Row],[Paired WTG Generation for loss calculation]]/24)*Table6[[#This Row],[Breakdown Time]]</f>
        <v>171.77222222222161</v>
      </c>
      <c r="AB924" s="102"/>
      <c r="AC924" s="35"/>
      <c r="AD924" s="35"/>
    </row>
    <row r="925" spans="1:30">
      <c r="A925" s="102">
        <f t="shared" si="15"/>
        <v>924</v>
      </c>
      <c r="B925" s="468">
        <f>YEAR(Table6[[#This Row],[Date]])+IF(MONTH(Table6[[#This Row],[Date]])&gt;=4,1,0)</f>
        <v>2026</v>
      </c>
      <c r="C925" s="102">
        <f>YEAR(Table6[[#This Row],[Date]])</f>
        <v>2025</v>
      </c>
      <c r="D925" s="102" t="s">
        <v>1992</v>
      </c>
      <c r="E925" s="469">
        <f>Table6[[#This Row],[Date]]-DAY(Table6[[#This Row],[Date]])+1</f>
        <v>45778</v>
      </c>
      <c r="F925" s="470">
        <v>45806</v>
      </c>
      <c r="G925" s="35" t="s">
        <v>81</v>
      </c>
      <c r="H925" s="35" t="str">
        <f>IFERROR(_xlfn.XLOOKUP(Table6[[#This Row],[Affected WTG]],'Basic Data'!$A:$A,'Basic Data'!$B:$B),"")</f>
        <v>TQGXIIPL</v>
      </c>
      <c r="I925" s="35" t="str">
        <f>IFERROR(_xlfn.XLOOKUP(Table6[[#This Row],[Affected WTG]],'Basic Data'!$A:$A,'Basic Data'!$C:$C),"")</f>
        <v>GEDA</v>
      </c>
      <c r="J925" s="471">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292</v>
      </c>
      <c r="N925" s="475"/>
      <c r="O925" s="476">
        <v>0.73402777777777772</v>
      </c>
      <c r="P925" s="476">
        <v>0.73472222222222228</v>
      </c>
      <c r="Q925" s="477">
        <v>0.73472222222222228</v>
      </c>
      <c r="R925" s="472">
        <f>IF(Table6[[#This Row],[Work Start TimeStamp]]="","",(Table6[[#This Row],[Work Start TimeStamp]]-Table6[[#This Row],[Fault Start TimeStamp]])*24)</f>
        <v>1.6666666666669272E-2</v>
      </c>
      <c r="S925" s="472">
        <f>(Table6[[#This Row],[Fault Clearance time]]-Table6[[#This Row],[Work Start TimeStamp]])*24</f>
        <v>0</v>
      </c>
      <c r="T925" s="472">
        <f>(Table6[[#This Row],[Fault Clearance time]]-Table6[[#This Row],[Fault Start TimeStamp]])*24</f>
        <v>1.6666666666669272E-2</v>
      </c>
      <c r="U925" s="35" t="s">
        <v>336</v>
      </c>
      <c r="V925" s="102" t="s">
        <v>293</v>
      </c>
      <c r="W925" s="478">
        <f>IFERROR(Table6[[#This Row],[Breakdown Time]]*Table6[[#This Row],[Plant Equivalent Weightage]],"")</f>
        <v>6.4102564102574099E-4</v>
      </c>
      <c r="X925" s="473" t="s">
        <v>294</v>
      </c>
      <c r="Y925" s="474" t="s">
        <v>321</v>
      </c>
      <c r="Z925" s="102">
        <v>36092</v>
      </c>
      <c r="AA925" s="468">
        <f>(Table6[[#This Row],[Paired WTG Generation for loss calculation]]/24)*Table6[[#This Row],[Breakdown Time]]</f>
        <v>25.063888888892805</v>
      </c>
      <c r="AB925" s="102"/>
      <c r="AC925" s="35"/>
      <c r="AD925" s="35"/>
    </row>
    <row r="926" spans="1:30">
      <c r="A926" s="102">
        <f t="shared" si="15"/>
        <v>925</v>
      </c>
      <c r="B926" s="468">
        <f>YEAR(Table6[[#This Row],[Date]])+IF(MONTH(Table6[[#This Row],[Date]])&gt;=4,1,0)</f>
        <v>2026</v>
      </c>
      <c r="C926" s="102">
        <f>YEAR(Table6[[#This Row],[Date]])</f>
        <v>2025</v>
      </c>
      <c r="D926" s="102" t="s">
        <v>1992</v>
      </c>
      <c r="E926" s="469">
        <f>Table6[[#This Row],[Date]]-DAY(Table6[[#This Row],[Date]])+1</f>
        <v>45778</v>
      </c>
      <c r="F926" s="470">
        <v>45806</v>
      </c>
      <c r="G926" s="35" t="s">
        <v>84</v>
      </c>
      <c r="H926" s="35" t="str">
        <f>IFERROR(_xlfn.XLOOKUP(Table6[[#This Row],[Affected WTG]],'Basic Data'!$A:$A,'Basic Data'!$B:$B),"")</f>
        <v>TQGXIIPL</v>
      </c>
      <c r="I926" s="35" t="str">
        <f>IFERROR(_xlfn.XLOOKUP(Table6[[#This Row],[Affected WTG]],'Basic Data'!$A:$A,'Basic Data'!$C:$C),"")</f>
        <v>GEDA</v>
      </c>
      <c r="J926" s="471">
        <f>IFERROR(_xlfn.XLOOKUP(Table6[[#This Row],[Affected WTG]],'Basic Data'!$A:$A,'Basic Data'!$E:$E),"")</f>
        <v>3.846153846153845E-2</v>
      </c>
      <c r="K926" s="102">
        <v>6130</v>
      </c>
      <c r="L926" s="35" t="str">
        <f>IFERROR(_xlfn.XLOOKUP(Table6[[#This Row],[Error Code]],'Basic Data'!$AA:$AA,'Basic Data'!$AB:$AB),"Incorrect Error Code")</f>
        <v>Yaw speed high</v>
      </c>
      <c r="M926" s="35" t="s">
        <v>292</v>
      </c>
      <c r="N926" s="475"/>
      <c r="O926" s="476">
        <v>0.65416666666666667</v>
      </c>
      <c r="P926" s="476">
        <v>0.65833333333333333</v>
      </c>
      <c r="Q926" s="477">
        <v>0.65833333333333333</v>
      </c>
      <c r="R926" s="472">
        <f>IF(Table6[[#This Row],[Work Start TimeStamp]]="","",(Table6[[#This Row],[Work Start TimeStamp]]-Table6[[#This Row],[Fault Start TimeStamp]])*24)</f>
        <v>9.9999999999999645E-2</v>
      </c>
      <c r="S926" s="472">
        <f>(Table6[[#This Row],[Fault Clearance time]]-Table6[[#This Row],[Work Start TimeStamp]])*24</f>
        <v>0</v>
      </c>
      <c r="T926" s="472">
        <f>(Table6[[#This Row],[Fault Clearance time]]-Table6[[#This Row],[Fault Start TimeStamp]])*24</f>
        <v>9.9999999999999645E-2</v>
      </c>
      <c r="U926" s="35" t="s">
        <v>336</v>
      </c>
      <c r="V926" s="102" t="s">
        <v>293</v>
      </c>
      <c r="W926" s="478">
        <f>IFERROR(Table6[[#This Row],[Breakdown Time]]*Table6[[#This Row],[Plant Equivalent Weightage]],"")</f>
        <v>3.8461538461538312E-3</v>
      </c>
      <c r="X926" s="473" t="s">
        <v>294</v>
      </c>
      <c r="Y926" s="474" t="s">
        <v>327</v>
      </c>
      <c r="Z926" s="102">
        <v>35861</v>
      </c>
      <c r="AA926" s="468">
        <f>(Table6[[#This Row],[Paired WTG Generation for loss calculation]]/24)*Table6[[#This Row],[Breakdown Time]]</f>
        <v>149.42083333333281</v>
      </c>
      <c r="AB926" s="102"/>
      <c r="AC926" s="35"/>
      <c r="AD926" s="35"/>
    </row>
    <row r="927" spans="1:30">
      <c r="A927" s="102">
        <f t="shared" si="15"/>
        <v>926</v>
      </c>
      <c r="B927" s="468">
        <f>YEAR(Table6[[#This Row],[Date]])+IF(MONTH(Table6[[#This Row],[Date]])&gt;=4,1,0)</f>
        <v>2026</v>
      </c>
      <c r="C927" s="102">
        <f>YEAR(Table6[[#This Row],[Date]])</f>
        <v>2025</v>
      </c>
      <c r="D927" s="102" t="s">
        <v>1992</v>
      </c>
      <c r="E927" s="469">
        <f>Table6[[#This Row],[Date]]-DAY(Table6[[#This Row],[Date]])+1</f>
        <v>45778</v>
      </c>
      <c r="F927" s="470">
        <v>45806</v>
      </c>
      <c r="G927" s="35" t="s">
        <v>85</v>
      </c>
      <c r="H927" s="35" t="str">
        <f>IFERROR(_xlfn.XLOOKUP(Table6[[#This Row],[Affected WTG]],'Basic Data'!$A:$A,'Basic Data'!$B:$B),"")</f>
        <v>TQGXIIPL</v>
      </c>
      <c r="I927" s="35" t="str">
        <f>IFERROR(_xlfn.XLOOKUP(Table6[[#This Row],[Affected WTG]],'Basic Data'!$A:$A,'Basic Data'!$C:$C),"")</f>
        <v>GEDA</v>
      </c>
      <c r="J927" s="471">
        <f>IFERROR(_xlfn.XLOOKUP(Table6[[#This Row],[Affected WTG]],'Basic Data'!$A:$A,'Basic Data'!$E:$E),"")</f>
        <v>3.846153846153845E-2</v>
      </c>
      <c r="K927" s="102">
        <v>1700</v>
      </c>
      <c r="L927" s="35" t="str">
        <f>IFERROR(_xlfn.XLOOKUP(Table6[[#This Row],[Error Code]],'Basic Data'!$AA:$AA,'Basic Data'!$AB:$AB),"Incorrect Error Code")</f>
        <v>High temp. gear bearing 1</v>
      </c>
      <c r="M927" s="35" t="s">
        <v>291</v>
      </c>
      <c r="N927" s="475"/>
      <c r="O927" s="476">
        <v>0.67847222222222225</v>
      </c>
      <c r="P927" s="476">
        <v>0.68194444444444446</v>
      </c>
      <c r="Q927" s="477">
        <v>0.68194444444444446</v>
      </c>
      <c r="R927" s="472">
        <f>IF(Table6[[#This Row],[Work Start TimeStamp]]="","",(Table6[[#This Row],[Work Start TimeStamp]]-Table6[[#This Row],[Fault Start TimeStamp]])*24)</f>
        <v>8.3333333333333037E-2</v>
      </c>
      <c r="S927" s="472">
        <f>(Table6[[#This Row],[Fault Clearance time]]-Table6[[#This Row],[Work Start TimeStamp]])*24</f>
        <v>0</v>
      </c>
      <c r="T927" s="472">
        <f>(Table6[[#This Row],[Fault Clearance time]]-Table6[[#This Row],[Fault Start TimeStamp]])*24</f>
        <v>8.3333333333333037E-2</v>
      </c>
      <c r="U927" s="35" t="s">
        <v>349</v>
      </c>
      <c r="V927" s="102" t="s">
        <v>293</v>
      </c>
      <c r="W927" s="478">
        <f>IFERROR(Table6[[#This Row],[Breakdown Time]]*Table6[[#This Row],[Plant Equivalent Weightage]],"")</f>
        <v>3.2051282051281929E-3</v>
      </c>
      <c r="X927" s="473" t="s">
        <v>290</v>
      </c>
      <c r="Y927" s="474" t="s">
        <v>322</v>
      </c>
      <c r="Z927" s="102">
        <v>36054</v>
      </c>
      <c r="AA927" s="468">
        <f>(Table6[[#This Row],[Paired WTG Generation for loss calculation]]/24)*Table6[[#This Row],[Breakdown Time]]</f>
        <v>125.18749999999956</v>
      </c>
      <c r="AB927" s="102"/>
      <c r="AC927" s="35"/>
      <c r="AD927" s="35"/>
    </row>
    <row r="928" spans="1:30">
      <c r="A928" s="102">
        <f t="shared" si="15"/>
        <v>927</v>
      </c>
      <c r="B928" s="468">
        <f>YEAR(Table6[[#This Row],[Date]])+IF(MONTH(Table6[[#This Row],[Date]])&gt;=4,1,0)</f>
        <v>2026</v>
      </c>
      <c r="C928" s="102">
        <f>YEAR(Table6[[#This Row],[Date]])</f>
        <v>2025</v>
      </c>
      <c r="D928" s="102" t="s">
        <v>1992</v>
      </c>
      <c r="E928" s="469">
        <f>Table6[[#This Row],[Date]]-DAY(Table6[[#This Row],[Date]])+1</f>
        <v>45778</v>
      </c>
      <c r="F928" s="470">
        <v>45806</v>
      </c>
      <c r="G928" s="35" t="s">
        <v>92</v>
      </c>
      <c r="H928" s="35" t="str">
        <f>IFERROR(_xlfn.XLOOKUP(Table6[[#This Row],[Affected WTG]],'Basic Data'!$A:$A,'Basic Data'!$B:$B),"")</f>
        <v>TQGXIIPL</v>
      </c>
      <c r="I928" s="35" t="str">
        <f>IFERROR(_xlfn.XLOOKUP(Table6[[#This Row],[Affected WTG]],'Basic Data'!$A:$A,'Basic Data'!$C:$C),"")</f>
        <v>GEDA</v>
      </c>
      <c r="J928" s="471">
        <f>IFERROR(_xlfn.XLOOKUP(Table6[[#This Row],[Affected WTG]],'Basic Data'!$A:$A,'Basic Data'!$E:$E),"")</f>
        <v>3.846153846153845E-2</v>
      </c>
      <c r="K928" s="102">
        <v>6605</v>
      </c>
      <c r="L928" s="35" t="str">
        <f>IFERROR(_xlfn.XLOOKUP(Table6[[#This Row],[Error Code]],'Basic Data'!$AA:$AA,'Basic Data'!$AB:$AB),"Incorrect Error Code")</f>
        <v>Wind.dir. diff. level 2</v>
      </c>
      <c r="M928" s="35" t="s">
        <v>292</v>
      </c>
      <c r="N928" s="475"/>
      <c r="O928" s="476">
        <v>0.63194444444444442</v>
      </c>
      <c r="P928" s="476">
        <v>0.63263888888888886</v>
      </c>
      <c r="Q928" s="477">
        <v>0.63263888888888886</v>
      </c>
      <c r="R928" s="472">
        <f>IF(Table6[[#This Row],[Work Start TimeStamp]]="","",(Table6[[#This Row],[Work Start TimeStamp]]-Table6[[#This Row],[Fault Start TimeStamp]])*24)</f>
        <v>1.6666666666666607E-2</v>
      </c>
      <c r="S928" s="472">
        <f>(Table6[[#This Row],[Fault Clearance time]]-Table6[[#This Row],[Work Start TimeStamp]])*24</f>
        <v>0</v>
      </c>
      <c r="T928" s="472">
        <f>(Table6[[#This Row],[Fault Clearance time]]-Table6[[#This Row],[Fault Start TimeStamp]])*24</f>
        <v>1.6666666666666607E-2</v>
      </c>
      <c r="U928" s="35" t="s">
        <v>336</v>
      </c>
      <c r="V928" s="102" t="s">
        <v>293</v>
      </c>
      <c r="W928" s="478">
        <f>IFERROR(Table6[[#This Row],[Breakdown Time]]*Table6[[#This Row],[Plant Equivalent Weightage]],"")</f>
        <v>6.4102564102563853E-4</v>
      </c>
      <c r="X928" s="473" t="s">
        <v>294</v>
      </c>
      <c r="Y928" s="474" t="s">
        <v>310</v>
      </c>
      <c r="Z928" s="102">
        <v>36624</v>
      </c>
      <c r="AA928" s="468">
        <f>(Table6[[#This Row],[Paired WTG Generation for loss calculation]]/24)*Table6[[#This Row],[Breakdown Time]]</f>
        <v>25.433333333333245</v>
      </c>
      <c r="AB928" s="102"/>
      <c r="AC928" s="35"/>
      <c r="AD928" s="35"/>
    </row>
    <row r="929" spans="1:30">
      <c r="A929" s="102">
        <f t="shared" si="15"/>
        <v>928</v>
      </c>
      <c r="B929" s="468">
        <f>YEAR(Table6[[#This Row],[Date]])+IF(MONTH(Table6[[#This Row],[Date]])&gt;=4,1,0)</f>
        <v>2026</v>
      </c>
      <c r="C929" s="102">
        <f>YEAR(Table6[[#This Row],[Date]])</f>
        <v>2025</v>
      </c>
      <c r="D929" s="102" t="s">
        <v>1992</v>
      </c>
      <c r="E929" s="469">
        <f>Table6[[#This Row],[Date]]-DAY(Table6[[#This Row],[Date]])+1</f>
        <v>45778</v>
      </c>
      <c r="F929" s="470">
        <v>45806</v>
      </c>
      <c r="G929" s="35" t="s">
        <v>93</v>
      </c>
      <c r="H929" s="35" t="str">
        <f>IFERROR(_xlfn.XLOOKUP(Table6[[#This Row],[Affected WTG]],'Basic Data'!$A:$A,'Basic Data'!$B:$B),"")</f>
        <v>TQGXIIPL</v>
      </c>
      <c r="I929" s="35" t="str">
        <f>IFERROR(_xlfn.XLOOKUP(Table6[[#This Row],[Affected WTG]],'Basic Data'!$A:$A,'Basic Data'!$C:$C),"")</f>
        <v>GEDA</v>
      </c>
      <c r="J929" s="471">
        <f>IFERROR(_xlfn.XLOOKUP(Table6[[#This Row],[Affected WTG]],'Basic Data'!$A:$A,'Basic Data'!$E:$E),"")</f>
        <v>3.846153846153845E-2</v>
      </c>
      <c r="K929" s="102">
        <v>6130</v>
      </c>
      <c r="L929" s="35" t="str">
        <f>IFERROR(_xlfn.XLOOKUP(Table6[[#This Row],[Error Code]],'Basic Data'!$AA:$AA,'Basic Data'!$AB:$AB),"Incorrect Error Code")</f>
        <v>Yaw speed high</v>
      </c>
      <c r="M929" s="35" t="s">
        <v>292</v>
      </c>
      <c r="N929" s="475"/>
      <c r="O929" s="476">
        <v>0.60069444444444442</v>
      </c>
      <c r="P929" s="476">
        <v>0.60138888888888886</v>
      </c>
      <c r="Q929" s="477">
        <v>0.60138888888888886</v>
      </c>
      <c r="R929" s="472">
        <f>IF(Table6[[#This Row],[Work Start TimeStamp]]="","",(Table6[[#This Row],[Work Start TimeStamp]]-Table6[[#This Row],[Fault Start TimeStamp]])*24)</f>
        <v>1.6666666666666607E-2</v>
      </c>
      <c r="S929" s="472">
        <f>(Table6[[#This Row],[Fault Clearance time]]-Table6[[#This Row],[Work Start TimeStamp]])*24</f>
        <v>0</v>
      </c>
      <c r="T929" s="472">
        <f>(Table6[[#This Row],[Fault Clearance time]]-Table6[[#This Row],[Fault Start TimeStamp]])*24</f>
        <v>1.6666666666666607E-2</v>
      </c>
      <c r="U929" s="35" t="s">
        <v>336</v>
      </c>
      <c r="V929" s="102" t="s">
        <v>293</v>
      </c>
      <c r="W929" s="478">
        <f>IFERROR(Table6[[#This Row],[Breakdown Time]]*Table6[[#This Row],[Plant Equivalent Weightage]],"")</f>
        <v>6.4102564102563853E-4</v>
      </c>
      <c r="X929" s="473" t="s">
        <v>294</v>
      </c>
      <c r="Y929" s="474" t="s">
        <v>314</v>
      </c>
      <c r="Z929" s="102">
        <v>36704</v>
      </c>
      <c r="AA929" s="468">
        <f>(Table6[[#This Row],[Paired WTG Generation for loss calculation]]/24)*Table6[[#This Row],[Breakdown Time]]</f>
        <v>25.488888888888798</v>
      </c>
      <c r="AB929" s="102"/>
      <c r="AC929" s="35"/>
      <c r="AD929" s="35"/>
    </row>
    <row r="930" spans="1:30">
      <c r="A930" s="102">
        <f t="shared" si="15"/>
        <v>929</v>
      </c>
      <c r="B930" s="468">
        <f>YEAR(Table6[[#This Row],[Date]])+IF(MONTH(Table6[[#This Row],[Date]])&gt;=4,1,0)</f>
        <v>2026</v>
      </c>
      <c r="C930" s="102">
        <f>YEAR(Table6[[#This Row],[Date]])</f>
        <v>2025</v>
      </c>
      <c r="D930" s="102" t="s">
        <v>1992</v>
      </c>
      <c r="E930" s="469">
        <f>Table6[[#This Row],[Date]]-DAY(Table6[[#This Row],[Date]])+1</f>
        <v>45778</v>
      </c>
      <c r="F930" s="470">
        <v>45806</v>
      </c>
      <c r="G930" s="35" t="s">
        <v>96</v>
      </c>
      <c r="H930" s="35" t="str">
        <f>IFERROR(_xlfn.XLOOKUP(Table6[[#This Row],[Affected WTG]],'Basic Data'!$A:$A,'Basic Data'!$B:$B),"")</f>
        <v>TQGXIIPL</v>
      </c>
      <c r="I930" s="35" t="str">
        <f>IFERROR(_xlfn.XLOOKUP(Table6[[#This Row],[Affected WTG]],'Basic Data'!$A:$A,'Basic Data'!$C:$C),"")</f>
        <v>GEDA</v>
      </c>
      <c r="J930" s="471">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292</v>
      </c>
      <c r="N930" s="475"/>
      <c r="O930" s="476">
        <v>0.73472222222222228</v>
      </c>
      <c r="P930" s="476">
        <v>0.73611111111111116</v>
      </c>
      <c r="Q930" s="477">
        <v>0.73611111111111116</v>
      </c>
      <c r="R930" s="472">
        <f>IF(Table6[[#This Row],[Work Start TimeStamp]]="","",(Table6[[#This Row],[Work Start TimeStamp]]-Table6[[#This Row],[Fault Start TimeStamp]])*24)</f>
        <v>3.3333333333333215E-2</v>
      </c>
      <c r="S930" s="472">
        <f>(Table6[[#This Row],[Fault Clearance time]]-Table6[[#This Row],[Work Start TimeStamp]])*24</f>
        <v>0</v>
      </c>
      <c r="T930" s="472">
        <f>(Table6[[#This Row],[Fault Clearance time]]-Table6[[#This Row],[Fault Start TimeStamp]])*24</f>
        <v>3.3333333333333215E-2</v>
      </c>
      <c r="U930" s="35" t="s">
        <v>336</v>
      </c>
      <c r="V930" s="102" t="s">
        <v>293</v>
      </c>
      <c r="W930" s="478">
        <f>IFERROR(Table6[[#This Row],[Breakdown Time]]*Table6[[#This Row],[Plant Equivalent Weightage]],"")</f>
        <v>1.2820512820512771E-3</v>
      </c>
      <c r="X930" s="473" t="s">
        <v>294</v>
      </c>
      <c r="Y930" s="474" t="s">
        <v>313</v>
      </c>
      <c r="Z930" s="102">
        <v>35836</v>
      </c>
      <c r="AA930" s="468">
        <f>(Table6[[#This Row],[Paired WTG Generation for loss calculation]]/24)*Table6[[#This Row],[Breakdown Time]]</f>
        <v>49.772222222222048</v>
      </c>
      <c r="AB930" s="102"/>
      <c r="AC930" s="35"/>
      <c r="AD930" s="35"/>
    </row>
    <row r="931" spans="1:30">
      <c r="A931" s="102">
        <f t="shared" si="15"/>
        <v>930</v>
      </c>
      <c r="B931" s="468">
        <f>YEAR(Table6[[#This Row],[Date]])+IF(MONTH(Table6[[#This Row],[Date]])&gt;=4,1,0)</f>
        <v>2026</v>
      </c>
      <c r="C931" s="102">
        <f>YEAR(Table6[[#This Row],[Date]])</f>
        <v>2025</v>
      </c>
      <c r="D931" s="102" t="s">
        <v>1992</v>
      </c>
      <c r="E931" s="469">
        <f>Table6[[#This Row],[Date]]-DAY(Table6[[#This Row],[Date]])+1</f>
        <v>45778</v>
      </c>
      <c r="F931" s="470">
        <v>45806</v>
      </c>
      <c r="G931" s="35" t="s">
        <v>96</v>
      </c>
      <c r="H931" s="35" t="str">
        <f>IFERROR(_xlfn.XLOOKUP(Table6[[#This Row],[Affected WTG]],'Basic Data'!$A:$A,'Basic Data'!$B:$B),"")</f>
        <v>TQGXIIPL</v>
      </c>
      <c r="I931" s="35" t="str">
        <f>IFERROR(_xlfn.XLOOKUP(Table6[[#This Row],[Affected WTG]],'Basic Data'!$A:$A,'Basic Data'!$C:$C),"")</f>
        <v>GEDA</v>
      </c>
      <c r="J931" s="471">
        <f>IFERROR(_xlfn.XLOOKUP(Table6[[#This Row],[Affected WTG]],'Basic Data'!$A:$A,'Basic Data'!$E:$E),"")</f>
        <v>3.846153846153845E-2</v>
      </c>
      <c r="K931" s="102">
        <v>665</v>
      </c>
      <c r="L931" s="35" t="str">
        <f>IFERROR(_xlfn.XLOOKUP(Table6[[#This Row],[Error Code]],'Basic Data'!$AA:$AA,'Basic Data'!$AB:$AB),"Incorrect Error Code")</f>
        <v>Pitch error</v>
      </c>
      <c r="M931" s="35" t="s">
        <v>292</v>
      </c>
      <c r="N931" s="475"/>
      <c r="O931" s="476">
        <v>0.74097222222222225</v>
      </c>
      <c r="P931" s="476">
        <v>0.74305555555555558</v>
      </c>
      <c r="Q931" s="477">
        <v>0.74305555555555558</v>
      </c>
      <c r="R931" s="472">
        <f>IF(Table6[[#This Row],[Work Start TimeStamp]]="","",(Table6[[#This Row],[Work Start TimeStamp]]-Table6[[#This Row],[Fault Start TimeStamp]])*24)</f>
        <v>4.9999999999999822E-2</v>
      </c>
      <c r="S931" s="472">
        <f>(Table6[[#This Row],[Fault Clearance time]]-Table6[[#This Row],[Work Start TimeStamp]])*24</f>
        <v>0</v>
      </c>
      <c r="T931" s="472">
        <f>(Table6[[#This Row],[Fault Clearance time]]-Table6[[#This Row],[Fault Start TimeStamp]])*24</f>
        <v>4.9999999999999822E-2</v>
      </c>
      <c r="U931" s="35" t="s">
        <v>336</v>
      </c>
      <c r="V931" s="102" t="s">
        <v>293</v>
      </c>
      <c r="W931" s="478">
        <f>IFERROR(Table6[[#This Row],[Breakdown Time]]*Table6[[#This Row],[Plant Equivalent Weightage]],"")</f>
        <v>1.9230769230769156E-3</v>
      </c>
      <c r="X931" s="473" t="s">
        <v>294</v>
      </c>
      <c r="Y931" s="474" t="s">
        <v>313</v>
      </c>
      <c r="Z931" s="102">
        <v>35836</v>
      </c>
      <c r="AA931" s="468">
        <f>(Table6[[#This Row],[Paired WTG Generation for loss calculation]]/24)*Table6[[#This Row],[Breakdown Time]]</f>
        <v>74.658333333333076</v>
      </c>
      <c r="AB931" s="102"/>
      <c r="AC931" s="35"/>
      <c r="AD931" s="35"/>
    </row>
    <row r="932" spans="1:30">
      <c r="A932" s="102">
        <f t="shared" si="15"/>
        <v>931</v>
      </c>
      <c r="B932" s="468">
        <f>YEAR(Table6[[#This Row],[Date]])+IF(MONTH(Table6[[#This Row],[Date]])&gt;=4,1,0)</f>
        <v>2026</v>
      </c>
      <c r="C932" s="102">
        <f>YEAR(Table6[[#This Row],[Date]])</f>
        <v>2025</v>
      </c>
      <c r="D932" s="102" t="s">
        <v>1992</v>
      </c>
      <c r="E932" s="469">
        <f>Table6[[#This Row],[Date]]-DAY(Table6[[#This Row],[Date]])+1</f>
        <v>45778</v>
      </c>
      <c r="F932" s="470">
        <v>45807</v>
      </c>
      <c r="G932" s="35" t="s">
        <v>74</v>
      </c>
      <c r="H932" s="35" t="str">
        <f>IFERROR(_xlfn.XLOOKUP(Table6[[#This Row],[Affected WTG]],'Basic Data'!$A:$A,'Basic Data'!$B:$B),"")</f>
        <v>TQGXIIPL</v>
      </c>
      <c r="I932" s="35" t="str">
        <f>IFERROR(_xlfn.XLOOKUP(Table6[[#This Row],[Affected WTG]],'Basic Data'!$A:$A,'Basic Data'!$C:$C),"")</f>
        <v>GEDA</v>
      </c>
      <c r="J932" s="471">
        <f>IFERROR(_xlfn.XLOOKUP(Table6[[#This Row],[Affected WTG]],'Basic Data'!$A:$A,'Basic Data'!$E:$E),"")</f>
        <v>3.846153846153845E-2</v>
      </c>
      <c r="K932" s="102">
        <v>175</v>
      </c>
      <c r="L932" s="35" t="str">
        <f>IFERROR(_xlfn.XLOOKUP(Table6[[#This Row],[Error Code]],'Basic Data'!$AA:$AA,'Basic Data'!$AB:$AB),"Incorrect Error Code")</f>
        <v>SLC error</v>
      </c>
      <c r="M932" s="35" t="s">
        <v>291</v>
      </c>
      <c r="N932" s="475"/>
      <c r="O932" s="476">
        <v>0.49444444444444446</v>
      </c>
      <c r="P932" s="476">
        <v>0.5</v>
      </c>
      <c r="Q932" s="477">
        <v>0.5</v>
      </c>
      <c r="R932" s="472">
        <f>IF(Table6[[#This Row],[Work Start TimeStamp]]="","",(Table6[[#This Row],[Work Start TimeStamp]]-Table6[[#This Row],[Fault Start TimeStamp]])*24)</f>
        <v>0.13333333333333286</v>
      </c>
      <c r="S932" s="472">
        <f>(Table6[[#This Row],[Fault Clearance time]]-Table6[[#This Row],[Work Start TimeStamp]])*24</f>
        <v>0</v>
      </c>
      <c r="T932" s="472">
        <f>(Table6[[#This Row],[Fault Clearance time]]-Table6[[#This Row],[Fault Start TimeStamp]])*24</f>
        <v>0.13333333333333286</v>
      </c>
      <c r="U932" s="35" t="s">
        <v>349</v>
      </c>
      <c r="V932" s="102" t="s">
        <v>293</v>
      </c>
      <c r="W932" s="478">
        <f>IFERROR(Table6[[#This Row],[Breakdown Time]]*Table6[[#This Row],[Plant Equivalent Weightage]],"")</f>
        <v>5.1282051282051083E-3</v>
      </c>
      <c r="X932" s="473" t="s">
        <v>290</v>
      </c>
      <c r="Y932" s="474" t="s">
        <v>321</v>
      </c>
      <c r="Z932" s="102">
        <v>56413</v>
      </c>
      <c r="AA932" s="468">
        <f>(Table6[[#This Row],[Paired WTG Generation for loss calculation]]/24)*Table6[[#This Row],[Breakdown Time]]</f>
        <v>313.40555555555443</v>
      </c>
      <c r="AB932" s="102"/>
      <c r="AC932" s="35"/>
      <c r="AD932" s="35"/>
    </row>
    <row r="933" spans="1:30">
      <c r="A933" s="102">
        <f t="shared" si="15"/>
        <v>932</v>
      </c>
      <c r="B933" s="468">
        <f>YEAR(Table6[[#This Row],[Date]])+IF(MONTH(Table6[[#This Row],[Date]])&gt;=4,1,0)</f>
        <v>2026</v>
      </c>
      <c r="C933" s="102">
        <f>YEAR(Table6[[#This Row],[Date]])</f>
        <v>2025</v>
      </c>
      <c r="D933" s="102" t="s">
        <v>1992</v>
      </c>
      <c r="E933" s="469">
        <f>Table6[[#This Row],[Date]]-DAY(Table6[[#This Row],[Date]])+1</f>
        <v>45778</v>
      </c>
      <c r="F933" s="470">
        <v>45807</v>
      </c>
      <c r="G933" s="35" t="s">
        <v>74</v>
      </c>
      <c r="H933" s="35" t="str">
        <f>IFERROR(_xlfn.XLOOKUP(Table6[[#This Row],[Affected WTG]],'Basic Data'!$A:$A,'Basic Data'!$B:$B),"")</f>
        <v>TQGXIIPL</v>
      </c>
      <c r="I933" s="35" t="str">
        <f>IFERROR(_xlfn.XLOOKUP(Table6[[#This Row],[Affected WTG]],'Basic Data'!$A:$A,'Basic Data'!$C:$C),"")</f>
        <v>GEDA</v>
      </c>
      <c r="J933" s="471">
        <f>IFERROR(_xlfn.XLOOKUP(Table6[[#This Row],[Affected WTG]],'Basic Data'!$A:$A,'Basic Data'!$E:$E),"")</f>
        <v>3.846153846153845E-2</v>
      </c>
      <c r="K933" s="102">
        <v>6130</v>
      </c>
      <c r="L933" s="35" t="str">
        <f>IFERROR(_xlfn.XLOOKUP(Table6[[#This Row],[Error Code]],'Basic Data'!$AA:$AA,'Basic Data'!$AB:$AB),"Incorrect Error Code")</f>
        <v>Yaw speed high</v>
      </c>
      <c r="M933" s="35" t="s">
        <v>292</v>
      </c>
      <c r="N933" s="475"/>
      <c r="O933" s="476">
        <v>0.64097222222222228</v>
      </c>
      <c r="P933" s="476">
        <v>0.64513888888888893</v>
      </c>
      <c r="Q933" s="477">
        <v>0.64513888888888893</v>
      </c>
      <c r="R933" s="472">
        <f>IF(Table6[[#This Row],[Work Start TimeStamp]]="","",(Table6[[#This Row],[Work Start TimeStamp]]-Table6[[#This Row],[Fault Start TimeStamp]])*24)</f>
        <v>9.9999999999999645E-2</v>
      </c>
      <c r="S933" s="472">
        <f>(Table6[[#This Row],[Fault Clearance time]]-Table6[[#This Row],[Work Start TimeStamp]])*24</f>
        <v>0</v>
      </c>
      <c r="T933" s="472">
        <f>(Table6[[#This Row],[Fault Clearance time]]-Table6[[#This Row],[Fault Start TimeStamp]])*24</f>
        <v>9.9999999999999645E-2</v>
      </c>
      <c r="U933" s="35" t="s">
        <v>336</v>
      </c>
      <c r="V933" s="102" t="s">
        <v>293</v>
      </c>
      <c r="W933" s="478">
        <f>IFERROR(Table6[[#This Row],[Breakdown Time]]*Table6[[#This Row],[Plant Equivalent Weightage]],"")</f>
        <v>3.8461538461538312E-3</v>
      </c>
      <c r="X933" s="473" t="s">
        <v>290</v>
      </c>
      <c r="Y933" s="474" t="s">
        <v>321</v>
      </c>
      <c r="Z933" s="102">
        <v>56413</v>
      </c>
      <c r="AA933" s="468">
        <f>(Table6[[#This Row],[Paired WTG Generation for loss calculation]]/24)*Table6[[#This Row],[Breakdown Time]]</f>
        <v>235.05416666666582</v>
      </c>
      <c r="AB933" s="102"/>
      <c r="AC933" s="35"/>
      <c r="AD933" s="35"/>
    </row>
    <row r="934" spans="1:30">
      <c r="A934" s="102">
        <f t="shared" si="15"/>
        <v>933</v>
      </c>
      <c r="B934" s="468">
        <f>YEAR(Table6[[#This Row],[Date]])+IF(MONTH(Table6[[#This Row],[Date]])&gt;=4,1,0)</f>
        <v>2026</v>
      </c>
      <c r="C934" s="102">
        <f>YEAR(Table6[[#This Row],[Date]])</f>
        <v>2025</v>
      </c>
      <c r="D934" s="102" t="s">
        <v>1992</v>
      </c>
      <c r="E934" s="469">
        <f>Table6[[#This Row],[Date]]-DAY(Table6[[#This Row],[Date]])+1</f>
        <v>45778</v>
      </c>
      <c r="F934" s="470">
        <v>45807</v>
      </c>
      <c r="G934" s="35" t="s">
        <v>77</v>
      </c>
      <c r="H934" s="35" t="str">
        <f>IFERROR(_xlfn.XLOOKUP(Table6[[#This Row],[Affected WTG]],'Basic Data'!$A:$A,'Basic Data'!$B:$B),"")</f>
        <v>TQGXIIPL</v>
      </c>
      <c r="I934" s="35" t="str">
        <f>IFERROR(_xlfn.XLOOKUP(Table6[[#This Row],[Affected WTG]],'Basic Data'!$A:$A,'Basic Data'!$C:$C),"")</f>
        <v>GEDA</v>
      </c>
      <c r="J934" s="471">
        <f>IFERROR(_xlfn.XLOOKUP(Table6[[#This Row],[Affected WTG]],'Basic Data'!$A:$A,'Basic Data'!$E:$E),"")</f>
        <v>3.846153846153845E-2</v>
      </c>
      <c r="K934" s="102">
        <v>5550</v>
      </c>
      <c r="L934" s="35" t="str">
        <f>IFERROR(_xlfn.XLOOKUP(Table6[[#This Row],[Error Code]],'Basic Data'!$AA:$AA,'Basic Data'!$AB:$AB),"Incorrect Error Code")</f>
        <v>Low hydraulic oil level</v>
      </c>
      <c r="M934" s="35" t="s">
        <v>291</v>
      </c>
      <c r="N934" s="475"/>
      <c r="O934" s="476">
        <v>0</v>
      </c>
      <c r="P934" s="476">
        <v>1.2500000000000001E-2</v>
      </c>
      <c r="Q934" s="477">
        <v>1.2500000000000001E-2</v>
      </c>
      <c r="R934" s="472">
        <f>IF(Table6[[#This Row],[Work Start TimeStamp]]="","",(Table6[[#This Row],[Work Start TimeStamp]]-Table6[[#This Row],[Fault Start TimeStamp]])*24)</f>
        <v>0.30000000000000004</v>
      </c>
      <c r="S934" s="472">
        <f>(Table6[[#This Row],[Fault Clearance time]]-Table6[[#This Row],[Work Start TimeStamp]])*24</f>
        <v>0</v>
      </c>
      <c r="T934" s="472">
        <f>(Table6[[#This Row],[Fault Clearance time]]-Table6[[#This Row],[Fault Start TimeStamp]])*24</f>
        <v>0.30000000000000004</v>
      </c>
      <c r="U934" s="35" t="s">
        <v>1921</v>
      </c>
      <c r="V934" s="102" t="s">
        <v>293</v>
      </c>
      <c r="W934" s="478">
        <f>IFERROR(Table6[[#This Row],[Breakdown Time]]*Table6[[#This Row],[Plant Equivalent Weightage]],"")</f>
        <v>1.1538461538461537E-2</v>
      </c>
      <c r="X934" s="473" t="s">
        <v>290</v>
      </c>
      <c r="Y934" s="474" t="s">
        <v>310</v>
      </c>
      <c r="Z934" s="102">
        <v>52504</v>
      </c>
      <c r="AA934" s="468">
        <f>(Table6[[#This Row],[Paired WTG Generation for loss calculation]]/24)*Table6[[#This Row],[Breakdown Time]]</f>
        <v>656.30000000000007</v>
      </c>
      <c r="AB934" s="102"/>
      <c r="AC934" s="35"/>
      <c r="AD934" s="35"/>
    </row>
    <row r="935" spans="1:30">
      <c r="A935" s="102">
        <f t="shared" si="15"/>
        <v>934</v>
      </c>
      <c r="B935" s="468">
        <f>YEAR(Table6[[#This Row],[Date]])+IF(MONTH(Table6[[#This Row],[Date]])&gt;=4,1,0)</f>
        <v>2026</v>
      </c>
      <c r="C935" s="102">
        <f>YEAR(Table6[[#This Row],[Date]])</f>
        <v>2025</v>
      </c>
      <c r="D935" s="102" t="s">
        <v>1992</v>
      </c>
      <c r="E935" s="469">
        <f>Table6[[#This Row],[Date]]-DAY(Table6[[#This Row],[Date]])+1</f>
        <v>45778</v>
      </c>
      <c r="F935" s="470">
        <v>45807</v>
      </c>
      <c r="G935" s="35" t="s">
        <v>77</v>
      </c>
      <c r="H935" s="35" t="str">
        <f>IFERROR(_xlfn.XLOOKUP(Table6[[#This Row],[Affected WTG]],'Basic Data'!$A:$A,'Basic Data'!$B:$B),"")</f>
        <v>TQGXIIPL</v>
      </c>
      <c r="I935" s="35" t="str">
        <f>IFERROR(_xlfn.XLOOKUP(Table6[[#This Row],[Affected WTG]],'Basic Data'!$A:$A,'Basic Data'!$C:$C),"")</f>
        <v>GEDA</v>
      </c>
      <c r="J935" s="471">
        <f>IFERROR(_xlfn.XLOOKUP(Table6[[#This Row],[Affected WTG]],'Basic Data'!$A:$A,'Basic Data'!$E:$E),"")</f>
        <v>3.846153846153845E-2</v>
      </c>
      <c r="K935" s="102">
        <v>6130</v>
      </c>
      <c r="L935" s="35" t="str">
        <f>IFERROR(_xlfn.XLOOKUP(Table6[[#This Row],[Error Code]],'Basic Data'!$AA:$AA,'Basic Data'!$AB:$AB),"Incorrect Error Code")</f>
        <v>Yaw speed high</v>
      </c>
      <c r="M935" s="35" t="s">
        <v>292</v>
      </c>
      <c r="N935" s="475"/>
      <c r="O935" s="476">
        <v>0.43541666666666667</v>
      </c>
      <c r="P935" s="476">
        <v>0.44097222222222221</v>
      </c>
      <c r="Q935" s="477">
        <v>0.44097222222222221</v>
      </c>
      <c r="R935" s="472">
        <f>IF(Table6[[#This Row],[Work Start TimeStamp]]="","",(Table6[[#This Row],[Work Start TimeStamp]]-Table6[[#This Row],[Fault Start TimeStamp]])*24)</f>
        <v>0.13333333333333286</v>
      </c>
      <c r="S935" s="472">
        <f>(Table6[[#This Row],[Fault Clearance time]]-Table6[[#This Row],[Work Start TimeStamp]])*24</f>
        <v>0</v>
      </c>
      <c r="T935" s="472">
        <f>(Table6[[#This Row],[Fault Clearance time]]-Table6[[#This Row],[Fault Start TimeStamp]])*24</f>
        <v>0.13333333333333286</v>
      </c>
      <c r="U935" s="35" t="s">
        <v>336</v>
      </c>
      <c r="V935" s="102" t="s">
        <v>293</v>
      </c>
      <c r="W935" s="478">
        <f>IFERROR(Table6[[#This Row],[Breakdown Time]]*Table6[[#This Row],[Plant Equivalent Weightage]],"")</f>
        <v>5.1282051282051083E-3</v>
      </c>
      <c r="X935" s="473" t="s">
        <v>294</v>
      </c>
      <c r="Y935" s="474" t="s">
        <v>310</v>
      </c>
      <c r="Z935" s="102">
        <v>52504</v>
      </c>
      <c r="AA935" s="468">
        <f>(Table6[[#This Row],[Paired WTG Generation for loss calculation]]/24)*Table6[[#This Row],[Breakdown Time]]</f>
        <v>291.68888888888785</v>
      </c>
      <c r="AB935" s="102"/>
      <c r="AC935" s="35"/>
      <c r="AD935" s="35"/>
    </row>
    <row r="936" spans="1:30">
      <c r="A936" s="102">
        <f t="shared" si="15"/>
        <v>935</v>
      </c>
      <c r="B936" s="468">
        <f>YEAR(Table6[[#This Row],[Date]])+IF(MONTH(Table6[[#This Row],[Date]])&gt;=4,1,0)</f>
        <v>2026</v>
      </c>
      <c r="C936" s="102">
        <f>YEAR(Table6[[#This Row],[Date]])</f>
        <v>2025</v>
      </c>
      <c r="D936" s="102" t="s">
        <v>1992</v>
      </c>
      <c r="E936" s="469">
        <f>Table6[[#This Row],[Date]]-DAY(Table6[[#This Row],[Date]])+1</f>
        <v>45778</v>
      </c>
      <c r="F936" s="470">
        <v>45807</v>
      </c>
      <c r="G936" s="35" t="s">
        <v>77</v>
      </c>
      <c r="H936" s="35" t="str">
        <f>IFERROR(_xlfn.XLOOKUP(Table6[[#This Row],[Affected WTG]],'Basic Data'!$A:$A,'Basic Data'!$B:$B),"")</f>
        <v>TQGXIIPL</v>
      </c>
      <c r="I936" s="35" t="str">
        <f>IFERROR(_xlfn.XLOOKUP(Table6[[#This Row],[Affected WTG]],'Basic Data'!$A:$A,'Basic Data'!$C:$C),"")</f>
        <v>GEDA</v>
      </c>
      <c r="J936" s="471">
        <f>IFERROR(_xlfn.XLOOKUP(Table6[[#This Row],[Affected WTG]],'Basic Data'!$A:$A,'Basic Data'!$E:$E),"")</f>
        <v>3.846153846153845E-2</v>
      </c>
      <c r="K936" s="102">
        <v>55</v>
      </c>
      <c r="L936" s="35" t="str">
        <f>IFERROR(_xlfn.XLOOKUP(Table6[[#This Row],[Error Code]],'Basic Data'!$AA:$AA,'Basic Data'!$AB:$AB),"Incorrect Error Code")</f>
        <v>WTG shut down</v>
      </c>
      <c r="M936" s="35" t="s">
        <v>291</v>
      </c>
      <c r="N936" s="475"/>
      <c r="O936" s="476">
        <v>0.79722222222222228</v>
      </c>
      <c r="P936" s="476">
        <v>0.81874999999999998</v>
      </c>
      <c r="Q936" s="477">
        <v>0.81874999999999998</v>
      </c>
      <c r="R936" s="472">
        <f>IF(Table6[[#This Row],[Work Start TimeStamp]]="","",(Table6[[#This Row],[Work Start TimeStamp]]-Table6[[#This Row],[Fault Start TimeStamp]])*24)</f>
        <v>0.51666666666666483</v>
      </c>
      <c r="S936" s="472">
        <f>(Table6[[#This Row],[Fault Clearance time]]-Table6[[#This Row],[Work Start TimeStamp]])*24</f>
        <v>0</v>
      </c>
      <c r="T936" s="472">
        <f>(Table6[[#This Row],[Fault Clearance time]]-Table6[[#This Row],[Fault Start TimeStamp]])*24</f>
        <v>0.51666666666666483</v>
      </c>
      <c r="U936" s="35" t="s">
        <v>1922</v>
      </c>
      <c r="V936" s="102" t="s">
        <v>293</v>
      </c>
      <c r="W936" s="478">
        <f>IFERROR(Table6[[#This Row],[Breakdown Time]]*Table6[[#This Row],[Plant Equivalent Weightage]],"")</f>
        <v>1.9871794871794794E-2</v>
      </c>
      <c r="X936" s="473" t="s">
        <v>290</v>
      </c>
      <c r="Y936" s="474" t="s">
        <v>310</v>
      </c>
      <c r="Z936" s="102">
        <v>52504</v>
      </c>
      <c r="AA936" s="468">
        <f>(Table6[[#This Row],[Paired WTG Generation for loss calculation]]/24)*Table6[[#This Row],[Breakdown Time]]</f>
        <v>1130.2944444444404</v>
      </c>
      <c r="AB936" s="102"/>
      <c r="AC936" s="35"/>
      <c r="AD936" s="35"/>
    </row>
    <row r="937" spans="1:30">
      <c r="A937" s="102">
        <f t="shared" si="15"/>
        <v>936</v>
      </c>
      <c r="B937" s="468">
        <f>YEAR(Table6[[#This Row],[Date]])+IF(MONTH(Table6[[#This Row],[Date]])&gt;=4,1,0)</f>
        <v>2026</v>
      </c>
      <c r="C937" s="102">
        <f>YEAR(Table6[[#This Row],[Date]])</f>
        <v>2025</v>
      </c>
      <c r="D937" s="102" t="s">
        <v>1992</v>
      </c>
      <c r="E937" s="469">
        <f>Table6[[#This Row],[Date]]-DAY(Table6[[#This Row],[Date]])+1</f>
        <v>45778</v>
      </c>
      <c r="F937" s="470">
        <v>45807</v>
      </c>
      <c r="G937" s="35" t="s">
        <v>78</v>
      </c>
      <c r="H937" s="35" t="str">
        <f>IFERROR(_xlfn.XLOOKUP(Table6[[#This Row],[Affected WTG]],'Basic Data'!$A:$A,'Basic Data'!$B:$B),"")</f>
        <v>TQGXIIPL</v>
      </c>
      <c r="I937" s="35" t="str">
        <f>IFERROR(_xlfn.XLOOKUP(Table6[[#This Row],[Affected WTG]],'Basic Data'!$A:$A,'Basic Data'!$C:$C),"")</f>
        <v>GEDA</v>
      </c>
      <c r="J937" s="471">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291</v>
      </c>
      <c r="N937" s="475"/>
      <c r="O937" s="476">
        <v>9.2361111111111116E-2</v>
      </c>
      <c r="P937" s="476">
        <v>9.7222222222222224E-2</v>
      </c>
      <c r="Q937" s="477">
        <v>9.7222222222222224E-2</v>
      </c>
      <c r="R937" s="472">
        <f>IF(Table6[[#This Row],[Work Start TimeStamp]]="","",(Table6[[#This Row],[Work Start TimeStamp]]-Table6[[#This Row],[Fault Start TimeStamp]])*24)</f>
        <v>0.11666666666666659</v>
      </c>
      <c r="S937" s="472">
        <f>(Table6[[#This Row],[Fault Clearance time]]-Table6[[#This Row],[Work Start TimeStamp]])*24</f>
        <v>0</v>
      </c>
      <c r="T937" s="472">
        <f>(Table6[[#This Row],[Fault Clearance time]]-Table6[[#This Row],[Fault Start TimeStamp]])*24</f>
        <v>0.11666666666666659</v>
      </c>
      <c r="U937" s="35" t="s">
        <v>349</v>
      </c>
      <c r="V937" s="102" t="s">
        <v>293</v>
      </c>
      <c r="W937" s="478">
        <f>IFERROR(Table6[[#This Row],[Breakdown Time]]*Table6[[#This Row],[Plant Equivalent Weightage]],"")</f>
        <v>4.4871794871794825E-3</v>
      </c>
      <c r="X937" s="473" t="s">
        <v>290</v>
      </c>
      <c r="Y937" s="474" t="s">
        <v>333</v>
      </c>
      <c r="Z937" s="102">
        <v>56778</v>
      </c>
      <c r="AA937" s="468">
        <f>(Table6[[#This Row],[Paired WTG Generation for loss calculation]]/24)*Table6[[#This Row],[Breakdown Time]]</f>
        <v>276.00416666666649</v>
      </c>
      <c r="AB937" s="102"/>
      <c r="AC937" s="35"/>
      <c r="AD937" s="35"/>
    </row>
    <row r="938" spans="1:30">
      <c r="A938" s="102">
        <f t="shared" si="15"/>
        <v>937</v>
      </c>
      <c r="B938" s="468">
        <f>YEAR(Table6[[#This Row],[Date]])+IF(MONTH(Table6[[#This Row],[Date]])&gt;=4,1,0)</f>
        <v>2026</v>
      </c>
      <c r="C938" s="102">
        <f>YEAR(Table6[[#This Row],[Date]])</f>
        <v>2025</v>
      </c>
      <c r="D938" s="102" t="s">
        <v>1992</v>
      </c>
      <c r="E938" s="469">
        <f>Table6[[#This Row],[Date]]-DAY(Table6[[#This Row],[Date]])+1</f>
        <v>45778</v>
      </c>
      <c r="F938" s="470">
        <v>45807</v>
      </c>
      <c r="G938" s="35" t="s">
        <v>78</v>
      </c>
      <c r="H938" s="35" t="str">
        <f>IFERROR(_xlfn.XLOOKUP(Table6[[#This Row],[Affected WTG]],'Basic Data'!$A:$A,'Basic Data'!$B:$B),"")</f>
        <v>TQGXIIPL</v>
      </c>
      <c r="I938" s="35" t="str">
        <f>IFERROR(_xlfn.XLOOKUP(Table6[[#This Row],[Affected WTG]],'Basic Data'!$A:$A,'Basic Data'!$C:$C),"")</f>
        <v>GEDA</v>
      </c>
      <c r="J938" s="471">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291</v>
      </c>
      <c r="N938" s="475"/>
      <c r="O938" s="476">
        <v>0.61388888888888893</v>
      </c>
      <c r="P938" s="476">
        <v>0.63888888888888884</v>
      </c>
      <c r="Q938" s="477">
        <v>0.63888888888888884</v>
      </c>
      <c r="R938" s="472">
        <f>IF(Table6[[#This Row],[Work Start TimeStamp]]="","",(Table6[[#This Row],[Work Start TimeStamp]]-Table6[[#This Row],[Fault Start TimeStamp]])*24)</f>
        <v>0.59999999999999787</v>
      </c>
      <c r="S938" s="472">
        <f>(Table6[[#This Row],[Fault Clearance time]]-Table6[[#This Row],[Work Start TimeStamp]])*24</f>
        <v>0</v>
      </c>
      <c r="T938" s="472">
        <f>(Table6[[#This Row],[Fault Clearance time]]-Table6[[#This Row],[Fault Start TimeStamp]])*24</f>
        <v>0.59999999999999787</v>
      </c>
      <c r="U938" s="35" t="s">
        <v>1923</v>
      </c>
      <c r="V938" s="102" t="s">
        <v>293</v>
      </c>
      <c r="W938" s="478">
        <f>IFERROR(Table6[[#This Row],[Breakdown Time]]*Table6[[#This Row],[Plant Equivalent Weightage]],"")</f>
        <v>2.3076923076922988E-2</v>
      </c>
      <c r="X938" s="473" t="s">
        <v>290</v>
      </c>
      <c r="Y938" s="474" t="s">
        <v>333</v>
      </c>
      <c r="Z938" s="102">
        <v>56778</v>
      </c>
      <c r="AA938" s="468">
        <f>(Table6[[#This Row],[Paired WTG Generation for loss calculation]]/24)*Table6[[#This Row],[Breakdown Time]]</f>
        <v>1419.449999999995</v>
      </c>
      <c r="AB938" s="102"/>
      <c r="AC938" s="35"/>
      <c r="AD938" s="35"/>
    </row>
    <row r="939" spans="1:30">
      <c r="A939" s="102">
        <f t="shared" si="15"/>
        <v>938</v>
      </c>
      <c r="B939" s="468">
        <f>YEAR(Table6[[#This Row],[Date]])+IF(MONTH(Table6[[#This Row],[Date]])&gt;=4,1,0)</f>
        <v>2026</v>
      </c>
      <c r="C939" s="102">
        <f>YEAR(Table6[[#This Row],[Date]])</f>
        <v>2025</v>
      </c>
      <c r="D939" s="102" t="s">
        <v>1992</v>
      </c>
      <c r="E939" s="469">
        <f>Table6[[#This Row],[Date]]-DAY(Table6[[#This Row],[Date]])+1</f>
        <v>45778</v>
      </c>
      <c r="F939" s="470">
        <v>45807</v>
      </c>
      <c r="G939" s="35" t="s">
        <v>78</v>
      </c>
      <c r="H939" s="35" t="str">
        <f>IFERROR(_xlfn.XLOOKUP(Table6[[#This Row],[Affected WTG]],'Basic Data'!$A:$A,'Basic Data'!$B:$B),"")</f>
        <v>TQGXIIPL</v>
      </c>
      <c r="I939" s="35" t="str">
        <f>IFERROR(_xlfn.XLOOKUP(Table6[[#This Row],[Affected WTG]],'Basic Data'!$A:$A,'Basic Data'!$C:$C),"")</f>
        <v>GEDA</v>
      </c>
      <c r="J939" s="471">
        <f>IFERROR(_xlfn.XLOOKUP(Table6[[#This Row],[Affected WTG]],'Basic Data'!$A:$A,'Basic Data'!$E:$E),"")</f>
        <v>3.846153846153845E-2</v>
      </c>
      <c r="K939" s="102">
        <v>6130</v>
      </c>
      <c r="L939" s="35" t="str">
        <f>IFERROR(_xlfn.XLOOKUP(Table6[[#This Row],[Error Code]],'Basic Data'!$AA:$AA,'Basic Data'!$AB:$AB),"Incorrect Error Code")</f>
        <v>Yaw speed high</v>
      </c>
      <c r="M939" s="35" t="s">
        <v>292</v>
      </c>
      <c r="N939" s="475"/>
      <c r="O939" s="476">
        <v>0.70833333333333337</v>
      </c>
      <c r="P939" s="476">
        <v>0.71180555555555558</v>
      </c>
      <c r="Q939" s="477">
        <v>0.71180555555555558</v>
      </c>
      <c r="R939" s="472">
        <f>IF(Table6[[#This Row],[Work Start TimeStamp]]="","",(Table6[[#This Row],[Work Start TimeStamp]]-Table6[[#This Row],[Fault Start TimeStamp]])*24)</f>
        <v>8.3333333333333037E-2</v>
      </c>
      <c r="S939" s="472">
        <f>(Table6[[#This Row],[Fault Clearance time]]-Table6[[#This Row],[Work Start TimeStamp]])*24</f>
        <v>0</v>
      </c>
      <c r="T939" s="472">
        <f>(Table6[[#This Row],[Fault Clearance time]]-Table6[[#This Row],[Fault Start TimeStamp]])*24</f>
        <v>8.3333333333333037E-2</v>
      </c>
      <c r="U939" s="35" t="s">
        <v>336</v>
      </c>
      <c r="V939" s="102" t="s">
        <v>293</v>
      </c>
      <c r="W939" s="478">
        <f>IFERROR(Table6[[#This Row],[Breakdown Time]]*Table6[[#This Row],[Plant Equivalent Weightage]],"")</f>
        <v>3.2051282051281929E-3</v>
      </c>
      <c r="X939" s="473" t="s">
        <v>294</v>
      </c>
      <c r="Y939" s="474" t="s">
        <v>333</v>
      </c>
      <c r="Z939" s="102">
        <v>56778</v>
      </c>
      <c r="AA939" s="468">
        <f>(Table6[[#This Row],[Paired WTG Generation for loss calculation]]/24)*Table6[[#This Row],[Breakdown Time]]</f>
        <v>197.14583333333263</v>
      </c>
      <c r="AB939" s="102"/>
      <c r="AC939" s="35"/>
      <c r="AD939" s="35"/>
    </row>
    <row r="940" spans="1:30">
      <c r="A940" s="102">
        <f t="shared" si="15"/>
        <v>939</v>
      </c>
      <c r="B940" s="468">
        <f>YEAR(Table6[[#This Row],[Date]])+IF(MONTH(Table6[[#This Row],[Date]])&gt;=4,1,0)</f>
        <v>2026</v>
      </c>
      <c r="C940" s="102">
        <f>YEAR(Table6[[#This Row],[Date]])</f>
        <v>2025</v>
      </c>
      <c r="D940" s="102" t="s">
        <v>1992</v>
      </c>
      <c r="E940" s="469">
        <f>Table6[[#This Row],[Date]]-DAY(Table6[[#This Row],[Date]])+1</f>
        <v>45778</v>
      </c>
      <c r="F940" s="470">
        <v>45807</v>
      </c>
      <c r="G940" s="35" t="s">
        <v>80</v>
      </c>
      <c r="H940" s="35" t="str">
        <f>IFERROR(_xlfn.XLOOKUP(Table6[[#This Row],[Affected WTG]],'Basic Data'!$A:$A,'Basic Data'!$B:$B),"")</f>
        <v>TQGXIIPL</v>
      </c>
      <c r="I940" s="35" t="str">
        <f>IFERROR(_xlfn.XLOOKUP(Table6[[#This Row],[Affected WTG]],'Basic Data'!$A:$A,'Basic Data'!$C:$C),"")</f>
        <v>GEDA</v>
      </c>
      <c r="J940" s="471">
        <f>IFERROR(_xlfn.XLOOKUP(Table6[[#This Row],[Affected WTG]],'Basic Data'!$A:$A,'Basic Data'!$E:$E),"")</f>
        <v>3.846153846153845E-2</v>
      </c>
      <c r="K940" s="102">
        <v>55</v>
      </c>
      <c r="L940" s="35" t="str">
        <f>IFERROR(_xlfn.XLOOKUP(Table6[[#This Row],[Error Code]],'Basic Data'!$AA:$AA,'Basic Data'!$AB:$AB),"Incorrect Error Code")</f>
        <v>WTG shut down</v>
      </c>
      <c r="M940" s="35" t="s">
        <v>291</v>
      </c>
      <c r="N940" s="475"/>
      <c r="O940" s="476">
        <v>0.79722222222222228</v>
      </c>
      <c r="P940" s="476">
        <v>0.81874999999999998</v>
      </c>
      <c r="Q940" s="477">
        <v>0.81874999999999998</v>
      </c>
      <c r="R940" s="472">
        <f>IF(Table6[[#This Row],[Work Start TimeStamp]]="","",(Table6[[#This Row],[Work Start TimeStamp]]-Table6[[#This Row],[Fault Start TimeStamp]])*24)</f>
        <v>0.51666666666666483</v>
      </c>
      <c r="S940" s="472">
        <f>(Table6[[#This Row],[Fault Clearance time]]-Table6[[#This Row],[Work Start TimeStamp]])*24</f>
        <v>0</v>
      </c>
      <c r="T940" s="472">
        <f>(Table6[[#This Row],[Fault Clearance time]]-Table6[[#This Row],[Fault Start TimeStamp]])*24</f>
        <v>0.51666666666666483</v>
      </c>
      <c r="U940" s="35" t="s">
        <v>1922</v>
      </c>
      <c r="V940" s="102" t="s">
        <v>293</v>
      </c>
      <c r="W940" s="478">
        <f>IFERROR(Table6[[#This Row],[Breakdown Time]]*Table6[[#This Row],[Plant Equivalent Weightage]],"")</f>
        <v>1.9871794871794794E-2</v>
      </c>
      <c r="X940" s="473" t="s">
        <v>290</v>
      </c>
      <c r="Y940" s="474" t="s">
        <v>317</v>
      </c>
      <c r="Z940" s="102">
        <v>51855</v>
      </c>
      <c r="AA940" s="468">
        <f>(Table6[[#This Row],[Paired WTG Generation for loss calculation]]/24)*Table6[[#This Row],[Breakdown Time]]</f>
        <v>1116.3229166666626</v>
      </c>
      <c r="AB940" s="102"/>
      <c r="AC940" s="35"/>
      <c r="AD940" s="35"/>
    </row>
    <row r="941" spans="1:30">
      <c r="A941" s="102">
        <f t="shared" si="15"/>
        <v>940</v>
      </c>
      <c r="B941" s="468">
        <f>YEAR(Table6[[#This Row],[Date]])+IF(MONTH(Table6[[#This Row],[Date]])&gt;=4,1,0)</f>
        <v>2026</v>
      </c>
      <c r="C941" s="102">
        <f>YEAR(Table6[[#This Row],[Date]])</f>
        <v>2025</v>
      </c>
      <c r="D941" s="102" t="s">
        <v>1992</v>
      </c>
      <c r="E941" s="469">
        <f>Table6[[#This Row],[Date]]-DAY(Table6[[#This Row],[Date]])+1</f>
        <v>45778</v>
      </c>
      <c r="F941" s="470">
        <v>45807</v>
      </c>
      <c r="G941" s="35" t="s">
        <v>81</v>
      </c>
      <c r="H941" s="35" t="str">
        <f>IFERROR(_xlfn.XLOOKUP(Table6[[#This Row],[Affected WTG]],'Basic Data'!$A:$A,'Basic Data'!$B:$B),"")</f>
        <v>TQGXIIPL</v>
      </c>
      <c r="I941" s="35" t="str">
        <f>IFERROR(_xlfn.XLOOKUP(Table6[[#This Row],[Affected WTG]],'Basic Data'!$A:$A,'Basic Data'!$C:$C),"")</f>
        <v>GEDA</v>
      </c>
      <c r="J941" s="471">
        <f>IFERROR(_xlfn.XLOOKUP(Table6[[#This Row],[Affected WTG]],'Basic Data'!$A:$A,'Basic Data'!$E:$E),"")</f>
        <v>3.846153846153845E-2</v>
      </c>
      <c r="K941" s="102">
        <v>665</v>
      </c>
      <c r="L941" s="35" t="str">
        <f>IFERROR(_xlfn.XLOOKUP(Table6[[#This Row],[Error Code]],'Basic Data'!$AA:$AA,'Basic Data'!$AB:$AB),"Incorrect Error Code")</f>
        <v>Pitch error</v>
      </c>
      <c r="M941" s="35" t="s">
        <v>291</v>
      </c>
      <c r="N941" s="475"/>
      <c r="O941" s="476">
        <v>0.32013888888888886</v>
      </c>
      <c r="P941" s="476">
        <v>0.32361111111111113</v>
      </c>
      <c r="Q941" s="477">
        <v>0.32361111111111113</v>
      </c>
      <c r="R941" s="472">
        <f>IF(Table6[[#This Row],[Work Start TimeStamp]]="","",(Table6[[#This Row],[Work Start TimeStamp]]-Table6[[#This Row],[Fault Start TimeStamp]])*24)</f>
        <v>8.333333333333437E-2</v>
      </c>
      <c r="S941" s="472">
        <f>(Table6[[#This Row],[Fault Clearance time]]-Table6[[#This Row],[Work Start TimeStamp]])*24</f>
        <v>0</v>
      </c>
      <c r="T941" s="472">
        <f>(Table6[[#This Row],[Fault Clearance time]]-Table6[[#This Row],[Fault Start TimeStamp]])*24</f>
        <v>8.333333333333437E-2</v>
      </c>
      <c r="U941" s="35" t="s">
        <v>349</v>
      </c>
      <c r="V941" s="102" t="s">
        <v>293</v>
      </c>
      <c r="W941" s="478">
        <f>IFERROR(Table6[[#This Row],[Breakdown Time]]*Table6[[#This Row],[Plant Equivalent Weightage]],"")</f>
        <v>3.205128205128244E-3</v>
      </c>
      <c r="X941" s="473" t="s">
        <v>290</v>
      </c>
      <c r="Y941" s="474" t="s">
        <v>321</v>
      </c>
      <c r="Z941" s="102">
        <v>56413</v>
      </c>
      <c r="AA941" s="468">
        <f>(Table6[[#This Row],[Paired WTG Generation for loss calculation]]/24)*Table6[[#This Row],[Breakdown Time]]</f>
        <v>195.87847222222464</v>
      </c>
      <c r="AB941" s="102"/>
      <c r="AC941" s="35"/>
      <c r="AD941" s="35"/>
    </row>
    <row r="942" spans="1:30">
      <c r="A942" s="102">
        <f t="shared" si="15"/>
        <v>941</v>
      </c>
      <c r="B942" s="468">
        <f>YEAR(Table6[[#This Row],[Date]])+IF(MONTH(Table6[[#This Row],[Date]])&gt;=4,1,0)</f>
        <v>2026</v>
      </c>
      <c r="C942" s="102">
        <f>YEAR(Table6[[#This Row],[Date]])</f>
        <v>2025</v>
      </c>
      <c r="D942" s="102" t="s">
        <v>1992</v>
      </c>
      <c r="E942" s="469">
        <f>Table6[[#This Row],[Date]]-DAY(Table6[[#This Row],[Date]])+1</f>
        <v>45778</v>
      </c>
      <c r="F942" s="470">
        <v>45807</v>
      </c>
      <c r="G942" s="35" t="s">
        <v>81</v>
      </c>
      <c r="H942" s="35" t="str">
        <f>IFERROR(_xlfn.XLOOKUP(Table6[[#This Row],[Affected WTG]],'Basic Data'!$A:$A,'Basic Data'!$B:$B),"")</f>
        <v>TQGXIIPL</v>
      </c>
      <c r="I942" s="35" t="str">
        <f>IFERROR(_xlfn.XLOOKUP(Table6[[#This Row],[Affected WTG]],'Basic Data'!$A:$A,'Basic Data'!$C:$C),"")</f>
        <v>GEDA</v>
      </c>
      <c r="J942" s="471">
        <f>IFERROR(_xlfn.XLOOKUP(Table6[[#This Row],[Affected WTG]],'Basic Data'!$A:$A,'Basic Data'!$E:$E),"")</f>
        <v>3.846153846153845E-2</v>
      </c>
      <c r="K942" s="102">
        <v>6605</v>
      </c>
      <c r="L942" s="35" t="str">
        <f>IFERROR(_xlfn.XLOOKUP(Table6[[#This Row],[Error Code]],'Basic Data'!$AA:$AA,'Basic Data'!$AB:$AB),"Incorrect Error Code")</f>
        <v>Wind.dir. diff. level 2</v>
      </c>
      <c r="M942" s="35" t="s">
        <v>292</v>
      </c>
      <c r="N942" s="475"/>
      <c r="O942" s="476">
        <v>0.35902777777777778</v>
      </c>
      <c r="P942" s="476">
        <v>0.36180555555555555</v>
      </c>
      <c r="Q942" s="477">
        <v>0.36180555555555555</v>
      </c>
      <c r="R942" s="472">
        <f>IF(Table6[[#This Row],[Work Start TimeStamp]]="","",(Table6[[#This Row],[Work Start TimeStamp]]-Table6[[#This Row],[Fault Start TimeStamp]])*24)</f>
        <v>6.666666666666643E-2</v>
      </c>
      <c r="S942" s="472">
        <f>(Table6[[#This Row],[Fault Clearance time]]-Table6[[#This Row],[Work Start TimeStamp]])*24</f>
        <v>0</v>
      </c>
      <c r="T942" s="472">
        <f>(Table6[[#This Row],[Fault Clearance time]]-Table6[[#This Row],[Fault Start TimeStamp]])*24</f>
        <v>6.666666666666643E-2</v>
      </c>
      <c r="U942" s="35" t="s">
        <v>336</v>
      </c>
      <c r="V942" s="102" t="s">
        <v>293</v>
      </c>
      <c r="W942" s="478">
        <f>IFERROR(Table6[[#This Row],[Breakdown Time]]*Table6[[#This Row],[Plant Equivalent Weightage]],"")</f>
        <v>2.5641025641025541E-3</v>
      </c>
      <c r="X942" s="473" t="s">
        <v>290</v>
      </c>
      <c r="Y942" s="474" t="s">
        <v>321</v>
      </c>
      <c r="Z942" s="102">
        <v>56413</v>
      </c>
      <c r="AA942" s="468">
        <f>(Table6[[#This Row],[Paired WTG Generation for loss calculation]]/24)*Table6[[#This Row],[Breakdown Time]]</f>
        <v>156.70277777777721</v>
      </c>
      <c r="AB942" s="102"/>
      <c r="AC942" s="35"/>
      <c r="AD942" s="35"/>
    </row>
    <row r="943" spans="1:30">
      <c r="A943" s="102">
        <f t="shared" si="15"/>
        <v>942</v>
      </c>
      <c r="B943" s="468">
        <f>YEAR(Table6[[#This Row],[Date]])+IF(MONTH(Table6[[#This Row],[Date]])&gt;=4,1,0)</f>
        <v>2026</v>
      </c>
      <c r="C943" s="102">
        <f>YEAR(Table6[[#This Row],[Date]])</f>
        <v>2025</v>
      </c>
      <c r="D943" s="102" t="s">
        <v>1992</v>
      </c>
      <c r="E943" s="469">
        <f>Table6[[#This Row],[Date]]-DAY(Table6[[#This Row],[Date]])+1</f>
        <v>45778</v>
      </c>
      <c r="F943" s="470">
        <v>45807</v>
      </c>
      <c r="G943" s="35" t="s">
        <v>81</v>
      </c>
      <c r="H943" s="35" t="str">
        <f>IFERROR(_xlfn.XLOOKUP(Table6[[#This Row],[Affected WTG]],'Basic Data'!$A:$A,'Basic Data'!$B:$B),"")</f>
        <v>TQGXIIPL</v>
      </c>
      <c r="I943" s="35" t="str">
        <f>IFERROR(_xlfn.XLOOKUP(Table6[[#This Row],[Affected WTG]],'Basic Data'!$A:$A,'Basic Data'!$C:$C),"")</f>
        <v>GEDA</v>
      </c>
      <c r="J943" s="471">
        <f>IFERROR(_xlfn.XLOOKUP(Table6[[#This Row],[Affected WTG]],'Basic Data'!$A:$A,'Basic Data'!$E:$E),"")</f>
        <v>3.846153846153845E-2</v>
      </c>
      <c r="K943" s="102">
        <v>6130</v>
      </c>
      <c r="L943" s="35" t="str">
        <f>IFERROR(_xlfn.XLOOKUP(Table6[[#This Row],[Error Code]],'Basic Data'!$AA:$AA,'Basic Data'!$AB:$AB),"Incorrect Error Code")</f>
        <v>Yaw speed high</v>
      </c>
      <c r="M943" s="35" t="s">
        <v>291</v>
      </c>
      <c r="N943" s="475"/>
      <c r="O943" s="476">
        <v>0.5131944444444444</v>
      </c>
      <c r="P943" s="476">
        <v>0.51875000000000004</v>
      </c>
      <c r="Q943" s="477">
        <v>0.51875000000000004</v>
      </c>
      <c r="R943" s="472">
        <f>IF(Table6[[#This Row],[Work Start TimeStamp]]="","",(Table6[[#This Row],[Work Start TimeStamp]]-Table6[[#This Row],[Fault Start TimeStamp]])*24)</f>
        <v>0.13333333333333552</v>
      </c>
      <c r="S943" s="472">
        <f>(Table6[[#This Row],[Fault Clearance time]]-Table6[[#This Row],[Work Start TimeStamp]])*24</f>
        <v>0</v>
      </c>
      <c r="T943" s="472">
        <f>(Table6[[#This Row],[Fault Clearance time]]-Table6[[#This Row],[Fault Start TimeStamp]])*24</f>
        <v>0.13333333333333552</v>
      </c>
      <c r="U943" s="35" t="s">
        <v>349</v>
      </c>
      <c r="V943" s="102" t="s">
        <v>293</v>
      </c>
      <c r="W943" s="478">
        <f>IFERROR(Table6[[#This Row],[Breakdown Time]]*Table6[[#This Row],[Plant Equivalent Weightage]],"")</f>
        <v>5.1282051282052106E-3</v>
      </c>
      <c r="X943" s="473" t="s">
        <v>290</v>
      </c>
      <c r="Y943" s="474" t="s">
        <v>321</v>
      </c>
      <c r="Z943" s="102">
        <v>56413</v>
      </c>
      <c r="AA943" s="468">
        <f>(Table6[[#This Row],[Paired WTG Generation for loss calculation]]/24)*Table6[[#This Row],[Breakdown Time]]</f>
        <v>313.40555555556068</v>
      </c>
      <c r="AB943" s="102"/>
      <c r="AC943" s="35"/>
      <c r="AD943" s="35"/>
    </row>
    <row r="944" spans="1:30">
      <c r="A944" s="102">
        <f t="shared" si="15"/>
        <v>943</v>
      </c>
      <c r="B944" s="468">
        <f>YEAR(Table6[[#This Row],[Date]])+IF(MONTH(Table6[[#This Row],[Date]])&gt;=4,1,0)</f>
        <v>2026</v>
      </c>
      <c r="C944" s="102">
        <f>YEAR(Table6[[#This Row],[Date]])</f>
        <v>2025</v>
      </c>
      <c r="D944" s="102" t="s">
        <v>1992</v>
      </c>
      <c r="E944" s="469">
        <f>Table6[[#This Row],[Date]]-DAY(Table6[[#This Row],[Date]])+1</f>
        <v>45778</v>
      </c>
      <c r="F944" s="470">
        <v>45807</v>
      </c>
      <c r="G944" s="35" t="s">
        <v>81</v>
      </c>
      <c r="H944" s="35" t="str">
        <f>IFERROR(_xlfn.XLOOKUP(Table6[[#This Row],[Affected WTG]],'Basic Data'!$A:$A,'Basic Data'!$B:$B),"")</f>
        <v>TQGXIIPL</v>
      </c>
      <c r="I944" s="35" t="str">
        <f>IFERROR(_xlfn.XLOOKUP(Table6[[#This Row],[Affected WTG]],'Basic Data'!$A:$A,'Basic Data'!$C:$C),"")</f>
        <v>GEDA</v>
      </c>
      <c r="J944" s="471">
        <f>IFERROR(_xlfn.XLOOKUP(Table6[[#This Row],[Affected WTG]],'Basic Data'!$A:$A,'Basic Data'!$E:$E),"")</f>
        <v>3.846153846153845E-2</v>
      </c>
      <c r="K944" s="102">
        <v>665</v>
      </c>
      <c r="L944" s="35" t="str">
        <f>IFERROR(_xlfn.XLOOKUP(Table6[[#This Row],[Error Code]],'Basic Data'!$AA:$AA,'Basic Data'!$AB:$AB),"Incorrect Error Code")</f>
        <v>Pitch error</v>
      </c>
      <c r="M944" s="35" t="s">
        <v>291</v>
      </c>
      <c r="N944" s="475"/>
      <c r="O944" s="476">
        <v>0.88611111111111107</v>
      </c>
      <c r="P944" s="476">
        <v>0.89513888888888893</v>
      </c>
      <c r="Q944" s="477">
        <v>0.89513888888888893</v>
      </c>
      <c r="R944" s="472">
        <f>IF(Table6[[#This Row],[Work Start TimeStamp]]="","",(Table6[[#This Row],[Work Start TimeStamp]]-Table6[[#This Row],[Fault Start TimeStamp]])*24)</f>
        <v>0.21666666666666856</v>
      </c>
      <c r="S944" s="472">
        <f>(Table6[[#This Row],[Fault Clearance time]]-Table6[[#This Row],[Work Start TimeStamp]])*24</f>
        <v>0</v>
      </c>
      <c r="T944" s="472">
        <f>(Table6[[#This Row],[Fault Clearance time]]-Table6[[#This Row],[Fault Start TimeStamp]])*24</f>
        <v>0.21666666666666856</v>
      </c>
      <c r="U944" s="35" t="s">
        <v>1924</v>
      </c>
      <c r="V944" s="102" t="s">
        <v>293</v>
      </c>
      <c r="W944" s="478">
        <f>IFERROR(Table6[[#This Row],[Breakdown Time]]*Table6[[#This Row],[Plant Equivalent Weightage]],"")</f>
        <v>8.3333333333334043E-3</v>
      </c>
      <c r="X944" s="473" t="s">
        <v>290</v>
      </c>
      <c r="Y944" s="474" t="s">
        <v>321</v>
      </c>
      <c r="Z944" s="102">
        <v>56413</v>
      </c>
      <c r="AA944" s="468">
        <f>(Table6[[#This Row],[Paired WTG Generation for loss calculation]]/24)*Table6[[#This Row],[Breakdown Time]]</f>
        <v>509.28402777778217</v>
      </c>
      <c r="AB944" s="102"/>
      <c r="AC944" s="35"/>
      <c r="AD944" s="35"/>
    </row>
    <row r="945" spans="1:30">
      <c r="A945" s="102">
        <f t="shared" si="15"/>
        <v>944</v>
      </c>
      <c r="B945" s="468">
        <f>YEAR(Table6[[#This Row],[Date]])+IF(MONTH(Table6[[#This Row],[Date]])&gt;=4,1,0)</f>
        <v>2026</v>
      </c>
      <c r="C945" s="102">
        <f>YEAR(Table6[[#This Row],[Date]])</f>
        <v>2025</v>
      </c>
      <c r="D945" s="102" t="s">
        <v>1992</v>
      </c>
      <c r="E945" s="469">
        <f>Table6[[#This Row],[Date]]-DAY(Table6[[#This Row],[Date]])+1</f>
        <v>45778</v>
      </c>
      <c r="F945" s="470">
        <v>45807</v>
      </c>
      <c r="G945" s="35" t="s">
        <v>82</v>
      </c>
      <c r="H945" s="35" t="str">
        <f>IFERROR(_xlfn.XLOOKUP(Table6[[#This Row],[Affected WTG]],'Basic Data'!$A:$A,'Basic Data'!$B:$B),"")</f>
        <v>TQGXIIPL</v>
      </c>
      <c r="I945" s="35" t="str">
        <f>IFERROR(_xlfn.XLOOKUP(Table6[[#This Row],[Affected WTG]],'Basic Data'!$A:$A,'Basic Data'!$C:$C),"")</f>
        <v>GEDA</v>
      </c>
      <c r="J945" s="471">
        <f>IFERROR(_xlfn.XLOOKUP(Table6[[#This Row],[Affected WTG]],'Basic Data'!$A:$A,'Basic Data'!$E:$E),"")</f>
        <v>3.846153846153845E-2</v>
      </c>
      <c r="K945" s="102">
        <v>55</v>
      </c>
      <c r="L945" s="35" t="str">
        <f>IFERROR(_xlfn.XLOOKUP(Table6[[#This Row],[Error Code]],'Basic Data'!$AA:$AA,'Basic Data'!$AB:$AB),"Incorrect Error Code")</f>
        <v>WTG shut down</v>
      </c>
      <c r="M945" s="35" t="s">
        <v>291</v>
      </c>
      <c r="N945" s="475"/>
      <c r="O945" s="476">
        <v>0.79791666666666672</v>
      </c>
      <c r="P945" s="476">
        <v>0.81666666666666665</v>
      </c>
      <c r="Q945" s="477">
        <v>0.81666666666666665</v>
      </c>
      <c r="R945" s="472">
        <f>IF(Table6[[#This Row],[Work Start TimeStamp]]="","",(Table6[[#This Row],[Work Start TimeStamp]]-Table6[[#This Row],[Fault Start TimeStamp]])*24)</f>
        <v>0.4499999999999984</v>
      </c>
      <c r="S945" s="472">
        <f>(Table6[[#This Row],[Fault Clearance time]]-Table6[[#This Row],[Work Start TimeStamp]])*24</f>
        <v>0</v>
      </c>
      <c r="T945" s="472">
        <f>(Table6[[#This Row],[Fault Clearance time]]-Table6[[#This Row],[Fault Start TimeStamp]])*24</f>
        <v>0.4499999999999984</v>
      </c>
      <c r="U945" s="35" t="s">
        <v>1922</v>
      </c>
      <c r="V945" s="102" t="s">
        <v>293</v>
      </c>
      <c r="W945" s="478">
        <f>IFERROR(Table6[[#This Row],[Breakdown Time]]*Table6[[#This Row],[Plant Equivalent Weightage]],"")</f>
        <v>1.7307692307692239E-2</v>
      </c>
      <c r="X945" s="473" t="s">
        <v>290</v>
      </c>
      <c r="Y945" s="474" t="s">
        <v>332</v>
      </c>
      <c r="Z945" s="102">
        <v>55357</v>
      </c>
      <c r="AA945" s="468">
        <f>(Table6[[#This Row],[Paired WTG Generation for loss calculation]]/24)*Table6[[#This Row],[Breakdown Time]]</f>
        <v>1037.9437499999963</v>
      </c>
      <c r="AB945" s="102"/>
      <c r="AC945" s="35"/>
      <c r="AD945" s="35"/>
    </row>
    <row r="946" spans="1:30">
      <c r="A946" s="102">
        <f t="shared" si="15"/>
        <v>945</v>
      </c>
      <c r="B946" s="468">
        <f>YEAR(Table6[[#This Row],[Date]])+IF(MONTH(Table6[[#This Row],[Date]])&gt;=4,1,0)</f>
        <v>2026</v>
      </c>
      <c r="C946" s="102">
        <f>YEAR(Table6[[#This Row],[Date]])</f>
        <v>2025</v>
      </c>
      <c r="D946" s="102" t="s">
        <v>1992</v>
      </c>
      <c r="E946" s="469">
        <f>Table6[[#This Row],[Date]]-DAY(Table6[[#This Row],[Date]])+1</f>
        <v>45778</v>
      </c>
      <c r="F946" s="470">
        <v>45807</v>
      </c>
      <c r="G946" s="35" t="s">
        <v>83</v>
      </c>
      <c r="H946" s="35" t="str">
        <f>IFERROR(_xlfn.XLOOKUP(Table6[[#This Row],[Affected WTG]],'Basic Data'!$A:$A,'Basic Data'!$B:$B),"")</f>
        <v>TQGXIIPL</v>
      </c>
      <c r="I946" s="35" t="str">
        <f>IFERROR(_xlfn.XLOOKUP(Table6[[#This Row],[Affected WTG]],'Basic Data'!$A:$A,'Basic Data'!$C:$C),"")</f>
        <v>GEDA</v>
      </c>
      <c r="J946" s="471">
        <f>IFERROR(_xlfn.XLOOKUP(Table6[[#This Row],[Affected WTG]],'Basic Data'!$A:$A,'Basic Data'!$E:$E),"")</f>
        <v>3.846153846153845E-2</v>
      </c>
      <c r="K946" s="102">
        <v>55</v>
      </c>
      <c r="L946" s="35" t="str">
        <f>IFERROR(_xlfn.XLOOKUP(Table6[[#This Row],[Error Code]],'Basic Data'!$AA:$AA,'Basic Data'!$AB:$AB),"Incorrect Error Code")</f>
        <v>WTG shut down</v>
      </c>
      <c r="M946" s="35" t="s">
        <v>291</v>
      </c>
      <c r="N946" s="475"/>
      <c r="O946" s="476">
        <v>0.79791666666666672</v>
      </c>
      <c r="P946" s="476">
        <v>0.81597222222222221</v>
      </c>
      <c r="Q946" s="477">
        <v>0.81597222222222221</v>
      </c>
      <c r="R946" s="472">
        <f>IF(Table6[[#This Row],[Work Start TimeStamp]]="","",(Table6[[#This Row],[Work Start TimeStamp]]-Table6[[#This Row],[Fault Start TimeStamp]])*24)</f>
        <v>0.43333333333333179</v>
      </c>
      <c r="S946" s="472">
        <f>(Table6[[#This Row],[Fault Clearance time]]-Table6[[#This Row],[Work Start TimeStamp]])*24</f>
        <v>0</v>
      </c>
      <c r="T946" s="472">
        <f>(Table6[[#This Row],[Fault Clearance time]]-Table6[[#This Row],[Fault Start TimeStamp]])*24</f>
        <v>0.43333333333333179</v>
      </c>
      <c r="U946" s="35" t="s">
        <v>1922</v>
      </c>
      <c r="V946" s="102" t="s">
        <v>293</v>
      </c>
      <c r="W946" s="478">
        <f>IFERROR(Table6[[#This Row],[Breakdown Time]]*Table6[[#This Row],[Plant Equivalent Weightage]],"")</f>
        <v>1.6666666666666604E-2</v>
      </c>
      <c r="X946" s="473" t="s">
        <v>290</v>
      </c>
      <c r="Y946" s="474" t="s">
        <v>312</v>
      </c>
      <c r="Z946" s="102">
        <v>55209</v>
      </c>
      <c r="AA946" s="468">
        <f>(Table6[[#This Row],[Paired WTG Generation for loss calculation]]/24)*Table6[[#This Row],[Breakdown Time]]</f>
        <v>996.82916666666313</v>
      </c>
      <c r="AB946" s="102"/>
      <c r="AC946" s="35"/>
      <c r="AD946" s="35"/>
    </row>
    <row r="947" spans="1:30">
      <c r="A947" s="102">
        <f t="shared" si="15"/>
        <v>946</v>
      </c>
      <c r="B947" s="468">
        <f>YEAR(Table6[[#This Row],[Date]])+IF(MONTH(Table6[[#This Row],[Date]])&gt;=4,1,0)</f>
        <v>2026</v>
      </c>
      <c r="C947" s="102">
        <f>YEAR(Table6[[#This Row],[Date]])</f>
        <v>2025</v>
      </c>
      <c r="D947" s="102" t="s">
        <v>1992</v>
      </c>
      <c r="E947" s="469">
        <f>Table6[[#This Row],[Date]]-DAY(Table6[[#This Row],[Date]])+1</f>
        <v>45778</v>
      </c>
      <c r="F947" s="470">
        <v>45807</v>
      </c>
      <c r="G947" s="35" t="s">
        <v>83</v>
      </c>
      <c r="H947" s="35" t="str">
        <f>IFERROR(_xlfn.XLOOKUP(Table6[[#This Row],[Affected WTG]],'Basic Data'!$A:$A,'Basic Data'!$B:$B),"")</f>
        <v>TQGXIIPL</v>
      </c>
      <c r="I947" s="35" t="str">
        <f>IFERROR(_xlfn.XLOOKUP(Table6[[#This Row],[Affected WTG]],'Basic Data'!$A:$A,'Basic Data'!$C:$C),"")</f>
        <v>GEDA</v>
      </c>
      <c r="J947" s="471">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292</v>
      </c>
      <c r="N947" s="475"/>
      <c r="O947" s="476">
        <v>0.8256944444444444</v>
      </c>
      <c r="P947" s="476">
        <v>0.82708333333333328</v>
      </c>
      <c r="Q947" s="477">
        <v>0.82708333333333328</v>
      </c>
      <c r="R947" s="472">
        <f>IF(Table6[[#This Row],[Work Start TimeStamp]]="","",(Table6[[#This Row],[Work Start TimeStamp]]-Table6[[#This Row],[Fault Start TimeStamp]])*24)</f>
        <v>3.3333333333333215E-2</v>
      </c>
      <c r="S947" s="472">
        <f>(Table6[[#This Row],[Fault Clearance time]]-Table6[[#This Row],[Work Start TimeStamp]])*24</f>
        <v>0</v>
      </c>
      <c r="T947" s="472">
        <f>(Table6[[#This Row],[Fault Clearance time]]-Table6[[#This Row],[Fault Start TimeStamp]])*24</f>
        <v>3.3333333333333215E-2</v>
      </c>
      <c r="U947" s="35" t="s">
        <v>336</v>
      </c>
      <c r="V947" s="102" t="s">
        <v>293</v>
      </c>
      <c r="W947" s="478">
        <f>IFERROR(Table6[[#This Row],[Breakdown Time]]*Table6[[#This Row],[Plant Equivalent Weightage]],"")</f>
        <v>1.2820512820512771E-3</v>
      </c>
      <c r="X947" s="473" t="s">
        <v>294</v>
      </c>
      <c r="Y947" s="474" t="s">
        <v>312</v>
      </c>
      <c r="Z947" s="102">
        <v>55209</v>
      </c>
      <c r="AA947" s="468">
        <f>(Table6[[#This Row],[Paired WTG Generation for loss calculation]]/24)*Table6[[#This Row],[Breakdown Time]]</f>
        <v>76.67916666666639</v>
      </c>
      <c r="AB947" s="102"/>
      <c r="AC947" s="35"/>
      <c r="AD947" s="35"/>
    </row>
    <row r="948" spans="1:30">
      <c r="A948" s="102">
        <f t="shared" si="15"/>
        <v>947</v>
      </c>
      <c r="B948" s="468">
        <f>YEAR(Table6[[#This Row],[Date]])+IF(MONTH(Table6[[#This Row],[Date]])&gt;=4,1,0)</f>
        <v>2026</v>
      </c>
      <c r="C948" s="102">
        <f>YEAR(Table6[[#This Row],[Date]])</f>
        <v>2025</v>
      </c>
      <c r="D948" s="102" t="s">
        <v>1992</v>
      </c>
      <c r="E948" s="469">
        <f>Table6[[#This Row],[Date]]-DAY(Table6[[#This Row],[Date]])+1</f>
        <v>45778</v>
      </c>
      <c r="F948" s="470">
        <v>45807</v>
      </c>
      <c r="G948" s="35" t="s">
        <v>85</v>
      </c>
      <c r="H948" s="35" t="str">
        <f>IFERROR(_xlfn.XLOOKUP(Table6[[#This Row],[Affected WTG]],'Basic Data'!$A:$A,'Basic Data'!$B:$B),"")</f>
        <v>TQGXIIPL</v>
      </c>
      <c r="I948" s="35" t="str">
        <f>IFERROR(_xlfn.XLOOKUP(Table6[[#This Row],[Affected WTG]],'Basic Data'!$A:$A,'Basic Data'!$C:$C),"")</f>
        <v>GEDA</v>
      </c>
      <c r="J948" s="471">
        <f>IFERROR(_xlfn.XLOOKUP(Table6[[#This Row],[Affected WTG]],'Basic Data'!$A:$A,'Basic Data'!$E:$E),"")</f>
        <v>3.846153846153845E-2</v>
      </c>
      <c r="K948" s="102">
        <v>1700</v>
      </c>
      <c r="L948" s="35" t="str">
        <f>IFERROR(_xlfn.XLOOKUP(Table6[[#This Row],[Error Code]],'Basic Data'!$AA:$AA,'Basic Data'!$AB:$AB),"Incorrect Error Code")</f>
        <v>High temp. gear bearing 1</v>
      </c>
      <c r="M948" s="35" t="s">
        <v>292</v>
      </c>
      <c r="N948" s="475"/>
      <c r="O948" s="476">
        <v>0.67222222222222228</v>
      </c>
      <c r="P948" s="476">
        <v>0.6743055555555556</v>
      </c>
      <c r="Q948" s="477">
        <v>0.6743055555555556</v>
      </c>
      <c r="R948" s="472">
        <f>IF(Table6[[#This Row],[Work Start TimeStamp]]="","",(Table6[[#This Row],[Work Start TimeStamp]]-Table6[[#This Row],[Fault Start TimeStamp]])*24)</f>
        <v>4.9999999999999822E-2</v>
      </c>
      <c r="S948" s="472">
        <f>(Table6[[#This Row],[Fault Clearance time]]-Table6[[#This Row],[Work Start TimeStamp]])*24</f>
        <v>0</v>
      </c>
      <c r="T948" s="472">
        <f>(Table6[[#This Row],[Fault Clearance time]]-Table6[[#This Row],[Fault Start TimeStamp]])*24</f>
        <v>4.9999999999999822E-2</v>
      </c>
      <c r="U948" s="35" t="s">
        <v>336</v>
      </c>
      <c r="V948" s="102" t="s">
        <v>293</v>
      </c>
      <c r="W948" s="478">
        <f>IFERROR(Table6[[#This Row],[Breakdown Time]]*Table6[[#This Row],[Plant Equivalent Weightage]],"")</f>
        <v>1.9230769230769156E-3</v>
      </c>
      <c r="X948" s="473" t="s">
        <v>294</v>
      </c>
      <c r="Y948" s="474" t="s">
        <v>322</v>
      </c>
      <c r="Z948" s="102">
        <v>55074</v>
      </c>
      <c r="AA948" s="468">
        <f>(Table6[[#This Row],[Paired WTG Generation for loss calculation]]/24)*Table6[[#This Row],[Breakdown Time]]</f>
        <v>114.7374999999996</v>
      </c>
      <c r="AB948" s="102"/>
      <c r="AC948" s="35"/>
      <c r="AD948" s="35"/>
    </row>
    <row r="949" spans="1:30">
      <c r="A949" s="102">
        <f t="shared" si="15"/>
        <v>948</v>
      </c>
      <c r="B949" s="468">
        <f>YEAR(Table6[[#This Row],[Date]])+IF(MONTH(Table6[[#This Row],[Date]])&gt;=4,1,0)</f>
        <v>2026</v>
      </c>
      <c r="C949" s="102">
        <f>YEAR(Table6[[#This Row],[Date]])</f>
        <v>2025</v>
      </c>
      <c r="D949" s="102" t="s">
        <v>1992</v>
      </c>
      <c r="E949" s="469">
        <f>Table6[[#This Row],[Date]]-DAY(Table6[[#This Row],[Date]])+1</f>
        <v>45778</v>
      </c>
      <c r="F949" s="470">
        <v>45807</v>
      </c>
      <c r="G949" s="35" t="s">
        <v>85</v>
      </c>
      <c r="H949" s="35" t="str">
        <f>IFERROR(_xlfn.XLOOKUP(Table6[[#This Row],[Affected WTG]],'Basic Data'!$A:$A,'Basic Data'!$B:$B),"")</f>
        <v>TQGXIIPL</v>
      </c>
      <c r="I949" s="35" t="str">
        <f>IFERROR(_xlfn.XLOOKUP(Table6[[#This Row],[Affected WTG]],'Basic Data'!$A:$A,'Basic Data'!$C:$C),"")</f>
        <v>GEDA</v>
      </c>
      <c r="J949" s="471">
        <f>IFERROR(_xlfn.XLOOKUP(Table6[[#This Row],[Affected WTG]],'Basic Data'!$A:$A,'Basic Data'!$E:$E),"")</f>
        <v>3.846153846153845E-2</v>
      </c>
      <c r="K949" s="102">
        <v>1700</v>
      </c>
      <c r="L949" s="35" t="str">
        <f>IFERROR(_xlfn.XLOOKUP(Table6[[#This Row],[Error Code]],'Basic Data'!$AA:$AA,'Basic Data'!$AB:$AB),"Incorrect Error Code")</f>
        <v>High temp. gear bearing 1</v>
      </c>
      <c r="M949" s="35" t="s">
        <v>291</v>
      </c>
      <c r="N949" s="475"/>
      <c r="O949" s="476">
        <v>0.75902777777777775</v>
      </c>
      <c r="P949" s="476">
        <v>0.77013888888888893</v>
      </c>
      <c r="Q949" s="477">
        <v>0.77013888888888893</v>
      </c>
      <c r="R949" s="472">
        <f>IF(Table6[[#This Row],[Work Start TimeStamp]]="","",(Table6[[#This Row],[Work Start TimeStamp]]-Table6[[#This Row],[Fault Start TimeStamp]])*24)</f>
        <v>0.26666666666666838</v>
      </c>
      <c r="S949" s="472">
        <f>(Table6[[#This Row],[Fault Clearance time]]-Table6[[#This Row],[Work Start TimeStamp]])*24</f>
        <v>0</v>
      </c>
      <c r="T949" s="472">
        <f>(Table6[[#This Row],[Fault Clearance time]]-Table6[[#This Row],[Fault Start TimeStamp]])*24</f>
        <v>0.26666666666666838</v>
      </c>
      <c r="U949" s="35" t="s">
        <v>1924</v>
      </c>
      <c r="V949" s="102" t="s">
        <v>293</v>
      </c>
      <c r="W949" s="478">
        <f>IFERROR(Table6[[#This Row],[Breakdown Time]]*Table6[[#This Row],[Plant Equivalent Weightage]],"")</f>
        <v>1.0256410256410319E-2</v>
      </c>
      <c r="X949" s="473" t="s">
        <v>290</v>
      </c>
      <c r="Y949" s="474" t="s">
        <v>322</v>
      </c>
      <c r="Z949" s="102">
        <v>55074</v>
      </c>
      <c r="AA949" s="468">
        <f>(Table6[[#This Row],[Paired WTG Generation for loss calculation]]/24)*Table6[[#This Row],[Breakdown Time]]</f>
        <v>611.93333333333726</v>
      </c>
      <c r="AB949" s="102"/>
      <c r="AC949" s="35"/>
      <c r="AD949" s="35"/>
    </row>
    <row r="950" spans="1:30">
      <c r="A950" s="102">
        <f t="shared" si="15"/>
        <v>949</v>
      </c>
      <c r="B950" s="468">
        <f>YEAR(Table6[[#This Row],[Date]])+IF(MONTH(Table6[[#This Row],[Date]])&gt;=4,1,0)</f>
        <v>2026</v>
      </c>
      <c r="C950" s="102">
        <f>YEAR(Table6[[#This Row],[Date]])</f>
        <v>2025</v>
      </c>
      <c r="D950" s="102" t="s">
        <v>1992</v>
      </c>
      <c r="E950" s="469">
        <f>Table6[[#This Row],[Date]]-DAY(Table6[[#This Row],[Date]])+1</f>
        <v>45778</v>
      </c>
      <c r="F950" s="470">
        <v>45807</v>
      </c>
      <c r="G950" s="35" t="s">
        <v>85</v>
      </c>
      <c r="H950" s="35" t="str">
        <f>IFERROR(_xlfn.XLOOKUP(Table6[[#This Row],[Affected WTG]],'Basic Data'!$A:$A,'Basic Data'!$B:$B),"")</f>
        <v>TQGXIIPL</v>
      </c>
      <c r="I950" s="35" t="str">
        <f>IFERROR(_xlfn.XLOOKUP(Table6[[#This Row],[Affected WTG]],'Basic Data'!$A:$A,'Basic Data'!$C:$C),"")</f>
        <v>GEDA</v>
      </c>
      <c r="J950" s="471">
        <f>IFERROR(_xlfn.XLOOKUP(Table6[[#This Row],[Affected WTG]],'Basic Data'!$A:$A,'Basic Data'!$E:$E),"")</f>
        <v>3.846153846153845E-2</v>
      </c>
      <c r="K950" s="102">
        <v>55</v>
      </c>
      <c r="L950" s="35" t="str">
        <f>IFERROR(_xlfn.XLOOKUP(Table6[[#This Row],[Error Code]],'Basic Data'!$AA:$AA,'Basic Data'!$AB:$AB),"Incorrect Error Code")</f>
        <v>WTG shut down</v>
      </c>
      <c r="M950" s="35" t="s">
        <v>291</v>
      </c>
      <c r="N950" s="475"/>
      <c r="O950" s="476">
        <v>0.7993055555555556</v>
      </c>
      <c r="P950" s="476">
        <v>0.81388888888888888</v>
      </c>
      <c r="Q950" s="477">
        <v>0.81388888888888888</v>
      </c>
      <c r="R950" s="472">
        <f>IF(Table6[[#This Row],[Work Start TimeStamp]]="","",(Table6[[#This Row],[Work Start TimeStamp]]-Table6[[#This Row],[Fault Start TimeStamp]])*24)</f>
        <v>0.34999999999999876</v>
      </c>
      <c r="S950" s="472">
        <f>(Table6[[#This Row],[Fault Clearance time]]-Table6[[#This Row],[Work Start TimeStamp]])*24</f>
        <v>0</v>
      </c>
      <c r="T950" s="472">
        <f>(Table6[[#This Row],[Fault Clearance time]]-Table6[[#This Row],[Fault Start TimeStamp]])*24</f>
        <v>0.34999999999999876</v>
      </c>
      <c r="U950" s="35" t="s">
        <v>1922</v>
      </c>
      <c r="V950" s="102" t="s">
        <v>293</v>
      </c>
      <c r="W950" s="478">
        <f>IFERROR(Table6[[#This Row],[Breakdown Time]]*Table6[[#This Row],[Plant Equivalent Weightage]],"")</f>
        <v>1.346153846153841E-2</v>
      </c>
      <c r="X950" s="473" t="s">
        <v>290</v>
      </c>
      <c r="Y950" s="474" t="s">
        <v>322</v>
      </c>
      <c r="Z950" s="102">
        <v>55074</v>
      </c>
      <c r="AA950" s="468">
        <f>(Table6[[#This Row],[Paired WTG Generation for loss calculation]]/24)*Table6[[#This Row],[Breakdown Time]]</f>
        <v>803.16249999999718</v>
      </c>
      <c r="AB950" s="102"/>
      <c r="AC950" s="35"/>
      <c r="AD950" s="35"/>
    </row>
    <row r="951" spans="1:30">
      <c r="A951" s="102">
        <f t="shared" si="15"/>
        <v>950</v>
      </c>
      <c r="B951" s="468">
        <f>YEAR(Table6[[#This Row],[Date]])+IF(MONTH(Table6[[#This Row],[Date]])&gt;=4,1,0)</f>
        <v>2026</v>
      </c>
      <c r="C951" s="102">
        <f>YEAR(Table6[[#This Row],[Date]])</f>
        <v>2025</v>
      </c>
      <c r="D951" s="102" t="s">
        <v>1992</v>
      </c>
      <c r="E951" s="469">
        <f>Table6[[#This Row],[Date]]-DAY(Table6[[#This Row],[Date]])+1</f>
        <v>45778</v>
      </c>
      <c r="F951" s="470">
        <v>45807</v>
      </c>
      <c r="G951" s="35" t="s">
        <v>87</v>
      </c>
      <c r="H951" s="35" t="str">
        <f>IFERROR(_xlfn.XLOOKUP(Table6[[#This Row],[Affected WTG]],'Basic Data'!$A:$A,'Basic Data'!$B:$B),"")</f>
        <v>TQGXIIPL</v>
      </c>
      <c r="I951" s="35" t="str">
        <f>IFERROR(_xlfn.XLOOKUP(Table6[[#This Row],[Affected WTG]],'Basic Data'!$A:$A,'Basic Data'!$C:$C),"")</f>
        <v>GEDA</v>
      </c>
      <c r="J951" s="471">
        <f>IFERROR(_xlfn.XLOOKUP(Table6[[#This Row],[Affected WTG]],'Basic Data'!$A:$A,'Basic Data'!$E:$E),"")</f>
        <v>3.846153846153845E-2</v>
      </c>
      <c r="K951" s="102">
        <v>55</v>
      </c>
      <c r="L951" s="35" t="str">
        <f>IFERROR(_xlfn.XLOOKUP(Table6[[#This Row],[Error Code]],'Basic Data'!$AA:$AA,'Basic Data'!$AB:$AB),"Incorrect Error Code")</f>
        <v>WTG shut down</v>
      </c>
      <c r="M951" s="35" t="s">
        <v>291</v>
      </c>
      <c r="N951" s="475"/>
      <c r="O951" s="476">
        <v>0.7993055555555556</v>
      </c>
      <c r="P951" s="476">
        <v>0.81180555555555556</v>
      </c>
      <c r="Q951" s="477">
        <v>0.81180555555555556</v>
      </c>
      <c r="R951" s="472">
        <f>IF(Table6[[#This Row],[Work Start TimeStamp]]="","",(Table6[[#This Row],[Work Start TimeStamp]]-Table6[[#This Row],[Fault Start TimeStamp]])*24)</f>
        <v>0.29999999999999893</v>
      </c>
      <c r="S951" s="472">
        <f>(Table6[[#This Row],[Fault Clearance time]]-Table6[[#This Row],[Work Start TimeStamp]])*24</f>
        <v>0</v>
      </c>
      <c r="T951" s="472">
        <f>(Table6[[#This Row],[Fault Clearance time]]-Table6[[#This Row],[Fault Start TimeStamp]])*24</f>
        <v>0.29999999999999893</v>
      </c>
      <c r="U951" s="35" t="s">
        <v>1922</v>
      </c>
      <c r="V951" s="102" t="s">
        <v>293</v>
      </c>
      <c r="W951" s="478">
        <f>IFERROR(Table6[[#This Row],[Breakdown Time]]*Table6[[#This Row],[Plant Equivalent Weightage]],"")</f>
        <v>1.1538461538461494E-2</v>
      </c>
      <c r="X951" s="473" t="s">
        <v>290</v>
      </c>
      <c r="Y951" s="474" t="s">
        <v>327</v>
      </c>
      <c r="Z951" s="102">
        <v>54494</v>
      </c>
      <c r="AA951" s="468">
        <f>(Table6[[#This Row],[Paired WTG Generation for loss calculation]]/24)*Table6[[#This Row],[Breakdown Time]]</f>
        <v>681.17499999999768</v>
      </c>
      <c r="AB951" s="102"/>
      <c r="AC951" s="35"/>
      <c r="AD951" s="35"/>
    </row>
    <row r="952" spans="1:30">
      <c r="A952" s="102">
        <f t="shared" si="15"/>
        <v>951</v>
      </c>
      <c r="B952" s="468">
        <f>YEAR(Table6[[#This Row],[Date]])+IF(MONTH(Table6[[#This Row],[Date]])&gt;=4,1,0)</f>
        <v>2026</v>
      </c>
      <c r="C952" s="102">
        <f>YEAR(Table6[[#This Row],[Date]])</f>
        <v>2025</v>
      </c>
      <c r="D952" s="102" t="s">
        <v>1992</v>
      </c>
      <c r="E952" s="469">
        <f>Table6[[#This Row],[Date]]-DAY(Table6[[#This Row],[Date]])+1</f>
        <v>45778</v>
      </c>
      <c r="F952" s="470">
        <v>45807</v>
      </c>
      <c r="G952" s="35" t="s">
        <v>90</v>
      </c>
      <c r="H952" s="35" t="str">
        <f>IFERROR(_xlfn.XLOOKUP(Table6[[#This Row],[Affected WTG]],'Basic Data'!$A:$A,'Basic Data'!$B:$B),"")</f>
        <v>TQGXIIPL</v>
      </c>
      <c r="I952" s="35" t="str">
        <f>IFERROR(_xlfn.XLOOKUP(Table6[[#This Row],[Affected WTG]],'Basic Data'!$A:$A,'Basic Data'!$C:$C),"")</f>
        <v>GEDA</v>
      </c>
      <c r="J952" s="471">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291</v>
      </c>
      <c r="N952" s="475"/>
      <c r="O952" s="476">
        <v>4.6527777777777779E-2</v>
      </c>
      <c r="P952" s="476">
        <v>0.11180555555555556</v>
      </c>
      <c r="Q952" s="477">
        <v>0.15277777777777779</v>
      </c>
      <c r="R952" s="472">
        <f>IF(Table6[[#This Row],[Work Start TimeStamp]]="","",(Table6[[#This Row],[Work Start TimeStamp]]-Table6[[#This Row],[Fault Start TimeStamp]])*24)</f>
        <v>1.5666666666666669</v>
      </c>
      <c r="S952" s="472">
        <f>(Table6[[#This Row],[Fault Clearance time]]-Table6[[#This Row],[Work Start TimeStamp]])*24</f>
        <v>0.9833333333333335</v>
      </c>
      <c r="T952" s="472">
        <f>(Table6[[#This Row],[Fault Clearance time]]-Table6[[#This Row],[Fault Start TimeStamp]])*24</f>
        <v>2.5500000000000003</v>
      </c>
      <c r="U952" s="35" t="s">
        <v>1925</v>
      </c>
      <c r="V952" s="102" t="s">
        <v>293</v>
      </c>
      <c r="W952" s="478">
        <f>IFERROR(Table6[[#This Row],[Breakdown Time]]*Table6[[#This Row],[Plant Equivalent Weightage]],"")</f>
        <v>9.8076923076923062E-2</v>
      </c>
      <c r="X952" s="473" t="s">
        <v>290</v>
      </c>
      <c r="Y952" s="474" t="s">
        <v>339</v>
      </c>
      <c r="Z952" s="102">
        <v>57090</v>
      </c>
      <c r="AA952" s="468">
        <f>(Table6[[#This Row],[Paired WTG Generation for loss calculation]]/24)*Table6[[#This Row],[Breakdown Time]]</f>
        <v>6065.8125000000009</v>
      </c>
      <c r="AB952" s="102"/>
      <c r="AC952" s="35"/>
      <c r="AD952" s="35"/>
    </row>
    <row r="953" spans="1:30">
      <c r="A953" s="102">
        <f t="shared" si="15"/>
        <v>952</v>
      </c>
      <c r="B953" s="468">
        <f>YEAR(Table6[[#This Row],[Date]])+IF(MONTH(Table6[[#This Row],[Date]])&gt;=4,1,0)</f>
        <v>2026</v>
      </c>
      <c r="C953" s="102">
        <f>YEAR(Table6[[#This Row],[Date]])</f>
        <v>2025</v>
      </c>
      <c r="D953" s="102" t="s">
        <v>1992</v>
      </c>
      <c r="E953" s="469">
        <f>Table6[[#This Row],[Date]]-DAY(Table6[[#This Row],[Date]])+1</f>
        <v>45778</v>
      </c>
      <c r="F953" s="470">
        <v>45807</v>
      </c>
      <c r="G953" s="35" t="s">
        <v>90</v>
      </c>
      <c r="H953" s="35" t="str">
        <f>IFERROR(_xlfn.XLOOKUP(Table6[[#This Row],[Affected WTG]],'Basic Data'!$A:$A,'Basic Data'!$B:$B),"")</f>
        <v>TQGXIIPL</v>
      </c>
      <c r="I953" s="35" t="str">
        <f>IFERROR(_xlfn.XLOOKUP(Table6[[#This Row],[Affected WTG]],'Basic Data'!$A:$A,'Basic Data'!$C:$C),"")</f>
        <v>GEDA</v>
      </c>
      <c r="J953" s="471">
        <f>IFERROR(_xlfn.XLOOKUP(Table6[[#This Row],[Affected WTG]],'Basic Data'!$A:$A,'Basic Data'!$E:$E),"")</f>
        <v>3.846153846153845E-2</v>
      </c>
      <c r="K953" s="102">
        <v>175</v>
      </c>
      <c r="L953" s="35" t="str">
        <f>IFERROR(_xlfn.XLOOKUP(Table6[[#This Row],[Error Code]],'Basic Data'!$AA:$AA,'Basic Data'!$AB:$AB),"Incorrect Error Code")</f>
        <v>SLC error</v>
      </c>
      <c r="M953" s="35" t="s">
        <v>291</v>
      </c>
      <c r="N953" s="475"/>
      <c r="O953" s="476">
        <v>0.49583333333333335</v>
      </c>
      <c r="P953" s="476">
        <v>0.49861111111111112</v>
      </c>
      <c r="Q953" s="477">
        <v>0.49861111111111112</v>
      </c>
      <c r="R953" s="472">
        <f>IF(Table6[[#This Row],[Work Start TimeStamp]]="","",(Table6[[#This Row],[Work Start TimeStamp]]-Table6[[#This Row],[Fault Start TimeStamp]])*24)</f>
        <v>6.666666666666643E-2</v>
      </c>
      <c r="S953" s="472">
        <f>(Table6[[#This Row],[Fault Clearance time]]-Table6[[#This Row],[Work Start TimeStamp]])*24</f>
        <v>0</v>
      </c>
      <c r="T953" s="472">
        <f>(Table6[[#This Row],[Fault Clearance time]]-Table6[[#This Row],[Fault Start TimeStamp]])*24</f>
        <v>6.666666666666643E-2</v>
      </c>
      <c r="U953" s="35" t="s">
        <v>1924</v>
      </c>
      <c r="V953" s="102" t="s">
        <v>293</v>
      </c>
      <c r="W953" s="478">
        <f>IFERROR(Table6[[#This Row],[Breakdown Time]]*Table6[[#This Row],[Plant Equivalent Weightage]],"")</f>
        <v>2.5641025641025541E-3</v>
      </c>
      <c r="X953" s="473" t="s">
        <v>290</v>
      </c>
      <c r="Y953" s="474" t="s">
        <v>339</v>
      </c>
      <c r="Z953" s="102">
        <v>57090</v>
      </c>
      <c r="AA953" s="468">
        <f>(Table6[[#This Row],[Paired WTG Generation for loss calculation]]/24)*Table6[[#This Row],[Breakdown Time]]</f>
        <v>158.58333333333277</v>
      </c>
      <c r="AB953" s="102"/>
      <c r="AC953" s="35"/>
      <c r="AD953" s="35"/>
    </row>
    <row r="954" spans="1:30">
      <c r="A954" s="102">
        <f t="shared" si="15"/>
        <v>953</v>
      </c>
      <c r="B954" s="468">
        <f>YEAR(Table6[[#This Row],[Date]])+IF(MONTH(Table6[[#This Row],[Date]])&gt;=4,1,0)</f>
        <v>2026</v>
      </c>
      <c r="C954" s="102">
        <f>YEAR(Table6[[#This Row],[Date]])</f>
        <v>2025</v>
      </c>
      <c r="D954" s="102" t="s">
        <v>1992</v>
      </c>
      <c r="E954" s="469">
        <f>Table6[[#This Row],[Date]]-DAY(Table6[[#This Row],[Date]])+1</f>
        <v>45778</v>
      </c>
      <c r="F954" s="470">
        <v>45807</v>
      </c>
      <c r="G954" s="35" t="s">
        <v>90</v>
      </c>
      <c r="H954" s="35" t="str">
        <f>IFERROR(_xlfn.XLOOKUP(Table6[[#This Row],[Affected WTG]],'Basic Data'!$A:$A,'Basic Data'!$B:$B),"")</f>
        <v>TQGXIIPL</v>
      </c>
      <c r="I954" s="35" t="str">
        <f>IFERROR(_xlfn.XLOOKUP(Table6[[#This Row],[Affected WTG]],'Basic Data'!$A:$A,'Basic Data'!$C:$C),"")</f>
        <v>GEDA</v>
      </c>
      <c r="J954" s="471">
        <f>IFERROR(_xlfn.XLOOKUP(Table6[[#This Row],[Affected WTG]],'Basic Data'!$A:$A,'Basic Data'!$E:$E),"")</f>
        <v>3.846153846153845E-2</v>
      </c>
      <c r="K954" s="102">
        <v>3110</v>
      </c>
      <c r="L954" s="35" t="str">
        <f>IFERROR(_xlfn.XLOOKUP(Table6[[#This Row],[Error Code]],'Basic Data'!$AA:$AA,'Basic Data'!$AB:$AB),"Incorrect Error Code")</f>
        <v>Frequency converter error</v>
      </c>
      <c r="M954" s="35" t="s">
        <v>291</v>
      </c>
      <c r="N954" s="475"/>
      <c r="O954" s="476">
        <v>0.72361111111111109</v>
      </c>
      <c r="P954" s="476">
        <v>0.73611111111111116</v>
      </c>
      <c r="Q954" s="477">
        <v>0.73611111111111116</v>
      </c>
      <c r="R954" s="472">
        <f>IF(Table6[[#This Row],[Work Start TimeStamp]]="","",(Table6[[#This Row],[Work Start TimeStamp]]-Table6[[#This Row],[Fault Start TimeStamp]])*24)</f>
        <v>0.3000000000000016</v>
      </c>
      <c r="S954" s="472">
        <f>(Table6[[#This Row],[Fault Clearance time]]-Table6[[#This Row],[Work Start TimeStamp]])*24</f>
        <v>0</v>
      </c>
      <c r="T954" s="472">
        <f>(Table6[[#This Row],[Fault Clearance time]]-Table6[[#This Row],[Fault Start TimeStamp]])*24</f>
        <v>0.3000000000000016</v>
      </c>
      <c r="U954" s="35" t="s">
        <v>1924</v>
      </c>
      <c r="V954" s="102" t="s">
        <v>293</v>
      </c>
      <c r="W954" s="478">
        <f>IFERROR(Table6[[#This Row],[Breakdown Time]]*Table6[[#This Row],[Plant Equivalent Weightage]],"")</f>
        <v>1.1538461538461596E-2</v>
      </c>
      <c r="X954" s="473" t="s">
        <v>290</v>
      </c>
      <c r="Y954" s="474" t="s">
        <v>339</v>
      </c>
      <c r="Z954" s="102">
        <v>57090</v>
      </c>
      <c r="AA954" s="468">
        <f>(Table6[[#This Row],[Paired WTG Generation for loss calculation]]/24)*Table6[[#This Row],[Breakdown Time]]</f>
        <v>713.62500000000375</v>
      </c>
      <c r="AB954" s="102"/>
      <c r="AC954" s="35"/>
      <c r="AD954" s="35"/>
    </row>
    <row r="955" spans="1:30">
      <c r="A955" s="102">
        <f t="shared" si="15"/>
        <v>954</v>
      </c>
      <c r="B955" s="468">
        <f>YEAR(Table6[[#This Row],[Date]])+IF(MONTH(Table6[[#This Row],[Date]])&gt;=4,1,0)</f>
        <v>2026</v>
      </c>
      <c r="C955" s="102">
        <f>YEAR(Table6[[#This Row],[Date]])</f>
        <v>2025</v>
      </c>
      <c r="D955" s="102" t="s">
        <v>1992</v>
      </c>
      <c r="E955" s="469">
        <f>Table6[[#This Row],[Date]]-DAY(Table6[[#This Row],[Date]])+1</f>
        <v>45778</v>
      </c>
      <c r="F955" s="470">
        <v>45807</v>
      </c>
      <c r="G955" s="35" t="s">
        <v>91</v>
      </c>
      <c r="H955" s="35" t="str">
        <f>IFERROR(_xlfn.XLOOKUP(Table6[[#This Row],[Affected WTG]],'Basic Data'!$A:$A,'Basic Data'!$B:$B),"")</f>
        <v>TQGXIIPL</v>
      </c>
      <c r="I955" s="35" t="str">
        <f>IFERROR(_xlfn.XLOOKUP(Table6[[#This Row],[Affected WTG]],'Basic Data'!$A:$A,'Basic Data'!$C:$C),"")</f>
        <v>GEDA</v>
      </c>
      <c r="J955" s="471">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291</v>
      </c>
      <c r="N955" s="475"/>
      <c r="O955" s="476">
        <v>0.64236111111111116</v>
      </c>
      <c r="P955" s="476">
        <v>0.65069444444444446</v>
      </c>
      <c r="Q955" s="477">
        <v>0.65069444444444446</v>
      </c>
      <c r="R955" s="472">
        <f>IF(Table6[[#This Row],[Work Start TimeStamp]]="","",(Table6[[#This Row],[Work Start TimeStamp]]-Table6[[#This Row],[Fault Start TimeStamp]])*24)</f>
        <v>0.19999999999999929</v>
      </c>
      <c r="S955" s="472">
        <f>(Table6[[#This Row],[Fault Clearance time]]-Table6[[#This Row],[Work Start TimeStamp]])*24</f>
        <v>0</v>
      </c>
      <c r="T955" s="472">
        <f>(Table6[[#This Row],[Fault Clearance time]]-Table6[[#This Row],[Fault Start TimeStamp]])*24</f>
        <v>0.19999999999999929</v>
      </c>
      <c r="U955" s="35" t="s">
        <v>1924</v>
      </c>
      <c r="V955" s="102" t="s">
        <v>293</v>
      </c>
      <c r="W955" s="478">
        <f>IFERROR(Table6[[#This Row],[Breakdown Time]]*Table6[[#This Row],[Plant Equivalent Weightage]],"")</f>
        <v>7.6923076923076624E-3</v>
      </c>
      <c r="X955" s="473" t="s">
        <v>290</v>
      </c>
      <c r="Y955" s="474" t="s">
        <v>319</v>
      </c>
      <c r="Z955" s="102">
        <v>55099</v>
      </c>
      <c r="AA955" s="468">
        <f>(Table6[[#This Row],[Paired WTG Generation for loss calculation]]/24)*Table6[[#This Row],[Breakdown Time]]</f>
        <v>459.15833333333165</v>
      </c>
      <c r="AB955" s="102"/>
      <c r="AC955" s="35"/>
      <c r="AD955" s="35"/>
    </row>
    <row r="956" spans="1:30">
      <c r="A956" s="102">
        <f t="shared" si="15"/>
        <v>955</v>
      </c>
      <c r="B956" s="468">
        <f>YEAR(Table6[[#This Row],[Date]])+IF(MONTH(Table6[[#This Row],[Date]])&gt;=4,1,0)</f>
        <v>2026</v>
      </c>
      <c r="C956" s="102">
        <f>YEAR(Table6[[#This Row],[Date]])</f>
        <v>2025</v>
      </c>
      <c r="D956" s="102" t="s">
        <v>1992</v>
      </c>
      <c r="E956" s="469">
        <f>Table6[[#This Row],[Date]]-DAY(Table6[[#This Row],[Date]])+1</f>
        <v>45778</v>
      </c>
      <c r="F956" s="470">
        <v>45807</v>
      </c>
      <c r="G956" s="35" t="s">
        <v>92</v>
      </c>
      <c r="H956" s="35" t="str">
        <f>IFERROR(_xlfn.XLOOKUP(Table6[[#This Row],[Affected WTG]],'Basic Data'!$A:$A,'Basic Data'!$B:$B),"")</f>
        <v>TQGXIIPL</v>
      </c>
      <c r="I956" s="35" t="str">
        <f>IFERROR(_xlfn.XLOOKUP(Table6[[#This Row],[Affected WTG]],'Basic Data'!$A:$A,'Basic Data'!$C:$C),"")</f>
        <v>GEDA</v>
      </c>
      <c r="J956" s="471">
        <f>IFERROR(_xlfn.XLOOKUP(Table6[[#This Row],[Affected WTG]],'Basic Data'!$A:$A,'Basic Data'!$E:$E),"")</f>
        <v>3.846153846153845E-2</v>
      </c>
      <c r="K956" s="102">
        <v>6605</v>
      </c>
      <c r="L956" s="35" t="str">
        <f>IFERROR(_xlfn.XLOOKUP(Table6[[#This Row],[Error Code]],'Basic Data'!$AA:$AA,'Basic Data'!$AB:$AB),"Incorrect Error Code")</f>
        <v>Wind.dir. diff. level 2</v>
      </c>
      <c r="M956" s="35" t="s">
        <v>292</v>
      </c>
      <c r="N956" s="475"/>
      <c r="O956" s="476">
        <v>0.55208333333333337</v>
      </c>
      <c r="P956" s="476">
        <v>0.55277777777777781</v>
      </c>
      <c r="Q956" s="477">
        <v>0.55277777777777781</v>
      </c>
      <c r="R956" s="472">
        <f>IF(Table6[[#This Row],[Work Start TimeStamp]]="","",(Table6[[#This Row],[Work Start TimeStamp]]-Table6[[#This Row],[Fault Start TimeStamp]])*24)</f>
        <v>1.6666666666666607E-2</v>
      </c>
      <c r="S956" s="472">
        <f>(Table6[[#This Row],[Fault Clearance time]]-Table6[[#This Row],[Work Start TimeStamp]])*24</f>
        <v>0</v>
      </c>
      <c r="T956" s="472">
        <f>(Table6[[#This Row],[Fault Clearance time]]-Table6[[#This Row],[Fault Start TimeStamp]])*24</f>
        <v>1.6666666666666607E-2</v>
      </c>
      <c r="U956" s="35" t="s">
        <v>336</v>
      </c>
      <c r="V956" s="102" t="s">
        <v>293</v>
      </c>
      <c r="W956" s="478">
        <f>IFERROR(Table6[[#This Row],[Breakdown Time]]*Table6[[#This Row],[Plant Equivalent Weightage]],"")</f>
        <v>6.4102564102563853E-4</v>
      </c>
      <c r="X956" s="473" t="s">
        <v>294</v>
      </c>
      <c r="Y956" s="474" t="s">
        <v>310</v>
      </c>
      <c r="Z956" s="102">
        <v>52504</v>
      </c>
      <c r="AA956" s="468">
        <f>(Table6[[#This Row],[Paired WTG Generation for loss calculation]]/24)*Table6[[#This Row],[Breakdown Time]]</f>
        <v>36.461111111110981</v>
      </c>
      <c r="AB956" s="102"/>
      <c r="AC956" s="35"/>
      <c r="AD956" s="35"/>
    </row>
    <row r="957" spans="1:30">
      <c r="A957" s="102">
        <f t="shared" si="15"/>
        <v>956</v>
      </c>
      <c r="B957" s="468">
        <f>YEAR(Table6[[#This Row],[Date]])+IF(MONTH(Table6[[#This Row],[Date]])&gt;=4,1,0)</f>
        <v>2026</v>
      </c>
      <c r="C957" s="102">
        <f>YEAR(Table6[[#This Row],[Date]])</f>
        <v>2025</v>
      </c>
      <c r="D957" s="102" t="s">
        <v>1992</v>
      </c>
      <c r="E957" s="469">
        <f>Table6[[#This Row],[Date]]-DAY(Table6[[#This Row],[Date]])+1</f>
        <v>45778</v>
      </c>
      <c r="F957" s="470">
        <v>45807</v>
      </c>
      <c r="G957" s="35" t="s">
        <v>92</v>
      </c>
      <c r="H957" s="35" t="str">
        <f>IFERROR(_xlfn.XLOOKUP(Table6[[#This Row],[Affected WTG]],'Basic Data'!$A:$A,'Basic Data'!$B:$B),"")</f>
        <v>TQGXIIPL</v>
      </c>
      <c r="I957" s="35" t="str">
        <f>IFERROR(_xlfn.XLOOKUP(Table6[[#This Row],[Affected WTG]],'Basic Data'!$A:$A,'Basic Data'!$C:$C),"")</f>
        <v>GEDA</v>
      </c>
      <c r="J957" s="471">
        <f>IFERROR(_xlfn.XLOOKUP(Table6[[#This Row],[Affected WTG]],'Basic Data'!$A:$A,'Basic Data'!$E:$E),"")</f>
        <v>3.846153846153845E-2</v>
      </c>
      <c r="K957" s="102">
        <v>1700</v>
      </c>
      <c r="L957" s="35" t="str">
        <f>IFERROR(_xlfn.XLOOKUP(Table6[[#This Row],[Error Code]],'Basic Data'!$AA:$AA,'Basic Data'!$AB:$AB),"Incorrect Error Code")</f>
        <v>High temp. gear bearing 1</v>
      </c>
      <c r="M957" s="35" t="s">
        <v>292</v>
      </c>
      <c r="N957" s="475"/>
      <c r="O957" s="476">
        <v>0.65138888888888891</v>
      </c>
      <c r="P957" s="476">
        <v>0.65277777777777779</v>
      </c>
      <c r="Q957" s="477">
        <v>0.65277777777777779</v>
      </c>
      <c r="R957" s="472">
        <f>IF(Table6[[#This Row],[Work Start TimeStamp]]="","",(Table6[[#This Row],[Work Start TimeStamp]]-Table6[[#This Row],[Fault Start TimeStamp]])*24)</f>
        <v>3.3333333333333215E-2</v>
      </c>
      <c r="S957" s="472">
        <f>(Table6[[#This Row],[Fault Clearance time]]-Table6[[#This Row],[Work Start TimeStamp]])*24</f>
        <v>0</v>
      </c>
      <c r="T957" s="472">
        <f>(Table6[[#This Row],[Fault Clearance time]]-Table6[[#This Row],[Fault Start TimeStamp]])*24</f>
        <v>3.3333333333333215E-2</v>
      </c>
      <c r="U957" s="35" t="s">
        <v>336</v>
      </c>
      <c r="V957" s="102" t="s">
        <v>293</v>
      </c>
      <c r="W957" s="478">
        <f>IFERROR(Table6[[#This Row],[Breakdown Time]]*Table6[[#This Row],[Plant Equivalent Weightage]],"")</f>
        <v>1.2820512820512771E-3</v>
      </c>
      <c r="X957" s="473" t="s">
        <v>294</v>
      </c>
      <c r="Y957" s="474" t="s">
        <v>310</v>
      </c>
      <c r="Z957" s="102">
        <v>52504</v>
      </c>
      <c r="AA957" s="468">
        <f>(Table6[[#This Row],[Paired WTG Generation for loss calculation]]/24)*Table6[[#This Row],[Breakdown Time]]</f>
        <v>72.922222222221961</v>
      </c>
      <c r="AB957" s="102"/>
      <c r="AC957" s="35"/>
      <c r="AD957" s="35"/>
    </row>
    <row r="958" spans="1:30">
      <c r="A958" s="102">
        <f t="shared" si="15"/>
        <v>957</v>
      </c>
      <c r="B958" s="468">
        <f>YEAR(Table6[[#This Row],[Date]])+IF(MONTH(Table6[[#This Row],[Date]])&gt;=4,1,0)</f>
        <v>2026</v>
      </c>
      <c r="C958" s="102">
        <f>YEAR(Table6[[#This Row],[Date]])</f>
        <v>2025</v>
      </c>
      <c r="D958" s="102" t="s">
        <v>1992</v>
      </c>
      <c r="E958" s="469">
        <f>Table6[[#This Row],[Date]]-DAY(Table6[[#This Row],[Date]])+1</f>
        <v>45778</v>
      </c>
      <c r="F958" s="470">
        <v>45807</v>
      </c>
      <c r="G958" s="35" t="s">
        <v>92</v>
      </c>
      <c r="H958" s="35" t="str">
        <f>IFERROR(_xlfn.XLOOKUP(Table6[[#This Row],[Affected WTG]],'Basic Data'!$A:$A,'Basic Data'!$B:$B),"")</f>
        <v>TQGXIIPL</v>
      </c>
      <c r="I958" s="35" t="str">
        <f>IFERROR(_xlfn.XLOOKUP(Table6[[#This Row],[Affected WTG]],'Basic Data'!$A:$A,'Basic Data'!$C:$C),"")</f>
        <v>GEDA</v>
      </c>
      <c r="J958" s="471">
        <f>IFERROR(_xlfn.XLOOKUP(Table6[[#This Row],[Affected WTG]],'Basic Data'!$A:$A,'Basic Data'!$E:$E),"")</f>
        <v>3.846153846153845E-2</v>
      </c>
      <c r="K958" s="102">
        <v>1700</v>
      </c>
      <c r="L958" s="35" t="str">
        <f>IFERROR(_xlfn.XLOOKUP(Table6[[#This Row],[Error Code]],'Basic Data'!$AA:$AA,'Basic Data'!$AB:$AB),"Incorrect Error Code")</f>
        <v>High temp. gear bearing 1</v>
      </c>
      <c r="M958" s="35" t="s">
        <v>291</v>
      </c>
      <c r="N958" s="475"/>
      <c r="O958" s="476">
        <v>0.7583333333333333</v>
      </c>
      <c r="P958" s="476">
        <v>0.77013888888888893</v>
      </c>
      <c r="Q958" s="477">
        <v>0.77013888888888893</v>
      </c>
      <c r="R958" s="472">
        <f>IF(Table6[[#This Row],[Work Start TimeStamp]]="","",(Table6[[#This Row],[Work Start TimeStamp]]-Table6[[#This Row],[Fault Start TimeStamp]])*24)</f>
        <v>0.28333333333333499</v>
      </c>
      <c r="S958" s="472">
        <f>(Table6[[#This Row],[Fault Clearance time]]-Table6[[#This Row],[Work Start TimeStamp]])*24</f>
        <v>0</v>
      </c>
      <c r="T958" s="472">
        <f>(Table6[[#This Row],[Fault Clearance time]]-Table6[[#This Row],[Fault Start TimeStamp]])*24</f>
        <v>0.28333333333333499</v>
      </c>
      <c r="U958" s="35" t="s">
        <v>1926</v>
      </c>
      <c r="V958" s="102" t="s">
        <v>293</v>
      </c>
      <c r="W958" s="478">
        <f>IFERROR(Table6[[#This Row],[Breakdown Time]]*Table6[[#This Row],[Plant Equivalent Weightage]],"")</f>
        <v>1.0897435897435958E-2</v>
      </c>
      <c r="X958" s="473" t="s">
        <v>290</v>
      </c>
      <c r="Y958" s="474" t="s">
        <v>310</v>
      </c>
      <c r="Z958" s="102">
        <v>52504</v>
      </c>
      <c r="AA958" s="468">
        <f>(Table6[[#This Row],[Paired WTG Generation for loss calculation]]/24)*Table6[[#This Row],[Breakdown Time]]</f>
        <v>619.83888888889248</v>
      </c>
      <c r="AB958" s="102"/>
      <c r="AC958" s="35"/>
      <c r="AD958" s="35"/>
    </row>
    <row r="959" spans="1:30">
      <c r="A959" s="102">
        <f t="shared" si="15"/>
        <v>958</v>
      </c>
      <c r="B959" s="468">
        <f>YEAR(Table6[[#This Row],[Date]])+IF(MONTH(Table6[[#This Row],[Date]])&gt;=4,1,0)</f>
        <v>2026</v>
      </c>
      <c r="C959" s="102">
        <f>YEAR(Table6[[#This Row],[Date]])</f>
        <v>2025</v>
      </c>
      <c r="D959" s="102" t="s">
        <v>1992</v>
      </c>
      <c r="E959" s="469">
        <f>Table6[[#This Row],[Date]]-DAY(Table6[[#This Row],[Date]])+1</f>
        <v>45778</v>
      </c>
      <c r="F959" s="470">
        <v>45807</v>
      </c>
      <c r="G959" s="35" t="s">
        <v>96</v>
      </c>
      <c r="H959" s="35" t="str">
        <f>IFERROR(_xlfn.XLOOKUP(Table6[[#This Row],[Affected WTG]],'Basic Data'!$A:$A,'Basic Data'!$B:$B),"")</f>
        <v>TQGXIIPL</v>
      </c>
      <c r="I959" s="35" t="str">
        <f>IFERROR(_xlfn.XLOOKUP(Table6[[#This Row],[Affected WTG]],'Basic Data'!$A:$A,'Basic Data'!$C:$C),"")</f>
        <v>GEDA</v>
      </c>
      <c r="J959" s="471">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291</v>
      </c>
      <c r="N959" s="475"/>
      <c r="O959" s="476">
        <v>0.56805555555555554</v>
      </c>
      <c r="P959" s="476">
        <v>0.57499999999999996</v>
      </c>
      <c r="Q959" s="477">
        <v>0.57499999999999996</v>
      </c>
      <c r="R959" s="472">
        <f>IF(Table6[[#This Row],[Work Start TimeStamp]]="","",(Table6[[#This Row],[Work Start TimeStamp]]-Table6[[#This Row],[Fault Start TimeStamp]])*24)</f>
        <v>0.16666666666666607</v>
      </c>
      <c r="S959" s="472">
        <f>(Table6[[#This Row],[Fault Clearance time]]-Table6[[#This Row],[Work Start TimeStamp]])*24</f>
        <v>0</v>
      </c>
      <c r="T959" s="472">
        <f>(Table6[[#This Row],[Fault Clearance time]]-Table6[[#This Row],[Fault Start TimeStamp]])*24</f>
        <v>0.16666666666666607</v>
      </c>
      <c r="U959" s="35" t="s">
        <v>1926</v>
      </c>
      <c r="V959" s="102" t="s">
        <v>293</v>
      </c>
      <c r="W959" s="478">
        <f>IFERROR(Table6[[#This Row],[Breakdown Time]]*Table6[[#This Row],[Plant Equivalent Weightage]],"")</f>
        <v>6.4102564102563857E-3</v>
      </c>
      <c r="X959" s="473" t="s">
        <v>290</v>
      </c>
      <c r="Y959" s="474" t="s">
        <v>313</v>
      </c>
      <c r="Z959" s="102">
        <v>55825</v>
      </c>
      <c r="AA959" s="468">
        <f>(Table6[[#This Row],[Paired WTG Generation for loss calculation]]/24)*Table6[[#This Row],[Breakdown Time]]</f>
        <v>387.67361111110972</v>
      </c>
      <c r="AB959" s="102"/>
      <c r="AC959" s="35"/>
      <c r="AD959" s="35"/>
    </row>
    <row r="960" spans="1:30">
      <c r="A960" s="102">
        <f t="shared" si="15"/>
        <v>959</v>
      </c>
      <c r="B960" s="468">
        <f>YEAR(Table6[[#This Row],[Date]])+IF(MONTH(Table6[[#This Row],[Date]])&gt;=4,1,0)</f>
        <v>2026</v>
      </c>
      <c r="C960" s="102">
        <f>YEAR(Table6[[#This Row],[Date]])</f>
        <v>2025</v>
      </c>
      <c r="D960" s="102" t="s">
        <v>1992</v>
      </c>
      <c r="E960" s="469">
        <f>Table6[[#This Row],[Date]]-DAY(Table6[[#This Row],[Date]])+1</f>
        <v>45778</v>
      </c>
      <c r="F960" s="470">
        <v>45807</v>
      </c>
      <c r="G960" s="35" t="s">
        <v>96</v>
      </c>
      <c r="H960" s="35" t="str">
        <f>IFERROR(_xlfn.XLOOKUP(Table6[[#This Row],[Affected WTG]],'Basic Data'!$A:$A,'Basic Data'!$B:$B),"")</f>
        <v>TQGXIIPL</v>
      </c>
      <c r="I960" s="35" t="str">
        <f>IFERROR(_xlfn.XLOOKUP(Table6[[#This Row],[Affected WTG]],'Basic Data'!$A:$A,'Basic Data'!$C:$C),"")</f>
        <v>GEDA</v>
      </c>
      <c r="J960" s="471">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291</v>
      </c>
      <c r="N960" s="475"/>
      <c r="O960" s="476">
        <v>0.60138888888888886</v>
      </c>
      <c r="P960" s="476">
        <v>0.61250000000000004</v>
      </c>
      <c r="Q960" s="477">
        <v>0.61250000000000004</v>
      </c>
      <c r="R960" s="472">
        <f>IF(Table6[[#This Row],[Work Start TimeStamp]]="","",(Table6[[#This Row],[Work Start TimeStamp]]-Table6[[#This Row],[Fault Start TimeStamp]])*24)</f>
        <v>0.26666666666666838</v>
      </c>
      <c r="S960" s="472">
        <f>(Table6[[#This Row],[Fault Clearance time]]-Table6[[#This Row],[Work Start TimeStamp]])*24</f>
        <v>0</v>
      </c>
      <c r="T960" s="472">
        <f>(Table6[[#This Row],[Fault Clearance time]]-Table6[[#This Row],[Fault Start TimeStamp]])*24</f>
        <v>0.26666666666666838</v>
      </c>
      <c r="U960" s="35" t="s">
        <v>1926</v>
      </c>
      <c r="V960" s="102" t="s">
        <v>293</v>
      </c>
      <c r="W960" s="478">
        <f>IFERROR(Table6[[#This Row],[Breakdown Time]]*Table6[[#This Row],[Plant Equivalent Weightage]],"")</f>
        <v>1.0256410256410319E-2</v>
      </c>
      <c r="X960" s="473" t="s">
        <v>290</v>
      </c>
      <c r="Y960" s="474" t="s">
        <v>313</v>
      </c>
      <c r="Z960" s="102">
        <v>55825</v>
      </c>
      <c r="AA960" s="468">
        <f>(Table6[[#This Row],[Paired WTG Generation for loss calculation]]/24)*Table6[[#This Row],[Breakdown Time]]</f>
        <v>620.27777777778169</v>
      </c>
      <c r="AB960" s="102"/>
      <c r="AC960" s="35"/>
      <c r="AD960" s="35"/>
    </row>
    <row r="961" spans="1:30">
      <c r="A961" s="102">
        <f t="shared" si="15"/>
        <v>960</v>
      </c>
      <c r="B961" s="468">
        <f>YEAR(Table6[[#This Row],[Date]])+IF(MONTH(Table6[[#This Row],[Date]])&gt;=4,1,0)</f>
        <v>2026</v>
      </c>
      <c r="C961" s="102">
        <f>YEAR(Table6[[#This Row],[Date]])</f>
        <v>2025</v>
      </c>
      <c r="D961" s="102" t="s">
        <v>1992</v>
      </c>
      <c r="E961" s="469">
        <f>Table6[[#This Row],[Date]]-DAY(Table6[[#This Row],[Date]])+1</f>
        <v>45778</v>
      </c>
      <c r="F961" s="470">
        <v>45807</v>
      </c>
      <c r="G961" s="35" t="s">
        <v>97</v>
      </c>
      <c r="H961" s="35" t="str">
        <f>IFERROR(_xlfn.XLOOKUP(Table6[[#This Row],[Affected WTG]],'Basic Data'!$A:$A,'Basic Data'!$B:$B),"")</f>
        <v>TQGXIIPL</v>
      </c>
      <c r="I961" s="35" t="str">
        <f>IFERROR(_xlfn.XLOOKUP(Table6[[#This Row],[Affected WTG]],'Basic Data'!$A:$A,'Basic Data'!$C:$C),"")</f>
        <v>GEDA</v>
      </c>
      <c r="J961" s="471">
        <f>IFERROR(_xlfn.XLOOKUP(Table6[[#This Row],[Affected WTG]],'Basic Data'!$A:$A,'Basic Data'!$E:$E),"")</f>
        <v>3.846153846153845E-2</v>
      </c>
      <c r="K961" s="102">
        <v>6130</v>
      </c>
      <c r="L961" s="35" t="str">
        <f>IFERROR(_xlfn.XLOOKUP(Table6[[#This Row],[Error Code]],'Basic Data'!$AA:$AA,'Basic Data'!$AB:$AB),"Incorrect Error Code")</f>
        <v>Yaw speed high</v>
      </c>
      <c r="M961" s="35" t="s">
        <v>292</v>
      </c>
      <c r="N961" s="475"/>
      <c r="O961" s="476">
        <v>0.42291666666666666</v>
      </c>
      <c r="P961" s="476">
        <v>0.42708333333333331</v>
      </c>
      <c r="Q961" s="477">
        <v>0.42708333333333331</v>
      </c>
      <c r="R961" s="472">
        <f>IF(Table6[[#This Row],[Work Start TimeStamp]]="","",(Table6[[#This Row],[Work Start TimeStamp]]-Table6[[#This Row],[Fault Start TimeStamp]])*24)</f>
        <v>9.9999999999999645E-2</v>
      </c>
      <c r="S961" s="472">
        <f>(Table6[[#This Row],[Fault Clearance time]]-Table6[[#This Row],[Work Start TimeStamp]])*24</f>
        <v>0</v>
      </c>
      <c r="T961" s="472">
        <f>(Table6[[#This Row],[Fault Clearance time]]-Table6[[#This Row],[Fault Start TimeStamp]])*24</f>
        <v>9.9999999999999645E-2</v>
      </c>
      <c r="U961" s="35" t="s">
        <v>336</v>
      </c>
      <c r="V961" s="102" t="s">
        <v>293</v>
      </c>
      <c r="W961" s="478">
        <f>IFERROR(Table6[[#This Row],[Breakdown Time]]*Table6[[#This Row],[Plant Equivalent Weightage]],"")</f>
        <v>3.8461538461538312E-3</v>
      </c>
      <c r="X961" s="473" t="s">
        <v>294</v>
      </c>
      <c r="Y961" s="474" t="s">
        <v>320</v>
      </c>
      <c r="Z961" s="102">
        <v>53978</v>
      </c>
      <c r="AA961" s="468">
        <f>(Table6[[#This Row],[Paired WTG Generation for loss calculation]]/24)*Table6[[#This Row],[Breakdown Time]]</f>
        <v>224.90833333333254</v>
      </c>
      <c r="AB961" s="102"/>
      <c r="AC961" s="35"/>
      <c r="AD961" s="35"/>
    </row>
    <row r="962" spans="1:30">
      <c r="A962" s="102">
        <f t="shared" si="15"/>
        <v>961</v>
      </c>
      <c r="B962" s="468">
        <f>YEAR(Table6[[#This Row],[Date]])+IF(MONTH(Table6[[#This Row],[Date]])&gt;=4,1,0)</f>
        <v>2026</v>
      </c>
      <c r="C962" s="102">
        <f>YEAR(Table6[[#This Row],[Date]])</f>
        <v>2025</v>
      </c>
      <c r="D962" s="102" t="s">
        <v>1992</v>
      </c>
      <c r="E962" s="469">
        <f>Table6[[#This Row],[Date]]-DAY(Table6[[#This Row],[Date]])+1</f>
        <v>45778</v>
      </c>
      <c r="F962" s="470">
        <v>45807</v>
      </c>
      <c r="G962" s="35" t="s">
        <v>98</v>
      </c>
      <c r="H962" s="35" t="str">
        <f>IFERROR(_xlfn.XLOOKUP(Table6[[#This Row],[Affected WTG]],'Basic Data'!$A:$A,'Basic Data'!$B:$B),"")</f>
        <v>TQGXIIPL</v>
      </c>
      <c r="I962" s="35" t="str">
        <f>IFERROR(_xlfn.XLOOKUP(Table6[[#This Row],[Affected WTG]],'Basic Data'!$A:$A,'Basic Data'!$C:$C),"")</f>
        <v>GEDA</v>
      </c>
      <c r="J962" s="471">
        <f>IFERROR(_xlfn.XLOOKUP(Table6[[#This Row],[Affected WTG]],'Basic Data'!$A:$A,'Basic Data'!$E:$E),"")</f>
        <v>3.846153846153845E-2</v>
      </c>
      <c r="K962" s="102">
        <v>1700</v>
      </c>
      <c r="L962" s="35" t="str">
        <f>IFERROR(_xlfn.XLOOKUP(Table6[[#This Row],[Error Code]],'Basic Data'!$AA:$AA,'Basic Data'!$AB:$AB),"Incorrect Error Code")</f>
        <v>High temp. gear bearing 1</v>
      </c>
      <c r="M962" s="35" t="s">
        <v>291</v>
      </c>
      <c r="N962" s="475"/>
      <c r="O962" s="476">
        <v>0.72569444444444442</v>
      </c>
      <c r="P962" s="476">
        <v>0.73333333333333328</v>
      </c>
      <c r="Q962" s="477">
        <v>0.73333333333333328</v>
      </c>
      <c r="R962" s="472">
        <f>IF(Table6[[#This Row],[Work Start TimeStamp]]="","",(Table6[[#This Row],[Work Start TimeStamp]]-Table6[[#This Row],[Fault Start TimeStamp]])*24)</f>
        <v>0.18333333333333268</v>
      </c>
      <c r="S962" s="472">
        <f>(Table6[[#This Row],[Fault Clearance time]]-Table6[[#This Row],[Work Start TimeStamp]])*24</f>
        <v>0</v>
      </c>
      <c r="T962" s="472">
        <f>(Table6[[#This Row],[Fault Clearance time]]-Table6[[#This Row],[Fault Start TimeStamp]])*24</f>
        <v>0.18333333333333268</v>
      </c>
      <c r="U962" s="35" t="s">
        <v>1926</v>
      </c>
      <c r="V962" s="102" t="s">
        <v>293</v>
      </c>
      <c r="W962" s="478">
        <f>IFERROR(Table6[[#This Row],[Breakdown Time]]*Table6[[#This Row],[Plant Equivalent Weightage]],"")</f>
        <v>7.0512820512820245E-3</v>
      </c>
      <c r="X962" s="473" t="s">
        <v>290</v>
      </c>
      <c r="Y962" s="474" t="s">
        <v>315</v>
      </c>
      <c r="Z962" s="102">
        <v>54422</v>
      </c>
      <c r="AA962" s="468">
        <f>(Table6[[#This Row],[Paired WTG Generation for loss calculation]]/24)*Table6[[#This Row],[Breakdown Time]]</f>
        <v>415.72361111110968</v>
      </c>
      <c r="AB962" s="102"/>
      <c r="AC962" s="35"/>
      <c r="AD962" s="35"/>
    </row>
    <row r="963" spans="1:30">
      <c r="A963" s="102">
        <f t="shared" si="15"/>
        <v>962</v>
      </c>
      <c r="B963" s="468">
        <f>YEAR(Table6[[#This Row],[Date]])+IF(MONTH(Table6[[#This Row],[Date]])&gt;=4,1,0)</f>
        <v>2026</v>
      </c>
      <c r="C963" s="102">
        <f>YEAR(Table6[[#This Row],[Date]])</f>
        <v>2025</v>
      </c>
      <c r="D963" s="102" t="s">
        <v>1992</v>
      </c>
      <c r="E963" s="469">
        <f>Table6[[#This Row],[Date]]-DAY(Table6[[#This Row],[Date]])+1</f>
        <v>45778</v>
      </c>
      <c r="F963" s="470">
        <v>45807</v>
      </c>
      <c r="G963" s="35" t="s">
        <v>99</v>
      </c>
      <c r="H963" s="35" t="str">
        <f>IFERROR(_xlfn.XLOOKUP(Table6[[#This Row],[Affected WTG]],'Basic Data'!$A:$A,'Basic Data'!$B:$B),"")</f>
        <v>TQGXIIPL</v>
      </c>
      <c r="I963" s="35" t="str">
        <f>IFERROR(_xlfn.XLOOKUP(Table6[[#This Row],[Affected WTG]],'Basic Data'!$A:$A,'Basic Data'!$C:$C),"")</f>
        <v>GEDA</v>
      </c>
      <c r="J963" s="471">
        <f>IFERROR(_xlfn.XLOOKUP(Table6[[#This Row],[Affected WTG]],'Basic Data'!$A:$A,'Basic Data'!$E:$E),"")</f>
        <v>3.846153846153845E-2</v>
      </c>
      <c r="K963" s="102">
        <v>6130</v>
      </c>
      <c r="L963" s="35" t="str">
        <f>IFERROR(_xlfn.XLOOKUP(Table6[[#This Row],[Error Code]],'Basic Data'!$AA:$AA,'Basic Data'!$AB:$AB),"Incorrect Error Code")</f>
        <v>Yaw speed high</v>
      </c>
      <c r="M963" s="35" t="s">
        <v>292</v>
      </c>
      <c r="N963" s="475"/>
      <c r="O963" s="476">
        <v>0.51111111111111107</v>
      </c>
      <c r="P963" s="476">
        <v>0.51527777777777772</v>
      </c>
      <c r="Q963" s="477">
        <v>0.51527777777777772</v>
      </c>
      <c r="R963" s="472">
        <f>IF(Table6[[#This Row],[Work Start TimeStamp]]="","",(Table6[[#This Row],[Work Start TimeStamp]]-Table6[[#This Row],[Fault Start TimeStamp]])*24)</f>
        <v>9.9999999999999645E-2</v>
      </c>
      <c r="S963" s="472">
        <f>(Table6[[#This Row],[Fault Clearance time]]-Table6[[#This Row],[Work Start TimeStamp]])*24</f>
        <v>0</v>
      </c>
      <c r="T963" s="472">
        <f>(Table6[[#This Row],[Fault Clearance time]]-Table6[[#This Row],[Fault Start TimeStamp]])*24</f>
        <v>9.9999999999999645E-2</v>
      </c>
      <c r="U963" s="35" t="s">
        <v>336</v>
      </c>
      <c r="V963" s="102" t="s">
        <v>293</v>
      </c>
      <c r="W963" s="478">
        <f>IFERROR(Table6[[#This Row],[Breakdown Time]]*Table6[[#This Row],[Plant Equivalent Weightage]],"")</f>
        <v>3.8461538461538312E-3</v>
      </c>
      <c r="X963" s="473" t="s">
        <v>294</v>
      </c>
      <c r="Y963" s="474" t="s">
        <v>315</v>
      </c>
      <c r="Z963" s="102">
        <v>54422</v>
      </c>
      <c r="AA963" s="468">
        <f>(Table6[[#This Row],[Paired WTG Generation for loss calculation]]/24)*Table6[[#This Row],[Breakdown Time]]</f>
        <v>226.75833333333253</v>
      </c>
      <c r="AB963" s="102"/>
      <c r="AC963" s="35"/>
      <c r="AD963" s="35"/>
    </row>
    <row r="964" spans="1:30">
      <c r="A964" s="102">
        <f t="shared" si="15"/>
        <v>963</v>
      </c>
      <c r="B964" s="468">
        <f>YEAR(Table6[[#This Row],[Date]])+IF(MONTH(Table6[[#This Row],[Date]])&gt;=4,1,0)</f>
        <v>2026</v>
      </c>
      <c r="C964" s="102">
        <f>YEAR(Table6[[#This Row],[Date]])</f>
        <v>2025</v>
      </c>
      <c r="D964" s="102" t="s">
        <v>1992</v>
      </c>
      <c r="E964" s="469">
        <f>Table6[[#This Row],[Date]]-DAY(Table6[[#This Row],[Date]])+1</f>
        <v>45778</v>
      </c>
      <c r="F964" s="470">
        <v>45808</v>
      </c>
      <c r="G964" s="35" t="s">
        <v>74</v>
      </c>
      <c r="H964" s="35" t="str">
        <f>IFERROR(_xlfn.XLOOKUP(Table6[[#This Row],[Affected WTG]],'Basic Data'!$A:$A,'Basic Data'!$B:$B),"")</f>
        <v>TQGXIIPL</v>
      </c>
      <c r="I964" s="35" t="str">
        <f>IFERROR(_xlfn.XLOOKUP(Table6[[#This Row],[Affected WTG]],'Basic Data'!$A:$A,'Basic Data'!$C:$C),"")</f>
        <v>GEDA</v>
      </c>
      <c r="J964" s="471">
        <f>IFERROR(_xlfn.XLOOKUP(Table6[[#This Row],[Affected WTG]],'Basic Data'!$A:$A,'Basic Data'!$E:$E),"")</f>
        <v>3.846153846153845E-2</v>
      </c>
      <c r="K964" s="102">
        <v>6130</v>
      </c>
      <c r="L964" s="35" t="str">
        <f>IFERROR(_xlfn.XLOOKUP(Table6[[#This Row],[Error Code]],'Basic Data'!$AA:$AA,'Basic Data'!$AB:$AB),"Incorrect Error Code")</f>
        <v>Yaw speed high</v>
      </c>
      <c r="M964" s="35" t="s">
        <v>291</v>
      </c>
      <c r="N964" s="475"/>
      <c r="O964" s="476">
        <v>0.55277777777777781</v>
      </c>
      <c r="P964" s="476">
        <v>0.58819444444444446</v>
      </c>
      <c r="Q964" s="477">
        <v>0.58819444444444446</v>
      </c>
      <c r="R964" s="472">
        <f>IF(Table6[[#This Row],[Work Start TimeStamp]]="","",(Table6[[#This Row],[Work Start TimeStamp]]-Table6[[#This Row],[Fault Start TimeStamp]])*24)</f>
        <v>0.84999999999999964</v>
      </c>
      <c r="S964" s="472">
        <f>(Table6[[#This Row],[Fault Clearance time]]-Table6[[#This Row],[Work Start TimeStamp]])*24</f>
        <v>0</v>
      </c>
      <c r="T964" s="472">
        <f>(Table6[[#This Row],[Fault Clearance time]]-Table6[[#This Row],[Fault Start TimeStamp]])*24</f>
        <v>0.84999999999999964</v>
      </c>
      <c r="U964" s="35" t="s">
        <v>1927</v>
      </c>
      <c r="V964" s="102" t="s">
        <v>293</v>
      </c>
      <c r="W964" s="478">
        <f>IFERROR(Table6[[#This Row],[Breakdown Time]]*Table6[[#This Row],[Plant Equivalent Weightage]],"")</f>
        <v>3.2692307692307666E-2</v>
      </c>
      <c r="X964" s="473" t="s">
        <v>290</v>
      </c>
      <c r="Y964" s="474" t="s">
        <v>321</v>
      </c>
      <c r="Z964" s="102">
        <v>51268</v>
      </c>
      <c r="AA964" s="468">
        <f>(Table6[[#This Row],[Paired WTG Generation for loss calculation]]/24)*Table6[[#This Row],[Breakdown Time]]</f>
        <v>1815.7416666666659</v>
      </c>
      <c r="AB964" s="102"/>
      <c r="AC964" s="35"/>
      <c r="AD964" s="35"/>
    </row>
    <row r="965" spans="1:30">
      <c r="A965" s="102">
        <f t="shared" si="15"/>
        <v>964</v>
      </c>
      <c r="B965" s="468">
        <f>YEAR(Table6[[#This Row],[Date]])+IF(MONTH(Table6[[#This Row],[Date]])&gt;=4,1,0)</f>
        <v>2026</v>
      </c>
      <c r="C965" s="102">
        <f>YEAR(Table6[[#This Row],[Date]])</f>
        <v>2025</v>
      </c>
      <c r="D965" s="102" t="s">
        <v>1992</v>
      </c>
      <c r="E965" s="469">
        <f>Table6[[#This Row],[Date]]-DAY(Table6[[#This Row],[Date]])+1</f>
        <v>45778</v>
      </c>
      <c r="F965" s="470">
        <v>45808</v>
      </c>
      <c r="G965" s="35" t="s">
        <v>74</v>
      </c>
      <c r="H965" s="35" t="str">
        <f>IFERROR(_xlfn.XLOOKUP(Table6[[#This Row],[Affected WTG]],'Basic Data'!$A:$A,'Basic Data'!$B:$B),"")</f>
        <v>TQGXIIPL</v>
      </c>
      <c r="I965" s="35" t="str">
        <f>IFERROR(_xlfn.XLOOKUP(Table6[[#This Row],[Affected WTG]],'Basic Data'!$A:$A,'Basic Data'!$C:$C),"")</f>
        <v>GEDA</v>
      </c>
      <c r="J965" s="471">
        <f>IFERROR(_xlfn.XLOOKUP(Table6[[#This Row],[Affected WTG]],'Basic Data'!$A:$A,'Basic Data'!$E:$E),"")</f>
        <v>3.846153846153845E-2</v>
      </c>
      <c r="K965" s="102">
        <v>6130</v>
      </c>
      <c r="L965" s="35" t="str">
        <f>IFERROR(_xlfn.XLOOKUP(Table6[[#This Row],[Error Code]],'Basic Data'!$AA:$AA,'Basic Data'!$AB:$AB),"Incorrect Error Code")</f>
        <v>Yaw speed high</v>
      </c>
      <c r="M965" s="35" t="s">
        <v>292</v>
      </c>
      <c r="N965" s="475"/>
      <c r="O965" s="476">
        <v>0.63263888888888886</v>
      </c>
      <c r="P965" s="476">
        <v>0.63680555555555551</v>
      </c>
      <c r="Q965" s="477">
        <v>0.63680555555555551</v>
      </c>
      <c r="R965" s="472">
        <f>IF(Table6[[#This Row],[Work Start TimeStamp]]="","",(Table6[[#This Row],[Work Start TimeStamp]]-Table6[[#This Row],[Fault Start TimeStamp]])*24)</f>
        <v>9.9999999999999645E-2</v>
      </c>
      <c r="S965" s="472">
        <f>(Table6[[#This Row],[Fault Clearance time]]-Table6[[#This Row],[Work Start TimeStamp]])*24</f>
        <v>0</v>
      </c>
      <c r="T965" s="472">
        <f>(Table6[[#This Row],[Fault Clearance time]]-Table6[[#This Row],[Fault Start TimeStamp]])*24</f>
        <v>9.9999999999999645E-2</v>
      </c>
      <c r="U965" s="35" t="s">
        <v>336</v>
      </c>
      <c r="V965" s="102" t="s">
        <v>293</v>
      </c>
      <c r="W965" s="478">
        <f>IFERROR(Table6[[#This Row],[Breakdown Time]]*Table6[[#This Row],[Plant Equivalent Weightage]],"")</f>
        <v>3.8461538461538312E-3</v>
      </c>
      <c r="X965" s="473" t="s">
        <v>294</v>
      </c>
      <c r="Y965" s="474" t="s">
        <v>321</v>
      </c>
      <c r="Z965" s="102">
        <v>51268</v>
      </c>
      <c r="AA965" s="468">
        <f>(Table6[[#This Row],[Paired WTG Generation for loss calculation]]/24)*Table6[[#This Row],[Breakdown Time]]</f>
        <v>213.61666666666588</v>
      </c>
      <c r="AB965" s="102"/>
      <c r="AC965" s="35"/>
      <c r="AD965" s="35"/>
    </row>
    <row r="966" spans="1:30">
      <c r="A966" s="102">
        <f t="shared" si="15"/>
        <v>965</v>
      </c>
      <c r="B966" s="468">
        <f>YEAR(Table6[[#This Row],[Date]])+IF(MONTH(Table6[[#This Row],[Date]])&gt;=4,1,0)</f>
        <v>2026</v>
      </c>
      <c r="C966" s="102">
        <f>YEAR(Table6[[#This Row],[Date]])</f>
        <v>2025</v>
      </c>
      <c r="D966" s="102" t="s">
        <v>1992</v>
      </c>
      <c r="E966" s="469">
        <f>Table6[[#This Row],[Date]]-DAY(Table6[[#This Row],[Date]])+1</f>
        <v>45778</v>
      </c>
      <c r="F966" s="470">
        <v>45808</v>
      </c>
      <c r="G966" s="35" t="s">
        <v>77</v>
      </c>
      <c r="H966" s="35" t="str">
        <f>IFERROR(_xlfn.XLOOKUP(Table6[[#This Row],[Affected WTG]],'Basic Data'!$A:$A,'Basic Data'!$B:$B),"")</f>
        <v>TQGXIIPL</v>
      </c>
      <c r="I966" s="35" t="str">
        <f>IFERROR(_xlfn.XLOOKUP(Table6[[#This Row],[Affected WTG]],'Basic Data'!$A:$A,'Basic Data'!$C:$C),"")</f>
        <v>GEDA</v>
      </c>
      <c r="J966" s="471">
        <f>IFERROR(_xlfn.XLOOKUP(Table6[[#This Row],[Affected WTG]],'Basic Data'!$A:$A,'Basic Data'!$E:$E),"")</f>
        <v>3.846153846153845E-2</v>
      </c>
      <c r="K966" s="102">
        <v>6130</v>
      </c>
      <c r="L966" s="35" t="str">
        <f>IFERROR(_xlfn.XLOOKUP(Table6[[#This Row],[Error Code]],'Basic Data'!$AA:$AA,'Basic Data'!$AB:$AB),"Incorrect Error Code")</f>
        <v>Yaw speed high</v>
      </c>
      <c r="M966" s="35" t="s">
        <v>292</v>
      </c>
      <c r="N966" s="475"/>
      <c r="O966" s="476">
        <v>0.29583333333333334</v>
      </c>
      <c r="P966" s="476">
        <v>0.2986111111111111</v>
      </c>
      <c r="Q966" s="477">
        <v>0.2986111111111111</v>
      </c>
      <c r="R966" s="472">
        <f>IF(Table6[[#This Row],[Work Start TimeStamp]]="","",(Table6[[#This Row],[Work Start TimeStamp]]-Table6[[#This Row],[Fault Start TimeStamp]])*24)</f>
        <v>6.666666666666643E-2</v>
      </c>
      <c r="S966" s="472">
        <f>(Table6[[#This Row],[Fault Clearance time]]-Table6[[#This Row],[Work Start TimeStamp]])*24</f>
        <v>0</v>
      </c>
      <c r="T966" s="472">
        <f>(Table6[[#This Row],[Fault Clearance time]]-Table6[[#This Row],[Fault Start TimeStamp]])*24</f>
        <v>6.666666666666643E-2</v>
      </c>
      <c r="U966" s="35" t="s">
        <v>336</v>
      </c>
      <c r="V966" s="102" t="s">
        <v>293</v>
      </c>
      <c r="W966" s="478">
        <f>IFERROR(Table6[[#This Row],[Breakdown Time]]*Table6[[#This Row],[Plant Equivalent Weightage]],"")</f>
        <v>2.5641025641025541E-3</v>
      </c>
      <c r="X966" s="473" t="s">
        <v>294</v>
      </c>
      <c r="Y966" s="474" t="s">
        <v>310</v>
      </c>
      <c r="Z966" s="102">
        <v>50547</v>
      </c>
      <c r="AA966" s="468">
        <f>(Table6[[#This Row],[Paired WTG Generation for loss calculation]]/24)*Table6[[#This Row],[Breakdown Time]]</f>
        <v>140.40833333333285</v>
      </c>
      <c r="AB966" s="102"/>
      <c r="AC966" s="35"/>
      <c r="AD966" s="35"/>
    </row>
    <row r="967" spans="1:30">
      <c r="A967" s="102">
        <f t="shared" si="15"/>
        <v>966</v>
      </c>
      <c r="B967" s="468">
        <f>YEAR(Table6[[#This Row],[Date]])+IF(MONTH(Table6[[#This Row],[Date]])&gt;=4,1,0)</f>
        <v>2026</v>
      </c>
      <c r="C967" s="102">
        <f>YEAR(Table6[[#This Row],[Date]])</f>
        <v>2025</v>
      </c>
      <c r="D967" s="102" t="s">
        <v>1992</v>
      </c>
      <c r="E967" s="469">
        <f>Table6[[#This Row],[Date]]-DAY(Table6[[#This Row],[Date]])+1</f>
        <v>45778</v>
      </c>
      <c r="F967" s="470">
        <v>45808</v>
      </c>
      <c r="G967" s="35" t="s">
        <v>77</v>
      </c>
      <c r="H967" s="35" t="str">
        <f>IFERROR(_xlfn.XLOOKUP(Table6[[#This Row],[Affected WTG]],'Basic Data'!$A:$A,'Basic Data'!$B:$B),"")</f>
        <v>TQGXIIPL</v>
      </c>
      <c r="I967" s="35" t="str">
        <f>IFERROR(_xlfn.XLOOKUP(Table6[[#This Row],[Affected WTG]],'Basic Data'!$A:$A,'Basic Data'!$C:$C),"")</f>
        <v>GEDA</v>
      </c>
      <c r="J967" s="471">
        <f>IFERROR(_xlfn.XLOOKUP(Table6[[#This Row],[Affected WTG]],'Basic Data'!$A:$A,'Basic Data'!$E:$E),"")</f>
        <v>3.846153846153845E-2</v>
      </c>
      <c r="K967" s="102">
        <v>6130</v>
      </c>
      <c r="L967" s="35" t="str">
        <f>IFERROR(_xlfn.XLOOKUP(Table6[[#This Row],[Error Code]],'Basic Data'!$AA:$AA,'Basic Data'!$AB:$AB),"Incorrect Error Code")</f>
        <v>Yaw speed high</v>
      </c>
      <c r="M967" s="35" t="s">
        <v>291</v>
      </c>
      <c r="N967" s="475"/>
      <c r="O967" s="476">
        <v>0.5229166666666667</v>
      </c>
      <c r="P967" s="476">
        <v>0.54374999999999996</v>
      </c>
      <c r="Q967" s="477">
        <v>0.54374999999999996</v>
      </c>
      <c r="R967" s="472">
        <f>IF(Table6[[#This Row],[Work Start TimeStamp]]="","",(Table6[[#This Row],[Work Start TimeStamp]]-Table6[[#This Row],[Fault Start TimeStamp]])*24)</f>
        <v>0.49999999999999822</v>
      </c>
      <c r="S967" s="472">
        <f>(Table6[[#This Row],[Fault Clearance time]]-Table6[[#This Row],[Work Start TimeStamp]])*24</f>
        <v>0</v>
      </c>
      <c r="T967" s="472">
        <f>(Table6[[#This Row],[Fault Clearance time]]-Table6[[#This Row],[Fault Start TimeStamp]])*24</f>
        <v>0.49999999999999822</v>
      </c>
      <c r="U967" s="35" t="s">
        <v>1928</v>
      </c>
      <c r="V967" s="102" t="s">
        <v>293</v>
      </c>
      <c r="W967" s="478">
        <f>IFERROR(Table6[[#This Row],[Breakdown Time]]*Table6[[#This Row],[Plant Equivalent Weightage]],"")</f>
        <v>1.9230769230769156E-2</v>
      </c>
      <c r="X967" s="473" t="s">
        <v>290</v>
      </c>
      <c r="Y967" s="474" t="s">
        <v>310</v>
      </c>
      <c r="Z967" s="102">
        <v>50547</v>
      </c>
      <c r="AA967" s="468">
        <f>(Table6[[#This Row],[Paired WTG Generation for loss calculation]]/24)*Table6[[#This Row],[Breakdown Time]]</f>
        <v>1053.0624999999964</v>
      </c>
      <c r="AB967" s="102"/>
      <c r="AC967" s="35"/>
      <c r="AD967" s="35"/>
    </row>
    <row r="968" spans="1:30">
      <c r="A968" s="102">
        <f t="shared" si="15"/>
        <v>967</v>
      </c>
      <c r="B968" s="468">
        <f>YEAR(Table6[[#This Row],[Date]])+IF(MONTH(Table6[[#This Row],[Date]])&gt;=4,1,0)</f>
        <v>2026</v>
      </c>
      <c r="C968" s="102">
        <f>YEAR(Table6[[#This Row],[Date]])</f>
        <v>2025</v>
      </c>
      <c r="D968" s="102" t="s">
        <v>1992</v>
      </c>
      <c r="E968" s="469">
        <f>Table6[[#This Row],[Date]]-DAY(Table6[[#This Row],[Date]])+1</f>
        <v>45778</v>
      </c>
      <c r="F968" s="470">
        <v>45808</v>
      </c>
      <c r="G968" s="35" t="s">
        <v>77</v>
      </c>
      <c r="H968" s="35" t="str">
        <f>IFERROR(_xlfn.XLOOKUP(Table6[[#This Row],[Affected WTG]],'Basic Data'!$A:$A,'Basic Data'!$B:$B),"")</f>
        <v>TQGXIIPL</v>
      </c>
      <c r="I968" s="35" t="str">
        <f>IFERROR(_xlfn.XLOOKUP(Table6[[#This Row],[Affected WTG]],'Basic Data'!$A:$A,'Basic Data'!$C:$C),"")</f>
        <v>GEDA</v>
      </c>
      <c r="J968" s="471">
        <f>IFERROR(_xlfn.XLOOKUP(Table6[[#This Row],[Affected WTG]],'Basic Data'!$A:$A,'Basic Data'!$E:$E),"")</f>
        <v>3.846153846153845E-2</v>
      </c>
      <c r="K968" s="102">
        <v>6130</v>
      </c>
      <c r="L968" s="35" t="str">
        <f>IFERROR(_xlfn.XLOOKUP(Table6[[#This Row],[Error Code]],'Basic Data'!$AA:$AA,'Basic Data'!$AB:$AB),"Incorrect Error Code")</f>
        <v>Yaw speed high</v>
      </c>
      <c r="M968" s="35" t="s">
        <v>292</v>
      </c>
      <c r="N968" s="475"/>
      <c r="O968" s="476">
        <v>0.60972222222222228</v>
      </c>
      <c r="P968" s="476">
        <v>0.61388888888888893</v>
      </c>
      <c r="Q968" s="477">
        <v>0.61388888888888893</v>
      </c>
      <c r="R968" s="472">
        <f>IF(Table6[[#This Row],[Work Start TimeStamp]]="","",(Table6[[#This Row],[Work Start TimeStamp]]-Table6[[#This Row],[Fault Start TimeStamp]])*24)</f>
        <v>9.9999999999999645E-2</v>
      </c>
      <c r="S968" s="472">
        <f>(Table6[[#This Row],[Fault Clearance time]]-Table6[[#This Row],[Work Start TimeStamp]])*24</f>
        <v>0</v>
      </c>
      <c r="T968" s="472">
        <f>(Table6[[#This Row],[Fault Clearance time]]-Table6[[#This Row],[Fault Start TimeStamp]])*24</f>
        <v>9.9999999999999645E-2</v>
      </c>
      <c r="U968" s="35" t="s">
        <v>336</v>
      </c>
      <c r="V968" s="102" t="s">
        <v>293</v>
      </c>
      <c r="W968" s="478">
        <f>IFERROR(Table6[[#This Row],[Breakdown Time]]*Table6[[#This Row],[Plant Equivalent Weightage]],"")</f>
        <v>3.8461538461538312E-3</v>
      </c>
      <c r="X968" s="473" t="s">
        <v>294</v>
      </c>
      <c r="Y968" s="474" t="s">
        <v>310</v>
      </c>
      <c r="Z968" s="102">
        <v>50547</v>
      </c>
      <c r="AA968" s="468">
        <f>(Table6[[#This Row],[Paired WTG Generation for loss calculation]]/24)*Table6[[#This Row],[Breakdown Time]]</f>
        <v>210.61249999999924</v>
      </c>
      <c r="AB968" s="102"/>
      <c r="AC968" s="35"/>
      <c r="AD968" s="35"/>
    </row>
    <row r="969" spans="1:30">
      <c r="A969" s="102">
        <f t="shared" si="15"/>
        <v>968</v>
      </c>
      <c r="B969" s="468">
        <f>YEAR(Table6[[#This Row],[Date]])+IF(MONTH(Table6[[#This Row],[Date]])&gt;=4,1,0)</f>
        <v>2026</v>
      </c>
      <c r="C969" s="102">
        <f>YEAR(Table6[[#This Row],[Date]])</f>
        <v>2025</v>
      </c>
      <c r="D969" s="102" t="s">
        <v>1992</v>
      </c>
      <c r="E969" s="469">
        <f>Table6[[#This Row],[Date]]-DAY(Table6[[#This Row],[Date]])+1</f>
        <v>45778</v>
      </c>
      <c r="F969" s="470">
        <v>45808</v>
      </c>
      <c r="G969" s="35" t="s">
        <v>77</v>
      </c>
      <c r="H969" s="35" t="str">
        <f>IFERROR(_xlfn.XLOOKUP(Table6[[#This Row],[Affected WTG]],'Basic Data'!$A:$A,'Basic Data'!$B:$B),"")</f>
        <v>TQGXIIPL</v>
      </c>
      <c r="I969" s="35" t="str">
        <f>IFERROR(_xlfn.XLOOKUP(Table6[[#This Row],[Affected WTG]],'Basic Data'!$A:$A,'Basic Data'!$C:$C),"")</f>
        <v>GEDA</v>
      </c>
      <c r="J969" s="471">
        <f>IFERROR(_xlfn.XLOOKUP(Table6[[#This Row],[Affected WTG]],'Basic Data'!$A:$A,'Basic Data'!$E:$E),"")</f>
        <v>3.846153846153845E-2</v>
      </c>
      <c r="K969" s="102">
        <v>3420</v>
      </c>
      <c r="L969" s="35" t="str">
        <f>IFERROR(_xlfn.XLOOKUP(Table6[[#This Row],[Error Code]],'Basic Data'!$AA:$AA,'Basic Data'!$AB:$AB),"Incorrect Error Code")</f>
        <v>UPS buffer time too short</v>
      </c>
      <c r="M969" s="35" t="s">
        <v>298</v>
      </c>
      <c r="N969" s="475"/>
      <c r="O969" s="476">
        <v>0.66736111111111107</v>
      </c>
      <c r="P969" s="476">
        <v>0.71319444444444446</v>
      </c>
      <c r="Q969" s="477">
        <v>0.71319444444444446</v>
      </c>
      <c r="R969" s="472">
        <f>IF(Table6[[#This Row],[Work Start TimeStamp]]="","",(Table6[[#This Row],[Work Start TimeStamp]]-Table6[[#This Row],[Fault Start TimeStamp]])*24)</f>
        <v>1.1000000000000014</v>
      </c>
      <c r="S969" s="472">
        <f>(Table6[[#This Row],[Fault Clearance time]]-Table6[[#This Row],[Work Start TimeStamp]])*24</f>
        <v>0</v>
      </c>
      <c r="T969" s="472">
        <f>(Table6[[#This Row],[Fault Clearance time]]-Table6[[#This Row],[Fault Start TimeStamp]])*24</f>
        <v>1.1000000000000014</v>
      </c>
      <c r="U969" s="35" t="s">
        <v>1929</v>
      </c>
      <c r="V969" s="102" t="s">
        <v>293</v>
      </c>
      <c r="W969" s="478">
        <f>IFERROR(Table6[[#This Row],[Breakdown Time]]*Table6[[#This Row],[Plant Equivalent Weightage]],"")</f>
        <v>4.2307692307692352E-2</v>
      </c>
      <c r="X969" s="473" t="s">
        <v>290</v>
      </c>
      <c r="Y969" s="474" t="s">
        <v>310</v>
      </c>
      <c r="Z969" s="102">
        <v>50547</v>
      </c>
      <c r="AA969" s="468">
        <f>(Table6[[#This Row],[Paired WTG Generation for loss calculation]]/24)*Table6[[#This Row],[Breakdown Time]]</f>
        <v>2316.7375000000029</v>
      </c>
      <c r="AB969" s="102"/>
      <c r="AC969" s="35"/>
      <c r="AD969" s="35"/>
    </row>
    <row r="970" spans="1:30">
      <c r="A970" s="102">
        <f t="shared" si="15"/>
        <v>969</v>
      </c>
      <c r="B970" s="468">
        <f>YEAR(Table6[[#This Row],[Date]])+IF(MONTH(Table6[[#This Row],[Date]])&gt;=4,1,0)</f>
        <v>2026</v>
      </c>
      <c r="C970" s="102">
        <f>YEAR(Table6[[#This Row],[Date]])</f>
        <v>2025</v>
      </c>
      <c r="D970" s="102" t="s">
        <v>1992</v>
      </c>
      <c r="E970" s="469">
        <f>Table6[[#This Row],[Date]]-DAY(Table6[[#This Row],[Date]])+1</f>
        <v>45778</v>
      </c>
      <c r="F970" s="470">
        <v>45808</v>
      </c>
      <c r="G970" s="35" t="s">
        <v>81</v>
      </c>
      <c r="H970" s="35" t="str">
        <f>IFERROR(_xlfn.XLOOKUP(Table6[[#This Row],[Affected WTG]],'Basic Data'!$A:$A,'Basic Data'!$B:$B),"")</f>
        <v>TQGXIIPL</v>
      </c>
      <c r="I970" s="35" t="str">
        <f>IFERROR(_xlfn.XLOOKUP(Table6[[#This Row],[Affected WTG]],'Basic Data'!$A:$A,'Basic Data'!$C:$C),"")</f>
        <v>GEDA</v>
      </c>
      <c r="J970" s="471">
        <f>IFERROR(_xlfn.XLOOKUP(Table6[[#This Row],[Affected WTG]],'Basic Data'!$A:$A,'Basic Data'!$E:$E),"")</f>
        <v>3.846153846153845E-2</v>
      </c>
      <c r="K970" s="102">
        <v>741</v>
      </c>
      <c r="L970" s="35" t="str">
        <f>IFERROR(_xlfn.XLOOKUP(Table6[[#This Row],[Error Code]],'Basic Data'!$AA:$AA,'Basic Data'!$AB:$AB),"Incorrect Error Code")</f>
        <v>Battery drive trigger by HC</v>
      </c>
      <c r="M970" s="35" t="s">
        <v>292</v>
      </c>
      <c r="N970" s="475"/>
      <c r="O970" s="476">
        <v>0.78749999999999998</v>
      </c>
      <c r="P970" s="476">
        <v>0.78888888888888886</v>
      </c>
      <c r="Q970" s="477">
        <v>0.78888888888888886</v>
      </c>
      <c r="R970" s="472">
        <f>IF(Table6[[#This Row],[Work Start TimeStamp]]="","",(Table6[[#This Row],[Work Start TimeStamp]]-Table6[[#This Row],[Fault Start TimeStamp]])*24)</f>
        <v>3.3333333333333215E-2</v>
      </c>
      <c r="S970" s="472">
        <f>(Table6[[#This Row],[Fault Clearance time]]-Table6[[#This Row],[Work Start TimeStamp]])*24</f>
        <v>0</v>
      </c>
      <c r="T970" s="472">
        <f>(Table6[[#This Row],[Fault Clearance time]]-Table6[[#This Row],[Fault Start TimeStamp]])*24</f>
        <v>3.3333333333333215E-2</v>
      </c>
      <c r="U970" s="35" t="s">
        <v>336</v>
      </c>
      <c r="V970" s="102" t="s">
        <v>293</v>
      </c>
      <c r="W970" s="478">
        <f>IFERROR(Table6[[#This Row],[Breakdown Time]]*Table6[[#This Row],[Plant Equivalent Weightage]],"")</f>
        <v>1.2820512820512771E-3</v>
      </c>
      <c r="X970" s="473" t="s">
        <v>294</v>
      </c>
      <c r="Y970" s="474" t="s">
        <v>321</v>
      </c>
      <c r="Z970" s="102">
        <v>51268</v>
      </c>
      <c r="AA970" s="468">
        <f>(Table6[[#This Row],[Paired WTG Generation for loss calculation]]/24)*Table6[[#This Row],[Breakdown Time]]</f>
        <v>71.205555555555293</v>
      </c>
      <c r="AB970" s="102"/>
      <c r="AC970" s="35"/>
      <c r="AD970" s="35"/>
    </row>
    <row r="971" spans="1:30">
      <c r="A971" s="102">
        <f t="shared" si="15"/>
        <v>970</v>
      </c>
      <c r="B971" s="468">
        <f>YEAR(Table6[[#This Row],[Date]])+IF(MONTH(Table6[[#This Row],[Date]])&gt;=4,1,0)</f>
        <v>2026</v>
      </c>
      <c r="C971" s="102">
        <f>YEAR(Table6[[#This Row],[Date]])</f>
        <v>2025</v>
      </c>
      <c r="D971" s="102" t="s">
        <v>1992</v>
      </c>
      <c r="E971" s="469">
        <f>Table6[[#This Row],[Date]]-DAY(Table6[[#This Row],[Date]])+1</f>
        <v>45778</v>
      </c>
      <c r="F971" s="470">
        <v>45808</v>
      </c>
      <c r="G971" s="35" t="s">
        <v>82</v>
      </c>
      <c r="H971" s="35" t="str">
        <f>IFERROR(_xlfn.XLOOKUP(Table6[[#This Row],[Affected WTG]],'Basic Data'!$A:$A,'Basic Data'!$B:$B),"")</f>
        <v>TQGXIIPL</v>
      </c>
      <c r="I971" s="35" t="str">
        <f>IFERROR(_xlfn.XLOOKUP(Table6[[#This Row],[Affected WTG]],'Basic Data'!$A:$A,'Basic Data'!$C:$C),"")</f>
        <v>GEDA</v>
      </c>
      <c r="J971" s="471">
        <f>IFERROR(_xlfn.XLOOKUP(Table6[[#This Row],[Affected WTG]],'Basic Data'!$A:$A,'Basic Data'!$E:$E),"")</f>
        <v>3.846153846153845E-2</v>
      </c>
      <c r="K971" s="102">
        <v>6130</v>
      </c>
      <c r="L971" s="35" t="str">
        <f>IFERROR(_xlfn.XLOOKUP(Table6[[#This Row],[Error Code]],'Basic Data'!$AA:$AA,'Basic Data'!$AB:$AB),"Incorrect Error Code")</f>
        <v>Yaw speed high</v>
      </c>
      <c r="M971" s="35" t="s">
        <v>292</v>
      </c>
      <c r="N971" s="475"/>
      <c r="O971" s="476">
        <v>0.53402777777777777</v>
      </c>
      <c r="P971" s="476">
        <v>0.53819444444444442</v>
      </c>
      <c r="Q971" s="477">
        <v>0.53819444444444442</v>
      </c>
      <c r="R971" s="472">
        <f>IF(Table6[[#This Row],[Work Start TimeStamp]]="","",(Table6[[#This Row],[Work Start TimeStamp]]-Table6[[#This Row],[Fault Start TimeStamp]])*24)</f>
        <v>9.9999999999999645E-2</v>
      </c>
      <c r="S971" s="472">
        <f>(Table6[[#This Row],[Fault Clearance time]]-Table6[[#This Row],[Work Start TimeStamp]])*24</f>
        <v>0</v>
      </c>
      <c r="T971" s="472">
        <f>(Table6[[#This Row],[Fault Clearance time]]-Table6[[#This Row],[Fault Start TimeStamp]])*24</f>
        <v>9.9999999999999645E-2</v>
      </c>
      <c r="U971" s="35" t="s">
        <v>336</v>
      </c>
      <c r="V971" s="102" t="s">
        <v>293</v>
      </c>
      <c r="W971" s="478">
        <f>IFERROR(Table6[[#This Row],[Breakdown Time]]*Table6[[#This Row],[Plant Equivalent Weightage]],"")</f>
        <v>3.8461538461538312E-3</v>
      </c>
      <c r="X971" s="473" t="s">
        <v>294</v>
      </c>
      <c r="Y971" s="474" t="s">
        <v>332</v>
      </c>
      <c r="Z971" s="102">
        <v>55547</v>
      </c>
      <c r="AA971" s="468">
        <f>(Table6[[#This Row],[Paired WTG Generation for loss calculation]]/24)*Table6[[#This Row],[Breakdown Time]]</f>
        <v>231.44583333333253</v>
      </c>
      <c r="AB971" s="102"/>
      <c r="AC971" s="35"/>
      <c r="AD971" s="35"/>
    </row>
    <row r="972" spans="1:30">
      <c r="A972" s="102">
        <f t="shared" si="15"/>
        <v>971</v>
      </c>
      <c r="B972" s="468">
        <f>YEAR(Table6[[#This Row],[Date]])+IF(MONTH(Table6[[#This Row],[Date]])&gt;=4,1,0)</f>
        <v>2026</v>
      </c>
      <c r="C972" s="102">
        <f>YEAR(Table6[[#This Row],[Date]])</f>
        <v>2025</v>
      </c>
      <c r="D972" s="102" t="s">
        <v>1992</v>
      </c>
      <c r="E972" s="469">
        <f>Table6[[#This Row],[Date]]-DAY(Table6[[#This Row],[Date]])+1</f>
        <v>45778</v>
      </c>
      <c r="F972" s="470">
        <v>45808</v>
      </c>
      <c r="G972" s="35" t="s">
        <v>83</v>
      </c>
      <c r="H972" s="35" t="str">
        <f>IFERROR(_xlfn.XLOOKUP(Table6[[#This Row],[Affected WTG]],'Basic Data'!$A:$A,'Basic Data'!$B:$B),"")</f>
        <v>TQGXIIPL</v>
      </c>
      <c r="I972" s="35" t="str">
        <f>IFERROR(_xlfn.XLOOKUP(Table6[[#This Row],[Affected WTG]],'Basic Data'!$A:$A,'Basic Data'!$C:$C),"")</f>
        <v>GEDA</v>
      </c>
      <c r="J972" s="471">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292</v>
      </c>
      <c r="N972" s="475"/>
      <c r="O972" s="476">
        <v>0.70416666666666672</v>
      </c>
      <c r="P972" s="476">
        <v>0.7055555555555556</v>
      </c>
      <c r="Q972" s="477">
        <v>0.7055555555555556</v>
      </c>
      <c r="R972" s="472">
        <f>IF(Table6[[#This Row],[Work Start TimeStamp]]="","",(Table6[[#This Row],[Work Start TimeStamp]]-Table6[[#This Row],[Fault Start TimeStamp]])*24)</f>
        <v>3.3333333333333215E-2</v>
      </c>
      <c r="S972" s="472">
        <f>(Table6[[#This Row],[Fault Clearance time]]-Table6[[#This Row],[Work Start TimeStamp]])*24</f>
        <v>0</v>
      </c>
      <c r="T972" s="472">
        <f>(Table6[[#This Row],[Fault Clearance time]]-Table6[[#This Row],[Fault Start TimeStamp]])*24</f>
        <v>3.3333333333333215E-2</v>
      </c>
      <c r="U972" s="35" t="s">
        <v>336</v>
      </c>
      <c r="V972" s="102" t="s">
        <v>293</v>
      </c>
      <c r="W972" s="478">
        <f>IFERROR(Table6[[#This Row],[Breakdown Time]]*Table6[[#This Row],[Plant Equivalent Weightage]],"")</f>
        <v>1.2820512820512771E-3</v>
      </c>
      <c r="X972" s="473" t="s">
        <v>294</v>
      </c>
      <c r="Y972" s="474" t="s">
        <v>312</v>
      </c>
      <c r="Z972" s="102">
        <v>52780</v>
      </c>
      <c r="AA972" s="468">
        <f>(Table6[[#This Row],[Paired WTG Generation for loss calculation]]/24)*Table6[[#This Row],[Breakdown Time]]</f>
        <v>73.305555555555287</v>
      </c>
      <c r="AB972" s="102"/>
      <c r="AC972" s="35"/>
      <c r="AD972" s="35"/>
    </row>
    <row r="973" spans="1:30">
      <c r="A973" s="102">
        <f t="shared" si="15"/>
        <v>972</v>
      </c>
      <c r="B973" s="468">
        <f>YEAR(Table6[[#This Row],[Date]])+IF(MONTH(Table6[[#This Row],[Date]])&gt;=4,1,0)</f>
        <v>2026</v>
      </c>
      <c r="C973" s="102">
        <f>YEAR(Table6[[#This Row],[Date]])</f>
        <v>2025</v>
      </c>
      <c r="D973" s="102" t="s">
        <v>1992</v>
      </c>
      <c r="E973" s="469">
        <f>Table6[[#This Row],[Date]]-DAY(Table6[[#This Row],[Date]])+1</f>
        <v>45778</v>
      </c>
      <c r="F973" s="470">
        <v>45808</v>
      </c>
      <c r="G973" s="35" t="s">
        <v>83</v>
      </c>
      <c r="H973" s="35" t="str">
        <f>IFERROR(_xlfn.XLOOKUP(Table6[[#This Row],[Affected WTG]],'Basic Data'!$A:$A,'Basic Data'!$B:$B),"")</f>
        <v>TQGXIIPL</v>
      </c>
      <c r="I973" s="35" t="str">
        <f>IFERROR(_xlfn.XLOOKUP(Table6[[#This Row],[Affected WTG]],'Basic Data'!$A:$A,'Basic Data'!$C:$C),"")</f>
        <v>GEDA</v>
      </c>
      <c r="J973" s="471">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292</v>
      </c>
      <c r="N973" s="475"/>
      <c r="O973" s="476">
        <v>0.72569444444444442</v>
      </c>
      <c r="P973" s="476">
        <v>0.7270833333333333</v>
      </c>
      <c r="Q973" s="477">
        <v>0.7270833333333333</v>
      </c>
      <c r="R973" s="472">
        <f>IF(Table6[[#This Row],[Work Start TimeStamp]]="","",(Table6[[#This Row],[Work Start TimeStamp]]-Table6[[#This Row],[Fault Start TimeStamp]])*24)</f>
        <v>3.3333333333333215E-2</v>
      </c>
      <c r="S973" s="472">
        <f>(Table6[[#This Row],[Fault Clearance time]]-Table6[[#This Row],[Work Start TimeStamp]])*24</f>
        <v>0</v>
      </c>
      <c r="T973" s="472">
        <f>(Table6[[#This Row],[Fault Clearance time]]-Table6[[#This Row],[Fault Start TimeStamp]])*24</f>
        <v>3.3333333333333215E-2</v>
      </c>
      <c r="U973" s="35" t="s">
        <v>1930</v>
      </c>
      <c r="V973" s="102" t="s">
        <v>293</v>
      </c>
      <c r="W973" s="478">
        <f>IFERROR(Table6[[#This Row],[Breakdown Time]]*Table6[[#This Row],[Plant Equivalent Weightage]],"")</f>
        <v>1.2820512820512771E-3</v>
      </c>
      <c r="X973" s="473" t="s">
        <v>294</v>
      </c>
      <c r="Y973" s="474" t="s">
        <v>312</v>
      </c>
      <c r="Z973" s="102">
        <v>52780</v>
      </c>
      <c r="AA973" s="468">
        <f>(Table6[[#This Row],[Paired WTG Generation for loss calculation]]/24)*Table6[[#This Row],[Breakdown Time]]</f>
        <v>73.305555555555287</v>
      </c>
      <c r="AB973" s="102"/>
      <c r="AC973" s="35"/>
      <c r="AD973" s="35"/>
    </row>
    <row r="974" spans="1:30">
      <c r="A974" s="102">
        <f t="shared" ref="A974:A1037" si="16">A973+1</f>
        <v>973</v>
      </c>
      <c r="B974" s="468">
        <f>YEAR(Table6[[#This Row],[Date]])+IF(MONTH(Table6[[#This Row],[Date]])&gt;=4,1,0)</f>
        <v>2026</v>
      </c>
      <c r="C974" s="102">
        <f>YEAR(Table6[[#This Row],[Date]])</f>
        <v>2025</v>
      </c>
      <c r="D974" s="102" t="s">
        <v>1992</v>
      </c>
      <c r="E974" s="469">
        <f>Table6[[#This Row],[Date]]-DAY(Table6[[#This Row],[Date]])+1</f>
        <v>45778</v>
      </c>
      <c r="F974" s="470">
        <v>45808</v>
      </c>
      <c r="G974" s="35" t="s">
        <v>83</v>
      </c>
      <c r="H974" s="35" t="str">
        <f>IFERROR(_xlfn.XLOOKUP(Table6[[#This Row],[Affected WTG]],'Basic Data'!$A:$A,'Basic Data'!$B:$B),"")</f>
        <v>TQGXIIPL</v>
      </c>
      <c r="I974" s="35" t="str">
        <f>IFERROR(_xlfn.XLOOKUP(Table6[[#This Row],[Affected WTG]],'Basic Data'!$A:$A,'Basic Data'!$C:$C),"")</f>
        <v>GEDA</v>
      </c>
      <c r="J974" s="471">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291</v>
      </c>
      <c r="N974" s="475"/>
      <c r="O974" s="476">
        <v>0.8256944444444444</v>
      </c>
      <c r="P974" s="476">
        <v>0.82916666666666672</v>
      </c>
      <c r="Q974" s="477">
        <v>0.82916666666666672</v>
      </c>
      <c r="R974" s="472">
        <f>IF(Table6[[#This Row],[Work Start TimeStamp]]="","",(Table6[[#This Row],[Work Start TimeStamp]]-Table6[[#This Row],[Fault Start TimeStamp]])*24)</f>
        <v>8.3333333333335702E-2</v>
      </c>
      <c r="S974" s="472">
        <f>(Table6[[#This Row],[Fault Clearance time]]-Table6[[#This Row],[Work Start TimeStamp]])*24</f>
        <v>0</v>
      </c>
      <c r="T974" s="472">
        <f>(Table6[[#This Row],[Fault Clearance time]]-Table6[[#This Row],[Fault Start TimeStamp]])*24</f>
        <v>8.3333333333335702E-2</v>
      </c>
      <c r="U974" s="35" t="s">
        <v>1926</v>
      </c>
      <c r="V974" s="102" t="s">
        <v>293</v>
      </c>
      <c r="W974" s="478">
        <f>IFERROR(Table6[[#This Row],[Breakdown Time]]*Table6[[#This Row],[Plant Equivalent Weightage]],"")</f>
        <v>3.2051282051282952E-3</v>
      </c>
      <c r="X974" s="473" t="s">
        <v>294</v>
      </c>
      <c r="Y974" s="474" t="s">
        <v>312</v>
      </c>
      <c r="Z974" s="102">
        <v>52780</v>
      </c>
      <c r="AA974" s="468">
        <f>(Table6[[#This Row],[Paired WTG Generation for loss calculation]]/24)*Table6[[#This Row],[Breakdown Time]]</f>
        <v>183.26388888889409</v>
      </c>
      <c r="AB974" s="102"/>
      <c r="AC974" s="35"/>
      <c r="AD974" s="35"/>
    </row>
    <row r="975" spans="1:30">
      <c r="A975" s="102">
        <f t="shared" si="16"/>
        <v>974</v>
      </c>
      <c r="B975" s="468">
        <f>YEAR(Table6[[#This Row],[Date]])+IF(MONTH(Table6[[#This Row],[Date]])&gt;=4,1,0)</f>
        <v>2026</v>
      </c>
      <c r="C975" s="102">
        <f>YEAR(Table6[[#This Row],[Date]])</f>
        <v>2025</v>
      </c>
      <c r="D975" s="102" t="s">
        <v>1992</v>
      </c>
      <c r="E975" s="469">
        <f>Table6[[#This Row],[Date]]-DAY(Table6[[#This Row],[Date]])+1</f>
        <v>45778</v>
      </c>
      <c r="F975" s="470">
        <v>45808</v>
      </c>
      <c r="G975" s="35" t="s">
        <v>86</v>
      </c>
      <c r="H975" s="35" t="str">
        <f>IFERROR(_xlfn.XLOOKUP(Table6[[#This Row],[Affected WTG]],'Basic Data'!$A:$A,'Basic Data'!$B:$B),"")</f>
        <v>TQGXIIPL</v>
      </c>
      <c r="I975" s="35" t="str">
        <f>IFERROR(_xlfn.XLOOKUP(Table6[[#This Row],[Affected WTG]],'Basic Data'!$A:$A,'Basic Data'!$C:$C),"")</f>
        <v>GEDA</v>
      </c>
      <c r="J975" s="471">
        <f>IFERROR(_xlfn.XLOOKUP(Table6[[#This Row],[Affected WTG]],'Basic Data'!$A:$A,'Basic Data'!$E:$E),"")</f>
        <v>3.846153846153845E-2</v>
      </c>
      <c r="K975" s="102">
        <v>6130</v>
      </c>
      <c r="L975" s="35" t="str">
        <f>IFERROR(_xlfn.XLOOKUP(Table6[[#This Row],[Error Code]],'Basic Data'!$AA:$AA,'Basic Data'!$AB:$AB),"Incorrect Error Code")</f>
        <v>Yaw speed high</v>
      </c>
      <c r="M975" s="35" t="s">
        <v>292</v>
      </c>
      <c r="N975" s="475"/>
      <c r="O975" s="476">
        <v>0.50694444444444442</v>
      </c>
      <c r="P975" s="476">
        <v>0.51111111111111107</v>
      </c>
      <c r="Q975" s="477">
        <v>0.51111111111111107</v>
      </c>
      <c r="R975" s="472">
        <f>IF(Table6[[#This Row],[Work Start TimeStamp]]="","",(Table6[[#This Row],[Work Start TimeStamp]]-Table6[[#This Row],[Fault Start TimeStamp]])*24)</f>
        <v>9.9999999999999645E-2</v>
      </c>
      <c r="S975" s="472">
        <f>(Table6[[#This Row],[Fault Clearance time]]-Table6[[#This Row],[Work Start TimeStamp]])*24</f>
        <v>0</v>
      </c>
      <c r="T975" s="472">
        <f>(Table6[[#This Row],[Fault Clearance time]]-Table6[[#This Row],[Fault Start TimeStamp]])*24</f>
        <v>9.9999999999999645E-2</v>
      </c>
      <c r="U975" s="35" t="s">
        <v>336</v>
      </c>
      <c r="V975" s="102" t="s">
        <v>293</v>
      </c>
      <c r="W975" s="478">
        <f>IFERROR(Table6[[#This Row],[Breakdown Time]]*Table6[[#This Row],[Plant Equivalent Weightage]],"")</f>
        <v>3.8461538461538312E-3</v>
      </c>
      <c r="X975" s="473" t="s">
        <v>294</v>
      </c>
      <c r="Y975" s="474" t="s">
        <v>313</v>
      </c>
      <c r="Z975" s="102">
        <v>54037</v>
      </c>
      <c r="AA975" s="468">
        <f>(Table6[[#This Row],[Paired WTG Generation for loss calculation]]/24)*Table6[[#This Row],[Breakdown Time]]</f>
        <v>225.15416666666584</v>
      </c>
      <c r="AB975" s="102"/>
      <c r="AC975" s="35"/>
      <c r="AD975" s="35"/>
    </row>
    <row r="976" spans="1:30">
      <c r="A976" s="102">
        <f t="shared" si="16"/>
        <v>975</v>
      </c>
      <c r="B976" s="468">
        <f>YEAR(Table6[[#This Row],[Date]])+IF(MONTH(Table6[[#This Row],[Date]])&gt;=4,1,0)</f>
        <v>2026</v>
      </c>
      <c r="C976" s="102">
        <f>YEAR(Table6[[#This Row],[Date]])</f>
        <v>2025</v>
      </c>
      <c r="D976" s="102" t="s">
        <v>1992</v>
      </c>
      <c r="E976" s="469">
        <f>Table6[[#This Row],[Date]]-DAY(Table6[[#This Row],[Date]])+1</f>
        <v>45778</v>
      </c>
      <c r="F976" s="470">
        <v>45808</v>
      </c>
      <c r="G976" s="35" t="s">
        <v>86</v>
      </c>
      <c r="H976" s="35" t="str">
        <f>IFERROR(_xlfn.XLOOKUP(Table6[[#This Row],[Affected WTG]],'Basic Data'!$A:$A,'Basic Data'!$B:$B),"")</f>
        <v>TQGXIIPL</v>
      </c>
      <c r="I976" s="35" t="str">
        <f>IFERROR(_xlfn.XLOOKUP(Table6[[#This Row],[Affected WTG]],'Basic Data'!$A:$A,'Basic Data'!$C:$C),"")</f>
        <v>GEDA</v>
      </c>
      <c r="J976" s="471">
        <f>IFERROR(_xlfn.XLOOKUP(Table6[[#This Row],[Affected WTG]],'Basic Data'!$A:$A,'Basic Data'!$E:$E),"")</f>
        <v>3.846153846153845E-2</v>
      </c>
      <c r="K976" s="102">
        <v>6130</v>
      </c>
      <c r="L976" s="35" t="str">
        <f>IFERROR(_xlfn.XLOOKUP(Table6[[#This Row],[Error Code]],'Basic Data'!$AA:$AA,'Basic Data'!$AB:$AB),"Incorrect Error Code")</f>
        <v>Yaw speed high</v>
      </c>
      <c r="M976" s="35" t="s">
        <v>291</v>
      </c>
      <c r="N976" s="475"/>
      <c r="O976" s="476">
        <v>0.52500000000000002</v>
      </c>
      <c r="P976" s="476">
        <v>0.54374999999999996</v>
      </c>
      <c r="Q976" s="477">
        <v>0.54374999999999996</v>
      </c>
      <c r="R976" s="472">
        <f>IF(Table6[[#This Row],[Work Start TimeStamp]]="","",(Table6[[#This Row],[Work Start TimeStamp]]-Table6[[#This Row],[Fault Start TimeStamp]])*24)</f>
        <v>0.4499999999999984</v>
      </c>
      <c r="S976" s="472">
        <f>(Table6[[#This Row],[Fault Clearance time]]-Table6[[#This Row],[Work Start TimeStamp]])*24</f>
        <v>0</v>
      </c>
      <c r="T976" s="472">
        <f>(Table6[[#This Row],[Fault Clearance time]]-Table6[[#This Row],[Fault Start TimeStamp]])*24</f>
        <v>0.4499999999999984</v>
      </c>
      <c r="U976" s="35" t="s">
        <v>1931</v>
      </c>
      <c r="V976" s="102" t="s">
        <v>293</v>
      </c>
      <c r="W976" s="478">
        <f>IFERROR(Table6[[#This Row],[Breakdown Time]]*Table6[[#This Row],[Plant Equivalent Weightage]],"")</f>
        <v>1.7307692307692239E-2</v>
      </c>
      <c r="X976" s="473" t="s">
        <v>290</v>
      </c>
      <c r="Y976" s="474" t="s">
        <v>313</v>
      </c>
      <c r="Z976" s="102">
        <v>54037</v>
      </c>
      <c r="AA976" s="468">
        <f>(Table6[[#This Row],[Paired WTG Generation for loss calculation]]/24)*Table6[[#This Row],[Breakdown Time]]</f>
        <v>1013.1937499999964</v>
      </c>
      <c r="AB976" s="102"/>
      <c r="AC976" s="35"/>
      <c r="AD976" s="35"/>
    </row>
    <row r="977" spans="1:30">
      <c r="A977" s="102">
        <f t="shared" si="16"/>
        <v>976</v>
      </c>
      <c r="B977" s="468">
        <f>YEAR(Table6[[#This Row],[Date]])+IF(MONTH(Table6[[#This Row],[Date]])&gt;=4,1,0)</f>
        <v>2026</v>
      </c>
      <c r="C977" s="102">
        <f>YEAR(Table6[[#This Row],[Date]])</f>
        <v>2025</v>
      </c>
      <c r="D977" s="102" t="s">
        <v>1992</v>
      </c>
      <c r="E977" s="469">
        <f>Table6[[#This Row],[Date]]-DAY(Table6[[#This Row],[Date]])+1</f>
        <v>45778</v>
      </c>
      <c r="F977" s="470">
        <v>45808</v>
      </c>
      <c r="G977" s="35" t="s">
        <v>86</v>
      </c>
      <c r="H977" s="35" t="str">
        <f>IFERROR(_xlfn.XLOOKUP(Table6[[#This Row],[Affected WTG]],'Basic Data'!$A:$A,'Basic Data'!$B:$B),"")</f>
        <v>TQGXIIPL</v>
      </c>
      <c r="I977" s="35" t="str">
        <f>IFERROR(_xlfn.XLOOKUP(Table6[[#This Row],[Affected WTG]],'Basic Data'!$A:$A,'Basic Data'!$C:$C),"")</f>
        <v>GEDA</v>
      </c>
      <c r="J977" s="471">
        <f>IFERROR(_xlfn.XLOOKUP(Table6[[#This Row],[Affected WTG]],'Basic Data'!$A:$A,'Basic Data'!$E:$E),"")</f>
        <v>3.846153846153845E-2</v>
      </c>
      <c r="K977" s="102">
        <v>1070</v>
      </c>
      <c r="L977" s="35" t="str">
        <f>IFERROR(_xlfn.XLOOKUP(Table6[[#This Row],[Error Code]],'Basic Data'!$AA:$AA,'Basic Data'!$AB:$AB),"Incorrect Error Code")</f>
        <v>Drive train monitor level 2</v>
      </c>
      <c r="M977" s="35" t="s">
        <v>291</v>
      </c>
      <c r="N977" s="475"/>
      <c r="O977" s="476">
        <v>0.72916666666666663</v>
      </c>
      <c r="P977" s="476">
        <v>0.73472222222222228</v>
      </c>
      <c r="Q977" s="477">
        <v>0.73472222222222228</v>
      </c>
      <c r="R977" s="472">
        <f>IF(Table6[[#This Row],[Work Start TimeStamp]]="","",(Table6[[#This Row],[Work Start TimeStamp]]-Table6[[#This Row],[Fault Start TimeStamp]])*24)</f>
        <v>0.13333333333333552</v>
      </c>
      <c r="S977" s="472">
        <f>(Table6[[#This Row],[Fault Clearance time]]-Table6[[#This Row],[Work Start TimeStamp]])*24</f>
        <v>0</v>
      </c>
      <c r="T977" s="472">
        <f>(Table6[[#This Row],[Fault Clearance time]]-Table6[[#This Row],[Fault Start TimeStamp]])*24</f>
        <v>0.13333333333333552</v>
      </c>
      <c r="U977" s="35" t="s">
        <v>1926</v>
      </c>
      <c r="V977" s="102" t="s">
        <v>293</v>
      </c>
      <c r="W977" s="478">
        <f>IFERROR(Table6[[#This Row],[Breakdown Time]]*Table6[[#This Row],[Plant Equivalent Weightage]],"")</f>
        <v>5.1282051282052106E-3</v>
      </c>
      <c r="X977" s="473" t="s">
        <v>290</v>
      </c>
      <c r="Y977" s="474" t="s">
        <v>313</v>
      </c>
      <c r="Z977" s="102">
        <v>54037</v>
      </c>
      <c r="AA977" s="468">
        <f>(Table6[[#This Row],[Paired WTG Generation for loss calculation]]/24)*Table6[[#This Row],[Breakdown Time]]</f>
        <v>300.20555555556047</v>
      </c>
      <c r="AB977" s="102"/>
      <c r="AC977" s="35"/>
      <c r="AD977" s="35"/>
    </row>
    <row r="978" spans="1:30">
      <c r="A978" s="102">
        <f t="shared" si="16"/>
        <v>977</v>
      </c>
      <c r="B978" s="468">
        <f>YEAR(Table6[[#This Row],[Date]])+IF(MONTH(Table6[[#This Row],[Date]])&gt;=4,1,0)</f>
        <v>2026</v>
      </c>
      <c r="C978" s="102">
        <f>YEAR(Table6[[#This Row],[Date]])</f>
        <v>2025</v>
      </c>
      <c r="D978" s="102" t="s">
        <v>1992</v>
      </c>
      <c r="E978" s="469">
        <f>Table6[[#This Row],[Date]]-DAY(Table6[[#This Row],[Date]])+1</f>
        <v>45778</v>
      </c>
      <c r="F978" s="470">
        <v>45808</v>
      </c>
      <c r="G978" s="35" t="s">
        <v>89</v>
      </c>
      <c r="H978" s="35" t="str">
        <f>IFERROR(_xlfn.XLOOKUP(Table6[[#This Row],[Affected WTG]],'Basic Data'!$A:$A,'Basic Data'!$B:$B),"")</f>
        <v>TQGXIIPL</v>
      </c>
      <c r="I978" s="35" t="str">
        <f>IFERROR(_xlfn.XLOOKUP(Table6[[#This Row],[Affected WTG]],'Basic Data'!$A:$A,'Basic Data'!$C:$C),"")</f>
        <v>GEDA</v>
      </c>
      <c r="J978" s="471">
        <f>IFERROR(_xlfn.XLOOKUP(Table6[[#This Row],[Affected WTG]],'Basic Data'!$A:$A,'Basic Data'!$E:$E),"")</f>
        <v>3.846153846153845E-2</v>
      </c>
      <c r="K978" s="102">
        <v>1070</v>
      </c>
      <c r="L978" s="35" t="str">
        <f>IFERROR(_xlfn.XLOOKUP(Table6[[#This Row],[Error Code]],'Basic Data'!$AA:$AA,'Basic Data'!$AB:$AB),"Incorrect Error Code")</f>
        <v>Drive train monitor level 2</v>
      </c>
      <c r="M978" s="35" t="s">
        <v>291</v>
      </c>
      <c r="N978" s="475"/>
      <c r="O978" s="476">
        <v>0.72152777777777777</v>
      </c>
      <c r="P978" s="476">
        <v>0.73055555555555551</v>
      </c>
      <c r="Q978" s="477">
        <v>0.73055555555555551</v>
      </c>
      <c r="R978" s="472">
        <f>IF(Table6[[#This Row],[Work Start TimeStamp]]="","",(Table6[[#This Row],[Work Start TimeStamp]]-Table6[[#This Row],[Fault Start TimeStamp]])*24)</f>
        <v>0.2166666666666659</v>
      </c>
      <c r="S978" s="472">
        <f>(Table6[[#This Row],[Fault Clearance time]]-Table6[[#This Row],[Work Start TimeStamp]])*24</f>
        <v>0</v>
      </c>
      <c r="T978" s="472">
        <f>(Table6[[#This Row],[Fault Clearance time]]-Table6[[#This Row],[Fault Start TimeStamp]])*24</f>
        <v>0.2166666666666659</v>
      </c>
      <c r="U978" s="35" t="s">
        <v>1926</v>
      </c>
      <c r="V978" s="102" t="s">
        <v>293</v>
      </c>
      <c r="W978" s="478">
        <f>IFERROR(Table6[[#This Row],[Breakdown Time]]*Table6[[#This Row],[Plant Equivalent Weightage]],"")</f>
        <v>8.333333333333302E-3</v>
      </c>
      <c r="X978" s="473" t="s">
        <v>290</v>
      </c>
      <c r="Y978" s="474" t="s">
        <v>325</v>
      </c>
      <c r="Z978" s="102">
        <v>47315</v>
      </c>
      <c r="AA978" s="468">
        <f>(Table6[[#This Row],[Paired WTG Generation for loss calculation]]/24)*Table6[[#This Row],[Breakdown Time]]</f>
        <v>427.14930555555401</v>
      </c>
      <c r="AB978" s="102"/>
      <c r="AC978" s="35"/>
      <c r="AD978" s="35"/>
    </row>
    <row r="979" spans="1:30">
      <c r="A979" s="102">
        <f t="shared" si="16"/>
        <v>978</v>
      </c>
      <c r="B979" s="468">
        <f>YEAR(Table6[[#This Row],[Date]])+IF(MONTH(Table6[[#This Row],[Date]])&gt;=4,1,0)</f>
        <v>2026</v>
      </c>
      <c r="C979" s="102">
        <f>YEAR(Table6[[#This Row],[Date]])</f>
        <v>2025</v>
      </c>
      <c r="D979" s="102" t="s">
        <v>1992</v>
      </c>
      <c r="E979" s="469">
        <f>Table6[[#This Row],[Date]]-DAY(Table6[[#This Row],[Date]])+1</f>
        <v>45778</v>
      </c>
      <c r="F979" s="470">
        <v>45808</v>
      </c>
      <c r="G979" s="35" t="s">
        <v>91</v>
      </c>
      <c r="H979" s="35" t="str">
        <f>IFERROR(_xlfn.XLOOKUP(Table6[[#This Row],[Affected WTG]],'Basic Data'!$A:$A,'Basic Data'!$B:$B),"")</f>
        <v>TQGXIIPL</v>
      </c>
      <c r="I979" s="35" t="str">
        <f>IFERROR(_xlfn.XLOOKUP(Table6[[#This Row],[Affected WTG]],'Basic Data'!$A:$A,'Basic Data'!$C:$C),"")</f>
        <v>GEDA</v>
      </c>
      <c r="J979" s="471">
        <f>IFERROR(_xlfn.XLOOKUP(Table6[[#This Row],[Affected WTG]],'Basic Data'!$A:$A,'Basic Data'!$E:$E),"")</f>
        <v>3.846153846153845E-2</v>
      </c>
      <c r="K979" s="102">
        <v>6130</v>
      </c>
      <c r="L979" s="35" t="str">
        <f>IFERROR(_xlfn.XLOOKUP(Table6[[#This Row],[Error Code]],'Basic Data'!$AA:$AA,'Basic Data'!$AB:$AB),"Incorrect Error Code")</f>
        <v>Yaw speed high</v>
      </c>
      <c r="M979" s="35" t="s">
        <v>292</v>
      </c>
      <c r="N979" s="475"/>
      <c r="O979" s="476">
        <v>0.57013888888888886</v>
      </c>
      <c r="P979" s="476">
        <v>0.57499999999999996</v>
      </c>
      <c r="Q979" s="477">
        <v>0.57499999999999996</v>
      </c>
      <c r="R979" s="472">
        <f>IF(Table6[[#This Row],[Work Start TimeStamp]]="","",(Table6[[#This Row],[Work Start TimeStamp]]-Table6[[#This Row],[Fault Start TimeStamp]])*24)</f>
        <v>0.11666666666666625</v>
      </c>
      <c r="S979" s="472">
        <f>(Table6[[#This Row],[Fault Clearance time]]-Table6[[#This Row],[Work Start TimeStamp]])*24</f>
        <v>0</v>
      </c>
      <c r="T979" s="472">
        <f>(Table6[[#This Row],[Fault Clearance time]]-Table6[[#This Row],[Fault Start TimeStamp]])*24</f>
        <v>0.11666666666666625</v>
      </c>
      <c r="U979" s="35" t="s">
        <v>336</v>
      </c>
      <c r="V979" s="102" t="s">
        <v>293</v>
      </c>
      <c r="W979" s="478">
        <f>IFERROR(Table6[[#This Row],[Breakdown Time]]*Table6[[#This Row],[Plant Equivalent Weightage]],"")</f>
        <v>4.4871794871794695E-3</v>
      </c>
      <c r="X979" s="473" t="s">
        <v>294</v>
      </c>
      <c r="Y979" s="474" t="s">
        <v>319</v>
      </c>
      <c r="Z979" s="102">
        <v>47521</v>
      </c>
      <c r="AA979" s="468">
        <f>(Table6[[#This Row],[Paired WTG Generation for loss calculation]]/24)*Table6[[#This Row],[Breakdown Time]]</f>
        <v>231.0048611111103</v>
      </c>
      <c r="AB979" s="102"/>
      <c r="AC979" s="35"/>
      <c r="AD979" s="35"/>
    </row>
    <row r="980" spans="1:30">
      <c r="A980" s="102">
        <f t="shared" si="16"/>
        <v>979</v>
      </c>
      <c r="B980" s="468">
        <f>YEAR(Table6[[#This Row],[Date]])+IF(MONTH(Table6[[#This Row],[Date]])&gt;=4,1,0)</f>
        <v>2026</v>
      </c>
      <c r="C980" s="102">
        <f>YEAR(Table6[[#This Row],[Date]])</f>
        <v>2025</v>
      </c>
      <c r="D980" s="102" t="s">
        <v>1992</v>
      </c>
      <c r="E980" s="469">
        <f>Table6[[#This Row],[Date]]-DAY(Table6[[#This Row],[Date]])+1</f>
        <v>45778</v>
      </c>
      <c r="F980" s="470">
        <v>45808</v>
      </c>
      <c r="G980" s="35" t="s">
        <v>93</v>
      </c>
      <c r="H980" s="35" t="str">
        <f>IFERROR(_xlfn.XLOOKUP(Table6[[#This Row],[Affected WTG]],'Basic Data'!$A:$A,'Basic Data'!$B:$B),"")</f>
        <v>TQGXIIPL</v>
      </c>
      <c r="I980" s="35" t="str">
        <f>IFERROR(_xlfn.XLOOKUP(Table6[[#This Row],[Affected WTG]],'Basic Data'!$A:$A,'Basic Data'!$C:$C),"")</f>
        <v>GEDA</v>
      </c>
      <c r="J980" s="471">
        <f>IFERROR(_xlfn.XLOOKUP(Table6[[#This Row],[Affected WTG]],'Basic Data'!$A:$A,'Basic Data'!$E:$E),"")</f>
        <v>3.846153846153845E-2</v>
      </c>
      <c r="K980" s="102">
        <v>6130</v>
      </c>
      <c r="L980" s="35" t="str">
        <f>IFERROR(_xlfn.XLOOKUP(Table6[[#This Row],[Error Code]],'Basic Data'!$AA:$AA,'Basic Data'!$AB:$AB),"Incorrect Error Code")</f>
        <v>Yaw speed high</v>
      </c>
      <c r="M980" s="35" t="s">
        <v>292</v>
      </c>
      <c r="N980" s="475"/>
      <c r="O980" s="476">
        <v>0.49583333333333335</v>
      </c>
      <c r="P980" s="476">
        <v>0.5</v>
      </c>
      <c r="Q980" s="477">
        <v>0.5</v>
      </c>
      <c r="R980" s="472">
        <f>IF(Table6[[#This Row],[Work Start TimeStamp]]="","",(Table6[[#This Row],[Work Start TimeStamp]]-Table6[[#This Row],[Fault Start TimeStamp]])*24)</f>
        <v>9.9999999999999645E-2</v>
      </c>
      <c r="S980" s="472">
        <f>(Table6[[#This Row],[Fault Clearance time]]-Table6[[#This Row],[Work Start TimeStamp]])*24</f>
        <v>0</v>
      </c>
      <c r="T980" s="472">
        <f>(Table6[[#This Row],[Fault Clearance time]]-Table6[[#This Row],[Fault Start TimeStamp]])*24</f>
        <v>9.9999999999999645E-2</v>
      </c>
      <c r="U980" s="35" t="s">
        <v>336</v>
      </c>
      <c r="V980" s="102" t="s">
        <v>293</v>
      </c>
      <c r="W980" s="478">
        <f>IFERROR(Table6[[#This Row],[Breakdown Time]]*Table6[[#This Row],[Plant Equivalent Weightage]],"")</f>
        <v>3.8461538461538312E-3</v>
      </c>
      <c r="X980" s="473" t="s">
        <v>294</v>
      </c>
      <c r="Y980" s="474" t="s">
        <v>314</v>
      </c>
      <c r="Z980" s="102">
        <v>47157</v>
      </c>
      <c r="AA980" s="468">
        <f>(Table6[[#This Row],[Paired WTG Generation for loss calculation]]/24)*Table6[[#This Row],[Breakdown Time]]</f>
        <v>196.4874999999993</v>
      </c>
      <c r="AB980" s="102"/>
      <c r="AC980" s="35"/>
      <c r="AD980" s="35"/>
    </row>
    <row r="981" spans="1:30">
      <c r="A981" s="102">
        <f t="shared" si="16"/>
        <v>980</v>
      </c>
      <c r="B981" s="468">
        <f>YEAR(Table6[[#This Row],[Date]])+IF(MONTH(Table6[[#This Row],[Date]])&gt;=4,1,0)</f>
        <v>2026</v>
      </c>
      <c r="C981" s="102">
        <f>YEAR(Table6[[#This Row],[Date]])</f>
        <v>2025</v>
      </c>
      <c r="D981" s="102" t="s">
        <v>1992</v>
      </c>
      <c r="E981" s="469">
        <f>Table6[[#This Row],[Date]]-DAY(Table6[[#This Row],[Date]])+1</f>
        <v>45778</v>
      </c>
      <c r="F981" s="470">
        <v>45808</v>
      </c>
      <c r="G981" s="35" t="s">
        <v>96</v>
      </c>
      <c r="H981" s="35" t="str">
        <f>IFERROR(_xlfn.XLOOKUP(Table6[[#This Row],[Affected WTG]],'Basic Data'!$A:$A,'Basic Data'!$B:$B),"")</f>
        <v>TQGXIIPL</v>
      </c>
      <c r="I981" s="35" t="str">
        <f>IFERROR(_xlfn.XLOOKUP(Table6[[#This Row],[Affected WTG]],'Basic Data'!$A:$A,'Basic Data'!$C:$C),"")</f>
        <v>GEDA</v>
      </c>
      <c r="J981" s="471">
        <f>IFERROR(_xlfn.XLOOKUP(Table6[[#This Row],[Affected WTG]],'Basic Data'!$A:$A,'Basic Data'!$E:$E),"")</f>
        <v>3.846153846153845E-2</v>
      </c>
      <c r="K981" s="102">
        <v>6130</v>
      </c>
      <c r="L981" s="35" t="str">
        <f>IFERROR(_xlfn.XLOOKUP(Table6[[#This Row],[Error Code]],'Basic Data'!$AA:$AA,'Basic Data'!$AB:$AB),"Incorrect Error Code")</f>
        <v>Yaw speed high</v>
      </c>
      <c r="M981" s="35" t="s">
        <v>292</v>
      </c>
      <c r="N981" s="475"/>
      <c r="O981" s="476">
        <v>0.5180555555555556</v>
      </c>
      <c r="P981" s="476">
        <v>0.52222222222222225</v>
      </c>
      <c r="Q981" s="477">
        <v>0.52222222222222225</v>
      </c>
      <c r="R981" s="472">
        <f>IF(Table6[[#This Row],[Work Start TimeStamp]]="","",(Table6[[#This Row],[Work Start TimeStamp]]-Table6[[#This Row],[Fault Start TimeStamp]])*24)</f>
        <v>9.9999999999999645E-2</v>
      </c>
      <c r="S981" s="472">
        <f>(Table6[[#This Row],[Fault Clearance time]]-Table6[[#This Row],[Work Start TimeStamp]])*24</f>
        <v>0</v>
      </c>
      <c r="T981" s="472">
        <f>(Table6[[#This Row],[Fault Clearance time]]-Table6[[#This Row],[Fault Start TimeStamp]])*24</f>
        <v>9.9999999999999645E-2</v>
      </c>
      <c r="U981" s="35" t="s">
        <v>336</v>
      </c>
      <c r="V981" s="102" t="s">
        <v>293</v>
      </c>
      <c r="W981" s="478">
        <f>IFERROR(Table6[[#This Row],[Breakdown Time]]*Table6[[#This Row],[Plant Equivalent Weightage]],"")</f>
        <v>3.8461538461538312E-3</v>
      </c>
      <c r="X981" s="473" t="s">
        <v>294</v>
      </c>
      <c r="Y981" s="474" t="s">
        <v>313</v>
      </c>
      <c r="Z981" s="102">
        <v>54037</v>
      </c>
      <c r="AA981" s="468">
        <f>(Table6[[#This Row],[Paired WTG Generation for loss calculation]]/24)*Table6[[#This Row],[Breakdown Time]]</f>
        <v>225.15416666666584</v>
      </c>
      <c r="AB981" s="102"/>
      <c r="AC981" s="35"/>
      <c r="AD981" s="35"/>
    </row>
    <row r="982" spans="1:30">
      <c r="A982" s="102">
        <f t="shared" si="16"/>
        <v>981</v>
      </c>
      <c r="B982" s="468">
        <f>YEAR(Table6[[#This Row],[Date]])+IF(MONTH(Table6[[#This Row],[Date]])&gt;=4,1,0)</f>
        <v>2026</v>
      </c>
      <c r="C982" s="102">
        <f>YEAR(Table6[[#This Row],[Date]])</f>
        <v>2025</v>
      </c>
      <c r="D982" s="102" t="s">
        <v>1992</v>
      </c>
      <c r="E982" s="469">
        <f>Table6[[#This Row],[Date]]-DAY(Table6[[#This Row],[Date]])+1</f>
        <v>45778</v>
      </c>
      <c r="F982" s="470">
        <v>45808</v>
      </c>
      <c r="G982" s="35" t="s">
        <v>97</v>
      </c>
      <c r="H982" s="35" t="str">
        <f>IFERROR(_xlfn.XLOOKUP(Table6[[#This Row],[Affected WTG]],'Basic Data'!$A:$A,'Basic Data'!$B:$B),"")</f>
        <v>TQGXIIPL</v>
      </c>
      <c r="I982" s="35" t="str">
        <f>IFERROR(_xlfn.XLOOKUP(Table6[[#This Row],[Affected WTG]],'Basic Data'!$A:$A,'Basic Data'!$C:$C),"")</f>
        <v>GEDA</v>
      </c>
      <c r="J982" s="471">
        <f>IFERROR(_xlfn.XLOOKUP(Table6[[#This Row],[Affected WTG]],'Basic Data'!$A:$A,'Basic Data'!$E:$E),"")</f>
        <v>3.846153846153845E-2</v>
      </c>
      <c r="K982" s="102">
        <v>1070</v>
      </c>
      <c r="L982" s="35" t="str">
        <f>IFERROR(_xlfn.XLOOKUP(Table6[[#This Row],[Error Code]],'Basic Data'!$AA:$AA,'Basic Data'!$AB:$AB),"Incorrect Error Code")</f>
        <v>Drive train monitor level 2</v>
      </c>
      <c r="M982" s="35" t="s">
        <v>292</v>
      </c>
      <c r="N982" s="475"/>
      <c r="O982" s="476">
        <v>0.71736111111111112</v>
      </c>
      <c r="P982" s="476">
        <v>0.71944444444444444</v>
      </c>
      <c r="Q982" s="477">
        <v>0.71944444444444444</v>
      </c>
      <c r="R982" s="472">
        <f>IF(Table6[[#This Row],[Work Start TimeStamp]]="","",(Table6[[#This Row],[Work Start TimeStamp]]-Table6[[#This Row],[Fault Start TimeStamp]])*24)</f>
        <v>4.9999999999999822E-2</v>
      </c>
      <c r="S982" s="472">
        <f>(Table6[[#This Row],[Fault Clearance time]]-Table6[[#This Row],[Work Start TimeStamp]])*24</f>
        <v>0</v>
      </c>
      <c r="T982" s="472">
        <f>(Table6[[#This Row],[Fault Clearance time]]-Table6[[#This Row],[Fault Start TimeStamp]])*24</f>
        <v>4.9999999999999822E-2</v>
      </c>
      <c r="U982" s="35" t="s">
        <v>336</v>
      </c>
      <c r="V982" s="102" t="s">
        <v>293</v>
      </c>
      <c r="W982" s="478">
        <f>IFERROR(Table6[[#This Row],[Breakdown Time]]*Table6[[#This Row],[Plant Equivalent Weightage]],"")</f>
        <v>1.9230769230769156E-3</v>
      </c>
      <c r="X982" s="473" t="s">
        <v>294</v>
      </c>
      <c r="Y982" s="474" t="s">
        <v>320</v>
      </c>
      <c r="Z982" s="102">
        <v>47567</v>
      </c>
      <c r="AA982" s="468">
        <f>(Table6[[#This Row],[Paired WTG Generation for loss calculation]]/24)*Table6[[#This Row],[Breakdown Time]]</f>
        <v>99.097916666666308</v>
      </c>
      <c r="AB982" s="102"/>
      <c r="AC982" s="35"/>
      <c r="AD982" s="35"/>
    </row>
    <row r="983" spans="1:30">
      <c r="A983" s="102">
        <f t="shared" si="16"/>
        <v>982</v>
      </c>
      <c r="B983" s="468">
        <f>YEAR(Table6[[#This Row],[Date]])+IF(MONTH(Table6[[#This Row],[Date]])&gt;=4,1,0)</f>
        <v>2026</v>
      </c>
      <c r="C983" s="102">
        <f>YEAR(Table6[[#This Row],[Date]])</f>
        <v>2025</v>
      </c>
      <c r="D983" s="102" t="s">
        <v>1992</v>
      </c>
      <c r="E983" s="469">
        <f>Table6[[#This Row],[Date]]-DAY(Table6[[#This Row],[Date]])+1</f>
        <v>45778</v>
      </c>
      <c r="F983" s="470">
        <v>45808</v>
      </c>
      <c r="G983" s="35" t="s">
        <v>98</v>
      </c>
      <c r="H983" s="35" t="str">
        <f>IFERROR(_xlfn.XLOOKUP(Table6[[#This Row],[Affected WTG]],'Basic Data'!$A:$A,'Basic Data'!$B:$B),"")</f>
        <v>TQGXIIPL</v>
      </c>
      <c r="I983" s="35" t="str">
        <f>IFERROR(_xlfn.XLOOKUP(Table6[[#This Row],[Affected WTG]],'Basic Data'!$A:$A,'Basic Data'!$C:$C),"")</f>
        <v>GEDA</v>
      </c>
      <c r="J983" s="471">
        <f>IFERROR(_xlfn.XLOOKUP(Table6[[#This Row],[Affected WTG]],'Basic Data'!$A:$A,'Basic Data'!$E:$E),"")</f>
        <v>3.846153846153845E-2</v>
      </c>
      <c r="K983" s="102">
        <v>1700</v>
      </c>
      <c r="L983" s="35" t="str">
        <f>IFERROR(_xlfn.XLOOKUP(Table6[[#This Row],[Error Code]],'Basic Data'!$AA:$AA,'Basic Data'!$AB:$AB),"Incorrect Error Code")</f>
        <v>High temp. gear bearing 1</v>
      </c>
      <c r="M983" s="35" t="s">
        <v>291</v>
      </c>
      <c r="N983" s="475"/>
      <c r="O983" s="476">
        <v>0.68819444444444444</v>
      </c>
      <c r="P983" s="476">
        <v>0.69861111111111107</v>
      </c>
      <c r="Q983" s="477">
        <v>0.69861111111111107</v>
      </c>
      <c r="R983" s="472">
        <f>IF(Table6[[#This Row],[Work Start TimeStamp]]="","",(Table6[[#This Row],[Work Start TimeStamp]]-Table6[[#This Row],[Fault Start TimeStamp]])*24)</f>
        <v>0.24999999999999911</v>
      </c>
      <c r="S983" s="472">
        <f>(Table6[[#This Row],[Fault Clearance time]]-Table6[[#This Row],[Work Start TimeStamp]])*24</f>
        <v>0</v>
      </c>
      <c r="T983" s="472">
        <f>(Table6[[#This Row],[Fault Clearance time]]-Table6[[#This Row],[Fault Start TimeStamp]])*24</f>
        <v>0.24999999999999911</v>
      </c>
      <c r="U983" s="35" t="s">
        <v>1926</v>
      </c>
      <c r="V983" s="102" t="s">
        <v>293</v>
      </c>
      <c r="W983" s="478">
        <f>IFERROR(Table6[[#This Row],[Breakdown Time]]*Table6[[#This Row],[Plant Equivalent Weightage]],"")</f>
        <v>9.6153846153845778E-3</v>
      </c>
      <c r="X983" s="473" t="s">
        <v>290</v>
      </c>
      <c r="Y983" s="474" t="s">
        <v>315</v>
      </c>
      <c r="Z983" s="102">
        <v>54328</v>
      </c>
      <c r="AA983" s="468">
        <f>(Table6[[#This Row],[Paired WTG Generation for loss calculation]]/24)*Table6[[#This Row],[Breakdown Time]]</f>
        <v>565.91666666666458</v>
      </c>
      <c r="AB983" s="102"/>
      <c r="AC983" s="35"/>
      <c r="AD983" s="35"/>
    </row>
    <row r="984" spans="1:30">
      <c r="A984" s="102">
        <f t="shared" si="16"/>
        <v>983</v>
      </c>
      <c r="B984" s="468">
        <f>YEAR(Table6[[#This Row],[Date]])+IF(MONTH(Table6[[#This Row],[Date]])&gt;=4,1,0)</f>
        <v>2026</v>
      </c>
      <c r="C984" s="102">
        <f>YEAR(Table6[[#This Row],[Date]])</f>
        <v>2025</v>
      </c>
      <c r="D984" s="102" t="s">
        <v>1992</v>
      </c>
      <c r="E984" s="469">
        <f>Table6[[#This Row],[Date]]-DAY(Table6[[#This Row],[Date]])+1</f>
        <v>45778</v>
      </c>
      <c r="F984" s="470">
        <v>45808</v>
      </c>
      <c r="G984" s="35" t="s">
        <v>99</v>
      </c>
      <c r="H984" s="35" t="str">
        <f>IFERROR(_xlfn.XLOOKUP(Table6[[#This Row],[Affected WTG]],'Basic Data'!$A:$A,'Basic Data'!$B:$B),"")</f>
        <v>TQGXIIPL</v>
      </c>
      <c r="I984" s="35" t="str">
        <f>IFERROR(_xlfn.XLOOKUP(Table6[[#This Row],[Affected WTG]],'Basic Data'!$A:$A,'Basic Data'!$C:$C),"")</f>
        <v>GEDA</v>
      </c>
      <c r="J984" s="471">
        <f>IFERROR(_xlfn.XLOOKUP(Table6[[#This Row],[Affected WTG]],'Basic Data'!$A:$A,'Basic Data'!$E:$E),"")</f>
        <v>3.846153846153845E-2</v>
      </c>
      <c r="K984" s="102">
        <v>6130</v>
      </c>
      <c r="L984" s="35" t="str">
        <f>IFERROR(_xlfn.XLOOKUP(Table6[[#This Row],[Error Code]],'Basic Data'!$AA:$AA,'Basic Data'!$AB:$AB),"Incorrect Error Code")</f>
        <v>Yaw speed high</v>
      </c>
      <c r="M984" s="35" t="s">
        <v>292</v>
      </c>
      <c r="N984" s="475"/>
      <c r="O984" s="476">
        <v>0.52222222222222225</v>
      </c>
      <c r="P984" s="476">
        <v>0.52430555555555558</v>
      </c>
      <c r="Q984" s="477">
        <v>0.52430555555555558</v>
      </c>
      <c r="R984" s="472">
        <f>IF(Table6[[#This Row],[Work Start TimeStamp]]="","",(Table6[[#This Row],[Work Start TimeStamp]]-Table6[[#This Row],[Fault Start TimeStamp]])*24)</f>
        <v>4.9999999999999822E-2</v>
      </c>
      <c r="S984" s="472">
        <f>(Table6[[#This Row],[Fault Clearance time]]-Table6[[#This Row],[Work Start TimeStamp]])*24</f>
        <v>0</v>
      </c>
      <c r="T984" s="472">
        <f>(Table6[[#This Row],[Fault Clearance time]]-Table6[[#This Row],[Fault Start TimeStamp]])*24</f>
        <v>4.9999999999999822E-2</v>
      </c>
      <c r="U984" s="35" t="s">
        <v>336</v>
      </c>
      <c r="V984" s="102" t="s">
        <v>293</v>
      </c>
      <c r="W984" s="478">
        <f>IFERROR(Table6[[#This Row],[Breakdown Time]]*Table6[[#This Row],[Plant Equivalent Weightage]],"")</f>
        <v>1.9230769230769156E-3</v>
      </c>
      <c r="X984" s="473" t="s">
        <v>294</v>
      </c>
      <c r="Y984" s="474" t="s">
        <v>315</v>
      </c>
      <c r="Z984" s="102">
        <v>54328</v>
      </c>
      <c r="AA984" s="468">
        <f>(Table6[[#This Row],[Paired WTG Generation for loss calculation]]/24)*Table6[[#This Row],[Breakdown Time]]</f>
        <v>113.18333333333293</v>
      </c>
      <c r="AB984" s="102"/>
      <c r="AC984" s="35"/>
      <c r="AD984" s="35"/>
    </row>
    <row r="985" spans="1:30">
      <c r="A985" s="102">
        <f t="shared" si="16"/>
        <v>984</v>
      </c>
      <c r="B985" s="468">
        <f>YEAR(Table6[[#This Row],[Date]])+IF(MONTH(Table6[[#This Row],[Date]])&gt;=4,1,0)</f>
        <v>2026</v>
      </c>
      <c r="C985" s="102">
        <f>YEAR(Table6[[#This Row],[Date]])</f>
        <v>2025</v>
      </c>
      <c r="D985" s="102" t="s">
        <v>1992</v>
      </c>
      <c r="E985" s="469">
        <f>Table6[[#This Row],[Date]]-DAY(Table6[[#This Row],[Date]])+1</f>
        <v>45778</v>
      </c>
      <c r="F985" s="470">
        <v>45808</v>
      </c>
      <c r="G985" s="35" t="s">
        <v>83</v>
      </c>
      <c r="H985" s="35" t="str">
        <f>IFERROR(_xlfn.XLOOKUP(Table6[[#This Row],[Affected WTG]],'Basic Data'!$A:$A,'Basic Data'!$B:$B),"")</f>
        <v>TQGXIIPL</v>
      </c>
      <c r="I985" s="35" t="str">
        <f>IFERROR(_xlfn.XLOOKUP(Table6[[#This Row],[Affected WTG]],'Basic Data'!$A:$A,'Basic Data'!$C:$C),"")</f>
        <v>GEDA</v>
      </c>
      <c r="J985" s="471">
        <f>IFERROR(_xlfn.XLOOKUP(Table6[[#This Row],[Affected WTG]],'Basic Data'!$A:$A,'Basic Data'!$E:$E),"")</f>
        <v>3.846153846153845E-2</v>
      </c>
      <c r="K985" s="102">
        <v>6130</v>
      </c>
      <c r="L985" s="35" t="str">
        <f>IFERROR(_xlfn.XLOOKUP(Table6[[#This Row],[Error Code]],'Basic Data'!$AA:$AA,'Basic Data'!$AB:$AB),"Incorrect Error Code")</f>
        <v>Yaw speed high</v>
      </c>
      <c r="M985" s="35" t="s">
        <v>292</v>
      </c>
      <c r="N985" s="475"/>
      <c r="O985" s="476">
        <v>0.57222222222222219</v>
      </c>
      <c r="P985" s="476">
        <v>0.57638888888888884</v>
      </c>
      <c r="Q985" s="477">
        <v>0.57638888888888884</v>
      </c>
      <c r="R985" s="472">
        <f>IF(Table6[[#This Row],[Work Start TimeStamp]]="","",(Table6[[#This Row],[Work Start TimeStamp]]-Table6[[#This Row],[Fault Start TimeStamp]])*24)</f>
        <v>9.9999999999999645E-2</v>
      </c>
      <c r="S985" s="472">
        <f>(Table6[[#This Row],[Fault Clearance time]]-Table6[[#This Row],[Work Start TimeStamp]])*24</f>
        <v>0</v>
      </c>
      <c r="T985" s="472">
        <f>(Table6[[#This Row],[Fault Clearance time]]-Table6[[#This Row],[Fault Start TimeStamp]])*24</f>
        <v>9.9999999999999645E-2</v>
      </c>
      <c r="U985" s="35" t="s">
        <v>336</v>
      </c>
      <c r="V985" s="102" t="s">
        <v>293</v>
      </c>
      <c r="W985" s="478">
        <f>IFERROR(Table6[[#This Row],[Breakdown Time]]*Table6[[#This Row],[Plant Equivalent Weightage]],"")</f>
        <v>3.8461538461538312E-3</v>
      </c>
      <c r="X985" s="473" t="s">
        <v>294</v>
      </c>
      <c r="Y985" s="474" t="s">
        <v>312</v>
      </c>
      <c r="Z985" s="102">
        <v>52780</v>
      </c>
      <c r="AA985" s="468">
        <f>(Table6[[#This Row],[Paired WTG Generation for loss calculation]]/24)*Table6[[#This Row],[Breakdown Time]]</f>
        <v>219.91666666666586</v>
      </c>
      <c r="AB985" s="102"/>
      <c r="AC985" s="35"/>
      <c r="AD985" s="35"/>
    </row>
    <row r="986" spans="1:30">
      <c r="A986" s="102">
        <f t="shared" si="16"/>
        <v>985</v>
      </c>
      <c r="B986" s="468">
        <f>YEAR(Table6[[#This Row],[Date]])+IF(MONTH(Table6[[#This Row],[Date]])&gt;=4,1,0)</f>
        <v>2026</v>
      </c>
      <c r="C986" s="102">
        <f>YEAR(Table6[[#This Row],[Date]])</f>
        <v>2025</v>
      </c>
      <c r="D986" s="102" t="s">
        <v>1992</v>
      </c>
      <c r="E986" s="469">
        <f>Table6[[#This Row],[Date]]-DAY(Table6[[#This Row],[Date]])+1</f>
        <v>45778</v>
      </c>
      <c r="F986" s="470">
        <v>45808</v>
      </c>
      <c r="G986" s="35" t="s">
        <v>83</v>
      </c>
      <c r="H986" s="35" t="str">
        <f>IFERROR(_xlfn.XLOOKUP(Table6[[#This Row],[Affected WTG]],'Basic Data'!$A:$A,'Basic Data'!$B:$B),"")</f>
        <v>TQGXIIPL</v>
      </c>
      <c r="I986" s="35" t="str">
        <f>IFERROR(_xlfn.XLOOKUP(Table6[[#This Row],[Affected WTG]],'Basic Data'!$A:$A,'Basic Data'!$C:$C),"")</f>
        <v>GEDA</v>
      </c>
      <c r="J986" s="471">
        <f>IFERROR(_xlfn.XLOOKUP(Table6[[#This Row],[Affected WTG]],'Basic Data'!$A:$A,'Basic Data'!$E:$E),"")</f>
        <v>3.846153846153845E-2</v>
      </c>
      <c r="K986" s="102">
        <v>6130</v>
      </c>
      <c r="L986" s="35" t="str">
        <f>IFERROR(_xlfn.XLOOKUP(Table6[[#This Row],[Error Code]],'Basic Data'!$AA:$AA,'Basic Data'!$AB:$AB),"Incorrect Error Code")</f>
        <v>Yaw speed high</v>
      </c>
      <c r="M986" s="35" t="s">
        <v>292</v>
      </c>
      <c r="N986" s="475"/>
      <c r="O986" s="476">
        <v>0.62152777777777779</v>
      </c>
      <c r="P986" s="476">
        <v>0.62222222222222223</v>
      </c>
      <c r="Q986" s="477">
        <v>0.62222222222222223</v>
      </c>
      <c r="R986" s="472">
        <f>IF(Table6[[#This Row],[Work Start TimeStamp]]="","",(Table6[[#This Row],[Work Start TimeStamp]]-Table6[[#This Row],[Fault Start TimeStamp]])*24)</f>
        <v>1.6666666666666607E-2</v>
      </c>
      <c r="S986" s="472">
        <f>(Table6[[#This Row],[Fault Clearance time]]-Table6[[#This Row],[Work Start TimeStamp]])*24</f>
        <v>0</v>
      </c>
      <c r="T986" s="472">
        <f>(Table6[[#This Row],[Fault Clearance time]]-Table6[[#This Row],[Fault Start TimeStamp]])*24</f>
        <v>1.6666666666666607E-2</v>
      </c>
      <c r="U986" s="35" t="s">
        <v>336</v>
      </c>
      <c r="V986" s="102" t="s">
        <v>293</v>
      </c>
      <c r="W986" s="478">
        <f>IFERROR(Table6[[#This Row],[Breakdown Time]]*Table6[[#This Row],[Plant Equivalent Weightage]],"")</f>
        <v>6.4102564102563853E-4</v>
      </c>
      <c r="X986" s="473" t="s">
        <v>294</v>
      </c>
      <c r="Y986" s="474" t="s">
        <v>312</v>
      </c>
      <c r="Z986" s="102">
        <v>52780</v>
      </c>
      <c r="AA986" s="468">
        <f>(Table6[[#This Row],[Paired WTG Generation for loss calculation]]/24)*Table6[[#This Row],[Breakdown Time]]</f>
        <v>36.652777777777644</v>
      </c>
      <c r="AB986" s="102"/>
      <c r="AC986" s="35"/>
      <c r="AD986" s="35"/>
    </row>
    <row r="987" spans="1:30">
      <c r="A987" s="102">
        <f t="shared" si="16"/>
        <v>986</v>
      </c>
      <c r="B987" s="468">
        <f>YEAR(Table6[[#This Row],[Date]])+IF(MONTH(Table6[[#This Row],[Date]])&gt;=4,1,0)</f>
        <v>2026</v>
      </c>
      <c r="C987" s="102">
        <f>YEAR(Table6[[#This Row],[Date]])</f>
        <v>2025</v>
      </c>
      <c r="D987" s="102" t="s">
        <v>1992</v>
      </c>
      <c r="E987" s="469">
        <f>Table6[[#This Row],[Date]]-DAY(Table6[[#This Row],[Date]])+1</f>
        <v>45809</v>
      </c>
      <c r="F987" s="470">
        <v>45809</v>
      </c>
      <c r="G987" s="35" t="s">
        <v>74</v>
      </c>
      <c r="H987" s="35" t="str">
        <f>IFERROR(_xlfn.XLOOKUP(Table6[[#This Row],[Affected WTG]],'Basic Data'!$A:$A,'Basic Data'!$B:$B),"")</f>
        <v>TQGXIIPL</v>
      </c>
      <c r="I987" s="35" t="str">
        <f>IFERROR(_xlfn.XLOOKUP(Table6[[#This Row],[Affected WTG]],'Basic Data'!$A:$A,'Basic Data'!$C:$C),"")</f>
        <v>GEDA</v>
      </c>
      <c r="J987" s="471">
        <f>IFERROR(_xlfn.XLOOKUP(Table6[[#This Row],[Affected WTG]],'Basic Data'!$A:$A,'Basic Data'!$E:$E),"")</f>
        <v>3.846153846153845E-2</v>
      </c>
      <c r="K987" s="102">
        <v>6130</v>
      </c>
      <c r="L987" s="35" t="str">
        <f>IFERROR(_xlfn.XLOOKUP(Table6[[#This Row],[Error Code]],'Basic Data'!$AA:$AA,'Basic Data'!$AB:$AB),"Incorrect Error Code")</f>
        <v>Yaw speed high</v>
      </c>
      <c r="M987" s="35" t="s">
        <v>292</v>
      </c>
      <c r="N987" s="475"/>
      <c r="O987" s="476">
        <v>0.7416666666666667</v>
      </c>
      <c r="P987" s="476">
        <v>0.7416666666666667</v>
      </c>
      <c r="Q987" s="477">
        <v>0.74583333333333335</v>
      </c>
      <c r="R987" s="472">
        <f>IF(Table6[[#This Row],[Work Start TimeStamp]]="","",(Table6[[#This Row],[Work Start TimeStamp]]-Table6[[#This Row],[Fault Start TimeStamp]])*24)</f>
        <v>0</v>
      </c>
      <c r="S987" s="472">
        <f>(Table6[[#This Row],[Fault Clearance time]]-Table6[[#This Row],[Work Start TimeStamp]])*24</f>
        <v>9.9999999999999645E-2</v>
      </c>
      <c r="T987" s="472">
        <f>(Table6[[#This Row],[Fault Clearance time]]-Table6[[#This Row],[Fault Start TimeStamp]])*24</f>
        <v>9.9999999999999645E-2</v>
      </c>
      <c r="U987" s="35" t="s">
        <v>336</v>
      </c>
      <c r="V987" s="102" t="s">
        <v>293</v>
      </c>
      <c r="W987" s="478">
        <f>IFERROR(Table6[[#This Row],[Breakdown Time]]*Table6[[#This Row],[Plant Equivalent Weightage]],"")</f>
        <v>3.8461538461538312E-3</v>
      </c>
      <c r="X987" s="473" t="s">
        <v>294</v>
      </c>
      <c r="Y987" s="474" t="s">
        <v>321</v>
      </c>
      <c r="Z987" s="102">
        <v>50608.833333333328</v>
      </c>
      <c r="AA987" s="468">
        <f>(Table6[[#This Row],[Paired WTG Generation for loss calculation]]/24)*Table6[[#This Row],[Breakdown Time]]</f>
        <v>210.87013888888811</v>
      </c>
      <c r="AB987" s="102"/>
      <c r="AC987" s="35"/>
      <c r="AD987" s="35"/>
    </row>
    <row r="988" spans="1:30">
      <c r="A988" s="102">
        <f t="shared" si="16"/>
        <v>987</v>
      </c>
      <c r="B988" s="468">
        <f>YEAR(Table6[[#This Row],[Date]])+IF(MONTH(Table6[[#This Row],[Date]])&gt;=4,1,0)</f>
        <v>2026</v>
      </c>
      <c r="C988" s="102">
        <f>YEAR(Table6[[#This Row],[Date]])</f>
        <v>2025</v>
      </c>
      <c r="D988" s="102" t="s">
        <v>1992</v>
      </c>
      <c r="E988" s="469">
        <f>Table6[[#This Row],[Date]]-DAY(Table6[[#This Row],[Date]])+1</f>
        <v>45809</v>
      </c>
      <c r="F988" s="470">
        <v>45809</v>
      </c>
      <c r="G988" s="35" t="s">
        <v>77</v>
      </c>
      <c r="H988" s="35" t="str">
        <f>IFERROR(_xlfn.XLOOKUP(Table6[[#This Row],[Affected WTG]],'Basic Data'!$A:$A,'Basic Data'!$B:$B),"")</f>
        <v>TQGXIIPL</v>
      </c>
      <c r="I988" s="35" t="str">
        <f>IFERROR(_xlfn.XLOOKUP(Table6[[#This Row],[Affected WTG]],'Basic Data'!$A:$A,'Basic Data'!$C:$C),"")</f>
        <v>GEDA</v>
      </c>
      <c r="J988" s="471">
        <f>IFERROR(_xlfn.XLOOKUP(Table6[[#This Row],[Affected WTG]],'Basic Data'!$A:$A,'Basic Data'!$E:$E),"")</f>
        <v>3.846153846153845E-2</v>
      </c>
      <c r="K988" s="102">
        <v>6130</v>
      </c>
      <c r="L988" s="35" t="str">
        <f>IFERROR(_xlfn.XLOOKUP(Table6[[#This Row],[Error Code]],'Basic Data'!$AA:$AA,'Basic Data'!$AB:$AB),"Incorrect Error Code")</f>
        <v>Yaw speed high</v>
      </c>
      <c r="M988" s="35" t="s">
        <v>292</v>
      </c>
      <c r="N988" s="475"/>
      <c r="O988" s="476">
        <v>0.47499999999999998</v>
      </c>
      <c r="P988" s="476">
        <v>0.47499999999999998</v>
      </c>
      <c r="Q988" s="477">
        <v>0.47777777777777775</v>
      </c>
      <c r="R988" s="472">
        <f>IF(Table6[[#This Row],[Work Start TimeStamp]]="","",(Table6[[#This Row],[Work Start TimeStamp]]-Table6[[#This Row],[Fault Start TimeStamp]])*24)</f>
        <v>0</v>
      </c>
      <c r="S988" s="472">
        <f>(Table6[[#This Row],[Fault Clearance time]]-Table6[[#This Row],[Work Start TimeStamp]])*24</f>
        <v>6.666666666666643E-2</v>
      </c>
      <c r="T988" s="472">
        <f>(Table6[[#This Row],[Fault Clearance time]]-Table6[[#This Row],[Fault Start TimeStamp]])*24</f>
        <v>6.666666666666643E-2</v>
      </c>
      <c r="U988" s="35" t="s">
        <v>336</v>
      </c>
      <c r="V988" s="102" t="s">
        <v>293</v>
      </c>
      <c r="W988" s="478">
        <f>IFERROR(Table6[[#This Row],[Breakdown Time]]*Table6[[#This Row],[Plant Equivalent Weightage]],"")</f>
        <v>2.5641025641025541E-3</v>
      </c>
      <c r="X988" s="473" t="s">
        <v>294</v>
      </c>
      <c r="Y988" s="474" t="s">
        <v>310</v>
      </c>
      <c r="Z988" s="102">
        <v>51412.666666666664</v>
      </c>
      <c r="AA988" s="468">
        <f>(Table6[[#This Row],[Paired WTG Generation for loss calculation]]/24)*Table6[[#This Row],[Breakdown Time]]</f>
        <v>142.81296296296244</v>
      </c>
      <c r="AB988" s="102"/>
      <c r="AC988" s="35"/>
      <c r="AD988" s="35"/>
    </row>
    <row r="989" spans="1:30">
      <c r="A989" s="102">
        <f t="shared" si="16"/>
        <v>988</v>
      </c>
      <c r="B989" s="468">
        <f>YEAR(Table6[[#This Row],[Date]])+IF(MONTH(Table6[[#This Row],[Date]])&gt;=4,1,0)</f>
        <v>2026</v>
      </c>
      <c r="C989" s="102">
        <f>YEAR(Table6[[#This Row],[Date]])</f>
        <v>2025</v>
      </c>
      <c r="D989" s="102" t="s">
        <v>1992</v>
      </c>
      <c r="E989" s="469">
        <f>Table6[[#This Row],[Date]]-DAY(Table6[[#This Row],[Date]])+1</f>
        <v>45809</v>
      </c>
      <c r="F989" s="470">
        <v>45809</v>
      </c>
      <c r="G989" s="35" t="s">
        <v>77</v>
      </c>
      <c r="H989" s="35" t="str">
        <f>IFERROR(_xlfn.XLOOKUP(Table6[[#This Row],[Affected WTG]],'Basic Data'!$A:$A,'Basic Data'!$B:$B),"")</f>
        <v>TQGXIIPL</v>
      </c>
      <c r="I989" s="35" t="str">
        <f>IFERROR(_xlfn.XLOOKUP(Table6[[#This Row],[Affected WTG]],'Basic Data'!$A:$A,'Basic Data'!$C:$C),"")</f>
        <v>GEDA</v>
      </c>
      <c r="J989" s="471">
        <f>IFERROR(_xlfn.XLOOKUP(Table6[[#This Row],[Affected WTG]],'Basic Data'!$A:$A,'Basic Data'!$E:$E),"")</f>
        <v>3.846153846153845E-2</v>
      </c>
      <c r="K989" s="102">
        <v>6130</v>
      </c>
      <c r="L989" s="35" t="str">
        <f>IFERROR(_xlfn.XLOOKUP(Table6[[#This Row],[Error Code]],'Basic Data'!$AA:$AA,'Basic Data'!$AB:$AB),"Incorrect Error Code")</f>
        <v>Yaw speed high</v>
      </c>
      <c r="M989" s="35" t="s">
        <v>292</v>
      </c>
      <c r="N989" s="475"/>
      <c r="O989" s="476">
        <v>0.49513888888888885</v>
      </c>
      <c r="P989" s="476">
        <v>0.49513888888888885</v>
      </c>
      <c r="Q989" s="477">
        <v>0.49930555555555556</v>
      </c>
      <c r="R989" s="472">
        <f>IF(Table6[[#This Row],[Work Start TimeStamp]]="","",(Table6[[#This Row],[Work Start TimeStamp]]-Table6[[#This Row],[Fault Start TimeStamp]])*24)</f>
        <v>0</v>
      </c>
      <c r="S989" s="472">
        <f>(Table6[[#This Row],[Fault Clearance time]]-Table6[[#This Row],[Work Start TimeStamp]])*24</f>
        <v>0.10000000000000098</v>
      </c>
      <c r="T989" s="472">
        <f>(Table6[[#This Row],[Fault Clearance time]]-Table6[[#This Row],[Fault Start TimeStamp]])*24</f>
        <v>0.10000000000000098</v>
      </c>
      <c r="U989" s="35" t="s">
        <v>336</v>
      </c>
      <c r="V989" s="102" t="s">
        <v>293</v>
      </c>
      <c r="W989" s="478">
        <f>IFERROR(Table6[[#This Row],[Breakdown Time]]*Table6[[#This Row],[Plant Equivalent Weightage]],"")</f>
        <v>3.8461538461538824E-3</v>
      </c>
      <c r="X989" s="473" t="s">
        <v>294</v>
      </c>
      <c r="Y989" s="474" t="s">
        <v>310</v>
      </c>
      <c r="Z989" s="102">
        <v>51412.666666666664</v>
      </c>
      <c r="AA989" s="468">
        <f>(Table6[[#This Row],[Paired WTG Generation for loss calculation]]/24)*Table6[[#This Row],[Breakdown Time]]</f>
        <v>214.21944444444654</v>
      </c>
      <c r="AB989" s="102"/>
      <c r="AC989" s="35"/>
      <c r="AD989" s="35"/>
    </row>
    <row r="990" spans="1:30">
      <c r="A990" s="102">
        <f t="shared" si="16"/>
        <v>989</v>
      </c>
      <c r="B990" s="468">
        <f>YEAR(Table6[[#This Row],[Date]])+IF(MONTH(Table6[[#This Row],[Date]])&gt;=4,1,0)</f>
        <v>2026</v>
      </c>
      <c r="C990" s="102">
        <f>YEAR(Table6[[#This Row],[Date]])</f>
        <v>2025</v>
      </c>
      <c r="D990" s="102" t="s">
        <v>1992</v>
      </c>
      <c r="E990" s="469">
        <f>Table6[[#This Row],[Date]]-DAY(Table6[[#This Row],[Date]])+1</f>
        <v>45809</v>
      </c>
      <c r="F990" s="470">
        <v>45809</v>
      </c>
      <c r="G990" s="35" t="s">
        <v>79</v>
      </c>
      <c r="H990" s="35" t="str">
        <f>IFERROR(_xlfn.XLOOKUP(Table6[[#This Row],[Affected WTG]],'Basic Data'!$A:$A,'Basic Data'!$B:$B),"")</f>
        <v>TQGXIIPL</v>
      </c>
      <c r="I990" s="35" t="str">
        <f>IFERROR(_xlfn.XLOOKUP(Table6[[#This Row],[Affected WTG]],'Basic Data'!$A:$A,'Basic Data'!$C:$C),"")</f>
        <v>GEDA</v>
      </c>
      <c r="J990" s="471">
        <f>IFERROR(_xlfn.XLOOKUP(Table6[[#This Row],[Affected WTG]],'Basic Data'!$A:$A,'Basic Data'!$E:$E),"")</f>
        <v>3.846153846153845E-2</v>
      </c>
      <c r="K990" s="102">
        <v>4540</v>
      </c>
      <c r="L990" s="35" t="str">
        <f>IFERROR(_xlfn.XLOOKUP(Table6[[#This Row],[Error Code]],'Basic Data'!$AA:$AA,'Basic Data'!$AB:$AB),"Incorrect Error Code")</f>
        <v>Tower oscillation X level 2</v>
      </c>
      <c r="M990" s="35" t="s">
        <v>292</v>
      </c>
      <c r="N990" s="475"/>
      <c r="O990" s="476">
        <v>0.51736111111111116</v>
      </c>
      <c r="P990" s="476">
        <v>0.51736111111111116</v>
      </c>
      <c r="Q990" s="477">
        <v>0.52916666666666667</v>
      </c>
      <c r="R990" s="472">
        <f>IF(Table6[[#This Row],[Work Start TimeStamp]]="","",(Table6[[#This Row],[Work Start TimeStamp]]-Table6[[#This Row],[Fault Start TimeStamp]])*24)</f>
        <v>0</v>
      </c>
      <c r="S990" s="472">
        <f>(Table6[[#This Row],[Fault Clearance time]]-Table6[[#This Row],[Work Start TimeStamp]])*24</f>
        <v>0.28333333333333233</v>
      </c>
      <c r="T990" s="472">
        <f>(Table6[[#This Row],[Fault Clearance time]]-Table6[[#This Row],[Fault Start TimeStamp]])*24</f>
        <v>0.28333333333333233</v>
      </c>
      <c r="U990" s="35" t="s">
        <v>336</v>
      </c>
      <c r="V990" s="102" t="s">
        <v>293</v>
      </c>
      <c r="W990" s="478">
        <f>IFERROR(Table6[[#This Row],[Breakdown Time]]*Table6[[#This Row],[Plant Equivalent Weightage]],"")</f>
        <v>1.0897435897435855E-2</v>
      </c>
      <c r="X990" s="473" t="s">
        <v>294</v>
      </c>
      <c r="Y990" s="474" t="s">
        <v>325</v>
      </c>
      <c r="Z990" s="102">
        <v>52837.5</v>
      </c>
      <c r="AA990" s="468">
        <f>(Table6[[#This Row],[Paired WTG Generation for loss calculation]]/24)*Table6[[#This Row],[Breakdown Time]]</f>
        <v>623.77604166666447</v>
      </c>
      <c r="AB990" s="102"/>
      <c r="AC990" s="35"/>
      <c r="AD990" s="35"/>
    </row>
    <row r="991" spans="1:30">
      <c r="A991" s="102">
        <f t="shared" si="16"/>
        <v>990</v>
      </c>
      <c r="B991" s="468">
        <f>YEAR(Table6[[#This Row],[Date]])+IF(MONTH(Table6[[#This Row],[Date]])&gt;=4,1,0)</f>
        <v>2026</v>
      </c>
      <c r="C991" s="102">
        <f>YEAR(Table6[[#This Row],[Date]])</f>
        <v>2025</v>
      </c>
      <c r="D991" s="102" t="s">
        <v>1992</v>
      </c>
      <c r="E991" s="469">
        <f>Table6[[#This Row],[Date]]-DAY(Table6[[#This Row],[Date]])+1</f>
        <v>45809</v>
      </c>
      <c r="F991" s="470">
        <v>45809</v>
      </c>
      <c r="G991" s="35" t="s">
        <v>82</v>
      </c>
      <c r="H991" s="35" t="str">
        <f>IFERROR(_xlfn.XLOOKUP(Table6[[#This Row],[Affected WTG]],'Basic Data'!$A:$A,'Basic Data'!$B:$B),"")</f>
        <v>TQGXIIPL</v>
      </c>
      <c r="I991" s="35" t="str">
        <f>IFERROR(_xlfn.XLOOKUP(Table6[[#This Row],[Affected WTG]],'Basic Data'!$A:$A,'Basic Data'!$C:$C),"")</f>
        <v>GEDA</v>
      </c>
      <c r="J991" s="471">
        <f>IFERROR(_xlfn.XLOOKUP(Table6[[#This Row],[Affected WTG]],'Basic Data'!$A:$A,'Basic Data'!$E:$E),"")</f>
        <v>3.846153846153845E-2</v>
      </c>
      <c r="K991" s="102">
        <v>4970</v>
      </c>
      <c r="L991" s="35" t="str">
        <f>IFERROR(_xlfn.XLOOKUP(Table6[[#This Row],[Error Code]],'Basic Data'!$AA:$AA,'Basic Data'!$AB:$AB),"Incorrect Error Code")</f>
        <v>Tower oscillation XF</v>
      </c>
      <c r="M991" s="35" t="s">
        <v>292</v>
      </c>
      <c r="N991" s="475"/>
      <c r="O991" s="476">
        <v>0.69861111111111118</v>
      </c>
      <c r="P991" s="476">
        <v>0.69861111111111118</v>
      </c>
      <c r="Q991" s="477">
        <v>0.70902777777777781</v>
      </c>
      <c r="R991" s="472">
        <f>IF(Table6[[#This Row],[Work Start TimeStamp]]="","",(Table6[[#This Row],[Work Start TimeStamp]]-Table6[[#This Row],[Fault Start TimeStamp]])*24)</f>
        <v>0</v>
      </c>
      <c r="S991" s="472">
        <f>(Table6[[#This Row],[Fault Clearance time]]-Table6[[#This Row],[Work Start TimeStamp]])*24</f>
        <v>0.24999999999999911</v>
      </c>
      <c r="T991" s="472">
        <f>(Table6[[#This Row],[Fault Clearance time]]-Table6[[#This Row],[Fault Start TimeStamp]])*24</f>
        <v>0.24999999999999911</v>
      </c>
      <c r="U991" s="35" t="s">
        <v>336</v>
      </c>
      <c r="V991" s="102" t="s">
        <v>293</v>
      </c>
      <c r="W991" s="478">
        <f>IFERROR(Table6[[#This Row],[Breakdown Time]]*Table6[[#This Row],[Plant Equivalent Weightage]],"")</f>
        <v>9.6153846153845778E-3</v>
      </c>
      <c r="X991" s="473" t="s">
        <v>294</v>
      </c>
      <c r="Y991" s="474" t="s">
        <v>332</v>
      </c>
      <c r="Z991" s="102">
        <v>48703.333333333336</v>
      </c>
      <c r="AA991" s="468">
        <f>(Table6[[#This Row],[Paired WTG Generation for loss calculation]]/24)*Table6[[#This Row],[Breakdown Time]]</f>
        <v>507.3263888888871</v>
      </c>
      <c r="AB991" s="102"/>
      <c r="AC991" s="35"/>
      <c r="AD991" s="35"/>
    </row>
    <row r="992" spans="1:30">
      <c r="A992" s="102">
        <f t="shared" si="16"/>
        <v>991</v>
      </c>
      <c r="B992" s="468">
        <f>YEAR(Table6[[#This Row],[Date]])+IF(MONTH(Table6[[#This Row],[Date]])&gt;=4,1,0)</f>
        <v>2026</v>
      </c>
      <c r="C992" s="102">
        <f>YEAR(Table6[[#This Row],[Date]])</f>
        <v>2025</v>
      </c>
      <c r="D992" s="102" t="s">
        <v>1992</v>
      </c>
      <c r="E992" s="469">
        <f>Table6[[#This Row],[Date]]-DAY(Table6[[#This Row],[Date]])+1</f>
        <v>45809</v>
      </c>
      <c r="F992" s="470">
        <v>45809</v>
      </c>
      <c r="G992" s="35" t="s">
        <v>83</v>
      </c>
      <c r="H992" s="35" t="str">
        <f>IFERROR(_xlfn.XLOOKUP(Table6[[#This Row],[Affected WTG]],'Basic Data'!$A:$A,'Basic Data'!$B:$B),"")</f>
        <v>TQGXIIPL</v>
      </c>
      <c r="I992" s="35" t="str">
        <f>IFERROR(_xlfn.XLOOKUP(Table6[[#This Row],[Affected WTG]],'Basic Data'!$A:$A,'Basic Data'!$C:$C),"")</f>
        <v>GEDA</v>
      </c>
      <c r="J992" s="471">
        <f>IFERROR(_xlfn.XLOOKUP(Table6[[#This Row],[Affected WTG]],'Basic Data'!$A:$A,'Basic Data'!$E:$E),"")</f>
        <v>3.846153846153845E-2</v>
      </c>
      <c r="K992" s="102">
        <v>6130</v>
      </c>
      <c r="L992" s="35" t="str">
        <f>IFERROR(_xlfn.XLOOKUP(Table6[[#This Row],[Error Code]],'Basic Data'!$AA:$AA,'Basic Data'!$AB:$AB),"Incorrect Error Code")</f>
        <v>Yaw speed high</v>
      </c>
      <c r="M992" s="35" t="s">
        <v>292</v>
      </c>
      <c r="N992" s="475"/>
      <c r="O992" s="476">
        <v>0.51180555555555551</v>
      </c>
      <c r="P992" s="476">
        <v>0.51180555555555551</v>
      </c>
      <c r="Q992" s="477">
        <v>0.51597222222222228</v>
      </c>
      <c r="R992" s="472">
        <f>IF(Table6[[#This Row],[Work Start TimeStamp]]="","",(Table6[[#This Row],[Work Start TimeStamp]]-Table6[[#This Row],[Fault Start TimeStamp]])*24)</f>
        <v>0</v>
      </c>
      <c r="S992" s="472">
        <f>(Table6[[#This Row],[Fault Clearance time]]-Table6[[#This Row],[Work Start TimeStamp]])*24</f>
        <v>0.10000000000000231</v>
      </c>
      <c r="T992" s="472">
        <f>(Table6[[#This Row],[Fault Clearance time]]-Table6[[#This Row],[Fault Start TimeStamp]])*24</f>
        <v>0.10000000000000231</v>
      </c>
      <c r="U992" s="35" t="s">
        <v>336</v>
      </c>
      <c r="V992" s="102" t="s">
        <v>293</v>
      </c>
      <c r="W992" s="478">
        <f>IFERROR(Table6[[#This Row],[Breakdown Time]]*Table6[[#This Row],[Plant Equivalent Weightage]],"")</f>
        <v>3.846153846153934E-3</v>
      </c>
      <c r="X992" s="473" t="s">
        <v>294</v>
      </c>
      <c r="Y992" s="474" t="s">
        <v>312</v>
      </c>
      <c r="Z992" s="102">
        <v>54464.833333333336</v>
      </c>
      <c r="AA992" s="468">
        <f>(Table6[[#This Row],[Paired WTG Generation for loss calculation]]/24)*Table6[[#This Row],[Breakdown Time]]</f>
        <v>226.9368055555608</v>
      </c>
      <c r="AB992" s="102"/>
      <c r="AC992" s="35"/>
      <c r="AD992" s="35"/>
    </row>
    <row r="993" spans="1:30">
      <c r="A993" s="102">
        <f t="shared" si="16"/>
        <v>992</v>
      </c>
      <c r="B993" s="468">
        <f>YEAR(Table6[[#This Row],[Date]])+IF(MONTH(Table6[[#This Row],[Date]])&gt;=4,1,0)</f>
        <v>2026</v>
      </c>
      <c r="C993" s="102">
        <f>YEAR(Table6[[#This Row],[Date]])</f>
        <v>2025</v>
      </c>
      <c r="D993" s="102" t="s">
        <v>1992</v>
      </c>
      <c r="E993" s="469">
        <f>Table6[[#This Row],[Date]]-DAY(Table6[[#This Row],[Date]])+1</f>
        <v>45809</v>
      </c>
      <c r="F993" s="470">
        <v>45809</v>
      </c>
      <c r="G993" s="35" t="s">
        <v>84</v>
      </c>
      <c r="H993" s="35" t="str">
        <f>IFERROR(_xlfn.XLOOKUP(Table6[[#This Row],[Affected WTG]],'Basic Data'!$A:$A,'Basic Data'!$B:$B),"")</f>
        <v>TQGXIIPL</v>
      </c>
      <c r="I993" s="35" t="str">
        <f>IFERROR(_xlfn.XLOOKUP(Table6[[#This Row],[Affected WTG]],'Basic Data'!$A:$A,'Basic Data'!$C:$C),"")</f>
        <v>GEDA</v>
      </c>
      <c r="J993" s="471">
        <f>IFERROR(_xlfn.XLOOKUP(Table6[[#This Row],[Affected WTG]],'Basic Data'!$A:$A,'Basic Data'!$E:$E),"")</f>
        <v>3.846153846153845E-2</v>
      </c>
      <c r="K993" s="102">
        <v>6130</v>
      </c>
      <c r="L993" s="35" t="str">
        <f>IFERROR(_xlfn.XLOOKUP(Table6[[#This Row],[Error Code]],'Basic Data'!$AA:$AA,'Basic Data'!$AB:$AB),"Incorrect Error Code")</f>
        <v>Yaw speed high</v>
      </c>
      <c r="M993" s="35" t="s">
        <v>292</v>
      </c>
      <c r="N993" s="475"/>
      <c r="O993" s="476">
        <v>0.67222222222222228</v>
      </c>
      <c r="P993" s="476">
        <v>0.67222222222222228</v>
      </c>
      <c r="Q993" s="477">
        <v>0.67569444444444449</v>
      </c>
      <c r="R993" s="472">
        <f>IF(Table6[[#This Row],[Work Start TimeStamp]]="","",(Table6[[#This Row],[Work Start TimeStamp]]-Table6[[#This Row],[Fault Start TimeStamp]])*24)</f>
        <v>0</v>
      </c>
      <c r="S993" s="472">
        <f>(Table6[[#This Row],[Fault Clearance time]]-Table6[[#This Row],[Work Start TimeStamp]])*24</f>
        <v>8.3333333333333037E-2</v>
      </c>
      <c r="T993" s="472">
        <f>(Table6[[#This Row],[Fault Clearance time]]-Table6[[#This Row],[Fault Start TimeStamp]])*24</f>
        <v>8.3333333333333037E-2</v>
      </c>
      <c r="U993" s="35" t="s">
        <v>336</v>
      </c>
      <c r="V993" s="102" t="s">
        <v>293</v>
      </c>
      <c r="W993" s="478">
        <f>IFERROR(Table6[[#This Row],[Breakdown Time]]*Table6[[#This Row],[Plant Equivalent Weightage]],"")</f>
        <v>3.2051282051281929E-3</v>
      </c>
      <c r="X993" s="473" t="s">
        <v>294</v>
      </c>
      <c r="Y993" s="474" t="s">
        <v>327</v>
      </c>
      <c r="Z993" s="102">
        <v>49060.833333333336</v>
      </c>
      <c r="AA993" s="468">
        <f>(Table6[[#This Row],[Paired WTG Generation for loss calculation]]/24)*Table6[[#This Row],[Breakdown Time]]</f>
        <v>170.35011574074014</v>
      </c>
      <c r="AB993" s="102"/>
      <c r="AC993" s="35"/>
      <c r="AD993" s="35"/>
    </row>
    <row r="994" spans="1:30">
      <c r="A994" s="102">
        <f t="shared" si="16"/>
        <v>993</v>
      </c>
      <c r="B994" s="468">
        <f>YEAR(Table6[[#This Row],[Date]])+IF(MONTH(Table6[[#This Row],[Date]])&gt;=4,1,0)</f>
        <v>2026</v>
      </c>
      <c r="C994" s="102">
        <f>YEAR(Table6[[#This Row],[Date]])</f>
        <v>2025</v>
      </c>
      <c r="D994" s="102" t="s">
        <v>1992</v>
      </c>
      <c r="E994" s="469">
        <f>Table6[[#This Row],[Date]]-DAY(Table6[[#This Row],[Date]])+1</f>
        <v>45809</v>
      </c>
      <c r="F994" s="470">
        <v>45809</v>
      </c>
      <c r="G994" s="35" t="s">
        <v>85</v>
      </c>
      <c r="H994" s="35" t="str">
        <f>IFERROR(_xlfn.XLOOKUP(Table6[[#This Row],[Affected WTG]],'Basic Data'!$A:$A,'Basic Data'!$B:$B),"")</f>
        <v>TQGXIIPL</v>
      </c>
      <c r="I994" s="35" t="str">
        <f>IFERROR(_xlfn.XLOOKUP(Table6[[#This Row],[Affected WTG]],'Basic Data'!$A:$A,'Basic Data'!$C:$C),"")</f>
        <v>GEDA</v>
      </c>
      <c r="J994" s="471">
        <f>IFERROR(_xlfn.XLOOKUP(Table6[[#This Row],[Affected WTG]],'Basic Data'!$A:$A,'Basic Data'!$E:$E),"")</f>
        <v>3.846153846153845E-2</v>
      </c>
      <c r="K994" s="102">
        <v>4540</v>
      </c>
      <c r="L994" s="35" t="str">
        <f>IFERROR(_xlfn.XLOOKUP(Table6[[#This Row],[Error Code]],'Basic Data'!$AA:$AA,'Basic Data'!$AB:$AB),"Incorrect Error Code")</f>
        <v>Tower oscillation X level 2</v>
      </c>
      <c r="M994" s="35" t="s">
        <v>292</v>
      </c>
      <c r="N994" s="475"/>
      <c r="O994" s="476">
        <v>0.63611111111111118</v>
      </c>
      <c r="P994" s="476">
        <v>0.63611111111111118</v>
      </c>
      <c r="Q994" s="477">
        <v>0.64583333333333337</v>
      </c>
      <c r="R994" s="472">
        <f>IF(Table6[[#This Row],[Work Start TimeStamp]]="","",(Table6[[#This Row],[Work Start TimeStamp]]-Table6[[#This Row],[Fault Start TimeStamp]])*24)</f>
        <v>0</v>
      </c>
      <c r="S994" s="472">
        <f>(Table6[[#This Row],[Fault Clearance time]]-Table6[[#This Row],[Work Start TimeStamp]])*24</f>
        <v>0.2333333333333325</v>
      </c>
      <c r="T994" s="472">
        <f>(Table6[[#This Row],[Fault Clearance time]]-Table6[[#This Row],[Fault Start TimeStamp]])*24</f>
        <v>0.2333333333333325</v>
      </c>
      <c r="U994" s="35" t="s">
        <v>336</v>
      </c>
      <c r="V994" s="102" t="s">
        <v>293</v>
      </c>
      <c r="W994" s="478">
        <f>IFERROR(Table6[[#This Row],[Breakdown Time]]*Table6[[#This Row],[Plant Equivalent Weightage]],"")</f>
        <v>8.974358974358939E-3</v>
      </c>
      <c r="X994" s="473" t="s">
        <v>294</v>
      </c>
      <c r="Y994" s="474" t="s">
        <v>322</v>
      </c>
      <c r="Z994" s="102">
        <v>49854.5</v>
      </c>
      <c r="AA994" s="468">
        <f>(Table6[[#This Row],[Paired WTG Generation for loss calculation]]/24)*Table6[[#This Row],[Breakdown Time]]</f>
        <v>484.69652777777611</v>
      </c>
      <c r="AB994" s="102"/>
      <c r="AC994" s="35"/>
      <c r="AD994" s="35"/>
    </row>
    <row r="995" spans="1:30">
      <c r="A995" s="102">
        <f t="shared" si="16"/>
        <v>994</v>
      </c>
      <c r="B995" s="468">
        <f>YEAR(Table6[[#This Row],[Date]])+IF(MONTH(Table6[[#This Row],[Date]])&gt;=4,1,0)</f>
        <v>2026</v>
      </c>
      <c r="C995" s="102">
        <f>YEAR(Table6[[#This Row],[Date]])</f>
        <v>2025</v>
      </c>
      <c r="D995" s="102" t="s">
        <v>1992</v>
      </c>
      <c r="E995" s="469">
        <f>Table6[[#This Row],[Date]]-DAY(Table6[[#This Row],[Date]])+1</f>
        <v>45809</v>
      </c>
      <c r="F995" s="470">
        <v>45809</v>
      </c>
      <c r="G995" s="35" t="s">
        <v>86</v>
      </c>
      <c r="H995" s="35" t="str">
        <f>IFERROR(_xlfn.XLOOKUP(Table6[[#This Row],[Affected WTG]],'Basic Data'!$A:$A,'Basic Data'!$B:$B),"")</f>
        <v>TQGXIIPL</v>
      </c>
      <c r="I995" s="35" t="str">
        <f>IFERROR(_xlfn.XLOOKUP(Table6[[#This Row],[Affected WTG]],'Basic Data'!$A:$A,'Basic Data'!$C:$C),"")</f>
        <v>GEDA</v>
      </c>
      <c r="J995" s="471">
        <f>IFERROR(_xlfn.XLOOKUP(Table6[[#This Row],[Affected WTG]],'Basic Data'!$A:$A,'Basic Data'!$E:$E),"")</f>
        <v>3.846153846153845E-2</v>
      </c>
      <c r="K995" s="102">
        <v>6130</v>
      </c>
      <c r="L995" s="35" t="str">
        <f>IFERROR(_xlfn.XLOOKUP(Table6[[#This Row],[Error Code]],'Basic Data'!$AA:$AA,'Basic Data'!$AB:$AB),"Incorrect Error Code")</f>
        <v>Yaw speed high</v>
      </c>
      <c r="M995" s="35" t="s">
        <v>292</v>
      </c>
      <c r="N995" s="475"/>
      <c r="O995" s="476">
        <v>0.46388888888888885</v>
      </c>
      <c r="P995" s="476">
        <v>0.46388888888888885</v>
      </c>
      <c r="Q995" s="477">
        <v>0.46736111111111112</v>
      </c>
      <c r="R995" s="472">
        <f>IF(Table6[[#This Row],[Work Start TimeStamp]]="","",(Table6[[#This Row],[Work Start TimeStamp]]-Table6[[#This Row],[Fault Start TimeStamp]])*24)</f>
        <v>0</v>
      </c>
      <c r="S995" s="472">
        <f>(Table6[[#This Row],[Fault Clearance time]]-Table6[[#This Row],[Work Start TimeStamp]])*24</f>
        <v>8.333333333333437E-2</v>
      </c>
      <c r="T995" s="472">
        <f>(Table6[[#This Row],[Fault Clearance time]]-Table6[[#This Row],[Fault Start TimeStamp]])*24</f>
        <v>8.333333333333437E-2</v>
      </c>
      <c r="U995" s="35" t="s">
        <v>336</v>
      </c>
      <c r="V995" s="102" t="s">
        <v>293</v>
      </c>
      <c r="W995" s="478">
        <f>IFERROR(Table6[[#This Row],[Breakdown Time]]*Table6[[#This Row],[Plant Equivalent Weightage]],"")</f>
        <v>3.205128205128244E-3</v>
      </c>
      <c r="X995" s="473" t="s">
        <v>294</v>
      </c>
      <c r="Y995" s="474" t="s">
        <v>313</v>
      </c>
      <c r="Z995" s="102">
        <v>51597</v>
      </c>
      <c r="AA995" s="468">
        <f>(Table6[[#This Row],[Paired WTG Generation for loss calculation]]/24)*Table6[[#This Row],[Breakdown Time]]</f>
        <v>179.15625000000222</v>
      </c>
      <c r="AB995" s="102"/>
      <c r="AC995" s="35"/>
      <c r="AD995" s="35"/>
    </row>
    <row r="996" spans="1:30">
      <c r="A996" s="102">
        <f t="shared" si="16"/>
        <v>995</v>
      </c>
      <c r="B996" s="468">
        <f>YEAR(Table6[[#This Row],[Date]])+IF(MONTH(Table6[[#This Row],[Date]])&gt;=4,1,0)</f>
        <v>2026</v>
      </c>
      <c r="C996" s="102">
        <f>YEAR(Table6[[#This Row],[Date]])</f>
        <v>2025</v>
      </c>
      <c r="D996" s="102" t="s">
        <v>1992</v>
      </c>
      <c r="E996" s="469">
        <f>Table6[[#This Row],[Date]]-DAY(Table6[[#This Row],[Date]])+1</f>
        <v>45809</v>
      </c>
      <c r="F996" s="470">
        <v>45809</v>
      </c>
      <c r="G996" s="35" t="s">
        <v>87</v>
      </c>
      <c r="H996" s="35" t="str">
        <f>IFERROR(_xlfn.XLOOKUP(Table6[[#This Row],[Affected WTG]],'Basic Data'!$A:$A,'Basic Data'!$B:$B),"")</f>
        <v>TQGXIIPL</v>
      </c>
      <c r="I996" s="35" t="str">
        <f>IFERROR(_xlfn.XLOOKUP(Table6[[#This Row],[Affected WTG]],'Basic Data'!$A:$A,'Basic Data'!$C:$C),"")</f>
        <v>GEDA</v>
      </c>
      <c r="J996" s="471">
        <f>IFERROR(_xlfn.XLOOKUP(Table6[[#This Row],[Affected WTG]],'Basic Data'!$A:$A,'Basic Data'!$E:$E),"")</f>
        <v>3.846153846153845E-2</v>
      </c>
      <c r="K996" s="102">
        <v>6130</v>
      </c>
      <c r="L996" s="35" t="str">
        <f>IFERROR(_xlfn.XLOOKUP(Table6[[#This Row],[Error Code]],'Basic Data'!$AA:$AA,'Basic Data'!$AB:$AB),"Incorrect Error Code")</f>
        <v>Yaw speed high</v>
      </c>
      <c r="M996" s="35" t="s">
        <v>292</v>
      </c>
      <c r="N996" s="475"/>
      <c r="O996" s="476">
        <v>0.55138888888888893</v>
      </c>
      <c r="P996" s="476">
        <v>0.55138888888888893</v>
      </c>
      <c r="Q996" s="477">
        <v>0.55555555555555558</v>
      </c>
      <c r="R996" s="472">
        <f>IF(Table6[[#This Row],[Work Start TimeStamp]]="","",(Table6[[#This Row],[Work Start TimeStamp]]-Table6[[#This Row],[Fault Start TimeStamp]])*24)</f>
        <v>0</v>
      </c>
      <c r="S996" s="472">
        <f>(Table6[[#This Row],[Fault Clearance time]]-Table6[[#This Row],[Work Start TimeStamp]])*24</f>
        <v>9.9999999999999645E-2</v>
      </c>
      <c r="T996" s="472">
        <f>(Table6[[#This Row],[Fault Clearance time]]-Table6[[#This Row],[Fault Start TimeStamp]])*24</f>
        <v>9.9999999999999645E-2</v>
      </c>
      <c r="U996" s="35" t="s">
        <v>336</v>
      </c>
      <c r="V996" s="102" t="s">
        <v>293</v>
      </c>
      <c r="W996" s="478">
        <f>IFERROR(Table6[[#This Row],[Breakdown Time]]*Table6[[#This Row],[Plant Equivalent Weightage]],"")</f>
        <v>3.8461538461538312E-3</v>
      </c>
      <c r="X996" s="473" t="s">
        <v>294</v>
      </c>
      <c r="Y996" s="474" t="s">
        <v>327</v>
      </c>
      <c r="Z996" s="102">
        <v>49060.833333333336</v>
      </c>
      <c r="AA996" s="468">
        <f>(Table6[[#This Row],[Paired WTG Generation for loss calculation]]/24)*Table6[[#This Row],[Breakdown Time]]</f>
        <v>204.42013888888818</v>
      </c>
      <c r="AB996" s="102"/>
      <c r="AC996" s="35"/>
      <c r="AD996" s="35"/>
    </row>
    <row r="997" spans="1:30">
      <c r="A997" s="102">
        <f t="shared" si="16"/>
        <v>996</v>
      </c>
      <c r="B997" s="468">
        <f>YEAR(Table6[[#This Row],[Date]])+IF(MONTH(Table6[[#This Row],[Date]])&gt;=4,1,0)</f>
        <v>2026</v>
      </c>
      <c r="C997" s="102">
        <f>YEAR(Table6[[#This Row],[Date]])</f>
        <v>2025</v>
      </c>
      <c r="D997" s="102" t="s">
        <v>1992</v>
      </c>
      <c r="E997" s="469">
        <f>Table6[[#This Row],[Date]]-DAY(Table6[[#This Row],[Date]])+1</f>
        <v>45809</v>
      </c>
      <c r="F997" s="470">
        <v>45809</v>
      </c>
      <c r="G997" s="35" t="s">
        <v>87</v>
      </c>
      <c r="H997" s="35" t="str">
        <f>IFERROR(_xlfn.XLOOKUP(Table6[[#This Row],[Affected WTG]],'Basic Data'!$A:$A,'Basic Data'!$B:$B),"")</f>
        <v>TQGXIIPL</v>
      </c>
      <c r="I997" s="35" t="str">
        <f>IFERROR(_xlfn.XLOOKUP(Table6[[#This Row],[Affected WTG]],'Basic Data'!$A:$A,'Basic Data'!$C:$C),"")</f>
        <v>GEDA</v>
      </c>
      <c r="J997" s="471">
        <f>IFERROR(_xlfn.XLOOKUP(Table6[[#This Row],[Affected WTG]],'Basic Data'!$A:$A,'Basic Data'!$E:$E),"")</f>
        <v>3.846153846153845E-2</v>
      </c>
      <c r="K997" s="102">
        <v>6130</v>
      </c>
      <c r="L997" s="35" t="str">
        <f>IFERROR(_xlfn.XLOOKUP(Table6[[#This Row],[Error Code]],'Basic Data'!$AA:$AA,'Basic Data'!$AB:$AB),"Incorrect Error Code")</f>
        <v>Yaw speed high</v>
      </c>
      <c r="M997" s="35" t="s">
        <v>292</v>
      </c>
      <c r="N997" s="475"/>
      <c r="O997" s="476">
        <v>0.5625</v>
      </c>
      <c r="P997" s="476">
        <v>0.5625</v>
      </c>
      <c r="Q997" s="477">
        <v>0.56805555555555565</v>
      </c>
      <c r="R997" s="472">
        <f>IF(Table6[[#This Row],[Work Start TimeStamp]]="","",(Table6[[#This Row],[Work Start TimeStamp]]-Table6[[#This Row],[Fault Start TimeStamp]])*24)</f>
        <v>0</v>
      </c>
      <c r="S997" s="472">
        <f>(Table6[[#This Row],[Fault Clearance time]]-Table6[[#This Row],[Work Start TimeStamp]])*24</f>
        <v>0.13333333333333552</v>
      </c>
      <c r="T997" s="472">
        <f>(Table6[[#This Row],[Fault Clearance time]]-Table6[[#This Row],[Fault Start TimeStamp]])*24</f>
        <v>0.13333333333333552</v>
      </c>
      <c r="U997" s="35" t="s">
        <v>336</v>
      </c>
      <c r="V997" s="102" t="s">
        <v>293</v>
      </c>
      <c r="W997" s="478">
        <f>IFERROR(Table6[[#This Row],[Breakdown Time]]*Table6[[#This Row],[Plant Equivalent Weightage]],"")</f>
        <v>5.1282051282052106E-3</v>
      </c>
      <c r="X997" s="473" t="s">
        <v>294</v>
      </c>
      <c r="Y997" s="474" t="s">
        <v>327</v>
      </c>
      <c r="Z997" s="102">
        <v>49060.833333333336</v>
      </c>
      <c r="AA997" s="468">
        <f>(Table6[[#This Row],[Paired WTG Generation for loss calculation]]/24)*Table6[[#This Row],[Breakdown Time]]</f>
        <v>272.56018518518965</v>
      </c>
      <c r="AB997" s="102"/>
      <c r="AC997" s="35"/>
      <c r="AD997" s="35"/>
    </row>
    <row r="998" spans="1:30">
      <c r="A998" s="102">
        <f t="shared" si="16"/>
        <v>997</v>
      </c>
      <c r="B998" s="468">
        <f>YEAR(Table6[[#This Row],[Date]])+IF(MONTH(Table6[[#This Row],[Date]])&gt;=4,1,0)</f>
        <v>2026</v>
      </c>
      <c r="C998" s="102">
        <f>YEAR(Table6[[#This Row],[Date]])</f>
        <v>2025</v>
      </c>
      <c r="D998" s="102" t="s">
        <v>1992</v>
      </c>
      <c r="E998" s="469">
        <f>Table6[[#This Row],[Date]]-DAY(Table6[[#This Row],[Date]])+1</f>
        <v>45809</v>
      </c>
      <c r="F998" s="470">
        <v>45809</v>
      </c>
      <c r="G998" s="35" t="s">
        <v>87</v>
      </c>
      <c r="H998" s="35" t="str">
        <f>IFERROR(_xlfn.XLOOKUP(Table6[[#This Row],[Affected WTG]],'Basic Data'!$A:$A,'Basic Data'!$B:$B),"")</f>
        <v>TQGXIIPL</v>
      </c>
      <c r="I998" s="35" t="str">
        <f>IFERROR(_xlfn.XLOOKUP(Table6[[#This Row],[Affected WTG]],'Basic Data'!$A:$A,'Basic Data'!$C:$C),"")</f>
        <v>GEDA</v>
      </c>
      <c r="J998" s="471">
        <f>IFERROR(_xlfn.XLOOKUP(Table6[[#This Row],[Affected WTG]],'Basic Data'!$A:$A,'Basic Data'!$E:$E),"")</f>
        <v>3.846153846153845E-2</v>
      </c>
      <c r="K998" s="102">
        <v>4970</v>
      </c>
      <c r="L998" s="35" t="str">
        <f>IFERROR(_xlfn.XLOOKUP(Table6[[#This Row],[Error Code]],'Basic Data'!$AA:$AA,'Basic Data'!$AB:$AB),"Incorrect Error Code")</f>
        <v>Tower oscillation XF</v>
      </c>
      <c r="M998" s="35" t="s">
        <v>292</v>
      </c>
      <c r="N998" s="475"/>
      <c r="O998" s="476">
        <v>0.6791666666666667</v>
      </c>
      <c r="P998" s="476">
        <v>0.6791666666666667</v>
      </c>
      <c r="Q998" s="477">
        <v>0.69236111111111109</v>
      </c>
      <c r="R998" s="472">
        <f>IF(Table6[[#This Row],[Work Start TimeStamp]]="","",(Table6[[#This Row],[Work Start TimeStamp]]-Table6[[#This Row],[Fault Start TimeStamp]])*24)</f>
        <v>0</v>
      </c>
      <c r="S998" s="472">
        <f>(Table6[[#This Row],[Fault Clearance time]]-Table6[[#This Row],[Work Start TimeStamp]])*24</f>
        <v>0.31666666666666554</v>
      </c>
      <c r="T998" s="472">
        <f>(Table6[[#This Row],[Fault Clearance time]]-Table6[[#This Row],[Fault Start TimeStamp]])*24</f>
        <v>0.31666666666666554</v>
      </c>
      <c r="U998" s="35" t="s">
        <v>336</v>
      </c>
      <c r="V998" s="102" t="s">
        <v>293</v>
      </c>
      <c r="W998" s="478">
        <f>IFERROR(Table6[[#This Row],[Breakdown Time]]*Table6[[#This Row],[Plant Equivalent Weightage]],"")</f>
        <v>1.2179487179487133E-2</v>
      </c>
      <c r="X998" s="473" t="s">
        <v>294</v>
      </c>
      <c r="Y998" s="474" t="s">
        <v>327</v>
      </c>
      <c r="Z998" s="102">
        <v>49060.833333333336</v>
      </c>
      <c r="AA998" s="468">
        <f>(Table6[[#This Row],[Paired WTG Generation for loss calculation]]/24)*Table6[[#This Row],[Breakdown Time]]</f>
        <v>647.33043981481251</v>
      </c>
      <c r="AB998" s="102"/>
      <c r="AC998" s="35"/>
      <c r="AD998" s="35"/>
    </row>
    <row r="999" spans="1:30">
      <c r="A999" s="102">
        <f t="shared" si="16"/>
        <v>998</v>
      </c>
      <c r="B999" s="468">
        <f>YEAR(Table6[[#This Row],[Date]])+IF(MONTH(Table6[[#This Row],[Date]])&gt;=4,1,0)</f>
        <v>2026</v>
      </c>
      <c r="C999" s="102">
        <f>YEAR(Table6[[#This Row],[Date]])</f>
        <v>2025</v>
      </c>
      <c r="D999" s="102" t="s">
        <v>1992</v>
      </c>
      <c r="E999" s="469">
        <f>Table6[[#This Row],[Date]]-DAY(Table6[[#This Row],[Date]])+1</f>
        <v>45809</v>
      </c>
      <c r="F999" s="470">
        <v>45809</v>
      </c>
      <c r="G999" s="35" t="s">
        <v>89</v>
      </c>
      <c r="H999" s="35" t="str">
        <f>IFERROR(_xlfn.XLOOKUP(Table6[[#This Row],[Affected WTG]],'Basic Data'!$A:$A,'Basic Data'!$B:$B),"")</f>
        <v>TQGXIIPL</v>
      </c>
      <c r="I999" s="35" t="str">
        <f>IFERROR(_xlfn.XLOOKUP(Table6[[#This Row],[Affected WTG]],'Basic Data'!$A:$A,'Basic Data'!$C:$C),"")</f>
        <v>GEDA</v>
      </c>
      <c r="J999" s="471">
        <f>IFERROR(_xlfn.XLOOKUP(Table6[[#This Row],[Affected WTG]],'Basic Data'!$A:$A,'Basic Data'!$E:$E),"")</f>
        <v>3.846153846153845E-2</v>
      </c>
      <c r="K999" s="102">
        <v>4970</v>
      </c>
      <c r="L999" s="35" t="str">
        <f>IFERROR(_xlfn.XLOOKUP(Table6[[#This Row],[Error Code]],'Basic Data'!$AA:$AA,'Basic Data'!$AB:$AB),"Incorrect Error Code")</f>
        <v>Tower oscillation XF</v>
      </c>
      <c r="M999" s="35" t="s">
        <v>292</v>
      </c>
      <c r="N999" s="475"/>
      <c r="O999" s="476">
        <v>0.53750000000000009</v>
      </c>
      <c r="P999" s="476">
        <v>0.53750000000000009</v>
      </c>
      <c r="Q999" s="477">
        <v>0.54861111111111116</v>
      </c>
      <c r="R999" s="472">
        <f>IF(Table6[[#This Row],[Work Start TimeStamp]]="","",(Table6[[#This Row],[Work Start TimeStamp]]-Table6[[#This Row],[Fault Start TimeStamp]])*24)</f>
        <v>0</v>
      </c>
      <c r="S999" s="472">
        <f>(Table6[[#This Row],[Fault Clearance time]]-Table6[[#This Row],[Work Start TimeStamp]])*24</f>
        <v>0.26666666666666572</v>
      </c>
      <c r="T999" s="472">
        <f>(Table6[[#This Row],[Fault Clearance time]]-Table6[[#This Row],[Fault Start TimeStamp]])*24</f>
        <v>0.26666666666666572</v>
      </c>
      <c r="U999" s="35" t="s">
        <v>336</v>
      </c>
      <c r="V999" s="102" t="s">
        <v>293</v>
      </c>
      <c r="W999" s="478">
        <f>IFERROR(Table6[[#This Row],[Breakdown Time]]*Table6[[#This Row],[Plant Equivalent Weightage]],"")</f>
        <v>1.0256410256410217E-2</v>
      </c>
      <c r="X999" s="473" t="s">
        <v>294</v>
      </c>
      <c r="Y999" s="474" t="s">
        <v>325</v>
      </c>
      <c r="Z999" s="102">
        <v>52837.5</v>
      </c>
      <c r="AA999" s="468">
        <f>(Table6[[#This Row],[Paired WTG Generation for loss calculation]]/24)*Table6[[#This Row],[Breakdown Time]]</f>
        <v>587.08333333333121</v>
      </c>
      <c r="AB999" s="102"/>
      <c r="AC999" s="35"/>
      <c r="AD999" s="35"/>
    </row>
    <row r="1000" spans="1:30">
      <c r="A1000" s="102">
        <f t="shared" si="16"/>
        <v>999</v>
      </c>
      <c r="B1000" s="468">
        <f>YEAR(Table6[[#This Row],[Date]])+IF(MONTH(Table6[[#This Row],[Date]])&gt;=4,1,0)</f>
        <v>2026</v>
      </c>
      <c r="C1000" s="102">
        <f>YEAR(Table6[[#This Row],[Date]])</f>
        <v>2025</v>
      </c>
      <c r="D1000" s="102" t="s">
        <v>1992</v>
      </c>
      <c r="E1000" s="469">
        <f>Table6[[#This Row],[Date]]-DAY(Table6[[#This Row],[Date]])+1</f>
        <v>45809</v>
      </c>
      <c r="F1000" s="470">
        <v>45809</v>
      </c>
      <c r="G1000" s="35" t="s">
        <v>90</v>
      </c>
      <c r="H1000" s="35" t="str">
        <f>IFERROR(_xlfn.XLOOKUP(Table6[[#This Row],[Affected WTG]],'Basic Data'!$A:$A,'Basic Data'!$B:$B),"")</f>
        <v>TQGXIIPL</v>
      </c>
      <c r="I1000" s="35" t="str">
        <f>IFERROR(_xlfn.XLOOKUP(Table6[[#This Row],[Affected WTG]],'Basic Data'!$A:$A,'Basic Data'!$C:$C),"")</f>
        <v>GEDA</v>
      </c>
      <c r="J1000" s="471">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291</v>
      </c>
      <c r="N1000" s="475"/>
      <c r="O1000" s="476">
        <v>0.58333333333333337</v>
      </c>
      <c r="P1000" s="476">
        <v>0.58333333333333337</v>
      </c>
      <c r="Q1000" s="477">
        <v>0.625</v>
      </c>
      <c r="R1000" s="472">
        <f>IF(Table6[[#This Row],[Work Start TimeStamp]]="","",(Table6[[#This Row],[Work Start TimeStamp]]-Table6[[#This Row],[Fault Start TimeStamp]])*24)</f>
        <v>0</v>
      </c>
      <c r="S1000" s="472">
        <f>(Table6[[#This Row],[Fault Clearance time]]-Table6[[#This Row],[Work Start TimeStamp]])*24</f>
        <v>0.99999999999999911</v>
      </c>
      <c r="T1000" s="472">
        <f>(Table6[[#This Row],[Fault Clearance time]]-Table6[[#This Row],[Fault Start TimeStamp]])*24</f>
        <v>0.99999999999999911</v>
      </c>
      <c r="U1000" s="35" t="s">
        <v>1932</v>
      </c>
      <c r="V1000" s="102" t="s">
        <v>293</v>
      </c>
      <c r="W1000" s="478">
        <f>IFERROR(Table6[[#This Row],[Breakdown Time]]*Table6[[#This Row],[Plant Equivalent Weightage]],"")</f>
        <v>3.8461538461538415E-2</v>
      </c>
      <c r="X1000" s="473" t="s">
        <v>294</v>
      </c>
      <c r="Y1000" s="474" t="s">
        <v>339</v>
      </c>
      <c r="Z1000" s="102">
        <v>56229</v>
      </c>
      <c r="AA1000" s="468">
        <f>(Table6[[#This Row],[Paired WTG Generation for loss calculation]]/24)*Table6[[#This Row],[Breakdown Time]]</f>
        <v>2342.8749999999977</v>
      </c>
      <c r="AB1000" s="102"/>
      <c r="AC1000" s="35"/>
      <c r="AD1000" s="35"/>
    </row>
    <row r="1001" spans="1:30">
      <c r="A1001" s="102">
        <f t="shared" si="16"/>
        <v>1000</v>
      </c>
      <c r="B1001" s="468">
        <f>YEAR(Table6[[#This Row],[Date]])+IF(MONTH(Table6[[#This Row],[Date]])&gt;=4,1,0)</f>
        <v>2026</v>
      </c>
      <c r="C1001" s="102">
        <f>YEAR(Table6[[#This Row],[Date]])</f>
        <v>2025</v>
      </c>
      <c r="D1001" s="102" t="s">
        <v>1992</v>
      </c>
      <c r="E1001" s="469">
        <f>Table6[[#This Row],[Date]]-DAY(Table6[[#This Row],[Date]])+1</f>
        <v>45809</v>
      </c>
      <c r="F1001" s="470">
        <v>45809</v>
      </c>
      <c r="G1001" s="35" t="s">
        <v>92</v>
      </c>
      <c r="H1001" s="35" t="str">
        <f>IFERROR(_xlfn.XLOOKUP(Table6[[#This Row],[Affected WTG]],'Basic Data'!$A:$A,'Basic Data'!$B:$B),"")</f>
        <v>TQGXIIPL</v>
      </c>
      <c r="I1001" s="35" t="str">
        <f>IFERROR(_xlfn.XLOOKUP(Table6[[#This Row],[Affected WTG]],'Basic Data'!$A:$A,'Basic Data'!$C:$C),"")</f>
        <v>GEDA</v>
      </c>
      <c r="J1001" s="471">
        <f>IFERROR(_xlfn.XLOOKUP(Table6[[#This Row],[Affected WTG]],'Basic Data'!$A:$A,'Basic Data'!$E:$E),"")</f>
        <v>3.846153846153845E-2</v>
      </c>
      <c r="K1001" s="102">
        <v>4970</v>
      </c>
      <c r="L1001" s="35" t="str">
        <f>IFERROR(_xlfn.XLOOKUP(Table6[[#This Row],[Error Code]],'Basic Data'!$AA:$AA,'Basic Data'!$AB:$AB),"Incorrect Error Code")</f>
        <v>Tower oscillation XF</v>
      </c>
      <c r="M1001" s="35" t="s">
        <v>292</v>
      </c>
      <c r="N1001" s="475"/>
      <c r="O1001" s="476">
        <v>0.53472222222222221</v>
      </c>
      <c r="P1001" s="476">
        <v>0.53472222222222221</v>
      </c>
      <c r="Q1001" s="477">
        <v>0.54513888888888895</v>
      </c>
      <c r="R1001" s="472">
        <f>IF(Table6[[#This Row],[Work Start TimeStamp]]="","",(Table6[[#This Row],[Work Start TimeStamp]]-Table6[[#This Row],[Fault Start TimeStamp]])*24)</f>
        <v>0</v>
      </c>
      <c r="S1001" s="472">
        <f>(Table6[[#This Row],[Fault Clearance time]]-Table6[[#This Row],[Work Start TimeStamp]])*24</f>
        <v>0.25000000000000178</v>
      </c>
      <c r="T1001" s="472">
        <f>(Table6[[#This Row],[Fault Clearance time]]-Table6[[#This Row],[Fault Start TimeStamp]])*24</f>
        <v>0.25000000000000178</v>
      </c>
      <c r="U1001" s="35" t="s">
        <v>336</v>
      </c>
      <c r="V1001" s="102" t="s">
        <v>293</v>
      </c>
      <c r="W1001" s="478">
        <f>IFERROR(Table6[[#This Row],[Breakdown Time]]*Table6[[#This Row],[Plant Equivalent Weightage]],"")</f>
        <v>9.6153846153846801E-3</v>
      </c>
      <c r="X1001" s="473" t="s">
        <v>294</v>
      </c>
      <c r="Y1001" s="474" t="s">
        <v>310</v>
      </c>
      <c r="Z1001" s="102">
        <v>51412.666666666664</v>
      </c>
      <c r="AA1001" s="468">
        <f>(Table6[[#This Row],[Paired WTG Generation for loss calculation]]/24)*Table6[[#This Row],[Breakdown Time]]</f>
        <v>535.54861111111484</v>
      </c>
      <c r="AB1001" s="102"/>
      <c r="AC1001" s="35"/>
      <c r="AD1001" s="35"/>
    </row>
    <row r="1002" spans="1:30">
      <c r="A1002" s="102">
        <f t="shared" si="16"/>
        <v>1001</v>
      </c>
      <c r="B1002" s="468">
        <f>YEAR(Table6[[#This Row],[Date]])+IF(MONTH(Table6[[#This Row],[Date]])&gt;=4,1,0)</f>
        <v>2026</v>
      </c>
      <c r="C1002" s="102">
        <f>YEAR(Table6[[#This Row],[Date]])</f>
        <v>2025</v>
      </c>
      <c r="D1002" s="102" t="s">
        <v>1992</v>
      </c>
      <c r="E1002" s="469">
        <f>Table6[[#This Row],[Date]]-DAY(Table6[[#This Row],[Date]])+1</f>
        <v>45809</v>
      </c>
      <c r="F1002" s="470">
        <v>45809</v>
      </c>
      <c r="G1002" s="35" t="s">
        <v>93</v>
      </c>
      <c r="H1002" s="35" t="str">
        <f>IFERROR(_xlfn.XLOOKUP(Table6[[#This Row],[Affected WTG]],'Basic Data'!$A:$A,'Basic Data'!$B:$B),"")</f>
        <v>TQGXIIPL</v>
      </c>
      <c r="I1002" s="35" t="str">
        <f>IFERROR(_xlfn.XLOOKUP(Table6[[#This Row],[Affected WTG]],'Basic Data'!$A:$A,'Basic Data'!$C:$C),"")</f>
        <v>GEDA</v>
      </c>
      <c r="J1002" s="471">
        <f>IFERROR(_xlfn.XLOOKUP(Table6[[#This Row],[Affected WTG]],'Basic Data'!$A:$A,'Basic Data'!$E:$E),"")</f>
        <v>3.846153846153845E-2</v>
      </c>
      <c r="K1002" s="102">
        <v>6130</v>
      </c>
      <c r="L1002" s="35" t="str">
        <f>IFERROR(_xlfn.XLOOKUP(Table6[[#This Row],[Error Code]],'Basic Data'!$AA:$AA,'Basic Data'!$AB:$AB),"Incorrect Error Code")</f>
        <v>Yaw speed high</v>
      </c>
      <c r="M1002" s="35" t="s">
        <v>292</v>
      </c>
      <c r="N1002" s="475"/>
      <c r="O1002" s="476">
        <v>0.51597222222222228</v>
      </c>
      <c r="P1002" s="476">
        <v>0.51597222222222228</v>
      </c>
      <c r="Q1002" s="477">
        <v>0.52152777777777781</v>
      </c>
      <c r="R1002" s="472">
        <f>IF(Table6[[#This Row],[Work Start TimeStamp]]="","",(Table6[[#This Row],[Work Start TimeStamp]]-Table6[[#This Row],[Fault Start TimeStamp]])*24)</f>
        <v>0</v>
      </c>
      <c r="S1002" s="472">
        <f>(Table6[[#This Row],[Fault Clearance time]]-Table6[[#This Row],[Work Start TimeStamp]])*24</f>
        <v>0.13333333333333286</v>
      </c>
      <c r="T1002" s="472">
        <f>(Table6[[#This Row],[Fault Clearance time]]-Table6[[#This Row],[Fault Start TimeStamp]])*24</f>
        <v>0.13333333333333286</v>
      </c>
      <c r="U1002" s="35" t="s">
        <v>336</v>
      </c>
      <c r="V1002" s="102" t="s">
        <v>293</v>
      </c>
      <c r="W1002" s="478">
        <f>IFERROR(Table6[[#This Row],[Breakdown Time]]*Table6[[#This Row],[Plant Equivalent Weightage]],"")</f>
        <v>5.1282051282051083E-3</v>
      </c>
      <c r="X1002" s="473" t="s">
        <v>294</v>
      </c>
      <c r="Y1002" s="474" t="s">
        <v>314</v>
      </c>
      <c r="Z1002" s="102">
        <v>53390.833333333336</v>
      </c>
      <c r="AA1002" s="468">
        <f>(Table6[[#This Row],[Paired WTG Generation for loss calculation]]/24)*Table6[[#This Row],[Breakdown Time]]</f>
        <v>296.61574074073968</v>
      </c>
      <c r="AB1002" s="102"/>
      <c r="AC1002" s="35"/>
      <c r="AD1002" s="35"/>
    </row>
    <row r="1003" spans="1:30">
      <c r="A1003" s="102">
        <f t="shared" si="16"/>
        <v>1002</v>
      </c>
      <c r="B1003" s="468">
        <f>YEAR(Table6[[#This Row],[Date]])+IF(MONTH(Table6[[#This Row],[Date]])&gt;=4,1,0)</f>
        <v>2026</v>
      </c>
      <c r="C1003" s="102">
        <f>YEAR(Table6[[#This Row],[Date]])</f>
        <v>2025</v>
      </c>
      <c r="D1003" s="102" t="s">
        <v>1992</v>
      </c>
      <c r="E1003" s="469">
        <f>Table6[[#This Row],[Date]]-DAY(Table6[[#This Row],[Date]])+1</f>
        <v>45809</v>
      </c>
      <c r="F1003" s="470">
        <v>45809</v>
      </c>
      <c r="G1003" s="35" t="s">
        <v>94</v>
      </c>
      <c r="H1003" s="35" t="str">
        <f>IFERROR(_xlfn.XLOOKUP(Table6[[#This Row],[Affected WTG]],'Basic Data'!$A:$A,'Basic Data'!$B:$B),"")</f>
        <v>TQGXIIPL</v>
      </c>
      <c r="I1003" s="35" t="str">
        <f>IFERROR(_xlfn.XLOOKUP(Table6[[#This Row],[Affected WTG]],'Basic Data'!$A:$A,'Basic Data'!$C:$C),"")</f>
        <v>GEDA</v>
      </c>
      <c r="J1003" s="471">
        <f>IFERROR(_xlfn.XLOOKUP(Table6[[#This Row],[Affected WTG]],'Basic Data'!$A:$A,'Basic Data'!$E:$E),"")</f>
        <v>3.846153846153845E-2</v>
      </c>
      <c r="K1003" s="102">
        <v>4970</v>
      </c>
      <c r="L1003" s="35" t="str">
        <f>IFERROR(_xlfn.XLOOKUP(Table6[[#This Row],[Error Code]],'Basic Data'!$AA:$AA,'Basic Data'!$AB:$AB),"Incorrect Error Code")</f>
        <v>Tower oscillation XF</v>
      </c>
      <c r="M1003" s="35" t="s">
        <v>292</v>
      </c>
      <c r="N1003" s="475"/>
      <c r="O1003" s="476">
        <v>0.56527777777777777</v>
      </c>
      <c r="P1003" s="476">
        <v>0.56527777777777777</v>
      </c>
      <c r="Q1003" s="477">
        <v>0.57638888888888895</v>
      </c>
      <c r="R1003" s="472">
        <f>IF(Table6[[#This Row],[Work Start TimeStamp]]="","",(Table6[[#This Row],[Work Start TimeStamp]]-Table6[[#This Row],[Fault Start TimeStamp]])*24)</f>
        <v>0</v>
      </c>
      <c r="S1003" s="472">
        <f>(Table6[[#This Row],[Fault Clearance time]]-Table6[[#This Row],[Work Start TimeStamp]])*24</f>
        <v>0.26666666666666838</v>
      </c>
      <c r="T1003" s="472">
        <f>(Table6[[#This Row],[Fault Clearance time]]-Table6[[#This Row],[Fault Start TimeStamp]])*24</f>
        <v>0.26666666666666838</v>
      </c>
      <c r="U1003" s="35" t="s">
        <v>336</v>
      </c>
      <c r="V1003" s="102" t="s">
        <v>293</v>
      </c>
      <c r="W1003" s="478">
        <f>IFERROR(Table6[[#This Row],[Breakdown Time]]*Table6[[#This Row],[Plant Equivalent Weightage]],"")</f>
        <v>1.0256410256410319E-2</v>
      </c>
      <c r="X1003" s="473" t="s">
        <v>294</v>
      </c>
      <c r="Y1003" s="474" t="s">
        <v>319</v>
      </c>
      <c r="Z1003" s="102">
        <v>52292.166666666672</v>
      </c>
      <c r="AA1003" s="468">
        <f>(Table6[[#This Row],[Paired WTG Generation for loss calculation]]/24)*Table6[[#This Row],[Breakdown Time]]</f>
        <v>581.02407407407782</v>
      </c>
      <c r="AB1003" s="102"/>
      <c r="AC1003" s="35"/>
      <c r="AD1003" s="35"/>
    </row>
    <row r="1004" spans="1:30">
      <c r="A1004" s="102">
        <f t="shared" si="16"/>
        <v>1003</v>
      </c>
      <c r="B1004" s="468">
        <f>YEAR(Table6[[#This Row],[Date]])+IF(MONTH(Table6[[#This Row],[Date]])&gt;=4,1,0)</f>
        <v>2026</v>
      </c>
      <c r="C1004" s="102">
        <f>YEAR(Table6[[#This Row],[Date]])</f>
        <v>2025</v>
      </c>
      <c r="D1004" s="102" t="s">
        <v>1992</v>
      </c>
      <c r="E1004" s="469">
        <f>Table6[[#This Row],[Date]]-DAY(Table6[[#This Row],[Date]])+1</f>
        <v>45809</v>
      </c>
      <c r="F1004" s="470">
        <v>45809</v>
      </c>
      <c r="G1004" s="35" t="s">
        <v>96</v>
      </c>
      <c r="H1004" s="35" t="str">
        <f>IFERROR(_xlfn.XLOOKUP(Table6[[#This Row],[Affected WTG]],'Basic Data'!$A:$A,'Basic Data'!$B:$B),"")</f>
        <v>TQGXIIPL</v>
      </c>
      <c r="I1004" s="35" t="str">
        <f>IFERROR(_xlfn.XLOOKUP(Table6[[#This Row],[Affected WTG]],'Basic Data'!$A:$A,'Basic Data'!$C:$C),"")</f>
        <v>GEDA</v>
      </c>
      <c r="J1004" s="471">
        <f>IFERROR(_xlfn.XLOOKUP(Table6[[#This Row],[Affected WTG]],'Basic Data'!$A:$A,'Basic Data'!$E:$E),"")</f>
        <v>3.846153846153845E-2</v>
      </c>
      <c r="K1004" s="102">
        <v>6130</v>
      </c>
      <c r="L1004" s="35" t="str">
        <f>IFERROR(_xlfn.XLOOKUP(Table6[[#This Row],[Error Code]],'Basic Data'!$AA:$AA,'Basic Data'!$AB:$AB),"Incorrect Error Code")</f>
        <v>Yaw speed high</v>
      </c>
      <c r="M1004" s="35" t="s">
        <v>292</v>
      </c>
      <c r="N1004" s="475"/>
      <c r="O1004" s="476">
        <v>0.48888888888888887</v>
      </c>
      <c r="P1004" s="476">
        <v>0.48888888888888887</v>
      </c>
      <c r="Q1004" s="477">
        <v>0.49027777777777776</v>
      </c>
      <c r="R1004" s="472">
        <f>IF(Table6[[#This Row],[Work Start TimeStamp]]="","",(Table6[[#This Row],[Work Start TimeStamp]]-Table6[[#This Row],[Fault Start TimeStamp]])*24)</f>
        <v>0</v>
      </c>
      <c r="S1004" s="472">
        <f>(Table6[[#This Row],[Fault Clearance time]]-Table6[[#This Row],[Work Start TimeStamp]])*24</f>
        <v>3.3333333333333215E-2</v>
      </c>
      <c r="T1004" s="472">
        <f>(Table6[[#This Row],[Fault Clearance time]]-Table6[[#This Row],[Fault Start TimeStamp]])*24</f>
        <v>3.3333333333333215E-2</v>
      </c>
      <c r="U1004" s="35" t="s">
        <v>336</v>
      </c>
      <c r="V1004" s="102" t="s">
        <v>293</v>
      </c>
      <c r="W1004" s="478">
        <f>IFERROR(Table6[[#This Row],[Breakdown Time]]*Table6[[#This Row],[Plant Equivalent Weightage]],"")</f>
        <v>1.2820512820512771E-3</v>
      </c>
      <c r="X1004" s="473" t="s">
        <v>294</v>
      </c>
      <c r="Y1004" s="474" t="s">
        <v>313</v>
      </c>
      <c r="Z1004" s="102">
        <v>51597</v>
      </c>
      <c r="AA1004" s="468">
        <f>(Table6[[#This Row],[Paired WTG Generation for loss calculation]]/24)*Table6[[#This Row],[Breakdown Time]]</f>
        <v>71.662499999999739</v>
      </c>
      <c r="AB1004" s="102"/>
      <c r="AC1004" s="35"/>
      <c r="AD1004" s="35"/>
    </row>
    <row r="1005" spans="1:30">
      <c r="A1005" s="102">
        <f t="shared" si="16"/>
        <v>1004</v>
      </c>
      <c r="B1005" s="468">
        <f>YEAR(Table6[[#This Row],[Date]])+IF(MONTH(Table6[[#This Row],[Date]])&gt;=4,1,0)</f>
        <v>2026</v>
      </c>
      <c r="C1005" s="102">
        <f>YEAR(Table6[[#This Row],[Date]])</f>
        <v>2025</v>
      </c>
      <c r="D1005" s="102" t="s">
        <v>1992</v>
      </c>
      <c r="E1005" s="469">
        <f>Table6[[#This Row],[Date]]-DAY(Table6[[#This Row],[Date]])+1</f>
        <v>45809</v>
      </c>
      <c r="F1005" s="470">
        <v>45809</v>
      </c>
      <c r="G1005" s="35" t="s">
        <v>97</v>
      </c>
      <c r="H1005" s="35" t="str">
        <f>IFERROR(_xlfn.XLOOKUP(Table6[[#This Row],[Affected WTG]],'Basic Data'!$A:$A,'Basic Data'!$B:$B),"")</f>
        <v>TQGXIIPL</v>
      </c>
      <c r="I1005" s="35" t="str">
        <f>IFERROR(_xlfn.XLOOKUP(Table6[[#This Row],[Affected WTG]],'Basic Data'!$A:$A,'Basic Data'!$C:$C),"")</f>
        <v>GEDA</v>
      </c>
      <c r="J1005" s="471">
        <f>IFERROR(_xlfn.XLOOKUP(Table6[[#This Row],[Affected WTG]],'Basic Data'!$A:$A,'Basic Data'!$E:$E),"")</f>
        <v>3.846153846153845E-2</v>
      </c>
      <c r="K1005" s="102">
        <v>6130</v>
      </c>
      <c r="L1005" s="35" t="str">
        <f>IFERROR(_xlfn.XLOOKUP(Table6[[#This Row],[Error Code]],'Basic Data'!$AA:$AA,'Basic Data'!$AB:$AB),"Incorrect Error Code")</f>
        <v>Yaw speed high</v>
      </c>
      <c r="M1005" s="35" t="s">
        <v>292</v>
      </c>
      <c r="N1005" s="475"/>
      <c r="O1005" s="476">
        <v>0.52222222222222225</v>
      </c>
      <c r="P1005" s="476">
        <v>0.52222222222222225</v>
      </c>
      <c r="Q1005" s="477">
        <v>0.52638888888888891</v>
      </c>
      <c r="R1005" s="472">
        <f>IF(Table6[[#This Row],[Work Start TimeStamp]]="","",(Table6[[#This Row],[Work Start TimeStamp]]-Table6[[#This Row],[Fault Start TimeStamp]])*24)</f>
        <v>0</v>
      </c>
      <c r="S1005" s="472">
        <f>(Table6[[#This Row],[Fault Clearance time]]-Table6[[#This Row],[Work Start TimeStamp]])*24</f>
        <v>9.9999999999999645E-2</v>
      </c>
      <c r="T1005" s="472">
        <f>(Table6[[#This Row],[Fault Clearance time]]-Table6[[#This Row],[Fault Start TimeStamp]])*24</f>
        <v>9.9999999999999645E-2</v>
      </c>
      <c r="U1005" s="35" t="s">
        <v>336</v>
      </c>
      <c r="V1005" s="102" t="s">
        <v>293</v>
      </c>
      <c r="W1005" s="478">
        <f>IFERROR(Table6[[#This Row],[Breakdown Time]]*Table6[[#This Row],[Plant Equivalent Weightage]],"")</f>
        <v>3.8461538461538312E-3</v>
      </c>
      <c r="X1005" s="473" t="s">
        <v>294</v>
      </c>
      <c r="Y1005" s="474" t="s">
        <v>320</v>
      </c>
      <c r="Z1005" s="102">
        <v>53693</v>
      </c>
      <c r="AA1005" s="468">
        <f>(Table6[[#This Row],[Paired WTG Generation for loss calculation]]/24)*Table6[[#This Row],[Breakdown Time]]</f>
        <v>223.72083333333256</v>
      </c>
      <c r="AB1005" s="102"/>
      <c r="AC1005" s="35"/>
      <c r="AD1005" s="35"/>
    </row>
    <row r="1006" spans="1:30">
      <c r="A1006" s="102">
        <f t="shared" si="16"/>
        <v>1005</v>
      </c>
      <c r="B1006" s="468">
        <f>YEAR(Table6[[#This Row],[Date]])+IF(MONTH(Table6[[#This Row],[Date]])&gt;=4,1,0)</f>
        <v>2026</v>
      </c>
      <c r="C1006" s="102">
        <f>YEAR(Table6[[#This Row],[Date]])</f>
        <v>2025</v>
      </c>
      <c r="D1006" s="102" t="s">
        <v>1992</v>
      </c>
      <c r="E1006" s="469">
        <f>Table6[[#This Row],[Date]]-DAY(Table6[[#This Row],[Date]])+1</f>
        <v>45809</v>
      </c>
      <c r="F1006" s="470">
        <v>45809</v>
      </c>
      <c r="G1006" s="35" t="s">
        <v>98</v>
      </c>
      <c r="H1006" s="35" t="str">
        <f>IFERROR(_xlfn.XLOOKUP(Table6[[#This Row],[Affected WTG]],'Basic Data'!$A:$A,'Basic Data'!$B:$B),"")</f>
        <v>TQGXIIPL</v>
      </c>
      <c r="I1006" s="35" t="str">
        <f>IFERROR(_xlfn.XLOOKUP(Table6[[#This Row],[Affected WTG]],'Basic Data'!$A:$A,'Basic Data'!$C:$C),"")</f>
        <v>GEDA</v>
      </c>
      <c r="J1006" s="471">
        <f>IFERROR(_xlfn.XLOOKUP(Table6[[#This Row],[Affected WTG]],'Basic Data'!$A:$A,'Basic Data'!$E:$E),"")</f>
        <v>3.846153846153845E-2</v>
      </c>
      <c r="K1006" s="102">
        <v>3110</v>
      </c>
      <c r="L1006" s="35" t="str">
        <f>IFERROR(_xlfn.XLOOKUP(Table6[[#This Row],[Error Code]],'Basic Data'!$AA:$AA,'Basic Data'!$AB:$AB),"Incorrect Error Code")</f>
        <v>Frequency converter error</v>
      </c>
      <c r="M1006" s="35" t="s">
        <v>291</v>
      </c>
      <c r="N1006" s="475"/>
      <c r="O1006" s="476">
        <v>0.11736111111111111</v>
      </c>
      <c r="P1006" s="476">
        <v>0.11736111111111111</v>
      </c>
      <c r="Q1006" s="477">
        <v>0.12291666666666666</v>
      </c>
      <c r="R1006" s="472">
        <f>IF(Table6[[#This Row],[Work Start TimeStamp]]="","",(Table6[[#This Row],[Work Start TimeStamp]]-Table6[[#This Row],[Fault Start TimeStamp]])*24)</f>
        <v>0</v>
      </c>
      <c r="S1006" s="472">
        <f>(Table6[[#This Row],[Fault Clearance time]]-Table6[[#This Row],[Work Start TimeStamp]])*24</f>
        <v>0.13333333333333319</v>
      </c>
      <c r="T1006" s="472">
        <f>(Table6[[#This Row],[Fault Clearance time]]-Table6[[#This Row],[Fault Start TimeStamp]])*24</f>
        <v>0.13333333333333319</v>
      </c>
      <c r="U1006" s="35" t="s">
        <v>1933</v>
      </c>
      <c r="V1006" s="102" t="s">
        <v>293</v>
      </c>
      <c r="W1006" s="478">
        <f>IFERROR(Table6[[#This Row],[Breakdown Time]]*Table6[[#This Row],[Plant Equivalent Weightage]],"")</f>
        <v>5.1282051282051213E-3</v>
      </c>
      <c r="X1006" s="473" t="s">
        <v>294</v>
      </c>
      <c r="Y1006" s="474" t="s">
        <v>315</v>
      </c>
      <c r="Z1006" s="102">
        <v>50690.166666666672</v>
      </c>
      <c r="AA1006" s="468">
        <f>(Table6[[#This Row],[Paired WTG Generation for loss calculation]]/24)*Table6[[#This Row],[Breakdown Time]]</f>
        <v>281.61203703703677</v>
      </c>
      <c r="AB1006" s="102"/>
      <c r="AC1006" s="35"/>
      <c r="AD1006" s="35"/>
    </row>
    <row r="1007" spans="1:30">
      <c r="A1007" s="102">
        <f t="shared" si="16"/>
        <v>1006</v>
      </c>
      <c r="B1007" s="468">
        <f>YEAR(Table6[[#This Row],[Date]])+IF(MONTH(Table6[[#This Row],[Date]])&gt;=4,1,0)</f>
        <v>2026</v>
      </c>
      <c r="C1007" s="102">
        <f>YEAR(Table6[[#This Row],[Date]])</f>
        <v>2025</v>
      </c>
      <c r="D1007" s="102" t="s">
        <v>1992</v>
      </c>
      <c r="E1007" s="469">
        <f>Table6[[#This Row],[Date]]-DAY(Table6[[#This Row],[Date]])+1</f>
        <v>45809</v>
      </c>
      <c r="F1007" s="470">
        <v>45809</v>
      </c>
      <c r="G1007" s="35" t="s">
        <v>99</v>
      </c>
      <c r="H1007" s="35" t="str">
        <f>IFERROR(_xlfn.XLOOKUP(Table6[[#This Row],[Affected WTG]],'Basic Data'!$A:$A,'Basic Data'!$B:$B),"")</f>
        <v>TQGXIIPL</v>
      </c>
      <c r="I1007" s="35" t="str">
        <f>IFERROR(_xlfn.XLOOKUP(Table6[[#This Row],[Affected WTG]],'Basic Data'!$A:$A,'Basic Data'!$C:$C),"")</f>
        <v>GEDA</v>
      </c>
      <c r="J1007" s="471">
        <f>IFERROR(_xlfn.XLOOKUP(Table6[[#This Row],[Affected WTG]],'Basic Data'!$A:$A,'Basic Data'!$E:$E),"")</f>
        <v>3.846153846153845E-2</v>
      </c>
      <c r="K1007" s="102">
        <v>6130</v>
      </c>
      <c r="L1007" s="35" t="str">
        <f>IFERROR(_xlfn.XLOOKUP(Table6[[#This Row],[Error Code]],'Basic Data'!$AA:$AA,'Basic Data'!$AB:$AB),"Incorrect Error Code")</f>
        <v>Yaw speed high</v>
      </c>
      <c r="M1007" s="35" t="s">
        <v>292</v>
      </c>
      <c r="N1007" s="475"/>
      <c r="O1007" s="476">
        <v>0.63125000000000009</v>
      </c>
      <c r="P1007" s="476">
        <v>0.63125000000000009</v>
      </c>
      <c r="Q1007" s="477">
        <v>0.63541666666666674</v>
      </c>
      <c r="R1007" s="472">
        <f>IF(Table6[[#This Row],[Work Start TimeStamp]]="","",(Table6[[#This Row],[Work Start TimeStamp]]-Table6[[#This Row],[Fault Start TimeStamp]])*24)</f>
        <v>0</v>
      </c>
      <c r="S1007" s="472">
        <f>(Table6[[#This Row],[Fault Clearance time]]-Table6[[#This Row],[Work Start TimeStamp]])*24</f>
        <v>9.9999999999999645E-2</v>
      </c>
      <c r="T1007" s="472">
        <f>(Table6[[#This Row],[Fault Clearance time]]-Table6[[#This Row],[Fault Start TimeStamp]])*24</f>
        <v>9.9999999999999645E-2</v>
      </c>
      <c r="U1007" s="35" t="s">
        <v>336</v>
      </c>
      <c r="V1007" s="102" t="s">
        <v>293</v>
      </c>
      <c r="W1007" s="478">
        <f>IFERROR(Table6[[#This Row],[Breakdown Time]]*Table6[[#This Row],[Plant Equivalent Weightage]],"")</f>
        <v>3.8461538461538312E-3</v>
      </c>
      <c r="X1007" s="473" t="s">
        <v>294</v>
      </c>
      <c r="Y1007" s="474" t="s">
        <v>315</v>
      </c>
      <c r="Z1007" s="102">
        <v>50690.166666666672</v>
      </c>
      <c r="AA1007" s="468">
        <f>(Table6[[#This Row],[Paired WTG Generation for loss calculation]]/24)*Table6[[#This Row],[Breakdown Time]]</f>
        <v>211.20902777777704</v>
      </c>
      <c r="AB1007" s="102"/>
      <c r="AC1007" s="35"/>
      <c r="AD1007" s="35"/>
    </row>
    <row r="1008" spans="1:30">
      <c r="A1008" s="102">
        <f t="shared" si="16"/>
        <v>1007</v>
      </c>
      <c r="B1008" s="468">
        <f>YEAR(Table6[[#This Row],[Date]])+IF(MONTH(Table6[[#This Row],[Date]])&gt;=4,1,0)</f>
        <v>2026</v>
      </c>
      <c r="C1008" s="102">
        <f>YEAR(Table6[[#This Row],[Date]])</f>
        <v>2025</v>
      </c>
      <c r="D1008" s="102" t="s">
        <v>1992</v>
      </c>
      <c r="E1008" s="469">
        <f>Table6[[#This Row],[Date]]-DAY(Table6[[#This Row],[Date]])+1</f>
        <v>45809</v>
      </c>
      <c r="F1008" s="470">
        <v>45809</v>
      </c>
      <c r="G1008" s="35" t="s">
        <v>99</v>
      </c>
      <c r="H1008" s="35" t="str">
        <f>IFERROR(_xlfn.XLOOKUP(Table6[[#This Row],[Affected WTG]],'Basic Data'!$A:$A,'Basic Data'!$B:$B),"")</f>
        <v>TQGXIIPL</v>
      </c>
      <c r="I1008" s="35" t="str">
        <f>IFERROR(_xlfn.XLOOKUP(Table6[[#This Row],[Affected WTG]],'Basic Data'!$A:$A,'Basic Data'!$C:$C),"")</f>
        <v>GEDA</v>
      </c>
      <c r="J1008" s="471">
        <f>IFERROR(_xlfn.XLOOKUP(Table6[[#This Row],[Affected WTG]],'Basic Data'!$A:$A,'Basic Data'!$E:$E),"")</f>
        <v>3.846153846153845E-2</v>
      </c>
      <c r="K1008" s="102">
        <v>4970</v>
      </c>
      <c r="L1008" s="35" t="str">
        <f>IFERROR(_xlfn.XLOOKUP(Table6[[#This Row],[Error Code]],'Basic Data'!$AA:$AA,'Basic Data'!$AB:$AB),"Incorrect Error Code")</f>
        <v>Tower oscillation XF</v>
      </c>
      <c r="M1008" s="35" t="s">
        <v>292</v>
      </c>
      <c r="N1008" s="475"/>
      <c r="O1008" s="476">
        <v>0.70486111111111116</v>
      </c>
      <c r="P1008" s="476">
        <v>0.70486111111111116</v>
      </c>
      <c r="Q1008" s="477">
        <v>0.71180555555555558</v>
      </c>
      <c r="R1008" s="472">
        <f>IF(Table6[[#This Row],[Work Start TimeStamp]]="","",(Table6[[#This Row],[Work Start TimeStamp]]-Table6[[#This Row],[Fault Start TimeStamp]])*24)</f>
        <v>0</v>
      </c>
      <c r="S1008" s="472">
        <f>(Table6[[#This Row],[Fault Clearance time]]-Table6[[#This Row],[Work Start TimeStamp]])*24</f>
        <v>0.16666666666666607</v>
      </c>
      <c r="T1008" s="472">
        <f>(Table6[[#This Row],[Fault Clearance time]]-Table6[[#This Row],[Fault Start TimeStamp]])*24</f>
        <v>0.16666666666666607</v>
      </c>
      <c r="U1008" s="35" t="s">
        <v>336</v>
      </c>
      <c r="V1008" s="102" t="s">
        <v>293</v>
      </c>
      <c r="W1008" s="478">
        <f>IFERROR(Table6[[#This Row],[Breakdown Time]]*Table6[[#This Row],[Plant Equivalent Weightage]],"")</f>
        <v>6.4102564102563857E-3</v>
      </c>
      <c r="X1008" s="473" t="s">
        <v>294</v>
      </c>
      <c r="Y1008" s="474" t="s">
        <v>315</v>
      </c>
      <c r="Z1008" s="102">
        <v>50690.166666666672</v>
      </c>
      <c r="AA1008" s="468">
        <f>(Table6[[#This Row],[Paired WTG Generation for loss calculation]]/24)*Table6[[#This Row],[Breakdown Time]]</f>
        <v>352.01504629629505</v>
      </c>
      <c r="AB1008" s="102"/>
      <c r="AC1008" s="35"/>
      <c r="AD1008" s="35"/>
    </row>
    <row r="1009" spans="1:30">
      <c r="A1009" s="102">
        <f t="shared" si="16"/>
        <v>1008</v>
      </c>
      <c r="B1009" s="468">
        <f>YEAR(Table6[[#This Row],[Date]])+IF(MONTH(Table6[[#This Row],[Date]])&gt;=4,1,0)</f>
        <v>2026</v>
      </c>
      <c r="C1009" s="102">
        <f>YEAR(Table6[[#This Row],[Date]])</f>
        <v>2025</v>
      </c>
      <c r="D1009" s="102" t="s">
        <v>1992</v>
      </c>
      <c r="E1009" s="469">
        <f>Table6[[#This Row],[Date]]-DAY(Table6[[#This Row],[Date]])+1</f>
        <v>45809</v>
      </c>
      <c r="F1009" s="470">
        <v>45810</v>
      </c>
      <c r="G1009" s="35" t="s">
        <v>74</v>
      </c>
      <c r="H1009" s="35" t="str">
        <f>IFERROR(_xlfn.XLOOKUP(Table6[[#This Row],[Affected WTG]],'Basic Data'!$A:$A,'Basic Data'!$B:$B),"")</f>
        <v>TQGXIIPL</v>
      </c>
      <c r="I1009" s="35" t="str">
        <f>IFERROR(_xlfn.XLOOKUP(Table6[[#This Row],[Affected WTG]],'Basic Data'!$A:$A,'Basic Data'!$C:$C),"")</f>
        <v>GEDA</v>
      </c>
      <c r="J1009" s="471">
        <f>IFERROR(_xlfn.XLOOKUP(Table6[[#This Row],[Affected WTG]],'Basic Data'!$A:$A,'Basic Data'!$E:$E),"")</f>
        <v>3.846153846153845E-2</v>
      </c>
      <c r="K1009" s="102">
        <v>6130</v>
      </c>
      <c r="L1009" s="35" t="str">
        <f>IFERROR(_xlfn.XLOOKUP(Table6[[#This Row],[Error Code]],'Basic Data'!$AA:$AA,'Basic Data'!$AB:$AB),"Incorrect Error Code")</f>
        <v>Yaw speed high</v>
      </c>
      <c r="M1009" s="35" t="s">
        <v>292</v>
      </c>
      <c r="N1009" s="475"/>
      <c r="O1009" s="476">
        <v>0.51111111111111107</v>
      </c>
      <c r="P1009" s="476">
        <v>0.51111111111111107</v>
      </c>
      <c r="Q1009" s="477">
        <v>0.51249999999999996</v>
      </c>
      <c r="R1009" s="472">
        <f>IF(Table6[[#This Row],[Work Start TimeStamp]]="","",(Table6[[#This Row],[Work Start TimeStamp]]-Table6[[#This Row],[Fault Start TimeStamp]])*24)</f>
        <v>0</v>
      </c>
      <c r="S1009" s="472">
        <f>(Table6[[#This Row],[Fault Clearance time]]-Table6[[#This Row],[Work Start TimeStamp]])*24</f>
        <v>3.3333333333333215E-2</v>
      </c>
      <c r="T1009" s="472">
        <f>(Table6[[#This Row],[Fault Clearance time]]-Table6[[#This Row],[Fault Start TimeStamp]])*24</f>
        <v>3.3333333333333215E-2</v>
      </c>
      <c r="U1009" s="35" t="s">
        <v>336</v>
      </c>
      <c r="V1009" s="102" t="s">
        <v>293</v>
      </c>
      <c r="W1009" s="478">
        <f>IFERROR(Table6[[#This Row],[Breakdown Time]]*Table6[[#This Row],[Plant Equivalent Weightage]],"")</f>
        <v>1.2820512820512771E-3</v>
      </c>
      <c r="X1009" s="473" t="s">
        <v>294</v>
      </c>
      <c r="Y1009" s="474" t="s">
        <v>321</v>
      </c>
      <c r="Z1009" s="102">
        <v>44649.833333333328</v>
      </c>
      <c r="AA1009" s="468">
        <f>(Table6[[#This Row],[Paired WTG Generation for loss calculation]]/24)*Table6[[#This Row],[Breakdown Time]]</f>
        <v>62.01365740740718</v>
      </c>
      <c r="AB1009" s="102"/>
      <c r="AC1009" s="35"/>
      <c r="AD1009" s="35"/>
    </row>
    <row r="1010" spans="1:30">
      <c r="A1010" s="102">
        <f t="shared" si="16"/>
        <v>1009</v>
      </c>
      <c r="B1010" s="468">
        <f>YEAR(Table6[[#This Row],[Date]])+IF(MONTH(Table6[[#This Row],[Date]])&gt;=4,1,0)</f>
        <v>2026</v>
      </c>
      <c r="C1010" s="102">
        <f>YEAR(Table6[[#This Row],[Date]])</f>
        <v>2025</v>
      </c>
      <c r="D1010" s="102" t="s">
        <v>1992</v>
      </c>
      <c r="E1010" s="469">
        <f>Table6[[#This Row],[Date]]-DAY(Table6[[#This Row],[Date]])+1</f>
        <v>45809</v>
      </c>
      <c r="F1010" s="470">
        <v>45810</v>
      </c>
      <c r="G1010" s="35" t="s">
        <v>77</v>
      </c>
      <c r="H1010" s="35" t="str">
        <f>IFERROR(_xlfn.XLOOKUP(Table6[[#This Row],[Affected WTG]],'Basic Data'!$A:$A,'Basic Data'!$B:$B),"")</f>
        <v>TQGXIIPL</v>
      </c>
      <c r="I1010" s="35" t="str">
        <f>IFERROR(_xlfn.XLOOKUP(Table6[[#This Row],[Affected WTG]],'Basic Data'!$A:$A,'Basic Data'!$C:$C),"")</f>
        <v>GEDA</v>
      </c>
      <c r="J1010" s="471">
        <f>IFERROR(_xlfn.XLOOKUP(Table6[[#This Row],[Affected WTG]],'Basic Data'!$A:$A,'Basic Data'!$E:$E),"")</f>
        <v>3.846153846153845E-2</v>
      </c>
      <c r="K1010" s="102">
        <v>6130</v>
      </c>
      <c r="L1010" s="35" t="str">
        <f>IFERROR(_xlfn.XLOOKUP(Table6[[#This Row],[Error Code]],'Basic Data'!$AA:$AA,'Basic Data'!$AB:$AB),"Incorrect Error Code")</f>
        <v>Yaw speed high</v>
      </c>
      <c r="M1010" s="35" t="s">
        <v>292</v>
      </c>
      <c r="N1010" s="475"/>
      <c r="O1010" s="476">
        <v>0.52361111111111114</v>
      </c>
      <c r="P1010" s="476">
        <v>0.52361111111111114</v>
      </c>
      <c r="Q1010" s="477">
        <v>0.52777777777777779</v>
      </c>
      <c r="R1010" s="472">
        <f>IF(Table6[[#This Row],[Work Start TimeStamp]]="","",(Table6[[#This Row],[Work Start TimeStamp]]-Table6[[#This Row],[Fault Start TimeStamp]])*24)</f>
        <v>0</v>
      </c>
      <c r="S1010" s="472">
        <f>(Table6[[#This Row],[Fault Clearance time]]-Table6[[#This Row],[Work Start TimeStamp]])*24</f>
        <v>9.9999999999999645E-2</v>
      </c>
      <c r="T1010" s="472">
        <f>(Table6[[#This Row],[Fault Clearance time]]-Table6[[#This Row],[Fault Start TimeStamp]])*24</f>
        <v>9.9999999999999645E-2</v>
      </c>
      <c r="U1010" s="35" t="s">
        <v>336</v>
      </c>
      <c r="V1010" s="102" t="s">
        <v>293</v>
      </c>
      <c r="W1010" s="478">
        <f>IFERROR(Table6[[#This Row],[Breakdown Time]]*Table6[[#This Row],[Plant Equivalent Weightage]],"")</f>
        <v>3.8461538461538312E-3</v>
      </c>
      <c r="X1010" s="473" t="s">
        <v>294</v>
      </c>
      <c r="Y1010" s="474" t="s">
        <v>310</v>
      </c>
      <c r="Z1010" s="102">
        <v>43345.333333333336</v>
      </c>
      <c r="AA1010" s="468">
        <f>(Table6[[#This Row],[Paired WTG Generation for loss calculation]]/24)*Table6[[#This Row],[Breakdown Time]]</f>
        <v>180.60555555555493</v>
      </c>
      <c r="AB1010" s="102"/>
      <c r="AC1010" s="35"/>
      <c r="AD1010" s="35"/>
    </row>
    <row r="1011" spans="1:30">
      <c r="A1011" s="102">
        <f t="shared" si="16"/>
        <v>1010</v>
      </c>
      <c r="B1011" s="468">
        <f>YEAR(Table6[[#This Row],[Date]])+IF(MONTH(Table6[[#This Row],[Date]])&gt;=4,1,0)</f>
        <v>2026</v>
      </c>
      <c r="C1011" s="102">
        <f>YEAR(Table6[[#This Row],[Date]])</f>
        <v>2025</v>
      </c>
      <c r="D1011" s="102" t="s">
        <v>1992</v>
      </c>
      <c r="E1011" s="469">
        <f>Table6[[#This Row],[Date]]-DAY(Table6[[#This Row],[Date]])+1</f>
        <v>45809</v>
      </c>
      <c r="F1011" s="470">
        <v>45810</v>
      </c>
      <c r="G1011" s="35" t="s">
        <v>78</v>
      </c>
      <c r="H1011" s="35" t="str">
        <f>IFERROR(_xlfn.XLOOKUP(Table6[[#This Row],[Affected WTG]],'Basic Data'!$A:$A,'Basic Data'!$B:$B),"")</f>
        <v>TQGXIIPL</v>
      </c>
      <c r="I1011" s="35" t="str">
        <f>IFERROR(_xlfn.XLOOKUP(Table6[[#This Row],[Affected WTG]],'Basic Data'!$A:$A,'Basic Data'!$C:$C),"")</f>
        <v>GEDA</v>
      </c>
      <c r="J1011" s="471">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291</v>
      </c>
      <c r="N1011" s="475"/>
      <c r="O1011" s="476">
        <v>0.67708333333333337</v>
      </c>
      <c r="P1011" s="476">
        <v>0.67708333333333337</v>
      </c>
      <c r="Q1011" s="477">
        <v>0.71736111111111112</v>
      </c>
      <c r="R1011" s="472">
        <f>IF(Table6[[#This Row],[Work Start TimeStamp]]="","",(Table6[[#This Row],[Work Start TimeStamp]]-Table6[[#This Row],[Fault Start TimeStamp]])*24)</f>
        <v>0</v>
      </c>
      <c r="S1011" s="472">
        <f>(Table6[[#This Row],[Fault Clearance time]]-Table6[[#This Row],[Work Start TimeStamp]])*24</f>
        <v>0.9666666666666659</v>
      </c>
      <c r="T1011" s="472">
        <f>(Table6[[#This Row],[Fault Clearance time]]-Table6[[#This Row],[Fault Start TimeStamp]])*24</f>
        <v>0.9666666666666659</v>
      </c>
      <c r="U1011" s="35" t="s">
        <v>1934</v>
      </c>
      <c r="V1011" s="102" t="s">
        <v>293</v>
      </c>
      <c r="W1011" s="478">
        <f>IFERROR(Table6[[#This Row],[Breakdown Time]]*Table6[[#This Row],[Plant Equivalent Weightage]],"")</f>
        <v>3.7179487179487138E-2</v>
      </c>
      <c r="X1011" s="473" t="s">
        <v>294</v>
      </c>
      <c r="Y1011" s="474" t="s">
        <v>333</v>
      </c>
      <c r="Z1011" s="102">
        <v>43828.333333333336</v>
      </c>
      <c r="AA1011" s="468">
        <f>(Table6[[#This Row],[Paired WTG Generation for loss calculation]]/24)*Table6[[#This Row],[Breakdown Time]]</f>
        <v>1765.3078703703691</v>
      </c>
      <c r="AB1011" s="102"/>
      <c r="AC1011" s="35"/>
      <c r="AD1011" s="35"/>
    </row>
    <row r="1012" spans="1:30">
      <c r="A1012" s="102">
        <f t="shared" si="16"/>
        <v>1011</v>
      </c>
      <c r="B1012" s="468">
        <f>YEAR(Table6[[#This Row],[Date]])+IF(MONTH(Table6[[#This Row],[Date]])&gt;=4,1,0)</f>
        <v>2026</v>
      </c>
      <c r="C1012" s="102">
        <f>YEAR(Table6[[#This Row],[Date]])</f>
        <v>2025</v>
      </c>
      <c r="D1012" s="102" t="s">
        <v>1992</v>
      </c>
      <c r="E1012" s="469">
        <f>Table6[[#This Row],[Date]]-DAY(Table6[[#This Row],[Date]])+1</f>
        <v>45809</v>
      </c>
      <c r="F1012" s="470">
        <v>45810</v>
      </c>
      <c r="G1012" s="35" t="s">
        <v>78</v>
      </c>
      <c r="H1012" s="35" t="str">
        <f>IFERROR(_xlfn.XLOOKUP(Table6[[#This Row],[Affected WTG]],'Basic Data'!$A:$A,'Basic Data'!$B:$B),"")</f>
        <v>TQGXIIPL</v>
      </c>
      <c r="I1012" s="35" t="str">
        <f>IFERROR(_xlfn.XLOOKUP(Table6[[#This Row],[Affected WTG]],'Basic Data'!$A:$A,'Basic Data'!$C:$C),"")</f>
        <v>GEDA</v>
      </c>
      <c r="J1012" s="471">
        <f>IFERROR(_xlfn.XLOOKUP(Table6[[#This Row],[Affected WTG]],'Basic Data'!$A:$A,'Basic Data'!$E:$E),"")</f>
        <v>3.846153846153845E-2</v>
      </c>
      <c r="K1012" s="102">
        <v>4960</v>
      </c>
      <c r="L1012" s="35" t="str">
        <f>IFERROR(_xlfn.XLOOKUP(Table6[[#This Row],[Error Code]],'Basic Data'!$AA:$AA,'Basic Data'!$AB:$AB),"Incorrect Error Code")</f>
        <v>Tower oscillation YF</v>
      </c>
      <c r="M1012" s="35" t="s">
        <v>292</v>
      </c>
      <c r="N1012" s="475"/>
      <c r="O1012" s="476">
        <v>0.7597222222222223</v>
      </c>
      <c r="P1012" s="476">
        <v>0.7597222222222223</v>
      </c>
      <c r="Q1012" s="477">
        <v>0.77083333333333337</v>
      </c>
      <c r="R1012" s="472">
        <f>IF(Table6[[#This Row],[Work Start TimeStamp]]="","",(Table6[[#This Row],[Work Start TimeStamp]]-Table6[[#This Row],[Fault Start TimeStamp]])*24)</f>
        <v>0</v>
      </c>
      <c r="S1012" s="472">
        <f>(Table6[[#This Row],[Fault Clearance time]]-Table6[[#This Row],[Work Start TimeStamp]])*24</f>
        <v>0.26666666666666572</v>
      </c>
      <c r="T1012" s="472">
        <f>(Table6[[#This Row],[Fault Clearance time]]-Table6[[#This Row],[Fault Start TimeStamp]])*24</f>
        <v>0.26666666666666572</v>
      </c>
      <c r="U1012" s="35" t="s">
        <v>336</v>
      </c>
      <c r="V1012" s="102" t="s">
        <v>293</v>
      </c>
      <c r="W1012" s="478">
        <f>IFERROR(Table6[[#This Row],[Breakdown Time]]*Table6[[#This Row],[Plant Equivalent Weightage]],"")</f>
        <v>1.0256410256410217E-2</v>
      </c>
      <c r="X1012" s="473" t="s">
        <v>294</v>
      </c>
      <c r="Y1012" s="474" t="s">
        <v>333</v>
      </c>
      <c r="Z1012" s="102">
        <v>43828.333333333336</v>
      </c>
      <c r="AA1012" s="468">
        <f>(Table6[[#This Row],[Paired WTG Generation for loss calculation]]/24)*Table6[[#This Row],[Breakdown Time]]</f>
        <v>486.98148148147976</v>
      </c>
      <c r="AB1012" s="102"/>
      <c r="AC1012" s="35"/>
      <c r="AD1012" s="35"/>
    </row>
    <row r="1013" spans="1:30">
      <c r="A1013" s="102">
        <f t="shared" si="16"/>
        <v>1012</v>
      </c>
      <c r="B1013" s="468">
        <f>YEAR(Table6[[#This Row],[Date]])+IF(MONTH(Table6[[#This Row],[Date]])&gt;=4,1,0)</f>
        <v>2026</v>
      </c>
      <c r="C1013" s="102">
        <f>YEAR(Table6[[#This Row],[Date]])</f>
        <v>2025</v>
      </c>
      <c r="D1013" s="102" t="s">
        <v>1992</v>
      </c>
      <c r="E1013" s="469">
        <f>Table6[[#This Row],[Date]]-DAY(Table6[[#This Row],[Date]])+1</f>
        <v>45809</v>
      </c>
      <c r="F1013" s="470">
        <v>45810</v>
      </c>
      <c r="G1013" s="35" t="s">
        <v>78</v>
      </c>
      <c r="H1013" s="35" t="str">
        <f>IFERROR(_xlfn.XLOOKUP(Table6[[#This Row],[Affected WTG]],'Basic Data'!$A:$A,'Basic Data'!$B:$B),"")</f>
        <v>TQGXIIPL</v>
      </c>
      <c r="I1013" s="35" t="str">
        <f>IFERROR(_xlfn.XLOOKUP(Table6[[#This Row],[Affected WTG]],'Basic Data'!$A:$A,'Basic Data'!$C:$C),"")</f>
        <v>GEDA</v>
      </c>
      <c r="J1013" s="471">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291</v>
      </c>
      <c r="N1013" s="475"/>
      <c r="O1013" s="476">
        <v>0.90763888888888888</v>
      </c>
      <c r="P1013" s="476">
        <v>0.90763888888888888</v>
      </c>
      <c r="Q1013" s="477">
        <v>0.91736111111111118</v>
      </c>
      <c r="R1013" s="472">
        <f>IF(Table6[[#This Row],[Work Start TimeStamp]]="","",(Table6[[#This Row],[Work Start TimeStamp]]-Table6[[#This Row],[Fault Start TimeStamp]])*24)</f>
        <v>0</v>
      </c>
      <c r="S1013" s="472">
        <f>(Table6[[#This Row],[Fault Clearance time]]-Table6[[#This Row],[Work Start TimeStamp]])*24</f>
        <v>0.23333333333333517</v>
      </c>
      <c r="T1013" s="472">
        <f>(Table6[[#This Row],[Fault Clearance time]]-Table6[[#This Row],[Fault Start TimeStamp]])*24</f>
        <v>0.23333333333333517</v>
      </c>
      <c r="U1013" s="35" t="s">
        <v>1935</v>
      </c>
      <c r="V1013" s="102" t="s">
        <v>293</v>
      </c>
      <c r="W1013" s="478">
        <f>IFERROR(Table6[[#This Row],[Breakdown Time]]*Table6[[#This Row],[Plant Equivalent Weightage]],"")</f>
        <v>8.9743589743590414E-3</v>
      </c>
      <c r="X1013" s="473" t="s">
        <v>294</v>
      </c>
      <c r="Y1013" s="474" t="s">
        <v>333</v>
      </c>
      <c r="Z1013" s="102">
        <v>43828.333333333336</v>
      </c>
      <c r="AA1013" s="468">
        <f>(Table6[[#This Row],[Paired WTG Generation for loss calculation]]/24)*Table6[[#This Row],[Breakdown Time]]</f>
        <v>426.10879629629966</v>
      </c>
      <c r="AB1013" s="102"/>
      <c r="AC1013" s="35"/>
      <c r="AD1013" s="35"/>
    </row>
    <row r="1014" spans="1:30">
      <c r="A1014" s="102">
        <f t="shared" si="16"/>
        <v>1013</v>
      </c>
      <c r="B1014" s="468">
        <f>YEAR(Table6[[#This Row],[Date]])+IF(MONTH(Table6[[#This Row],[Date]])&gt;=4,1,0)</f>
        <v>2026</v>
      </c>
      <c r="C1014" s="102">
        <f>YEAR(Table6[[#This Row],[Date]])</f>
        <v>2025</v>
      </c>
      <c r="D1014" s="102" t="s">
        <v>1992</v>
      </c>
      <c r="E1014" s="469">
        <f>Table6[[#This Row],[Date]]-DAY(Table6[[#This Row],[Date]])+1</f>
        <v>45809</v>
      </c>
      <c r="F1014" s="470">
        <v>45810</v>
      </c>
      <c r="G1014" s="35" t="s">
        <v>79</v>
      </c>
      <c r="H1014" s="35" t="str">
        <f>IFERROR(_xlfn.XLOOKUP(Table6[[#This Row],[Affected WTG]],'Basic Data'!$A:$A,'Basic Data'!$B:$B),"")</f>
        <v>TQGXIIPL</v>
      </c>
      <c r="I1014" s="35" t="str">
        <f>IFERROR(_xlfn.XLOOKUP(Table6[[#This Row],[Affected WTG]],'Basic Data'!$A:$A,'Basic Data'!$C:$C),"")</f>
        <v>GEDA</v>
      </c>
      <c r="J1014" s="471">
        <f>IFERROR(_xlfn.XLOOKUP(Table6[[#This Row],[Affected WTG]],'Basic Data'!$A:$A,'Basic Data'!$E:$E),"")</f>
        <v>3.846153846153845E-2</v>
      </c>
      <c r="K1014" s="102">
        <v>6130</v>
      </c>
      <c r="L1014" s="35" t="str">
        <f>IFERROR(_xlfn.XLOOKUP(Table6[[#This Row],[Error Code]],'Basic Data'!$AA:$AA,'Basic Data'!$AB:$AB),"Incorrect Error Code")</f>
        <v>Yaw speed high</v>
      </c>
      <c r="M1014" s="35" t="s">
        <v>292</v>
      </c>
      <c r="N1014" s="475"/>
      <c r="O1014" s="476">
        <v>0.77777777777777779</v>
      </c>
      <c r="P1014" s="476">
        <v>0.77777777777777779</v>
      </c>
      <c r="Q1014" s="477">
        <v>0.78194444444444444</v>
      </c>
      <c r="R1014" s="472">
        <f>IF(Table6[[#This Row],[Work Start TimeStamp]]="","",(Table6[[#This Row],[Work Start TimeStamp]]-Table6[[#This Row],[Fault Start TimeStamp]])*24)</f>
        <v>0</v>
      </c>
      <c r="S1014" s="472">
        <f>(Table6[[#This Row],[Fault Clearance time]]-Table6[[#This Row],[Work Start TimeStamp]])*24</f>
        <v>9.9999999999999645E-2</v>
      </c>
      <c r="T1014" s="472">
        <f>(Table6[[#This Row],[Fault Clearance time]]-Table6[[#This Row],[Fault Start TimeStamp]])*24</f>
        <v>9.9999999999999645E-2</v>
      </c>
      <c r="U1014" s="35" t="s">
        <v>336</v>
      </c>
      <c r="V1014" s="102" t="s">
        <v>293</v>
      </c>
      <c r="W1014" s="478">
        <f>IFERROR(Table6[[#This Row],[Breakdown Time]]*Table6[[#This Row],[Plant Equivalent Weightage]],"")</f>
        <v>3.8461538461538312E-3</v>
      </c>
      <c r="X1014" s="473" t="s">
        <v>294</v>
      </c>
      <c r="Y1014" s="474" t="s">
        <v>325</v>
      </c>
      <c r="Z1014" s="102">
        <v>48023.333333333328</v>
      </c>
      <c r="AA1014" s="468">
        <f>(Table6[[#This Row],[Paired WTG Generation for loss calculation]]/24)*Table6[[#This Row],[Breakdown Time]]</f>
        <v>200.09722222222149</v>
      </c>
      <c r="AB1014" s="102"/>
      <c r="AC1014" s="35"/>
      <c r="AD1014" s="35"/>
    </row>
    <row r="1015" spans="1:30">
      <c r="A1015" s="102">
        <f t="shared" si="16"/>
        <v>1014</v>
      </c>
      <c r="B1015" s="468">
        <f>YEAR(Table6[[#This Row],[Date]])+IF(MONTH(Table6[[#This Row],[Date]])&gt;=4,1,0)</f>
        <v>2026</v>
      </c>
      <c r="C1015" s="102">
        <f>YEAR(Table6[[#This Row],[Date]])</f>
        <v>2025</v>
      </c>
      <c r="D1015" s="102" t="s">
        <v>1992</v>
      </c>
      <c r="E1015" s="469">
        <f>Table6[[#This Row],[Date]]-DAY(Table6[[#This Row],[Date]])+1</f>
        <v>45809</v>
      </c>
      <c r="F1015" s="470">
        <v>45810</v>
      </c>
      <c r="G1015" s="35" t="s">
        <v>81</v>
      </c>
      <c r="H1015" s="35" t="str">
        <f>IFERROR(_xlfn.XLOOKUP(Table6[[#This Row],[Affected WTG]],'Basic Data'!$A:$A,'Basic Data'!$B:$B),"")</f>
        <v>TQGXIIPL</v>
      </c>
      <c r="I1015" s="35" t="str">
        <f>IFERROR(_xlfn.XLOOKUP(Table6[[#This Row],[Affected WTG]],'Basic Data'!$A:$A,'Basic Data'!$C:$C),"")</f>
        <v>GEDA</v>
      </c>
      <c r="J1015" s="471">
        <f>IFERROR(_xlfn.XLOOKUP(Table6[[#This Row],[Affected WTG]],'Basic Data'!$A:$A,'Basic Data'!$E:$E),"")</f>
        <v>3.846153846153845E-2</v>
      </c>
      <c r="K1015" s="102">
        <v>6605</v>
      </c>
      <c r="L1015" s="35" t="str">
        <f>IFERROR(_xlfn.XLOOKUP(Table6[[#This Row],[Error Code]],'Basic Data'!$AA:$AA,'Basic Data'!$AB:$AB),"Incorrect Error Code")</f>
        <v>Wind.dir. diff. level 2</v>
      </c>
      <c r="M1015" s="35" t="s">
        <v>292</v>
      </c>
      <c r="N1015" s="475"/>
      <c r="O1015" s="476">
        <v>0.57152777777777786</v>
      </c>
      <c r="P1015" s="476">
        <v>0.57152777777777786</v>
      </c>
      <c r="Q1015" s="477">
        <v>0.5722222222222223</v>
      </c>
      <c r="R1015" s="472">
        <f>IF(Table6[[#This Row],[Work Start TimeStamp]]="","",(Table6[[#This Row],[Work Start TimeStamp]]-Table6[[#This Row],[Fault Start TimeStamp]])*24)</f>
        <v>0</v>
      </c>
      <c r="S1015" s="472">
        <f>(Table6[[#This Row],[Fault Clearance time]]-Table6[[#This Row],[Work Start TimeStamp]])*24</f>
        <v>1.6666666666666607E-2</v>
      </c>
      <c r="T1015" s="472">
        <f>(Table6[[#This Row],[Fault Clearance time]]-Table6[[#This Row],[Fault Start TimeStamp]])*24</f>
        <v>1.6666666666666607E-2</v>
      </c>
      <c r="U1015" s="35" t="s">
        <v>336</v>
      </c>
      <c r="V1015" s="102" t="s">
        <v>293</v>
      </c>
      <c r="W1015" s="478">
        <f>IFERROR(Table6[[#This Row],[Breakdown Time]]*Table6[[#This Row],[Plant Equivalent Weightage]],"")</f>
        <v>6.4102564102563853E-4</v>
      </c>
      <c r="X1015" s="473" t="s">
        <v>294</v>
      </c>
      <c r="Y1015" s="474" t="s">
        <v>321</v>
      </c>
      <c r="Z1015" s="102">
        <v>44649.833333333328</v>
      </c>
      <c r="AA1015" s="468">
        <f>(Table6[[#This Row],[Paired WTG Generation for loss calculation]]/24)*Table6[[#This Row],[Breakdown Time]]</f>
        <v>31.00682870370359</v>
      </c>
      <c r="AB1015" s="102"/>
      <c r="AC1015" s="35"/>
      <c r="AD1015" s="35"/>
    </row>
    <row r="1016" spans="1:30">
      <c r="A1016" s="102">
        <f t="shared" si="16"/>
        <v>1015</v>
      </c>
      <c r="B1016" s="468">
        <f>YEAR(Table6[[#This Row],[Date]])+IF(MONTH(Table6[[#This Row],[Date]])&gt;=4,1,0)</f>
        <v>2026</v>
      </c>
      <c r="C1016" s="102">
        <f>YEAR(Table6[[#This Row],[Date]])</f>
        <v>2025</v>
      </c>
      <c r="D1016" s="102" t="s">
        <v>1992</v>
      </c>
      <c r="E1016" s="469">
        <f>Table6[[#This Row],[Date]]-DAY(Table6[[#This Row],[Date]])+1</f>
        <v>45809</v>
      </c>
      <c r="F1016" s="470">
        <v>45810</v>
      </c>
      <c r="G1016" s="35" t="s">
        <v>81</v>
      </c>
      <c r="H1016" s="35" t="str">
        <f>IFERROR(_xlfn.XLOOKUP(Table6[[#This Row],[Affected WTG]],'Basic Data'!$A:$A,'Basic Data'!$B:$B),"")</f>
        <v>TQGXIIPL</v>
      </c>
      <c r="I1016" s="35" t="str">
        <f>IFERROR(_xlfn.XLOOKUP(Table6[[#This Row],[Affected WTG]],'Basic Data'!$A:$A,'Basic Data'!$C:$C),"")</f>
        <v>GEDA</v>
      </c>
      <c r="J1016" s="471">
        <f>IFERROR(_xlfn.XLOOKUP(Table6[[#This Row],[Affected WTG]],'Basic Data'!$A:$A,'Basic Data'!$E:$E),"")</f>
        <v>3.846153846153845E-2</v>
      </c>
      <c r="K1016" s="102">
        <v>6130</v>
      </c>
      <c r="L1016" s="35" t="str">
        <f>IFERROR(_xlfn.XLOOKUP(Table6[[#This Row],[Error Code]],'Basic Data'!$AA:$AA,'Basic Data'!$AB:$AB),"Incorrect Error Code")</f>
        <v>Yaw speed high</v>
      </c>
      <c r="M1016" s="35" t="s">
        <v>292</v>
      </c>
      <c r="N1016" s="475"/>
      <c r="O1016" s="476">
        <v>0.64027777777777783</v>
      </c>
      <c r="P1016" s="476">
        <v>0.64027777777777783</v>
      </c>
      <c r="Q1016" s="477">
        <v>0.64444444444444449</v>
      </c>
      <c r="R1016" s="472">
        <f>IF(Table6[[#This Row],[Work Start TimeStamp]]="","",(Table6[[#This Row],[Work Start TimeStamp]]-Table6[[#This Row],[Fault Start TimeStamp]])*24)</f>
        <v>0</v>
      </c>
      <c r="S1016" s="472">
        <f>(Table6[[#This Row],[Fault Clearance time]]-Table6[[#This Row],[Work Start TimeStamp]])*24</f>
        <v>9.9999999999999645E-2</v>
      </c>
      <c r="T1016" s="472">
        <f>(Table6[[#This Row],[Fault Clearance time]]-Table6[[#This Row],[Fault Start TimeStamp]])*24</f>
        <v>9.9999999999999645E-2</v>
      </c>
      <c r="U1016" s="35" t="s">
        <v>336</v>
      </c>
      <c r="V1016" s="102" t="s">
        <v>293</v>
      </c>
      <c r="W1016" s="478">
        <f>IFERROR(Table6[[#This Row],[Breakdown Time]]*Table6[[#This Row],[Plant Equivalent Weightage]],"")</f>
        <v>3.8461538461538312E-3</v>
      </c>
      <c r="X1016" s="473" t="s">
        <v>294</v>
      </c>
      <c r="Y1016" s="474" t="s">
        <v>321</v>
      </c>
      <c r="Z1016" s="102">
        <v>44649.833333333328</v>
      </c>
      <c r="AA1016" s="468">
        <f>(Table6[[#This Row],[Paired WTG Generation for loss calculation]]/24)*Table6[[#This Row],[Breakdown Time]]</f>
        <v>186.04097222222154</v>
      </c>
      <c r="AB1016" s="102"/>
      <c r="AC1016" s="35"/>
      <c r="AD1016" s="35"/>
    </row>
    <row r="1017" spans="1:30">
      <c r="A1017" s="102">
        <f t="shared" si="16"/>
        <v>1016</v>
      </c>
      <c r="B1017" s="468">
        <f>YEAR(Table6[[#This Row],[Date]])+IF(MONTH(Table6[[#This Row],[Date]])&gt;=4,1,0)</f>
        <v>2026</v>
      </c>
      <c r="C1017" s="102">
        <f>YEAR(Table6[[#This Row],[Date]])</f>
        <v>2025</v>
      </c>
      <c r="D1017" s="102" t="s">
        <v>1992</v>
      </c>
      <c r="E1017" s="469">
        <f>Table6[[#This Row],[Date]]-DAY(Table6[[#This Row],[Date]])+1</f>
        <v>45809</v>
      </c>
      <c r="F1017" s="470">
        <v>45810</v>
      </c>
      <c r="G1017" s="35" t="s">
        <v>81</v>
      </c>
      <c r="H1017" s="35" t="str">
        <f>IFERROR(_xlfn.XLOOKUP(Table6[[#This Row],[Affected WTG]],'Basic Data'!$A:$A,'Basic Data'!$B:$B),"")</f>
        <v>TQGXIIPL</v>
      </c>
      <c r="I1017" s="35" t="str">
        <f>IFERROR(_xlfn.XLOOKUP(Table6[[#This Row],[Affected WTG]],'Basic Data'!$A:$A,'Basic Data'!$C:$C),"")</f>
        <v>GEDA</v>
      </c>
      <c r="J1017" s="471">
        <f>IFERROR(_xlfn.XLOOKUP(Table6[[#This Row],[Affected WTG]],'Basic Data'!$A:$A,'Basic Data'!$E:$E),"")</f>
        <v>3.846153846153845E-2</v>
      </c>
      <c r="K1017" s="102">
        <v>6605</v>
      </c>
      <c r="L1017" s="35" t="str">
        <f>IFERROR(_xlfn.XLOOKUP(Table6[[#This Row],[Error Code]],'Basic Data'!$AA:$AA,'Basic Data'!$AB:$AB),"Incorrect Error Code")</f>
        <v>Wind.dir. diff. level 2</v>
      </c>
      <c r="M1017" s="35" t="s">
        <v>292</v>
      </c>
      <c r="N1017" s="475"/>
      <c r="O1017" s="476">
        <v>0.67152777777777783</v>
      </c>
      <c r="P1017" s="476">
        <v>0.67152777777777783</v>
      </c>
      <c r="Q1017" s="477">
        <v>0.67291666666666672</v>
      </c>
      <c r="R1017" s="472">
        <f>IF(Table6[[#This Row],[Work Start TimeStamp]]="","",(Table6[[#This Row],[Work Start TimeStamp]]-Table6[[#This Row],[Fault Start TimeStamp]])*24)</f>
        <v>0</v>
      </c>
      <c r="S1017" s="472">
        <f>(Table6[[#This Row],[Fault Clearance time]]-Table6[[#This Row],[Work Start TimeStamp]])*24</f>
        <v>3.3333333333333215E-2</v>
      </c>
      <c r="T1017" s="472">
        <f>(Table6[[#This Row],[Fault Clearance time]]-Table6[[#This Row],[Fault Start TimeStamp]])*24</f>
        <v>3.3333333333333215E-2</v>
      </c>
      <c r="U1017" s="35" t="s">
        <v>336</v>
      </c>
      <c r="V1017" s="102" t="s">
        <v>293</v>
      </c>
      <c r="W1017" s="478">
        <f>IFERROR(Table6[[#This Row],[Breakdown Time]]*Table6[[#This Row],[Plant Equivalent Weightage]],"")</f>
        <v>1.2820512820512771E-3</v>
      </c>
      <c r="X1017" s="473" t="s">
        <v>294</v>
      </c>
      <c r="Y1017" s="474" t="s">
        <v>321</v>
      </c>
      <c r="Z1017" s="102">
        <v>44649.833333333328</v>
      </c>
      <c r="AA1017" s="468">
        <f>(Table6[[#This Row],[Paired WTG Generation for loss calculation]]/24)*Table6[[#This Row],[Breakdown Time]]</f>
        <v>62.01365740740718</v>
      </c>
      <c r="AB1017" s="102"/>
      <c r="AC1017" s="35"/>
      <c r="AD1017" s="35"/>
    </row>
    <row r="1018" spans="1:30">
      <c r="A1018" s="102">
        <f t="shared" si="16"/>
        <v>1017</v>
      </c>
      <c r="B1018" s="468">
        <f>YEAR(Table6[[#This Row],[Date]])+IF(MONTH(Table6[[#This Row],[Date]])&gt;=4,1,0)</f>
        <v>2026</v>
      </c>
      <c r="C1018" s="102">
        <f>YEAR(Table6[[#This Row],[Date]])</f>
        <v>2025</v>
      </c>
      <c r="D1018" s="102" t="s">
        <v>1992</v>
      </c>
      <c r="E1018" s="469">
        <f>Table6[[#This Row],[Date]]-DAY(Table6[[#This Row],[Date]])+1</f>
        <v>45809</v>
      </c>
      <c r="F1018" s="470">
        <v>45810</v>
      </c>
      <c r="G1018" s="35" t="s">
        <v>81</v>
      </c>
      <c r="H1018" s="35" t="str">
        <f>IFERROR(_xlfn.XLOOKUP(Table6[[#This Row],[Affected WTG]],'Basic Data'!$A:$A,'Basic Data'!$B:$B),"")</f>
        <v>TQGXIIPL</v>
      </c>
      <c r="I1018" s="35" t="str">
        <f>IFERROR(_xlfn.XLOOKUP(Table6[[#This Row],[Affected WTG]],'Basic Data'!$A:$A,'Basic Data'!$C:$C),"")</f>
        <v>GEDA</v>
      </c>
      <c r="J1018" s="471">
        <f>IFERROR(_xlfn.XLOOKUP(Table6[[#This Row],[Affected WTG]],'Basic Data'!$A:$A,'Basic Data'!$E:$E),"")</f>
        <v>3.846153846153845E-2</v>
      </c>
      <c r="K1018" s="102">
        <v>4970</v>
      </c>
      <c r="L1018" s="35" t="str">
        <f>IFERROR(_xlfn.XLOOKUP(Table6[[#This Row],[Error Code]],'Basic Data'!$AA:$AA,'Basic Data'!$AB:$AB),"Incorrect Error Code")</f>
        <v>Tower oscillation XF</v>
      </c>
      <c r="M1018" s="35" t="s">
        <v>292</v>
      </c>
      <c r="N1018" s="475"/>
      <c r="O1018" s="476">
        <v>0.69097222222222221</v>
      </c>
      <c r="P1018" s="476">
        <v>0.69097222222222221</v>
      </c>
      <c r="Q1018" s="477">
        <v>0.70208333333333339</v>
      </c>
      <c r="R1018" s="472">
        <f>IF(Table6[[#This Row],[Work Start TimeStamp]]="","",(Table6[[#This Row],[Work Start TimeStamp]]-Table6[[#This Row],[Fault Start TimeStamp]])*24)</f>
        <v>0</v>
      </c>
      <c r="S1018" s="472">
        <f>(Table6[[#This Row],[Fault Clearance time]]-Table6[[#This Row],[Work Start TimeStamp]])*24</f>
        <v>0.26666666666666838</v>
      </c>
      <c r="T1018" s="472">
        <f>(Table6[[#This Row],[Fault Clearance time]]-Table6[[#This Row],[Fault Start TimeStamp]])*24</f>
        <v>0.26666666666666838</v>
      </c>
      <c r="U1018" s="35" t="s">
        <v>336</v>
      </c>
      <c r="V1018" s="102" t="s">
        <v>293</v>
      </c>
      <c r="W1018" s="478">
        <f>IFERROR(Table6[[#This Row],[Breakdown Time]]*Table6[[#This Row],[Plant Equivalent Weightage]],"")</f>
        <v>1.0256410256410319E-2</v>
      </c>
      <c r="X1018" s="473" t="s">
        <v>294</v>
      </c>
      <c r="Y1018" s="474" t="s">
        <v>321</v>
      </c>
      <c r="Z1018" s="102">
        <v>44649.833333333328</v>
      </c>
      <c r="AA1018" s="468">
        <f>(Table6[[#This Row],[Paired WTG Generation for loss calculation]]/24)*Table6[[#This Row],[Breakdown Time]]</f>
        <v>496.10925925926239</v>
      </c>
      <c r="AB1018" s="102"/>
      <c r="AC1018" s="35"/>
      <c r="AD1018" s="35"/>
    </row>
    <row r="1019" spans="1:30">
      <c r="A1019" s="102">
        <f t="shared" si="16"/>
        <v>1018</v>
      </c>
      <c r="B1019" s="468">
        <f>YEAR(Table6[[#This Row],[Date]])+IF(MONTH(Table6[[#This Row],[Date]])&gt;=4,1,0)</f>
        <v>2026</v>
      </c>
      <c r="C1019" s="102">
        <f>YEAR(Table6[[#This Row],[Date]])</f>
        <v>2025</v>
      </c>
      <c r="D1019" s="102" t="s">
        <v>1992</v>
      </c>
      <c r="E1019" s="469">
        <f>Table6[[#This Row],[Date]]-DAY(Table6[[#This Row],[Date]])+1</f>
        <v>45809</v>
      </c>
      <c r="F1019" s="470">
        <v>45810</v>
      </c>
      <c r="G1019" s="35" t="s">
        <v>81</v>
      </c>
      <c r="H1019" s="35" t="str">
        <f>IFERROR(_xlfn.XLOOKUP(Table6[[#This Row],[Affected WTG]],'Basic Data'!$A:$A,'Basic Data'!$B:$B),"")</f>
        <v>TQGXIIPL</v>
      </c>
      <c r="I1019" s="35" t="str">
        <f>IFERROR(_xlfn.XLOOKUP(Table6[[#This Row],[Affected WTG]],'Basic Data'!$A:$A,'Basic Data'!$C:$C),"")</f>
        <v>GEDA</v>
      </c>
      <c r="J1019" s="471">
        <f>IFERROR(_xlfn.XLOOKUP(Table6[[#This Row],[Affected WTG]],'Basic Data'!$A:$A,'Basic Data'!$E:$E),"")</f>
        <v>3.846153846153845E-2</v>
      </c>
      <c r="K1019" s="102">
        <v>665</v>
      </c>
      <c r="L1019" s="35" t="str">
        <f>IFERROR(_xlfn.XLOOKUP(Table6[[#This Row],[Error Code]],'Basic Data'!$AA:$AA,'Basic Data'!$AB:$AB),"Incorrect Error Code")</f>
        <v>Pitch error</v>
      </c>
      <c r="M1019" s="35" t="s">
        <v>291</v>
      </c>
      <c r="N1019" s="475"/>
      <c r="O1019" s="476">
        <v>0.90416666666666667</v>
      </c>
      <c r="P1019" s="476">
        <v>0.90416666666666667</v>
      </c>
      <c r="Q1019" s="477">
        <v>0.90833333333333333</v>
      </c>
      <c r="R1019" s="472">
        <f>IF(Table6[[#This Row],[Work Start TimeStamp]]="","",(Table6[[#This Row],[Work Start TimeStamp]]-Table6[[#This Row],[Fault Start TimeStamp]])*24)</f>
        <v>0</v>
      </c>
      <c r="S1019" s="472">
        <f>(Table6[[#This Row],[Fault Clearance time]]-Table6[[#This Row],[Work Start TimeStamp]])*24</f>
        <v>9.9999999999999645E-2</v>
      </c>
      <c r="T1019" s="472">
        <f>(Table6[[#This Row],[Fault Clearance time]]-Table6[[#This Row],[Fault Start TimeStamp]])*24</f>
        <v>9.9999999999999645E-2</v>
      </c>
      <c r="U1019" s="35" t="s">
        <v>1936</v>
      </c>
      <c r="V1019" s="102" t="s">
        <v>293</v>
      </c>
      <c r="W1019" s="478">
        <f>IFERROR(Table6[[#This Row],[Breakdown Time]]*Table6[[#This Row],[Plant Equivalent Weightage]],"")</f>
        <v>3.8461538461538312E-3</v>
      </c>
      <c r="X1019" s="473" t="s">
        <v>294</v>
      </c>
      <c r="Y1019" s="474" t="s">
        <v>321</v>
      </c>
      <c r="Z1019" s="102">
        <v>44649.833333333328</v>
      </c>
      <c r="AA1019" s="468">
        <f>(Table6[[#This Row],[Paired WTG Generation for loss calculation]]/24)*Table6[[#This Row],[Breakdown Time]]</f>
        <v>186.04097222222154</v>
      </c>
      <c r="AB1019" s="102"/>
      <c r="AC1019" s="35"/>
      <c r="AD1019" s="35"/>
    </row>
    <row r="1020" spans="1:30">
      <c r="A1020" s="102">
        <f t="shared" si="16"/>
        <v>1019</v>
      </c>
      <c r="B1020" s="468">
        <f>YEAR(Table6[[#This Row],[Date]])+IF(MONTH(Table6[[#This Row],[Date]])&gt;=4,1,0)</f>
        <v>2026</v>
      </c>
      <c r="C1020" s="102">
        <f>YEAR(Table6[[#This Row],[Date]])</f>
        <v>2025</v>
      </c>
      <c r="D1020" s="102" t="s">
        <v>1992</v>
      </c>
      <c r="E1020" s="469">
        <f>Table6[[#This Row],[Date]]-DAY(Table6[[#This Row],[Date]])+1</f>
        <v>45809</v>
      </c>
      <c r="F1020" s="470">
        <v>45810</v>
      </c>
      <c r="G1020" s="35" t="s">
        <v>86</v>
      </c>
      <c r="H1020" s="35" t="str">
        <f>IFERROR(_xlfn.XLOOKUP(Table6[[#This Row],[Affected WTG]],'Basic Data'!$A:$A,'Basic Data'!$B:$B),"")</f>
        <v>TQGXIIPL</v>
      </c>
      <c r="I1020" s="35" t="str">
        <f>IFERROR(_xlfn.XLOOKUP(Table6[[#This Row],[Affected WTG]],'Basic Data'!$A:$A,'Basic Data'!$C:$C),"")</f>
        <v>GEDA</v>
      </c>
      <c r="J1020" s="471">
        <f>IFERROR(_xlfn.XLOOKUP(Table6[[#This Row],[Affected WTG]],'Basic Data'!$A:$A,'Basic Data'!$E:$E),"")</f>
        <v>3.846153846153845E-2</v>
      </c>
      <c r="K1020" s="102">
        <v>6130</v>
      </c>
      <c r="L1020" s="35" t="str">
        <f>IFERROR(_xlfn.XLOOKUP(Table6[[#This Row],[Error Code]],'Basic Data'!$AA:$AA,'Basic Data'!$AB:$AB),"Incorrect Error Code")</f>
        <v>Yaw speed high</v>
      </c>
      <c r="M1020" s="35" t="s">
        <v>292</v>
      </c>
      <c r="N1020" s="475"/>
      <c r="O1020" s="476">
        <v>0.70277777777777783</v>
      </c>
      <c r="P1020" s="476">
        <v>0.70277777777777783</v>
      </c>
      <c r="Q1020" s="477">
        <v>0.70694444444444449</v>
      </c>
      <c r="R1020" s="472">
        <f>IF(Table6[[#This Row],[Work Start TimeStamp]]="","",(Table6[[#This Row],[Work Start TimeStamp]]-Table6[[#This Row],[Fault Start TimeStamp]])*24)</f>
        <v>0</v>
      </c>
      <c r="S1020" s="472">
        <f>(Table6[[#This Row],[Fault Clearance time]]-Table6[[#This Row],[Work Start TimeStamp]])*24</f>
        <v>9.9999999999999645E-2</v>
      </c>
      <c r="T1020" s="472">
        <f>(Table6[[#This Row],[Fault Clearance time]]-Table6[[#This Row],[Fault Start TimeStamp]])*24</f>
        <v>9.9999999999999645E-2</v>
      </c>
      <c r="U1020" s="35" t="s">
        <v>336</v>
      </c>
      <c r="V1020" s="102" t="s">
        <v>293</v>
      </c>
      <c r="W1020" s="478">
        <f>IFERROR(Table6[[#This Row],[Breakdown Time]]*Table6[[#This Row],[Plant Equivalent Weightage]],"")</f>
        <v>3.8461538461538312E-3</v>
      </c>
      <c r="X1020" s="473" t="s">
        <v>294</v>
      </c>
      <c r="Y1020" s="474" t="s">
        <v>313</v>
      </c>
      <c r="Z1020" s="102">
        <v>44131.333333333336</v>
      </c>
      <c r="AA1020" s="468">
        <f>(Table6[[#This Row],[Paired WTG Generation for loss calculation]]/24)*Table6[[#This Row],[Breakdown Time]]</f>
        <v>183.88055555555491</v>
      </c>
      <c r="AB1020" s="102"/>
      <c r="AC1020" s="35"/>
      <c r="AD1020" s="35"/>
    </row>
    <row r="1021" spans="1:30">
      <c r="A1021" s="102">
        <f t="shared" si="16"/>
        <v>1020</v>
      </c>
      <c r="B1021" s="468">
        <f>YEAR(Table6[[#This Row],[Date]])+IF(MONTH(Table6[[#This Row],[Date]])&gt;=4,1,0)</f>
        <v>2026</v>
      </c>
      <c r="C1021" s="102">
        <f>YEAR(Table6[[#This Row],[Date]])</f>
        <v>2025</v>
      </c>
      <c r="D1021" s="102" t="s">
        <v>1992</v>
      </c>
      <c r="E1021" s="469">
        <f>Table6[[#This Row],[Date]]-DAY(Table6[[#This Row],[Date]])+1</f>
        <v>45809</v>
      </c>
      <c r="F1021" s="470">
        <v>45810</v>
      </c>
      <c r="G1021" s="35" t="s">
        <v>87</v>
      </c>
      <c r="H1021" s="35" t="str">
        <f>IFERROR(_xlfn.XLOOKUP(Table6[[#This Row],[Affected WTG]],'Basic Data'!$A:$A,'Basic Data'!$B:$B),"")</f>
        <v>TQGXIIPL</v>
      </c>
      <c r="I1021" s="35" t="str">
        <f>IFERROR(_xlfn.XLOOKUP(Table6[[#This Row],[Affected WTG]],'Basic Data'!$A:$A,'Basic Data'!$C:$C),"")</f>
        <v>GEDA</v>
      </c>
      <c r="J1021" s="471">
        <f>IFERROR(_xlfn.XLOOKUP(Table6[[#This Row],[Affected WTG]],'Basic Data'!$A:$A,'Basic Data'!$E:$E),"")</f>
        <v>3.846153846153845E-2</v>
      </c>
      <c r="K1021" s="102">
        <v>6130</v>
      </c>
      <c r="L1021" s="35" t="str">
        <f>IFERROR(_xlfn.XLOOKUP(Table6[[#This Row],[Error Code]],'Basic Data'!$AA:$AA,'Basic Data'!$AB:$AB),"Incorrect Error Code")</f>
        <v>Yaw speed high</v>
      </c>
      <c r="M1021" s="35" t="s">
        <v>292</v>
      </c>
      <c r="N1021" s="475"/>
      <c r="O1021" s="476">
        <v>0.58819444444444446</v>
      </c>
      <c r="P1021" s="476">
        <v>0.58819444444444446</v>
      </c>
      <c r="Q1021" s="477">
        <v>0.59236111111111112</v>
      </c>
      <c r="R1021" s="472">
        <f>IF(Table6[[#This Row],[Work Start TimeStamp]]="","",(Table6[[#This Row],[Work Start TimeStamp]]-Table6[[#This Row],[Fault Start TimeStamp]])*24)</f>
        <v>0</v>
      </c>
      <c r="S1021" s="472">
        <f>(Table6[[#This Row],[Fault Clearance time]]-Table6[[#This Row],[Work Start TimeStamp]])*24</f>
        <v>9.9999999999999645E-2</v>
      </c>
      <c r="T1021" s="472">
        <f>(Table6[[#This Row],[Fault Clearance time]]-Table6[[#This Row],[Fault Start TimeStamp]])*24</f>
        <v>9.9999999999999645E-2</v>
      </c>
      <c r="U1021" s="35" t="s">
        <v>336</v>
      </c>
      <c r="V1021" s="102" t="s">
        <v>293</v>
      </c>
      <c r="W1021" s="478">
        <f>IFERROR(Table6[[#This Row],[Breakdown Time]]*Table6[[#This Row],[Plant Equivalent Weightage]],"")</f>
        <v>3.8461538461538312E-3</v>
      </c>
      <c r="X1021" s="473" t="s">
        <v>294</v>
      </c>
      <c r="Y1021" s="474" t="s">
        <v>327</v>
      </c>
      <c r="Z1021" s="102">
        <v>42844.333333333336</v>
      </c>
      <c r="AA1021" s="468">
        <f>(Table6[[#This Row],[Paired WTG Generation for loss calculation]]/24)*Table6[[#This Row],[Breakdown Time]]</f>
        <v>178.51805555555492</v>
      </c>
      <c r="AB1021" s="102"/>
      <c r="AC1021" s="35"/>
      <c r="AD1021" s="35"/>
    </row>
    <row r="1022" spans="1:30">
      <c r="A1022" s="102">
        <f t="shared" si="16"/>
        <v>1021</v>
      </c>
      <c r="B1022" s="468">
        <f>YEAR(Table6[[#This Row],[Date]])+IF(MONTH(Table6[[#This Row],[Date]])&gt;=4,1,0)</f>
        <v>2026</v>
      </c>
      <c r="C1022" s="102">
        <f>YEAR(Table6[[#This Row],[Date]])</f>
        <v>2025</v>
      </c>
      <c r="D1022" s="102" t="s">
        <v>1992</v>
      </c>
      <c r="E1022" s="469">
        <f>Table6[[#This Row],[Date]]-DAY(Table6[[#This Row],[Date]])+1</f>
        <v>45809</v>
      </c>
      <c r="F1022" s="470">
        <v>45810</v>
      </c>
      <c r="G1022" s="35" t="s">
        <v>88</v>
      </c>
      <c r="H1022" s="35" t="str">
        <f>IFERROR(_xlfn.XLOOKUP(Table6[[#This Row],[Affected WTG]],'Basic Data'!$A:$A,'Basic Data'!$B:$B),"")</f>
        <v>TQGXIIPL</v>
      </c>
      <c r="I1022" s="35" t="str">
        <f>IFERROR(_xlfn.XLOOKUP(Table6[[#This Row],[Affected WTG]],'Basic Data'!$A:$A,'Basic Data'!$C:$C),"")</f>
        <v>GEDA</v>
      </c>
      <c r="J1022" s="471">
        <f>IFERROR(_xlfn.XLOOKUP(Table6[[#This Row],[Affected WTG]],'Basic Data'!$A:$A,'Basic Data'!$E:$E),"")</f>
        <v>3.846153846153845E-2</v>
      </c>
      <c r="K1022" s="102">
        <v>6130</v>
      </c>
      <c r="L1022" s="35" t="str">
        <f>IFERROR(_xlfn.XLOOKUP(Table6[[#This Row],[Error Code]],'Basic Data'!$AA:$AA,'Basic Data'!$AB:$AB),"Incorrect Error Code")</f>
        <v>Yaw speed high</v>
      </c>
      <c r="M1022" s="35" t="s">
        <v>292</v>
      </c>
      <c r="N1022" s="475"/>
      <c r="O1022" s="476">
        <v>0.73333333333333339</v>
      </c>
      <c r="P1022" s="476">
        <v>0.73333333333333339</v>
      </c>
      <c r="Q1022" s="477">
        <v>0.73541666666666672</v>
      </c>
      <c r="R1022" s="472">
        <f>IF(Table6[[#This Row],[Work Start TimeStamp]]="","",(Table6[[#This Row],[Work Start TimeStamp]]-Table6[[#This Row],[Fault Start TimeStamp]])*24)</f>
        <v>0</v>
      </c>
      <c r="S1022" s="472">
        <f>(Table6[[#This Row],[Fault Clearance time]]-Table6[[#This Row],[Work Start TimeStamp]])*24</f>
        <v>4.9999999999999822E-2</v>
      </c>
      <c r="T1022" s="472">
        <f>(Table6[[#This Row],[Fault Clearance time]]-Table6[[#This Row],[Fault Start TimeStamp]])*24</f>
        <v>4.9999999999999822E-2</v>
      </c>
      <c r="U1022" s="35" t="s">
        <v>336</v>
      </c>
      <c r="V1022" s="102" t="s">
        <v>293</v>
      </c>
      <c r="W1022" s="478">
        <f>IFERROR(Table6[[#This Row],[Breakdown Time]]*Table6[[#This Row],[Plant Equivalent Weightage]],"")</f>
        <v>1.9230769230769156E-3</v>
      </c>
      <c r="X1022" s="473" t="s">
        <v>294</v>
      </c>
      <c r="Y1022" s="474" t="s">
        <v>323</v>
      </c>
      <c r="Z1022" s="102">
        <v>43054.666666666664</v>
      </c>
      <c r="AA1022" s="468">
        <f>(Table6[[#This Row],[Paired WTG Generation for loss calculation]]/24)*Table6[[#This Row],[Breakdown Time]]</f>
        <v>89.697222222221896</v>
      </c>
      <c r="AB1022" s="102"/>
      <c r="AC1022" s="35"/>
      <c r="AD1022" s="35"/>
    </row>
    <row r="1023" spans="1:30">
      <c r="A1023" s="102">
        <f t="shared" si="16"/>
        <v>1022</v>
      </c>
      <c r="B1023" s="468">
        <f>YEAR(Table6[[#This Row],[Date]])+IF(MONTH(Table6[[#This Row],[Date]])&gt;=4,1,0)</f>
        <v>2026</v>
      </c>
      <c r="C1023" s="102">
        <f>YEAR(Table6[[#This Row],[Date]])</f>
        <v>2025</v>
      </c>
      <c r="D1023" s="102" t="s">
        <v>1992</v>
      </c>
      <c r="E1023" s="469">
        <f>Table6[[#This Row],[Date]]-DAY(Table6[[#This Row],[Date]])+1</f>
        <v>45809</v>
      </c>
      <c r="F1023" s="470">
        <v>45810</v>
      </c>
      <c r="G1023" s="35" t="s">
        <v>89</v>
      </c>
      <c r="H1023" s="35" t="str">
        <f>IFERROR(_xlfn.XLOOKUP(Table6[[#This Row],[Affected WTG]],'Basic Data'!$A:$A,'Basic Data'!$B:$B),"")</f>
        <v>TQGXIIPL</v>
      </c>
      <c r="I1023" s="35" t="str">
        <f>IFERROR(_xlfn.XLOOKUP(Table6[[#This Row],[Affected WTG]],'Basic Data'!$A:$A,'Basic Data'!$C:$C),"")</f>
        <v>GEDA</v>
      </c>
      <c r="J1023" s="471">
        <f>IFERROR(_xlfn.XLOOKUP(Table6[[#This Row],[Affected WTG]],'Basic Data'!$A:$A,'Basic Data'!$E:$E),"")</f>
        <v>3.846153846153845E-2</v>
      </c>
      <c r="K1023" s="102">
        <v>6605</v>
      </c>
      <c r="L1023" s="35" t="str">
        <f>IFERROR(_xlfn.XLOOKUP(Table6[[#This Row],[Error Code]],'Basic Data'!$AA:$AA,'Basic Data'!$AB:$AB),"Incorrect Error Code")</f>
        <v>Wind.dir. diff. level 2</v>
      </c>
      <c r="M1023" s="35" t="s">
        <v>292</v>
      </c>
      <c r="N1023" s="475"/>
      <c r="O1023" s="476">
        <v>0.41944444444444445</v>
      </c>
      <c r="P1023" s="476">
        <v>0.41944444444444445</v>
      </c>
      <c r="Q1023" s="477">
        <v>0.4236111111111111</v>
      </c>
      <c r="R1023" s="472">
        <f>IF(Table6[[#This Row],[Work Start TimeStamp]]="","",(Table6[[#This Row],[Work Start TimeStamp]]-Table6[[#This Row],[Fault Start TimeStamp]])*24)</f>
        <v>0</v>
      </c>
      <c r="S1023" s="472">
        <f>(Table6[[#This Row],[Fault Clearance time]]-Table6[[#This Row],[Work Start TimeStamp]])*24</f>
        <v>9.9999999999999645E-2</v>
      </c>
      <c r="T1023" s="472">
        <f>(Table6[[#This Row],[Fault Clearance time]]-Table6[[#This Row],[Fault Start TimeStamp]])*24</f>
        <v>9.9999999999999645E-2</v>
      </c>
      <c r="U1023" s="35" t="s">
        <v>336</v>
      </c>
      <c r="V1023" s="102" t="s">
        <v>293</v>
      </c>
      <c r="W1023" s="478">
        <f>IFERROR(Table6[[#This Row],[Breakdown Time]]*Table6[[#This Row],[Plant Equivalent Weightage]],"")</f>
        <v>3.8461538461538312E-3</v>
      </c>
      <c r="X1023" s="473" t="s">
        <v>294</v>
      </c>
      <c r="Y1023" s="474" t="s">
        <v>325</v>
      </c>
      <c r="Z1023" s="102">
        <v>48023.333333333328</v>
      </c>
      <c r="AA1023" s="468">
        <f>(Table6[[#This Row],[Paired WTG Generation for loss calculation]]/24)*Table6[[#This Row],[Breakdown Time]]</f>
        <v>200.09722222222149</v>
      </c>
      <c r="AB1023" s="102"/>
      <c r="AC1023" s="35"/>
      <c r="AD1023" s="35"/>
    </row>
    <row r="1024" spans="1:30">
      <c r="A1024" s="102">
        <f t="shared" si="16"/>
        <v>1023</v>
      </c>
      <c r="B1024" s="468">
        <f>YEAR(Table6[[#This Row],[Date]])+IF(MONTH(Table6[[#This Row],[Date]])&gt;=4,1,0)</f>
        <v>2026</v>
      </c>
      <c r="C1024" s="102">
        <f>YEAR(Table6[[#This Row],[Date]])</f>
        <v>2025</v>
      </c>
      <c r="D1024" s="102" t="s">
        <v>1992</v>
      </c>
      <c r="E1024" s="469">
        <f>Table6[[#This Row],[Date]]-DAY(Table6[[#This Row],[Date]])+1</f>
        <v>45809</v>
      </c>
      <c r="F1024" s="470">
        <v>45810</v>
      </c>
      <c r="G1024" s="35" t="s">
        <v>89</v>
      </c>
      <c r="H1024" s="35" t="str">
        <f>IFERROR(_xlfn.XLOOKUP(Table6[[#This Row],[Affected WTG]],'Basic Data'!$A:$A,'Basic Data'!$B:$B),"")</f>
        <v>TQGXIIPL</v>
      </c>
      <c r="I1024" s="35" t="str">
        <f>IFERROR(_xlfn.XLOOKUP(Table6[[#This Row],[Affected WTG]],'Basic Data'!$A:$A,'Basic Data'!$C:$C),"")</f>
        <v>GEDA</v>
      </c>
      <c r="J1024" s="471">
        <f>IFERROR(_xlfn.XLOOKUP(Table6[[#This Row],[Affected WTG]],'Basic Data'!$A:$A,'Basic Data'!$E:$E),"")</f>
        <v>3.846153846153845E-2</v>
      </c>
      <c r="K1024" s="102">
        <v>6130</v>
      </c>
      <c r="L1024" s="35" t="str">
        <f>IFERROR(_xlfn.XLOOKUP(Table6[[#This Row],[Error Code]],'Basic Data'!$AA:$AA,'Basic Data'!$AB:$AB),"Incorrect Error Code")</f>
        <v>Yaw speed high</v>
      </c>
      <c r="M1024" s="35" t="s">
        <v>292</v>
      </c>
      <c r="N1024" s="475"/>
      <c r="O1024" s="476">
        <v>0.48680555555555555</v>
      </c>
      <c r="P1024" s="476">
        <v>0.48680555555555555</v>
      </c>
      <c r="Q1024" s="477">
        <v>0.4909722222222222</v>
      </c>
      <c r="R1024" s="472">
        <f>IF(Table6[[#This Row],[Work Start TimeStamp]]="","",(Table6[[#This Row],[Work Start TimeStamp]]-Table6[[#This Row],[Fault Start TimeStamp]])*24)</f>
        <v>0</v>
      </c>
      <c r="S1024" s="472">
        <f>(Table6[[#This Row],[Fault Clearance time]]-Table6[[#This Row],[Work Start TimeStamp]])*24</f>
        <v>9.9999999999999645E-2</v>
      </c>
      <c r="T1024" s="472">
        <f>(Table6[[#This Row],[Fault Clearance time]]-Table6[[#This Row],[Fault Start TimeStamp]])*24</f>
        <v>9.9999999999999645E-2</v>
      </c>
      <c r="U1024" s="35" t="s">
        <v>336</v>
      </c>
      <c r="V1024" s="102" t="s">
        <v>293</v>
      </c>
      <c r="W1024" s="478">
        <f>IFERROR(Table6[[#This Row],[Breakdown Time]]*Table6[[#This Row],[Plant Equivalent Weightage]],"")</f>
        <v>3.8461538461538312E-3</v>
      </c>
      <c r="X1024" s="473" t="s">
        <v>294</v>
      </c>
      <c r="Y1024" s="474" t="s">
        <v>325</v>
      </c>
      <c r="Z1024" s="102">
        <v>48023.333333333328</v>
      </c>
      <c r="AA1024" s="468">
        <f>(Table6[[#This Row],[Paired WTG Generation for loss calculation]]/24)*Table6[[#This Row],[Breakdown Time]]</f>
        <v>200.09722222222149</v>
      </c>
      <c r="AB1024" s="102"/>
      <c r="AC1024" s="35"/>
      <c r="AD1024" s="35"/>
    </row>
    <row r="1025" spans="1:30">
      <c r="A1025" s="102">
        <f t="shared" si="16"/>
        <v>1024</v>
      </c>
      <c r="B1025" s="468">
        <f>YEAR(Table6[[#This Row],[Date]])+IF(MONTH(Table6[[#This Row],[Date]])&gt;=4,1,0)</f>
        <v>2026</v>
      </c>
      <c r="C1025" s="102">
        <f>YEAR(Table6[[#This Row],[Date]])</f>
        <v>2025</v>
      </c>
      <c r="D1025" s="102" t="s">
        <v>1992</v>
      </c>
      <c r="E1025" s="469">
        <f>Table6[[#This Row],[Date]]-DAY(Table6[[#This Row],[Date]])+1</f>
        <v>45809</v>
      </c>
      <c r="F1025" s="470">
        <v>45810</v>
      </c>
      <c r="G1025" s="35" t="s">
        <v>90</v>
      </c>
      <c r="H1025" s="35" t="str">
        <f>IFERROR(_xlfn.XLOOKUP(Table6[[#This Row],[Affected WTG]],'Basic Data'!$A:$A,'Basic Data'!$B:$B),"")</f>
        <v>TQGXIIPL</v>
      </c>
      <c r="I1025" s="35" t="str">
        <f>IFERROR(_xlfn.XLOOKUP(Table6[[#This Row],[Affected WTG]],'Basic Data'!$A:$A,'Basic Data'!$C:$C),"")</f>
        <v>GEDA</v>
      </c>
      <c r="J1025" s="471">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291</v>
      </c>
      <c r="N1025" s="475"/>
      <c r="O1025" s="476">
        <v>0.8125</v>
      </c>
      <c r="P1025" s="476">
        <v>0.8125</v>
      </c>
      <c r="Q1025" s="477">
        <v>0.83263888888888893</v>
      </c>
      <c r="R1025" s="472">
        <f>IF(Table6[[#This Row],[Work Start TimeStamp]]="","",(Table6[[#This Row],[Work Start TimeStamp]]-Table6[[#This Row],[Fault Start TimeStamp]])*24)</f>
        <v>0</v>
      </c>
      <c r="S1025" s="472">
        <f>(Table6[[#This Row],[Fault Clearance time]]-Table6[[#This Row],[Work Start TimeStamp]])*24</f>
        <v>0.48333333333333428</v>
      </c>
      <c r="T1025" s="472">
        <f>(Table6[[#This Row],[Fault Clearance time]]-Table6[[#This Row],[Fault Start TimeStamp]])*24</f>
        <v>0.48333333333333428</v>
      </c>
      <c r="U1025" s="35" t="s">
        <v>1932</v>
      </c>
      <c r="V1025" s="102" t="s">
        <v>293</v>
      </c>
      <c r="W1025" s="478">
        <f>IFERROR(Table6[[#This Row],[Breakdown Time]]*Table6[[#This Row],[Plant Equivalent Weightage]],"")</f>
        <v>1.8589743589743621E-2</v>
      </c>
      <c r="X1025" s="473" t="s">
        <v>294</v>
      </c>
      <c r="Y1025" s="474" t="s">
        <v>339</v>
      </c>
      <c r="Z1025" s="102">
        <v>51023</v>
      </c>
      <c r="AA1025" s="468">
        <f>(Table6[[#This Row],[Paired WTG Generation for loss calculation]]/24)*Table6[[#This Row],[Breakdown Time]]</f>
        <v>1027.5465277777798</v>
      </c>
      <c r="AB1025" s="102"/>
      <c r="AC1025" s="35"/>
      <c r="AD1025" s="35"/>
    </row>
    <row r="1026" spans="1:30">
      <c r="A1026" s="102">
        <f t="shared" si="16"/>
        <v>1025</v>
      </c>
      <c r="B1026" s="468">
        <f>YEAR(Table6[[#This Row],[Date]])+IF(MONTH(Table6[[#This Row],[Date]])&gt;=4,1,0)</f>
        <v>2026</v>
      </c>
      <c r="C1026" s="102">
        <f>YEAR(Table6[[#This Row],[Date]])</f>
        <v>2025</v>
      </c>
      <c r="D1026" s="102" t="s">
        <v>1992</v>
      </c>
      <c r="E1026" s="469">
        <f>Table6[[#This Row],[Date]]-DAY(Table6[[#This Row],[Date]])+1</f>
        <v>45809</v>
      </c>
      <c r="F1026" s="470">
        <v>45810</v>
      </c>
      <c r="G1026" s="35" t="s">
        <v>93</v>
      </c>
      <c r="H1026" s="35" t="str">
        <f>IFERROR(_xlfn.XLOOKUP(Table6[[#This Row],[Affected WTG]],'Basic Data'!$A:$A,'Basic Data'!$B:$B),"")</f>
        <v>TQGXIIPL</v>
      </c>
      <c r="I1026" s="35" t="str">
        <f>IFERROR(_xlfn.XLOOKUP(Table6[[#This Row],[Affected WTG]],'Basic Data'!$A:$A,'Basic Data'!$C:$C),"")</f>
        <v>GEDA</v>
      </c>
      <c r="J1026" s="471">
        <f>IFERROR(_xlfn.XLOOKUP(Table6[[#This Row],[Affected WTG]],'Basic Data'!$A:$A,'Basic Data'!$E:$E),"")</f>
        <v>3.846153846153845E-2</v>
      </c>
      <c r="K1026" s="102">
        <v>6130</v>
      </c>
      <c r="L1026" s="35" t="str">
        <f>IFERROR(_xlfn.XLOOKUP(Table6[[#This Row],[Error Code]],'Basic Data'!$AA:$AA,'Basic Data'!$AB:$AB),"Incorrect Error Code")</f>
        <v>Yaw speed high</v>
      </c>
      <c r="M1026" s="35" t="s">
        <v>292</v>
      </c>
      <c r="N1026" s="475"/>
      <c r="O1026" s="476">
        <v>0.57013888888888897</v>
      </c>
      <c r="P1026" s="476">
        <v>0.57013888888888897</v>
      </c>
      <c r="Q1026" s="477">
        <v>0.57430555555555562</v>
      </c>
      <c r="R1026" s="472">
        <f>IF(Table6[[#This Row],[Work Start TimeStamp]]="","",(Table6[[#This Row],[Work Start TimeStamp]]-Table6[[#This Row],[Fault Start TimeStamp]])*24)</f>
        <v>0</v>
      </c>
      <c r="S1026" s="472">
        <f>(Table6[[#This Row],[Fault Clearance time]]-Table6[[#This Row],[Work Start TimeStamp]])*24</f>
        <v>9.9999999999999645E-2</v>
      </c>
      <c r="T1026" s="472">
        <f>(Table6[[#This Row],[Fault Clearance time]]-Table6[[#This Row],[Fault Start TimeStamp]])*24</f>
        <v>9.9999999999999645E-2</v>
      </c>
      <c r="U1026" s="35" t="s">
        <v>336</v>
      </c>
      <c r="V1026" s="102" t="s">
        <v>293</v>
      </c>
      <c r="W1026" s="478">
        <f>IFERROR(Table6[[#This Row],[Breakdown Time]]*Table6[[#This Row],[Plant Equivalent Weightage]],"")</f>
        <v>3.8461538461538312E-3</v>
      </c>
      <c r="X1026" s="473" t="s">
        <v>294</v>
      </c>
      <c r="Y1026" s="474" t="s">
        <v>314</v>
      </c>
      <c r="Z1026" s="102">
        <v>46021.333333333336</v>
      </c>
      <c r="AA1026" s="468">
        <f>(Table6[[#This Row],[Paired WTG Generation for loss calculation]]/24)*Table6[[#This Row],[Breakdown Time]]</f>
        <v>191.75555555555488</v>
      </c>
      <c r="AB1026" s="102"/>
      <c r="AC1026" s="35"/>
      <c r="AD1026" s="35"/>
    </row>
    <row r="1027" spans="1:30">
      <c r="A1027" s="102">
        <f t="shared" si="16"/>
        <v>1026</v>
      </c>
      <c r="B1027" s="468">
        <f>YEAR(Table6[[#This Row],[Date]])+IF(MONTH(Table6[[#This Row],[Date]])&gt;=4,1,0)</f>
        <v>2026</v>
      </c>
      <c r="C1027" s="102">
        <f>YEAR(Table6[[#This Row],[Date]])</f>
        <v>2025</v>
      </c>
      <c r="D1027" s="102" t="s">
        <v>1992</v>
      </c>
      <c r="E1027" s="469">
        <f>Table6[[#This Row],[Date]]-DAY(Table6[[#This Row],[Date]])+1</f>
        <v>45809</v>
      </c>
      <c r="F1027" s="470">
        <v>45810</v>
      </c>
      <c r="G1027" s="35" t="s">
        <v>94</v>
      </c>
      <c r="H1027" s="35" t="str">
        <f>IFERROR(_xlfn.XLOOKUP(Table6[[#This Row],[Affected WTG]],'Basic Data'!$A:$A,'Basic Data'!$B:$B),"")</f>
        <v>TQGXIIPL</v>
      </c>
      <c r="I1027" s="35" t="str">
        <f>IFERROR(_xlfn.XLOOKUP(Table6[[#This Row],[Affected WTG]],'Basic Data'!$A:$A,'Basic Data'!$C:$C),"")</f>
        <v>GEDA</v>
      </c>
      <c r="J1027" s="471">
        <f>IFERROR(_xlfn.XLOOKUP(Table6[[#This Row],[Affected WTG]],'Basic Data'!$A:$A,'Basic Data'!$E:$E),"")</f>
        <v>3.846153846153845E-2</v>
      </c>
      <c r="K1027" s="102">
        <v>6130</v>
      </c>
      <c r="L1027" s="35" t="str">
        <f>IFERROR(_xlfn.XLOOKUP(Table6[[#This Row],[Error Code]],'Basic Data'!$AA:$AA,'Basic Data'!$AB:$AB),"Incorrect Error Code")</f>
        <v>Yaw speed high</v>
      </c>
      <c r="M1027" s="35" t="s">
        <v>292</v>
      </c>
      <c r="N1027" s="475"/>
      <c r="O1027" s="476">
        <v>0.55902777777777779</v>
      </c>
      <c r="P1027" s="476">
        <v>0.55902777777777779</v>
      </c>
      <c r="Q1027" s="477">
        <v>0.5625</v>
      </c>
      <c r="R1027" s="472">
        <f>IF(Table6[[#This Row],[Work Start TimeStamp]]="","",(Table6[[#This Row],[Work Start TimeStamp]]-Table6[[#This Row],[Fault Start TimeStamp]])*24)</f>
        <v>0</v>
      </c>
      <c r="S1027" s="472">
        <f>(Table6[[#This Row],[Fault Clearance time]]-Table6[[#This Row],[Work Start TimeStamp]])*24</f>
        <v>8.3333333333333037E-2</v>
      </c>
      <c r="T1027" s="472">
        <f>(Table6[[#This Row],[Fault Clearance time]]-Table6[[#This Row],[Fault Start TimeStamp]])*24</f>
        <v>8.3333333333333037E-2</v>
      </c>
      <c r="U1027" s="35" t="s">
        <v>336</v>
      </c>
      <c r="V1027" s="102" t="s">
        <v>293</v>
      </c>
      <c r="W1027" s="478">
        <f>IFERROR(Table6[[#This Row],[Breakdown Time]]*Table6[[#This Row],[Plant Equivalent Weightage]],"")</f>
        <v>3.2051282051281929E-3</v>
      </c>
      <c r="X1027" s="473" t="s">
        <v>294</v>
      </c>
      <c r="Y1027" s="474" t="s">
        <v>319</v>
      </c>
      <c r="Z1027" s="102">
        <v>47731</v>
      </c>
      <c r="AA1027" s="468">
        <f>(Table6[[#This Row],[Paired WTG Generation for loss calculation]]/24)*Table6[[#This Row],[Breakdown Time]]</f>
        <v>165.73263888888832</v>
      </c>
      <c r="AB1027" s="102"/>
      <c r="AC1027" s="35"/>
      <c r="AD1027" s="35"/>
    </row>
    <row r="1028" spans="1:30">
      <c r="A1028" s="102">
        <f t="shared" si="16"/>
        <v>1027</v>
      </c>
      <c r="B1028" s="468">
        <f>YEAR(Table6[[#This Row],[Date]])+IF(MONTH(Table6[[#This Row],[Date]])&gt;=4,1,0)</f>
        <v>2026</v>
      </c>
      <c r="C1028" s="102">
        <f>YEAR(Table6[[#This Row],[Date]])</f>
        <v>2025</v>
      </c>
      <c r="D1028" s="102" t="s">
        <v>1992</v>
      </c>
      <c r="E1028" s="469">
        <f>Table6[[#This Row],[Date]]-DAY(Table6[[#This Row],[Date]])+1</f>
        <v>45809</v>
      </c>
      <c r="F1028" s="470">
        <v>45810</v>
      </c>
      <c r="G1028" s="35" t="s">
        <v>96</v>
      </c>
      <c r="H1028" s="35" t="str">
        <f>IFERROR(_xlfn.XLOOKUP(Table6[[#This Row],[Affected WTG]],'Basic Data'!$A:$A,'Basic Data'!$B:$B),"")</f>
        <v>TQGXIIPL</v>
      </c>
      <c r="I1028" s="35" t="str">
        <f>IFERROR(_xlfn.XLOOKUP(Table6[[#This Row],[Affected WTG]],'Basic Data'!$A:$A,'Basic Data'!$C:$C),"")</f>
        <v>GEDA</v>
      </c>
      <c r="J1028" s="471">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292</v>
      </c>
      <c r="N1028" s="475"/>
      <c r="O1028" s="476">
        <v>0.59930555555555565</v>
      </c>
      <c r="P1028" s="476">
        <v>0.59930555555555565</v>
      </c>
      <c r="Q1028" s="477">
        <v>0.61250000000000004</v>
      </c>
      <c r="R1028" s="472">
        <f>IF(Table6[[#This Row],[Work Start TimeStamp]]="","",(Table6[[#This Row],[Work Start TimeStamp]]-Table6[[#This Row],[Fault Start TimeStamp]])*24)</f>
        <v>0</v>
      </c>
      <c r="S1028" s="472">
        <f>(Table6[[#This Row],[Fault Clearance time]]-Table6[[#This Row],[Work Start TimeStamp]])*24</f>
        <v>0.31666666666666554</v>
      </c>
      <c r="T1028" s="472">
        <f>(Table6[[#This Row],[Fault Clearance time]]-Table6[[#This Row],[Fault Start TimeStamp]])*24</f>
        <v>0.31666666666666554</v>
      </c>
      <c r="U1028" s="35" t="s">
        <v>336</v>
      </c>
      <c r="V1028" s="102" t="s">
        <v>293</v>
      </c>
      <c r="W1028" s="478">
        <f>IFERROR(Table6[[#This Row],[Breakdown Time]]*Table6[[#This Row],[Plant Equivalent Weightage]],"")</f>
        <v>1.2179487179487133E-2</v>
      </c>
      <c r="X1028" s="473" t="s">
        <v>294</v>
      </c>
      <c r="Y1028" s="474" t="s">
        <v>313</v>
      </c>
      <c r="Z1028" s="102">
        <v>44131.333333333336</v>
      </c>
      <c r="AA1028" s="468">
        <f>(Table6[[#This Row],[Paired WTG Generation for loss calculation]]/24)*Table6[[#This Row],[Breakdown Time]]</f>
        <v>582.28842592592389</v>
      </c>
      <c r="AB1028" s="102"/>
      <c r="AC1028" s="35"/>
      <c r="AD1028" s="35"/>
    </row>
    <row r="1029" spans="1:30">
      <c r="A1029" s="102">
        <f t="shared" si="16"/>
        <v>1028</v>
      </c>
      <c r="B1029" s="468">
        <f>YEAR(Table6[[#This Row],[Date]])+IF(MONTH(Table6[[#This Row],[Date]])&gt;=4,1,0)</f>
        <v>2026</v>
      </c>
      <c r="C1029" s="102">
        <f>YEAR(Table6[[#This Row],[Date]])</f>
        <v>2025</v>
      </c>
      <c r="D1029" s="102" t="s">
        <v>1992</v>
      </c>
      <c r="E1029" s="469">
        <f>Table6[[#This Row],[Date]]-DAY(Table6[[#This Row],[Date]])+1</f>
        <v>45809</v>
      </c>
      <c r="F1029" s="470">
        <v>45811</v>
      </c>
      <c r="G1029" s="35" t="s">
        <v>74</v>
      </c>
      <c r="H1029" s="35" t="str">
        <f>IFERROR(_xlfn.XLOOKUP(Table6[[#This Row],[Affected WTG]],'Basic Data'!$A:$A,'Basic Data'!$B:$B),"")</f>
        <v>TQGXIIPL</v>
      </c>
      <c r="I1029" s="35" t="str">
        <f>IFERROR(_xlfn.XLOOKUP(Table6[[#This Row],[Affected WTG]],'Basic Data'!$A:$A,'Basic Data'!$C:$C),"")</f>
        <v>GEDA</v>
      </c>
      <c r="J1029" s="471">
        <f>IFERROR(_xlfn.XLOOKUP(Table6[[#This Row],[Affected WTG]],'Basic Data'!$A:$A,'Basic Data'!$E:$E),"")</f>
        <v>3.846153846153845E-2</v>
      </c>
      <c r="K1029" s="102">
        <v>6130</v>
      </c>
      <c r="L1029" s="35" t="str">
        <f>IFERROR(_xlfn.XLOOKUP(Table6[[#This Row],[Error Code]],'Basic Data'!$AA:$AA,'Basic Data'!$AB:$AB),"Incorrect Error Code")</f>
        <v>Yaw speed high</v>
      </c>
      <c r="M1029" s="35" t="s">
        <v>292</v>
      </c>
      <c r="N1029" s="475"/>
      <c r="O1029" s="476">
        <v>0.57777777777777783</v>
      </c>
      <c r="P1029" s="476">
        <v>0.57777777777777783</v>
      </c>
      <c r="Q1029" s="477">
        <v>0.58194444444444449</v>
      </c>
      <c r="R1029" s="472">
        <f>IF(Table6[[#This Row],[Work Start TimeStamp]]="","",(Table6[[#This Row],[Work Start TimeStamp]]-Table6[[#This Row],[Fault Start TimeStamp]])*24)</f>
        <v>0</v>
      </c>
      <c r="S1029" s="472">
        <f>(Table6[[#This Row],[Fault Clearance time]]-Table6[[#This Row],[Work Start TimeStamp]])*24</f>
        <v>9.9999999999999645E-2</v>
      </c>
      <c r="T1029" s="472">
        <f>(Table6[[#This Row],[Fault Clearance time]]-Table6[[#This Row],[Fault Start TimeStamp]])*24</f>
        <v>9.9999999999999645E-2</v>
      </c>
      <c r="U1029" s="35" t="s">
        <v>336</v>
      </c>
      <c r="V1029" s="102" t="s">
        <v>293</v>
      </c>
      <c r="W1029" s="478">
        <f>IFERROR(Table6[[#This Row],[Breakdown Time]]*Table6[[#This Row],[Plant Equivalent Weightage]],"")</f>
        <v>3.8461538461538312E-3</v>
      </c>
      <c r="X1029" s="473" t="s">
        <v>294</v>
      </c>
      <c r="Y1029" s="474" t="s">
        <v>321</v>
      </c>
      <c r="Z1029" s="102">
        <v>38729.760000000002</v>
      </c>
      <c r="AA1029" s="468">
        <f>(Table6[[#This Row],[Paired WTG Generation for loss calculation]]/24)*Table6[[#This Row],[Breakdown Time]]</f>
        <v>161.37399999999943</v>
      </c>
      <c r="AB1029" s="102"/>
      <c r="AC1029" s="35"/>
      <c r="AD1029" s="35"/>
    </row>
    <row r="1030" spans="1:30">
      <c r="A1030" s="102">
        <f t="shared" si="16"/>
        <v>1029</v>
      </c>
      <c r="B1030" s="468">
        <f>YEAR(Table6[[#This Row],[Date]])+IF(MONTH(Table6[[#This Row],[Date]])&gt;=4,1,0)</f>
        <v>2026</v>
      </c>
      <c r="C1030" s="102">
        <f>YEAR(Table6[[#This Row],[Date]])</f>
        <v>2025</v>
      </c>
      <c r="D1030" s="102" t="s">
        <v>1992</v>
      </c>
      <c r="E1030" s="469">
        <f>Table6[[#This Row],[Date]]-DAY(Table6[[#This Row],[Date]])+1</f>
        <v>45809</v>
      </c>
      <c r="F1030" s="470">
        <v>45811</v>
      </c>
      <c r="G1030" s="35" t="s">
        <v>74</v>
      </c>
      <c r="H1030" s="35" t="str">
        <f>IFERROR(_xlfn.XLOOKUP(Table6[[#This Row],[Affected WTG]],'Basic Data'!$A:$A,'Basic Data'!$B:$B),"")</f>
        <v>TQGXIIPL</v>
      </c>
      <c r="I1030" s="35" t="str">
        <f>IFERROR(_xlfn.XLOOKUP(Table6[[#This Row],[Affected WTG]],'Basic Data'!$A:$A,'Basic Data'!$C:$C),"")</f>
        <v>GEDA</v>
      </c>
      <c r="J1030" s="471">
        <f>IFERROR(_xlfn.XLOOKUP(Table6[[#This Row],[Affected WTG]],'Basic Data'!$A:$A,'Basic Data'!$E:$E),"")</f>
        <v>3.846153846153845E-2</v>
      </c>
      <c r="K1030" s="102">
        <v>6130</v>
      </c>
      <c r="L1030" s="35" t="str">
        <f>IFERROR(_xlfn.XLOOKUP(Table6[[#This Row],[Error Code]],'Basic Data'!$AA:$AA,'Basic Data'!$AB:$AB),"Incorrect Error Code")</f>
        <v>Yaw speed high</v>
      </c>
      <c r="M1030" s="35" t="s">
        <v>291</v>
      </c>
      <c r="N1030" s="475"/>
      <c r="O1030" s="476">
        <v>0.66666666666666674</v>
      </c>
      <c r="P1030" s="476">
        <v>0.66666666666666674</v>
      </c>
      <c r="Q1030" s="477">
        <v>0.66805555555555562</v>
      </c>
      <c r="R1030" s="472">
        <f>IF(Table6[[#This Row],[Work Start TimeStamp]]="","",(Table6[[#This Row],[Work Start TimeStamp]]-Table6[[#This Row],[Fault Start TimeStamp]])*24)</f>
        <v>0</v>
      </c>
      <c r="S1030" s="472">
        <f>(Table6[[#This Row],[Fault Clearance time]]-Table6[[#This Row],[Work Start TimeStamp]])*24</f>
        <v>3.3333333333333215E-2</v>
      </c>
      <c r="T1030" s="472">
        <f>(Table6[[#This Row],[Fault Clearance time]]-Table6[[#This Row],[Fault Start TimeStamp]])*24</f>
        <v>3.3333333333333215E-2</v>
      </c>
      <c r="U1030" s="35" t="s">
        <v>1924</v>
      </c>
      <c r="V1030" s="102" t="s">
        <v>293</v>
      </c>
      <c r="W1030" s="478">
        <f>IFERROR(Table6[[#This Row],[Breakdown Time]]*Table6[[#This Row],[Plant Equivalent Weightage]],"")</f>
        <v>1.2820512820512771E-3</v>
      </c>
      <c r="X1030" s="473" t="s">
        <v>294</v>
      </c>
      <c r="Y1030" s="474" t="s">
        <v>321</v>
      </c>
      <c r="Z1030" s="102">
        <v>38729.760000000002</v>
      </c>
      <c r="AA1030" s="468">
        <f>(Table6[[#This Row],[Paired WTG Generation for loss calculation]]/24)*Table6[[#This Row],[Breakdown Time]]</f>
        <v>53.791333333333142</v>
      </c>
      <c r="AB1030" s="102"/>
      <c r="AC1030" s="35"/>
      <c r="AD1030" s="35"/>
    </row>
    <row r="1031" spans="1:30">
      <c r="A1031" s="102">
        <f t="shared" si="16"/>
        <v>1030</v>
      </c>
      <c r="B1031" s="468">
        <f>YEAR(Table6[[#This Row],[Date]])+IF(MONTH(Table6[[#This Row],[Date]])&gt;=4,1,0)</f>
        <v>2026</v>
      </c>
      <c r="C1031" s="102">
        <f>YEAR(Table6[[#This Row],[Date]])</f>
        <v>2025</v>
      </c>
      <c r="D1031" s="102" t="s">
        <v>1992</v>
      </c>
      <c r="E1031" s="469">
        <f>Table6[[#This Row],[Date]]-DAY(Table6[[#This Row],[Date]])+1</f>
        <v>45809</v>
      </c>
      <c r="F1031" s="470">
        <v>45811</v>
      </c>
      <c r="G1031" s="35" t="s">
        <v>77</v>
      </c>
      <c r="H1031" s="35" t="str">
        <f>IFERROR(_xlfn.XLOOKUP(Table6[[#This Row],[Affected WTG]],'Basic Data'!$A:$A,'Basic Data'!$B:$B),"")</f>
        <v>TQGXIIPL</v>
      </c>
      <c r="I1031" s="35" t="str">
        <f>IFERROR(_xlfn.XLOOKUP(Table6[[#This Row],[Affected WTG]],'Basic Data'!$A:$A,'Basic Data'!$C:$C),"")</f>
        <v>GEDA</v>
      </c>
      <c r="J1031" s="471">
        <f>IFERROR(_xlfn.XLOOKUP(Table6[[#This Row],[Affected WTG]],'Basic Data'!$A:$A,'Basic Data'!$E:$E),"")</f>
        <v>3.846153846153845E-2</v>
      </c>
      <c r="K1031" s="102">
        <v>6130</v>
      </c>
      <c r="L1031" s="35" t="str">
        <f>IFERROR(_xlfn.XLOOKUP(Table6[[#This Row],[Error Code]],'Basic Data'!$AA:$AA,'Basic Data'!$AB:$AB),"Incorrect Error Code")</f>
        <v>Yaw speed high</v>
      </c>
      <c r="M1031" s="35" t="s">
        <v>291</v>
      </c>
      <c r="N1031" s="475"/>
      <c r="O1031" s="476">
        <v>0.53888888888888897</v>
      </c>
      <c r="P1031" s="476">
        <v>0.53888888888888897</v>
      </c>
      <c r="Q1031" s="477">
        <v>0.54513888888888895</v>
      </c>
      <c r="R1031" s="472">
        <f>IF(Table6[[#This Row],[Work Start TimeStamp]]="","",(Table6[[#This Row],[Work Start TimeStamp]]-Table6[[#This Row],[Fault Start TimeStamp]])*24)</f>
        <v>0</v>
      </c>
      <c r="S1031" s="472">
        <f>(Table6[[#This Row],[Fault Clearance time]]-Table6[[#This Row],[Work Start TimeStamp]])*24</f>
        <v>0.14999999999999947</v>
      </c>
      <c r="T1031" s="472">
        <f>(Table6[[#This Row],[Fault Clearance time]]-Table6[[#This Row],[Fault Start TimeStamp]])*24</f>
        <v>0.14999999999999947</v>
      </c>
      <c r="U1031" s="35" t="s">
        <v>1924</v>
      </c>
      <c r="V1031" s="102" t="s">
        <v>293</v>
      </c>
      <c r="W1031" s="478">
        <f>IFERROR(Table6[[#This Row],[Breakdown Time]]*Table6[[#This Row],[Plant Equivalent Weightage]],"")</f>
        <v>5.769230769230747E-3</v>
      </c>
      <c r="X1031" s="473" t="s">
        <v>294</v>
      </c>
      <c r="Y1031" s="474" t="s">
        <v>310</v>
      </c>
      <c r="Z1031" s="102">
        <v>39912.239999999998</v>
      </c>
      <c r="AA1031" s="468">
        <f>(Table6[[#This Row],[Paired WTG Generation for loss calculation]]/24)*Table6[[#This Row],[Breakdown Time]]</f>
        <v>249.4514999999991</v>
      </c>
      <c r="AB1031" s="102"/>
      <c r="AC1031" s="35"/>
      <c r="AD1031" s="35"/>
    </row>
    <row r="1032" spans="1:30">
      <c r="A1032" s="102">
        <f t="shared" si="16"/>
        <v>1031</v>
      </c>
      <c r="B1032" s="468">
        <f>YEAR(Table6[[#This Row],[Date]])+IF(MONTH(Table6[[#This Row],[Date]])&gt;=4,1,0)</f>
        <v>2026</v>
      </c>
      <c r="C1032" s="102">
        <f>YEAR(Table6[[#This Row],[Date]])</f>
        <v>2025</v>
      </c>
      <c r="D1032" s="102" t="s">
        <v>1992</v>
      </c>
      <c r="E1032" s="469">
        <f>Table6[[#This Row],[Date]]-DAY(Table6[[#This Row],[Date]])+1</f>
        <v>45809</v>
      </c>
      <c r="F1032" s="470">
        <v>45811</v>
      </c>
      <c r="G1032" s="35" t="s">
        <v>77</v>
      </c>
      <c r="H1032" s="35" t="str">
        <f>IFERROR(_xlfn.XLOOKUP(Table6[[#This Row],[Affected WTG]],'Basic Data'!$A:$A,'Basic Data'!$B:$B),"")</f>
        <v>TQGXIIPL</v>
      </c>
      <c r="I1032" s="35" t="str">
        <f>IFERROR(_xlfn.XLOOKUP(Table6[[#This Row],[Affected WTG]],'Basic Data'!$A:$A,'Basic Data'!$C:$C),"")</f>
        <v>GEDA</v>
      </c>
      <c r="J1032" s="471">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291</v>
      </c>
      <c r="N1032" s="475"/>
      <c r="O1032" s="476">
        <v>0.54652777777777783</v>
      </c>
      <c r="P1032" s="476">
        <v>0.54652777777777783</v>
      </c>
      <c r="Q1032" s="477">
        <v>0.54791666666666672</v>
      </c>
      <c r="R1032" s="472">
        <f>IF(Table6[[#This Row],[Work Start TimeStamp]]="","",(Table6[[#This Row],[Work Start TimeStamp]]-Table6[[#This Row],[Fault Start TimeStamp]])*24)</f>
        <v>0</v>
      </c>
      <c r="S1032" s="472">
        <f>(Table6[[#This Row],[Fault Clearance time]]-Table6[[#This Row],[Work Start TimeStamp]])*24</f>
        <v>3.3333333333333215E-2</v>
      </c>
      <c r="T1032" s="472">
        <f>(Table6[[#This Row],[Fault Clearance time]]-Table6[[#This Row],[Fault Start TimeStamp]])*24</f>
        <v>3.3333333333333215E-2</v>
      </c>
      <c r="U1032" s="35" t="s">
        <v>1937</v>
      </c>
      <c r="V1032" s="102" t="s">
        <v>293</v>
      </c>
      <c r="W1032" s="478">
        <f>IFERROR(Table6[[#This Row],[Breakdown Time]]*Table6[[#This Row],[Plant Equivalent Weightage]],"")</f>
        <v>1.2820512820512771E-3</v>
      </c>
      <c r="X1032" s="473" t="s">
        <v>294</v>
      </c>
      <c r="Y1032" s="474" t="s">
        <v>310</v>
      </c>
      <c r="Z1032" s="102">
        <v>39912.239999999998</v>
      </c>
      <c r="AA1032" s="468">
        <f>(Table6[[#This Row],[Paired WTG Generation for loss calculation]]/24)*Table6[[#This Row],[Breakdown Time]]</f>
        <v>55.433666666666468</v>
      </c>
      <c r="AB1032" s="102"/>
      <c r="AC1032" s="35"/>
      <c r="AD1032" s="35"/>
    </row>
    <row r="1033" spans="1:30">
      <c r="A1033" s="102">
        <f t="shared" si="16"/>
        <v>1032</v>
      </c>
      <c r="B1033" s="468">
        <f>YEAR(Table6[[#This Row],[Date]])+IF(MONTH(Table6[[#This Row],[Date]])&gt;=4,1,0)</f>
        <v>2026</v>
      </c>
      <c r="C1033" s="102">
        <f>YEAR(Table6[[#This Row],[Date]])</f>
        <v>2025</v>
      </c>
      <c r="D1033" s="102" t="s">
        <v>1992</v>
      </c>
      <c r="E1033" s="469">
        <f>Table6[[#This Row],[Date]]-DAY(Table6[[#This Row],[Date]])+1</f>
        <v>45809</v>
      </c>
      <c r="F1033" s="470">
        <v>45811</v>
      </c>
      <c r="G1033" s="35" t="s">
        <v>77</v>
      </c>
      <c r="H1033" s="35" t="str">
        <f>IFERROR(_xlfn.XLOOKUP(Table6[[#This Row],[Affected WTG]],'Basic Data'!$A:$A,'Basic Data'!$B:$B),"")</f>
        <v>TQGXIIPL</v>
      </c>
      <c r="I1033" s="35" t="str">
        <f>IFERROR(_xlfn.XLOOKUP(Table6[[#This Row],[Affected WTG]],'Basic Data'!$A:$A,'Basic Data'!$C:$C),"")</f>
        <v>GEDA</v>
      </c>
      <c r="J1033" s="471">
        <f>IFERROR(_xlfn.XLOOKUP(Table6[[#This Row],[Affected WTG]],'Basic Data'!$A:$A,'Basic Data'!$E:$E),"")</f>
        <v>3.846153846153845E-2</v>
      </c>
      <c r="K1033" s="102">
        <v>6130</v>
      </c>
      <c r="L1033" s="35" t="str">
        <f>IFERROR(_xlfn.XLOOKUP(Table6[[#This Row],[Error Code]],'Basic Data'!$AA:$AA,'Basic Data'!$AB:$AB),"Incorrect Error Code")</f>
        <v>Yaw speed high</v>
      </c>
      <c r="M1033" s="35" t="s">
        <v>292</v>
      </c>
      <c r="N1033" s="475"/>
      <c r="O1033" s="476">
        <v>0.625</v>
      </c>
      <c r="P1033" s="476">
        <v>0.625</v>
      </c>
      <c r="Q1033" s="477">
        <v>0.62916666666666665</v>
      </c>
      <c r="R1033" s="472">
        <f>IF(Table6[[#This Row],[Work Start TimeStamp]]="","",(Table6[[#This Row],[Work Start TimeStamp]]-Table6[[#This Row],[Fault Start TimeStamp]])*24)</f>
        <v>0</v>
      </c>
      <c r="S1033" s="472">
        <f>(Table6[[#This Row],[Fault Clearance time]]-Table6[[#This Row],[Work Start TimeStamp]])*24</f>
        <v>9.9999999999999645E-2</v>
      </c>
      <c r="T1033" s="472">
        <f>(Table6[[#This Row],[Fault Clearance time]]-Table6[[#This Row],[Fault Start TimeStamp]])*24</f>
        <v>9.9999999999999645E-2</v>
      </c>
      <c r="U1033" s="35" t="s">
        <v>336</v>
      </c>
      <c r="V1033" s="102" t="s">
        <v>293</v>
      </c>
      <c r="W1033" s="478">
        <f>IFERROR(Table6[[#This Row],[Breakdown Time]]*Table6[[#This Row],[Plant Equivalent Weightage]],"")</f>
        <v>3.8461538461538312E-3</v>
      </c>
      <c r="X1033" s="473" t="s">
        <v>294</v>
      </c>
      <c r="Y1033" s="474" t="s">
        <v>310</v>
      </c>
      <c r="Z1033" s="102">
        <v>39912.239999999998</v>
      </c>
      <c r="AA1033" s="468">
        <f>(Table6[[#This Row],[Paired WTG Generation for loss calculation]]/24)*Table6[[#This Row],[Breakdown Time]]</f>
        <v>166.30099999999942</v>
      </c>
      <c r="AB1033" s="102"/>
      <c r="AC1033" s="35"/>
      <c r="AD1033" s="35"/>
    </row>
    <row r="1034" spans="1:30">
      <c r="A1034" s="102">
        <f t="shared" si="16"/>
        <v>1033</v>
      </c>
      <c r="B1034" s="468">
        <f>YEAR(Table6[[#This Row],[Date]])+IF(MONTH(Table6[[#This Row],[Date]])&gt;=4,1,0)</f>
        <v>2026</v>
      </c>
      <c r="C1034" s="102">
        <f>YEAR(Table6[[#This Row],[Date]])</f>
        <v>2025</v>
      </c>
      <c r="D1034" s="102" t="s">
        <v>1992</v>
      </c>
      <c r="E1034" s="469">
        <f>Table6[[#This Row],[Date]]-DAY(Table6[[#This Row],[Date]])+1</f>
        <v>45809</v>
      </c>
      <c r="F1034" s="470">
        <v>45811</v>
      </c>
      <c r="G1034" s="35" t="s">
        <v>78</v>
      </c>
      <c r="H1034" s="35" t="str">
        <f>IFERROR(_xlfn.XLOOKUP(Table6[[#This Row],[Affected WTG]],'Basic Data'!$A:$A,'Basic Data'!$B:$B),"")</f>
        <v>TQGXIIPL</v>
      </c>
      <c r="I1034" s="35" t="str">
        <f>IFERROR(_xlfn.XLOOKUP(Table6[[#This Row],[Affected WTG]],'Basic Data'!$A:$A,'Basic Data'!$C:$C),"")</f>
        <v>GEDA</v>
      </c>
      <c r="J1034" s="471">
        <f>IFERROR(_xlfn.XLOOKUP(Table6[[#This Row],[Affected WTG]],'Basic Data'!$A:$A,'Basic Data'!$E:$E),"")</f>
        <v>3.846153846153845E-2</v>
      </c>
      <c r="K1034" s="102">
        <v>6605</v>
      </c>
      <c r="L1034" s="35" t="str">
        <f>IFERROR(_xlfn.XLOOKUP(Table6[[#This Row],[Error Code]],'Basic Data'!$AA:$AA,'Basic Data'!$AB:$AB),"Incorrect Error Code")</f>
        <v>Wind.dir. diff. level 2</v>
      </c>
      <c r="M1034" s="35" t="s">
        <v>291</v>
      </c>
      <c r="N1034" s="475"/>
      <c r="O1034" s="476">
        <v>0.45833333333333331</v>
      </c>
      <c r="P1034" s="476">
        <v>0.45833333333333331</v>
      </c>
      <c r="Q1034" s="477">
        <v>0.46111111111111108</v>
      </c>
      <c r="R1034" s="472">
        <f>IF(Table6[[#This Row],[Work Start TimeStamp]]="","",(Table6[[#This Row],[Work Start TimeStamp]]-Table6[[#This Row],[Fault Start TimeStamp]])*24)</f>
        <v>0</v>
      </c>
      <c r="S1034" s="472">
        <f>(Table6[[#This Row],[Fault Clearance time]]-Table6[[#This Row],[Work Start TimeStamp]])*24</f>
        <v>6.666666666666643E-2</v>
      </c>
      <c r="T1034" s="472">
        <f>(Table6[[#This Row],[Fault Clearance time]]-Table6[[#This Row],[Fault Start TimeStamp]])*24</f>
        <v>6.666666666666643E-2</v>
      </c>
      <c r="U1034" s="35" t="s">
        <v>1924</v>
      </c>
      <c r="V1034" s="102" t="s">
        <v>293</v>
      </c>
      <c r="W1034" s="478">
        <f>IFERROR(Table6[[#This Row],[Breakdown Time]]*Table6[[#This Row],[Plant Equivalent Weightage]],"")</f>
        <v>2.5641025641025541E-3</v>
      </c>
      <c r="X1034" s="473" t="s">
        <v>294</v>
      </c>
      <c r="Y1034" s="474" t="s">
        <v>333</v>
      </c>
      <c r="Z1034" s="102">
        <v>40819.68</v>
      </c>
      <c r="AA1034" s="468">
        <f>(Table6[[#This Row],[Paired WTG Generation for loss calculation]]/24)*Table6[[#This Row],[Breakdown Time]]</f>
        <v>113.38799999999959</v>
      </c>
      <c r="AB1034" s="102"/>
      <c r="AC1034" s="35"/>
      <c r="AD1034" s="35"/>
    </row>
    <row r="1035" spans="1:30">
      <c r="A1035" s="102">
        <f t="shared" si="16"/>
        <v>1034</v>
      </c>
      <c r="B1035" s="468">
        <f>YEAR(Table6[[#This Row],[Date]])+IF(MONTH(Table6[[#This Row],[Date]])&gt;=4,1,0)</f>
        <v>2026</v>
      </c>
      <c r="C1035" s="102">
        <f>YEAR(Table6[[#This Row],[Date]])</f>
        <v>2025</v>
      </c>
      <c r="D1035" s="102" t="s">
        <v>1992</v>
      </c>
      <c r="E1035" s="469">
        <f>Table6[[#This Row],[Date]]-DAY(Table6[[#This Row],[Date]])+1</f>
        <v>45809</v>
      </c>
      <c r="F1035" s="470">
        <v>45811</v>
      </c>
      <c r="G1035" s="35" t="s">
        <v>78</v>
      </c>
      <c r="H1035" s="35" t="str">
        <f>IFERROR(_xlfn.XLOOKUP(Table6[[#This Row],[Affected WTG]],'Basic Data'!$A:$A,'Basic Data'!$B:$B),"")</f>
        <v>TQGXIIPL</v>
      </c>
      <c r="I1035" s="35" t="str">
        <f>IFERROR(_xlfn.XLOOKUP(Table6[[#This Row],[Affected WTG]],'Basic Data'!$A:$A,'Basic Data'!$C:$C),"")</f>
        <v>GEDA</v>
      </c>
      <c r="J1035" s="471">
        <f>IFERROR(_xlfn.XLOOKUP(Table6[[#This Row],[Affected WTG]],'Basic Data'!$A:$A,'Basic Data'!$E:$E),"")</f>
        <v>3.846153846153845E-2</v>
      </c>
      <c r="K1035" s="102">
        <v>6605</v>
      </c>
      <c r="L1035" s="35" t="str">
        <f>IFERROR(_xlfn.XLOOKUP(Table6[[#This Row],[Error Code]],'Basic Data'!$AA:$AA,'Basic Data'!$AB:$AB),"Incorrect Error Code")</f>
        <v>Wind.dir. diff. level 2</v>
      </c>
      <c r="M1035" s="35" t="s">
        <v>291</v>
      </c>
      <c r="N1035" s="475"/>
      <c r="O1035" s="476">
        <v>0.64236111111111116</v>
      </c>
      <c r="P1035" s="476">
        <v>0.64236111111111116</v>
      </c>
      <c r="Q1035" s="477">
        <v>0.64375000000000004</v>
      </c>
      <c r="R1035" s="472">
        <f>IF(Table6[[#This Row],[Work Start TimeStamp]]="","",(Table6[[#This Row],[Work Start TimeStamp]]-Table6[[#This Row],[Fault Start TimeStamp]])*24)</f>
        <v>0</v>
      </c>
      <c r="S1035" s="472">
        <f>(Table6[[#This Row],[Fault Clearance time]]-Table6[[#This Row],[Work Start TimeStamp]])*24</f>
        <v>3.3333333333333215E-2</v>
      </c>
      <c r="T1035" s="472">
        <f>(Table6[[#This Row],[Fault Clearance time]]-Table6[[#This Row],[Fault Start TimeStamp]])*24</f>
        <v>3.3333333333333215E-2</v>
      </c>
      <c r="U1035" s="35" t="s">
        <v>1924</v>
      </c>
      <c r="V1035" s="102" t="s">
        <v>293</v>
      </c>
      <c r="W1035" s="478">
        <f>IFERROR(Table6[[#This Row],[Breakdown Time]]*Table6[[#This Row],[Plant Equivalent Weightage]],"")</f>
        <v>1.2820512820512771E-3</v>
      </c>
      <c r="X1035" s="473" t="s">
        <v>294</v>
      </c>
      <c r="Y1035" s="474" t="s">
        <v>333</v>
      </c>
      <c r="Z1035" s="102">
        <v>40819.68</v>
      </c>
      <c r="AA1035" s="468">
        <f>(Table6[[#This Row],[Paired WTG Generation for loss calculation]]/24)*Table6[[#This Row],[Breakdown Time]]</f>
        <v>56.693999999999797</v>
      </c>
      <c r="AB1035" s="102"/>
      <c r="AC1035" s="35"/>
      <c r="AD1035" s="35"/>
    </row>
    <row r="1036" spans="1:30">
      <c r="A1036" s="102">
        <f t="shared" si="16"/>
        <v>1035</v>
      </c>
      <c r="B1036" s="468">
        <f>YEAR(Table6[[#This Row],[Date]])+IF(MONTH(Table6[[#This Row],[Date]])&gt;=4,1,0)</f>
        <v>2026</v>
      </c>
      <c r="C1036" s="102">
        <f>YEAR(Table6[[#This Row],[Date]])</f>
        <v>2025</v>
      </c>
      <c r="D1036" s="102" t="s">
        <v>1992</v>
      </c>
      <c r="E1036" s="469">
        <f>Table6[[#This Row],[Date]]-DAY(Table6[[#This Row],[Date]])+1</f>
        <v>45809</v>
      </c>
      <c r="F1036" s="470">
        <v>45811</v>
      </c>
      <c r="G1036" s="35" t="s">
        <v>78</v>
      </c>
      <c r="H1036" s="35" t="str">
        <f>IFERROR(_xlfn.XLOOKUP(Table6[[#This Row],[Affected WTG]],'Basic Data'!$A:$A,'Basic Data'!$B:$B),"")</f>
        <v>TQGXIIPL</v>
      </c>
      <c r="I1036" s="35" t="str">
        <f>IFERROR(_xlfn.XLOOKUP(Table6[[#This Row],[Affected WTG]],'Basic Data'!$A:$A,'Basic Data'!$C:$C),"")</f>
        <v>GEDA</v>
      </c>
      <c r="J1036" s="471">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291</v>
      </c>
      <c r="N1036" s="475"/>
      <c r="O1036" s="476">
        <v>0.71527777777777779</v>
      </c>
      <c r="P1036" s="476">
        <v>0.71875</v>
      </c>
      <c r="Q1036" s="477">
        <v>0.77083333333333337</v>
      </c>
      <c r="R1036" s="472">
        <f>IF(Table6[[#This Row],[Work Start TimeStamp]]="","",(Table6[[#This Row],[Work Start TimeStamp]]-Table6[[#This Row],[Fault Start TimeStamp]])*24)</f>
        <v>8.3333333333333037E-2</v>
      </c>
      <c r="S1036" s="472">
        <f>(Table6[[#This Row],[Fault Clearance time]]-Table6[[#This Row],[Work Start TimeStamp]])*24</f>
        <v>1.2500000000000009</v>
      </c>
      <c r="T1036" s="472">
        <f>(Table6[[#This Row],[Fault Clearance time]]-Table6[[#This Row],[Fault Start TimeStamp]])*24</f>
        <v>1.3333333333333339</v>
      </c>
      <c r="U1036" s="35" t="s">
        <v>1938</v>
      </c>
      <c r="V1036" s="102" t="s">
        <v>293</v>
      </c>
      <c r="W1036" s="478">
        <f>IFERROR(Table6[[#This Row],[Breakdown Time]]*Table6[[#This Row],[Plant Equivalent Weightage]],"")</f>
        <v>5.1282051282051287E-2</v>
      </c>
      <c r="X1036" s="473" t="s">
        <v>290</v>
      </c>
      <c r="Y1036" s="474" t="s">
        <v>333</v>
      </c>
      <c r="Z1036" s="102">
        <v>40819.68</v>
      </c>
      <c r="AA1036" s="468">
        <f>(Table6[[#This Row],[Paired WTG Generation for loss calculation]]/24)*Table6[[#This Row],[Breakdown Time]]</f>
        <v>2267.7600000000011</v>
      </c>
      <c r="AB1036" s="102"/>
      <c r="AC1036" s="35"/>
      <c r="AD1036" s="35"/>
    </row>
    <row r="1037" spans="1:30">
      <c r="A1037" s="102">
        <f t="shared" si="16"/>
        <v>1036</v>
      </c>
      <c r="B1037" s="468">
        <f>YEAR(Table6[[#This Row],[Date]])+IF(MONTH(Table6[[#This Row],[Date]])&gt;=4,1,0)</f>
        <v>2026</v>
      </c>
      <c r="C1037" s="102">
        <f>YEAR(Table6[[#This Row],[Date]])</f>
        <v>2025</v>
      </c>
      <c r="D1037" s="102" t="s">
        <v>1992</v>
      </c>
      <c r="E1037" s="469">
        <f>Table6[[#This Row],[Date]]-DAY(Table6[[#This Row],[Date]])+1</f>
        <v>45809</v>
      </c>
      <c r="F1037" s="470">
        <v>45811</v>
      </c>
      <c r="G1037" s="35" t="s">
        <v>79</v>
      </c>
      <c r="H1037" s="35" t="str">
        <f>IFERROR(_xlfn.XLOOKUP(Table6[[#This Row],[Affected WTG]],'Basic Data'!$A:$A,'Basic Data'!$B:$B),"")</f>
        <v>TQGXIIPL</v>
      </c>
      <c r="I1037" s="35" t="str">
        <f>IFERROR(_xlfn.XLOOKUP(Table6[[#This Row],[Affected WTG]],'Basic Data'!$A:$A,'Basic Data'!$C:$C),"")</f>
        <v>GEDA</v>
      </c>
      <c r="J1037" s="471">
        <f>IFERROR(_xlfn.XLOOKUP(Table6[[#This Row],[Affected WTG]],'Basic Data'!$A:$A,'Basic Data'!$E:$E),"")</f>
        <v>3.846153846153845E-2</v>
      </c>
      <c r="K1037" s="102">
        <v>4970</v>
      </c>
      <c r="L1037" s="35" t="str">
        <f>IFERROR(_xlfn.XLOOKUP(Table6[[#This Row],[Error Code]],'Basic Data'!$AA:$AA,'Basic Data'!$AB:$AB),"Incorrect Error Code")</f>
        <v>Tower oscillation XF</v>
      </c>
      <c r="M1037" s="35" t="s">
        <v>292</v>
      </c>
      <c r="N1037" s="475"/>
      <c r="O1037" s="476">
        <v>0.59722222222222221</v>
      </c>
      <c r="P1037" s="476">
        <v>0.59722222222222221</v>
      </c>
      <c r="Q1037" s="477">
        <v>0.60833333333333339</v>
      </c>
      <c r="R1037" s="472">
        <f>IF(Table6[[#This Row],[Work Start TimeStamp]]="","",(Table6[[#This Row],[Work Start TimeStamp]]-Table6[[#This Row],[Fault Start TimeStamp]])*24)</f>
        <v>0</v>
      </c>
      <c r="S1037" s="472">
        <f>(Table6[[#This Row],[Fault Clearance time]]-Table6[[#This Row],[Work Start TimeStamp]])*24</f>
        <v>0.26666666666666838</v>
      </c>
      <c r="T1037" s="472">
        <f>(Table6[[#This Row],[Fault Clearance time]]-Table6[[#This Row],[Fault Start TimeStamp]])*24</f>
        <v>0.26666666666666838</v>
      </c>
      <c r="U1037" s="35" t="s">
        <v>336</v>
      </c>
      <c r="V1037" s="102" t="s">
        <v>293</v>
      </c>
      <c r="W1037" s="478">
        <f>IFERROR(Table6[[#This Row],[Breakdown Time]]*Table6[[#This Row],[Plant Equivalent Weightage]],"")</f>
        <v>1.0256410256410319E-2</v>
      </c>
      <c r="X1037" s="473" t="s">
        <v>294</v>
      </c>
      <c r="Y1037" s="474" t="s">
        <v>325</v>
      </c>
      <c r="Z1037" s="102">
        <v>43956.24</v>
      </c>
      <c r="AA1037" s="468">
        <f>(Table6[[#This Row],[Paired WTG Generation for loss calculation]]/24)*Table6[[#This Row],[Breakdown Time]]</f>
        <v>488.4026666666698</v>
      </c>
      <c r="AB1037" s="102"/>
      <c r="AC1037" s="35"/>
      <c r="AD1037" s="35"/>
    </row>
    <row r="1038" spans="1:30">
      <c r="A1038" s="102">
        <f t="shared" ref="A1038:A1101" si="17">A1037+1</f>
        <v>1037</v>
      </c>
      <c r="B1038" s="468">
        <f>YEAR(Table6[[#This Row],[Date]])+IF(MONTH(Table6[[#This Row],[Date]])&gt;=4,1,0)</f>
        <v>2026</v>
      </c>
      <c r="C1038" s="102">
        <f>YEAR(Table6[[#This Row],[Date]])</f>
        <v>2025</v>
      </c>
      <c r="D1038" s="102" t="s">
        <v>1992</v>
      </c>
      <c r="E1038" s="469">
        <f>Table6[[#This Row],[Date]]-DAY(Table6[[#This Row],[Date]])+1</f>
        <v>45809</v>
      </c>
      <c r="F1038" s="470">
        <v>45811</v>
      </c>
      <c r="G1038" s="35" t="s">
        <v>83</v>
      </c>
      <c r="H1038" s="35" t="str">
        <f>IFERROR(_xlfn.XLOOKUP(Table6[[#This Row],[Affected WTG]],'Basic Data'!$A:$A,'Basic Data'!$B:$B),"")</f>
        <v>TQGXIIPL</v>
      </c>
      <c r="I1038" s="35" t="str">
        <f>IFERROR(_xlfn.XLOOKUP(Table6[[#This Row],[Affected WTG]],'Basic Data'!$A:$A,'Basic Data'!$C:$C),"")</f>
        <v>GEDA</v>
      </c>
      <c r="J1038" s="471">
        <f>IFERROR(_xlfn.XLOOKUP(Table6[[#This Row],[Affected WTG]],'Basic Data'!$A:$A,'Basic Data'!$E:$E),"")</f>
        <v>3.846153846153845E-2</v>
      </c>
      <c r="K1038" s="102">
        <v>6130</v>
      </c>
      <c r="L1038" s="35" t="str">
        <f>IFERROR(_xlfn.XLOOKUP(Table6[[#This Row],[Error Code]],'Basic Data'!$AA:$AA,'Basic Data'!$AB:$AB),"Incorrect Error Code")</f>
        <v>Yaw speed high</v>
      </c>
      <c r="M1038" s="35" t="s">
        <v>292</v>
      </c>
      <c r="N1038" s="475"/>
      <c r="O1038" s="476">
        <v>0.44652777777777775</v>
      </c>
      <c r="P1038" s="476">
        <v>0.44652777777777775</v>
      </c>
      <c r="Q1038" s="477">
        <v>0.45069444444444445</v>
      </c>
      <c r="R1038" s="472">
        <f>IF(Table6[[#This Row],[Work Start TimeStamp]]="","",(Table6[[#This Row],[Work Start TimeStamp]]-Table6[[#This Row],[Fault Start TimeStamp]])*24)</f>
        <v>0</v>
      </c>
      <c r="S1038" s="472">
        <f>(Table6[[#This Row],[Fault Clearance time]]-Table6[[#This Row],[Work Start TimeStamp]])*24</f>
        <v>0.10000000000000098</v>
      </c>
      <c r="T1038" s="472">
        <f>(Table6[[#This Row],[Fault Clearance time]]-Table6[[#This Row],[Fault Start TimeStamp]])*24</f>
        <v>0.10000000000000098</v>
      </c>
      <c r="U1038" s="35" t="s">
        <v>336</v>
      </c>
      <c r="V1038" s="102" t="s">
        <v>293</v>
      </c>
      <c r="W1038" s="478">
        <f>IFERROR(Table6[[#This Row],[Breakdown Time]]*Table6[[#This Row],[Plant Equivalent Weightage]],"")</f>
        <v>3.8461538461538824E-3</v>
      </c>
      <c r="X1038" s="473" t="s">
        <v>294</v>
      </c>
      <c r="Y1038" s="474" t="s">
        <v>312</v>
      </c>
      <c r="Z1038" s="102">
        <v>40892.639999999999</v>
      </c>
      <c r="AA1038" s="468">
        <f>(Table6[[#This Row],[Paired WTG Generation for loss calculation]]/24)*Table6[[#This Row],[Breakdown Time]]</f>
        <v>170.38600000000164</v>
      </c>
      <c r="AB1038" s="102"/>
      <c r="AC1038" s="35"/>
      <c r="AD1038" s="35"/>
    </row>
    <row r="1039" spans="1:30">
      <c r="A1039" s="102">
        <f t="shared" si="17"/>
        <v>1038</v>
      </c>
      <c r="B1039" s="468">
        <f>YEAR(Table6[[#This Row],[Date]])+IF(MONTH(Table6[[#This Row],[Date]])&gt;=4,1,0)</f>
        <v>2026</v>
      </c>
      <c r="C1039" s="102">
        <f>YEAR(Table6[[#This Row],[Date]])</f>
        <v>2025</v>
      </c>
      <c r="D1039" s="102" t="s">
        <v>1992</v>
      </c>
      <c r="E1039" s="469">
        <f>Table6[[#This Row],[Date]]-DAY(Table6[[#This Row],[Date]])+1</f>
        <v>45809</v>
      </c>
      <c r="F1039" s="470">
        <v>45811</v>
      </c>
      <c r="G1039" s="35" t="s">
        <v>84</v>
      </c>
      <c r="H1039" s="35" t="str">
        <f>IFERROR(_xlfn.XLOOKUP(Table6[[#This Row],[Affected WTG]],'Basic Data'!$A:$A,'Basic Data'!$B:$B),"")</f>
        <v>TQGXIIPL</v>
      </c>
      <c r="I1039" s="35" t="str">
        <f>IFERROR(_xlfn.XLOOKUP(Table6[[#This Row],[Affected WTG]],'Basic Data'!$A:$A,'Basic Data'!$C:$C),"")</f>
        <v>GEDA</v>
      </c>
      <c r="J1039" s="471">
        <f>IFERROR(_xlfn.XLOOKUP(Table6[[#This Row],[Affected WTG]],'Basic Data'!$A:$A,'Basic Data'!$E:$E),"")</f>
        <v>3.846153846153845E-2</v>
      </c>
      <c r="K1039" s="102">
        <v>4970</v>
      </c>
      <c r="L1039" s="35" t="str">
        <f>IFERROR(_xlfn.XLOOKUP(Table6[[#This Row],[Error Code]],'Basic Data'!$AA:$AA,'Basic Data'!$AB:$AB),"Incorrect Error Code")</f>
        <v>Tower oscillation XF</v>
      </c>
      <c r="M1039" s="35" t="s">
        <v>292</v>
      </c>
      <c r="N1039" s="475"/>
      <c r="O1039" s="476">
        <v>0.53194444444444444</v>
      </c>
      <c r="P1039" s="476">
        <v>0.53194444444444444</v>
      </c>
      <c r="Q1039" s="477">
        <v>0.54305555555555562</v>
      </c>
      <c r="R1039" s="472">
        <f>IF(Table6[[#This Row],[Work Start TimeStamp]]="","",(Table6[[#This Row],[Work Start TimeStamp]]-Table6[[#This Row],[Fault Start TimeStamp]])*24)</f>
        <v>0</v>
      </c>
      <c r="S1039" s="472">
        <f>(Table6[[#This Row],[Fault Clearance time]]-Table6[[#This Row],[Work Start TimeStamp]])*24</f>
        <v>0.26666666666666838</v>
      </c>
      <c r="T1039" s="472">
        <f>(Table6[[#This Row],[Fault Clearance time]]-Table6[[#This Row],[Fault Start TimeStamp]])*24</f>
        <v>0.26666666666666838</v>
      </c>
      <c r="U1039" s="35" t="s">
        <v>336</v>
      </c>
      <c r="V1039" s="102" t="s">
        <v>293</v>
      </c>
      <c r="W1039" s="478">
        <f>IFERROR(Table6[[#This Row],[Breakdown Time]]*Table6[[#This Row],[Plant Equivalent Weightage]],"")</f>
        <v>1.0256410256410319E-2</v>
      </c>
      <c r="X1039" s="473" t="s">
        <v>294</v>
      </c>
      <c r="Y1039" s="474" t="s">
        <v>327</v>
      </c>
      <c r="Z1039" s="102">
        <v>40312.800000000003</v>
      </c>
      <c r="AA1039" s="468">
        <f>(Table6[[#This Row],[Paired WTG Generation for loss calculation]]/24)*Table6[[#This Row],[Breakdown Time]]</f>
        <v>447.92000000000291</v>
      </c>
      <c r="AB1039" s="102"/>
      <c r="AC1039" s="35"/>
      <c r="AD1039" s="35"/>
    </row>
    <row r="1040" spans="1:30">
      <c r="A1040" s="102">
        <f t="shared" si="17"/>
        <v>1039</v>
      </c>
      <c r="B1040" s="468">
        <f>YEAR(Table6[[#This Row],[Date]])+IF(MONTH(Table6[[#This Row],[Date]])&gt;=4,1,0)</f>
        <v>2026</v>
      </c>
      <c r="C1040" s="102">
        <f>YEAR(Table6[[#This Row],[Date]])</f>
        <v>2025</v>
      </c>
      <c r="D1040" s="102" t="s">
        <v>1992</v>
      </c>
      <c r="E1040" s="469">
        <f>Table6[[#This Row],[Date]]-DAY(Table6[[#This Row],[Date]])+1</f>
        <v>45809</v>
      </c>
      <c r="F1040" s="470">
        <v>45811</v>
      </c>
      <c r="G1040" s="35" t="s">
        <v>88</v>
      </c>
      <c r="H1040" s="35" t="str">
        <f>IFERROR(_xlfn.XLOOKUP(Table6[[#This Row],[Affected WTG]],'Basic Data'!$A:$A,'Basic Data'!$B:$B),"")</f>
        <v>TQGXIIPL</v>
      </c>
      <c r="I1040" s="35" t="str">
        <f>IFERROR(_xlfn.XLOOKUP(Table6[[#This Row],[Affected WTG]],'Basic Data'!$A:$A,'Basic Data'!$C:$C),"")</f>
        <v>GEDA</v>
      </c>
      <c r="J1040" s="471">
        <f>IFERROR(_xlfn.XLOOKUP(Table6[[#This Row],[Affected WTG]],'Basic Data'!$A:$A,'Basic Data'!$E:$E),"")</f>
        <v>3.846153846153845E-2</v>
      </c>
      <c r="K1040" s="102">
        <v>4970</v>
      </c>
      <c r="L1040" s="35" t="str">
        <f>IFERROR(_xlfn.XLOOKUP(Table6[[#This Row],[Error Code]],'Basic Data'!$AA:$AA,'Basic Data'!$AB:$AB),"Incorrect Error Code")</f>
        <v>Tower oscillation XF</v>
      </c>
      <c r="M1040" s="35" t="s">
        <v>292</v>
      </c>
      <c r="N1040" s="475"/>
      <c r="O1040" s="476">
        <v>0.63541666666666674</v>
      </c>
      <c r="P1040" s="476">
        <v>0.63541666666666674</v>
      </c>
      <c r="Q1040" s="477">
        <v>0.64652777777777781</v>
      </c>
      <c r="R1040" s="472">
        <f>IF(Table6[[#This Row],[Work Start TimeStamp]]="","",(Table6[[#This Row],[Work Start TimeStamp]]-Table6[[#This Row],[Fault Start TimeStamp]])*24)</f>
        <v>0</v>
      </c>
      <c r="S1040" s="472">
        <f>(Table6[[#This Row],[Fault Clearance time]]-Table6[[#This Row],[Work Start TimeStamp]])*24</f>
        <v>0.26666666666666572</v>
      </c>
      <c r="T1040" s="472">
        <f>(Table6[[#This Row],[Fault Clearance time]]-Table6[[#This Row],[Fault Start TimeStamp]])*24</f>
        <v>0.26666666666666572</v>
      </c>
      <c r="U1040" s="35" t="s">
        <v>336</v>
      </c>
      <c r="V1040" s="102" t="s">
        <v>293</v>
      </c>
      <c r="W1040" s="478">
        <f>IFERROR(Table6[[#This Row],[Breakdown Time]]*Table6[[#This Row],[Plant Equivalent Weightage]],"")</f>
        <v>1.0256410256410217E-2</v>
      </c>
      <c r="X1040" s="473" t="s">
        <v>294</v>
      </c>
      <c r="Y1040" s="474" t="s">
        <v>323</v>
      </c>
      <c r="Z1040" s="102">
        <v>40083.360000000001</v>
      </c>
      <c r="AA1040" s="468">
        <f>(Table6[[#This Row],[Paired WTG Generation for loss calculation]]/24)*Table6[[#This Row],[Breakdown Time]]</f>
        <v>445.3706666666651</v>
      </c>
      <c r="AB1040" s="102"/>
      <c r="AC1040" s="35"/>
      <c r="AD1040" s="35"/>
    </row>
    <row r="1041" spans="1:30">
      <c r="A1041" s="102">
        <f t="shared" si="17"/>
        <v>1040</v>
      </c>
      <c r="B1041" s="468">
        <f>YEAR(Table6[[#This Row],[Date]])+IF(MONTH(Table6[[#This Row],[Date]])&gt;=4,1,0)</f>
        <v>2026</v>
      </c>
      <c r="C1041" s="102">
        <f>YEAR(Table6[[#This Row],[Date]])</f>
        <v>2025</v>
      </c>
      <c r="D1041" s="102" t="s">
        <v>1992</v>
      </c>
      <c r="E1041" s="469">
        <f>Table6[[#This Row],[Date]]-DAY(Table6[[#This Row],[Date]])+1</f>
        <v>45809</v>
      </c>
      <c r="F1041" s="470">
        <v>45811</v>
      </c>
      <c r="G1041" s="35" t="s">
        <v>90</v>
      </c>
      <c r="H1041" s="35" t="str">
        <f>IFERROR(_xlfn.XLOOKUP(Table6[[#This Row],[Affected WTG]],'Basic Data'!$A:$A,'Basic Data'!$B:$B),"")</f>
        <v>TQGXIIPL</v>
      </c>
      <c r="I1041" s="35" t="str">
        <f>IFERROR(_xlfn.XLOOKUP(Table6[[#This Row],[Affected WTG]],'Basic Data'!$A:$A,'Basic Data'!$C:$C),"")</f>
        <v>GEDA</v>
      </c>
      <c r="J1041" s="471">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291</v>
      </c>
      <c r="N1041" s="475"/>
      <c r="O1041" s="476">
        <v>0.71944444444444444</v>
      </c>
      <c r="P1041" s="476">
        <v>0.71944444444444444</v>
      </c>
      <c r="Q1041" s="477">
        <v>0.74513888888888891</v>
      </c>
      <c r="R1041" s="472">
        <f>IF(Table6[[#This Row],[Work Start TimeStamp]]="","",(Table6[[#This Row],[Work Start TimeStamp]]-Table6[[#This Row],[Fault Start TimeStamp]])*24)</f>
        <v>0</v>
      </c>
      <c r="S1041" s="472">
        <f>(Table6[[#This Row],[Fault Clearance time]]-Table6[[#This Row],[Work Start TimeStamp]])*24</f>
        <v>0.61666666666666714</v>
      </c>
      <c r="T1041" s="472">
        <f>(Table6[[#This Row],[Fault Clearance time]]-Table6[[#This Row],[Fault Start TimeStamp]])*24</f>
        <v>0.61666666666666714</v>
      </c>
      <c r="U1041" s="35" t="s">
        <v>1932</v>
      </c>
      <c r="V1041" s="102" t="s">
        <v>293</v>
      </c>
      <c r="W1041" s="478">
        <f>IFERROR(Table6[[#This Row],[Breakdown Time]]*Table6[[#This Row],[Plant Equivalent Weightage]],"")</f>
        <v>2.3717948717948727E-2</v>
      </c>
      <c r="X1041" s="473" t="s">
        <v>294</v>
      </c>
      <c r="Y1041" s="474" t="s">
        <v>339</v>
      </c>
      <c r="Z1041" s="102">
        <v>47631.360000000001</v>
      </c>
      <c r="AA1041" s="468">
        <f>(Table6[[#This Row],[Paired WTG Generation for loss calculation]]/24)*Table6[[#This Row],[Breakdown Time]]</f>
        <v>1223.8613333333344</v>
      </c>
      <c r="AB1041" s="102"/>
      <c r="AC1041" s="35"/>
      <c r="AD1041" s="35"/>
    </row>
    <row r="1042" spans="1:30">
      <c r="A1042" s="102">
        <f t="shared" si="17"/>
        <v>1041</v>
      </c>
      <c r="B1042" s="468">
        <f>YEAR(Table6[[#This Row],[Date]])+IF(MONTH(Table6[[#This Row],[Date]])&gt;=4,1,0)</f>
        <v>2026</v>
      </c>
      <c r="C1042" s="102">
        <f>YEAR(Table6[[#This Row],[Date]])</f>
        <v>2025</v>
      </c>
      <c r="D1042" s="102" t="s">
        <v>1992</v>
      </c>
      <c r="E1042" s="469">
        <f>Table6[[#This Row],[Date]]-DAY(Table6[[#This Row],[Date]])+1</f>
        <v>45809</v>
      </c>
      <c r="F1042" s="470">
        <v>45811</v>
      </c>
      <c r="G1042" s="35" t="s">
        <v>92</v>
      </c>
      <c r="H1042" s="35" t="str">
        <f>IFERROR(_xlfn.XLOOKUP(Table6[[#This Row],[Affected WTG]],'Basic Data'!$A:$A,'Basic Data'!$B:$B),"")</f>
        <v>TQGXIIPL</v>
      </c>
      <c r="I1042" s="35" t="str">
        <f>IFERROR(_xlfn.XLOOKUP(Table6[[#This Row],[Affected WTG]],'Basic Data'!$A:$A,'Basic Data'!$C:$C),"")</f>
        <v>GEDA</v>
      </c>
      <c r="J1042" s="471">
        <f>IFERROR(_xlfn.XLOOKUP(Table6[[#This Row],[Affected WTG]],'Basic Data'!$A:$A,'Basic Data'!$E:$E),"")</f>
        <v>3.846153846153845E-2</v>
      </c>
      <c r="K1042" s="102">
        <v>6605</v>
      </c>
      <c r="L1042" s="35" t="str">
        <f>IFERROR(_xlfn.XLOOKUP(Table6[[#This Row],[Error Code]],'Basic Data'!$AA:$AA,'Basic Data'!$AB:$AB),"Incorrect Error Code")</f>
        <v>Wind.dir. diff. level 2</v>
      </c>
      <c r="M1042" s="35" t="s">
        <v>291</v>
      </c>
      <c r="N1042" s="475"/>
      <c r="O1042" s="476">
        <v>0.63055555555555565</v>
      </c>
      <c r="P1042" s="476">
        <v>0.63055555555555565</v>
      </c>
      <c r="Q1042" s="477">
        <v>0.63611111111111118</v>
      </c>
      <c r="R1042" s="472">
        <f>IF(Table6[[#This Row],[Work Start TimeStamp]]="","",(Table6[[#This Row],[Work Start TimeStamp]]-Table6[[#This Row],[Fault Start TimeStamp]])*24)</f>
        <v>0</v>
      </c>
      <c r="S1042" s="472">
        <f>(Table6[[#This Row],[Fault Clearance time]]-Table6[[#This Row],[Work Start TimeStamp]])*24</f>
        <v>0.13333333333333286</v>
      </c>
      <c r="T1042" s="472">
        <f>(Table6[[#This Row],[Fault Clearance time]]-Table6[[#This Row],[Fault Start TimeStamp]])*24</f>
        <v>0.13333333333333286</v>
      </c>
      <c r="U1042" s="35" t="s">
        <v>1924</v>
      </c>
      <c r="V1042" s="102" t="s">
        <v>293</v>
      </c>
      <c r="W1042" s="478">
        <f>IFERROR(Table6[[#This Row],[Breakdown Time]]*Table6[[#This Row],[Plant Equivalent Weightage]],"")</f>
        <v>5.1282051282051083E-3</v>
      </c>
      <c r="X1042" s="473" t="s">
        <v>294</v>
      </c>
      <c r="Y1042" s="474" t="s">
        <v>310</v>
      </c>
      <c r="Z1042" s="102">
        <v>39912.239999999998</v>
      </c>
      <c r="AA1042" s="468">
        <f>(Table6[[#This Row],[Paired WTG Generation for loss calculation]]/24)*Table6[[#This Row],[Breakdown Time]]</f>
        <v>221.73466666666587</v>
      </c>
      <c r="AB1042" s="102"/>
      <c r="AC1042" s="35"/>
      <c r="AD1042" s="35"/>
    </row>
    <row r="1043" spans="1:30">
      <c r="A1043" s="102">
        <f t="shared" si="17"/>
        <v>1042</v>
      </c>
      <c r="B1043" s="468">
        <f>YEAR(Table6[[#This Row],[Date]])+IF(MONTH(Table6[[#This Row],[Date]])&gt;=4,1,0)</f>
        <v>2026</v>
      </c>
      <c r="C1043" s="102">
        <f>YEAR(Table6[[#This Row],[Date]])</f>
        <v>2025</v>
      </c>
      <c r="D1043" s="102" t="s">
        <v>1992</v>
      </c>
      <c r="E1043" s="469">
        <f>Table6[[#This Row],[Date]]-DAY(Table6[[#This Row],[Date]])+1</f>
        <v>45809</v>
      </c>
      <c r="F1043" s="470">
        <v>45811</v>
      </c>
      <c r="G1043" s="35" t="s">
        <v>93</v>
      </c>
      <c r="H1043" s="35" t="str">
        <f>IFERROR(_xlfn.XLOOKUP(Table6[[#This Row],[Affected WTG]],'Basic Data'!$A:$A,'Basic Data'!$B:$B),"")</f>
        <v>TQGXIIPL</v>
      </c>
      <c r="I1043" s="35" t="str">
        <f>IFERROR(_xlfn.XLOOKUP(Table6[[#This Row],[Affected WTG]],'Basic Data'!$A:$A,'Basic Data'!$C:$C),"")</f>
        <v>GEDA</v>
      </c>
      <c r="J1043" s="471">
        <f>IFERROR(_xlfn.XLOOKUP(Table6[[#This Row],[Affected WTG]],'Basic Data'!$A:$A,'Basic Data'!$E:$E),"")</f>
        <v>3.846153846153845E-2</v>
      </c>
      <c r="K1043" s="102">
        <v>6130</v>
      </c>
      <c r="L1043" s="35" t="str">
        <f>IFERROR(_xlfn.XLOOKUP(Table6[[#This Row],[Error Code]],'Basic Data'!$AA:$AA,'Basic Data'!$AB:$AB),"Incorrect Error Code")</f>
        <v>Yaw speed high</v>
      </c>
      <c r="M1043" s="35" t="s">
        <v>292</v>
      </c>
      <c r="N1043" s="475"/>
      <c r="O1043" s="476">
        <v>0.63541666666666674</v>
      </c>
      <c r="P1043" s="476">
        <v>0.63541666666666674</v>
      </c>
      <c r="Q1043" s="477">
        <v>0.63958333333333339</v>
      </c>
      <c r="R1043" s="472">
        <f>IF(Table6[[#This Row],[Work Start TimeStamp]]="","",(Table6[[#This Row],[Work Start TimeStamp]]-Table6[[#This Row],[Fault Start TimeStamp]])*24)</f>
        <v>0</v>
      </c>
      <c r="S1043" s="472">
        <f>(Table6[[#This Row],[Fault Clearance time]]-Table6[[#This Row],[Work Start TimeStamp]])*24</f>
        <v>9.9999999999999645E-2</v>
      </c>
      <c r="T1043" s="472">
        <f>(Table6[[#This Row],[Fault Clearance time]]-Table6[[#This Row],[Fault Start TimeStamp]])*24</f>
        <v>9.9999999999999645E-2</v>
      </c>
      <c r="U1043" s="35" t="s">
        <v>336</v>
      </c>
      <c r="V1043" s="102" t="s">
        <v>293</v>
      </c>
      <c r="W1043" s="478">
        <f>IFERROR(Table6[[#This Row],[Breakdown Time]]*Table6[[#This Row],[Plant Equivalent Weightage]],"")</f>
        <v>3.8461538461538312E-3</v>
      </c>
      <c r="X1043" s="473" t="s">
        <v>294</v>
      </c>
      <c r="Y1043" s="474" t="s">
        <v>314</v>
      </c>
      <c r="Z1043" s="102">
        <v>42707.040000000001</v>
      </c>
      <c r="AA1043" s="468">
        <f>(Table6[[#This Row],[Paired WTG Generation for loss calculation]]/24)*Table6[[#This Row],[Breakdown Time]]</f>
        <v>177.94599999999937</v>
      </c>
      <c r="AB1043" s="102"/>
      <c r="AC1043" s="35"/>
      <c r="AD1043" s="35"/>
    </row>
    <row r="1044" spans="1:30">
      <c r="A1044" s="102">
        <f t="shared" si="17"/>
        <v>1043</v>
      </c>
      <c r="B1044" s="468">
        <f>YEAR(Table6[[#This Row],[Date]])+IF(MONTH(Table6[[#This Row],[Date]])&gt;=4,1,0)</f>
        <v>2026</v>
      </c>
      <c r="C1044" s="102">
        <f>YEAR(Table6[[#This Row],[Date]])</f>
        <v>2025</v>
      </c>
      <c r="D1044" s="102" t="s">
        <v>1992</v>
      </c>
      <c r="E1044" s="469">
        <f>Table6[[#This Row],[Date]]-DAY(Table6[[#This Row],[Date]])+1</f>
        <v>45809</v>
      </c>
      <c r="F1044" s="470">
        <v>45811</v>
      </c>
      <c r="G1044" s="35" t="s">
        <v>96</v>
      </c>
      <c r="H1044" s="35" t="str">
        <f>IFERROR(_xlfn.XLOOKUP(Table6[[#This Row],[Affected WTG]],'Basic Data'!$A:$A,'Basic Data'!$B:$B),"")</f>
        <v>TQGXIIPL</v>
      </c>
      <c r="I1044" s="35" t="str">
        <f>IFERROR(_xlfn.XLOOKUP(Table6[[#This Row],[Affected WTG]],'Basic Data'!$A:$A,'Basic Data'!$C:$C),"")</f>
        <v>GEDA</v>
      </c>
      <c r="J1044" s="471">
        <f>IFERROR(_xlfn.XLOOKUP(Table6[[#This Row],[Affected WTG]],'Basic Data'!$A:$A,'Basic Data'!$E:$E),"")</f>
        <v>3.846153846153845E-2</v>
      </c>
      <c r="K1044" s="102">
        <v>6130</v>
      </c>
      <c r="L1044" s="35" t="str">
        <f>IFERROR(_xlfn.XLOOKUP(Table6[[#This Row],[Error Code]],'Basic Data'!$AA:$AA,'Basic Data'!$AB:$AB),"Incorrect Error Code")</f>
        <v>Yaw speed high</v>
      </c>
      <c r="M1044" s="35" t="s">
        <v>292</v>
      </c>
      <c r="N1044" s="475"/>
      <c r="O1044" s="476">
        <v>0.39305555555555555</v>
      </c>
      <c r="P1044" s="476">
        <v>0.39305555555555555</v>
      </c>
      <c r="Q1044" s="477">
        <v>0.3972222222222222</v>
      </c>
      <c r="R1044" s="472">
        <f>IF(Table6[[#This Row],[Work Start TimeStamp]]="","",(Table6[[#This Row],[Work Start TimeStamp]]-Table6[[#This Row],[Fault Start TimeStamp]])*24)</f>
        <v>0</v>
      </c>
      <c r="S1044" s="472">
        <f>(Table6[[#This Row],[Fault Clearance time]]-Table6[[#This Row],[Work Start TimeStamp]])*24</f>
        <v>9.9999999999999645E-2</v>
      </c>
      <c r="T1044" s="472">
        <f>(Table6[[#This Row],[Fault Clearance time]]-Table6[[#This Row],[Fault Start TimeStamp]])*24</f>
        <v>9.9999999999999645E-2</v>
      </c>
      <c r="U1044" s="35" t="s">
        <v>336</v>
      </c>
      <c r="V1044" s="102" t="s">
        <v>293</v>
      </c>
      <c r="W1044" s="478">
        <f>IFERROR(Table6[[#This Row],[Breakdown Time]]*Table6[[#This Row],[Plant Equivalent Weightage]],"")</f>
        <v>3.8461538461538312E-3</v>
      </c>
      <c r="X1044" s="473" t="s">
        <v>294</v>
      </c>
      <c r="Y1044" s="474" t="s">
        <v>313</v>
      </c>
      <c r="Z1044" s="102">
        <v>39065.040000000001</v>
      </c>
      <c r="AA1044" s="468">
        <f>(Table6[[#This Row],[Paired WTG Generation for loss calculation]]/24)*Table6[[#This Row],[Breakdown Time]]</f>
        <v>162.77099999999942</v>
      </c>
      <c r="AB1044" s="102"/>
      <c r="AC1044" s="35"/>
      <c r="AD1044" s="35"/>
    </row>
    <row r="1045" spans="1:30">
      <c r="A1045" s="102">
        <f t="shared" si="17"/>
        <v>1044</v>
      </c>
      <c r="B1045" s="468">
        <f>YEAR(Table6[[#This Row],[Date]])+IF(MONTH(Table6[[#This Row],[Date]])&gt;=4,1,0)</f>
        <v>2026</v>
      </c>
      <c r="C1045" s="102">
        <f>YEAR(Table6[[#This Row],[Date]])</f>
        <v>2025</v>
      </c>
      <c r="D1045" s="102" t="s">
        <v>1992</v>
      </c>
      <c r="E1045" s="469">
        <f>Table6[[#This Row],[Date]]-DAY(Table6[[#This Row],[Date]])+1</f>
        <v>45809</v>
      </c>
      <c r="F1045" s="470">
        <v>45811</v>
      </c>
      <c r="G1045" s="35" t="s">
        <v>96</v>
      </c>
      <c r="H1045" s="35" t="str">
        <f>IFERROR(_xlfn.XLOOKUP(Table6[[#This Row],[Affected WTG]],'Basic Data'!$A:$A,'Basic Data'!$B:$B),"")</f>
        <v>TQGXIIPL</v>
      </c>
      <c r="I1045" s="35" t="str">
        <f>IFERROR(_xlfn.XLOOKUP(Table6[[#This Row],[Affected WTG]],'Basic Data'!$A:$A,'Basic Data'!$C:$C),"")</f>
        <v>GEDA</v>
      </c>
      <c r="J1045" s="471">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291</v>
      </c>
      <c r="N1045" s="475"/>
      <c r="O1045" s="476">
        <v>0.47013888888888888</v>
      </c>
      <c r="P1045" s="476">
        <v>0.47013888888888888</v>
      </c>
      <c r="Q1045" s="477">
        <v>0.47361111111111109</v>
      </c>
      <c r="R1045" s="472">
        <f>IF(Table6[[#This Row],[Work Start TimeStamp]]="","",(Table6[[#This Row],[Work Start TimeStamp]]-Table6[[#This Row],[Fault Start TimeStamp]])*24)</f>
        <v>0</v>
      </c>
      <c r="S1045" s="472">
        <f>(Table6[[#This Row],[Fault Clearance time]]-Table6[[#This Row],[Work Start TimeStamp]])*24</f>
        <v>8.3333333333333037E-2</v>
      </c>
      <c r="T1045" s="472">
        <f>(Table6[[#This Row],[Fault Clearance time]]-Table6[[#This Row],[Fault Start TimeStamp]])*24</f>
        <v>8.3333333333333037E-2</v>
      </c>
      <c r="U1045" s="35" t="s">
        <v>1924</v>
      </c>
      <c r="V1045" s="102" t="s">
        <v>293</v>
      </c>
      <c r="W1045" s="478">
        <f>IFERROR(Table6[[#This Row],[Breakdown Time]]*Table6[[#This Row],[Plant Equivalent Weightage]],"")</f>
        <v>3.2051282051281929E-3</v>
      </c>
      <c r="X1045" s="473" t="s">
        <v>294</v>
      </c>
      <c r="Y1045" s="474" t="s">
        <v>313</v>
      </c>
      <c r="Z1045" s="102">
        <v>39065.040000000001</v>
      </c>
      <c r="AA1045" s="468">
        <f>(Table6[[#This Row],[Paired WTG Generation for loss calculation]]/24)*Table6[[#This Row],[Breakdown Time]]</f>
        <v>135.64249999999953</v>
      </c>
      <c r="AB1045" s="102"/>
      <c r="AC1045" s="35"/>
      <c r="AD1045" s="35"/>
    </row>
    <row r="1046" spans="1:30">
      <c r="A1046" s="102">
        <f t="shared" si="17"/>
        <v>1045</v>
      </c>
      <c r="B1046" s="468">
        <f>YEAR(Table6[[#This Row],[Date]])+IF(MONTH(Table6[[#This Row],[Date]])&gt;=4,1,0)</f>
        <v>2026</v>
      </c>
      <c r="C1046" s="102">
        <f>YEAR(Table6[[#This Row],[Date]])</f>
        <v>2025</v>
      </c>
      <c r="D1046" s="102" t="s">
        <v>1992</v>
      </c>
      <c r="E1046" s="469">
        <f>Table6[[#This Row],[Date]]-DAY(Table6[[#This Row],[Date]])+1</f>
        <v>45809</v>
      </c>
      <c r="F1046" s="470">
        <v>45811</v>
      </c>
      <c r="G1046" s="35" t="s">
        <v>97</v>
      </c>
      <c r="H1046" s="35" t="str">
        <f>IFERROR(_xlfn.XLOOKUP(Table6[[#This Row],[Affected WTG]],'Basic Data'!$A:$A,'Basic Data'!$B:$B),"")</f>
        <v>TQGXIIPL</v>
      </c>
      <c r="I1046" s="35" t="str">
        <f>IFERROR(_xlfn.XLOOKUP(Table6[[#This Row],[Affected WTG]],'Basic Data'!$A:$A,'Basic Data'!$C:$C),"")</f>
        <v>GEDA</v>
      </c>
      <c r="J1046" s="471">
        <f>IFERROR(_xlfn.XLOOKUP(Table6[[#This Row],[Affected WTG]],'Basic Data'!$A:$A,'Basic Data'!$E:$E),"")</f>
        <v>3.846153846153845E-2</v>
      </c>
      <c r="K1046" s="102">
        <v>4970</v>
      </c>
      <c r="L1046" s="35" t="str">
        <f>IFERROR(_xlfn.XLOOKUP(Table6[[#This Row],[Error Code]],'Basic Data'!$AA:$AA,'Basic Data'!$AB:$AB),"Incorrect Error Code")</f>
        <v>Tower oscillation XF</v>
      </c>
      <c r="M1046" s="35" t="s">
        <v>292</v>
      </c>
      <c r="N1046" s="475"/>
      <c r="O1046" s="476">
        <v>0.65069444444444446</v>
      </c>
      <c r="P1046" s="476">
        <v>0.65069444444444446</v>
      </c>
      <c r="Q1046" s="477">
        <v>0.66180555555555565</v>
      </c>
      <c r="R1046" s="472">
        <f>IF(Table6[[#This Row],[Work Start TimeStamp]]="","",(Table6[[#This Row],[Work Start TimeStamp]]-Table6[[#This Row],[Fault Start TimeStamp]])*24)</f>
        <v>0</v>
      </c>
      <c r="S1046" s="472">
        <f>(Table6[[#This Row],[Fault Clearance time]]-Table6[[#This Row],[Work Start TimeStamp]])*24</f>
        <v>0.26666666666666838</v>
      </c>
      <c r="T1046" s="472">
        <f>(Table6[[#This Row],[Fault Clearance time]]-Table6[[#This Row],[Fault Start TimeStamp]])*24</f>
        <v>0.26666666666666838</v>
      </c>
      <c r="U1046" s="35" t="s">
        <v>336</v>
      </c>
      <c r="V1046" s="102" t="s">
        <v>293</v>
      </c>
      <c r="W1046" s="478">
        <f>IFERROR(Table6[[#This Row],[Breakdown Time]]*Table6[[#This Row],[Plant Equivalent Weightage]],"")</f>
        <v>1.0256410256410319E-2</v>
      </c>
      <c r="X1046" s="473" t="s">
        <v>294</v>
      </c>
      <c r="Y1046" s="474" t="s">
        <v>320</v>
      </c>
      <c r="Z1046" s="102">
        <v>42388.08</v>
      </c>
      <c r="AA1046" s="468">
        <f>(Table6[[#This Row],[Paired WTG Generation for loss calculation]]/24)*Table6[[#This Row],[Breakdown Time]]</f>
        <v>470.97866666666971</v>
      </c>
      <c r="AB1046" s="102"/>
      <c r="AC1046" s="35"/>
      <c r="AD1046" s="35"/>
    </row>
    <row r="1047" spans="1:30">
      <c r="A1047" s="102">
        <f t="shared" si="17"/>
        <v>1046</v>
      </c>
      <c r="B1047" s="468">
        <f>YEAR(Table6[[#This Row],[Date]])+IF(MONTH(Table6[[#This Row],[Date]])&gt;=4,1,0)</f>
        <v>2026</v>
      </c>
      <c r="C1047" s="102">
        <f>YEAR(Table6[[#This Row],[Date]])</f>
        <v>2025</v>
      </c>
      <c r="D1047" s="102" t="s">
        <v>1992</v>
      </c>
      <c r="E1047" s="469">
        <f>Table6[[#This Row],[Date]]-DAY(Table6[[#This Row],[Date]])+1</f>
        <v>45809</v>
      </c>
      <c r="F1047" s="470">
        <v>45811</v>
      </c>
      <c r="G1047" s="35" t="s">
        <v>98</v>
      </c>
      <c r="H1047" s="35" t="str">
        <f>IFERROR(_xlfn.XLOOKUP(Table6[[#This Row],[Affected WTG]],'Basic Data'!$A:$A,'Basic Data'!$B:$B),"")</f>
        <v>TQGXIIPL</v>
      </c>
      <c r="I1047" s="35" t="str">
        <f>IFERROR(_xlfn.XLOOKUP(Table6[[#This Row],[Affected WTG]],'Basic Data'!$A:$A,'Basic Data'!$C:$C),"")</f>
        <v>GEDA</v>
      </c>
      <c r="J1047" s="471">
        <f>IFERROR(_xlfn.XLOOKUP(Table6[[#This Row],[Affected WTG]],'Basic Data'!$A:$A,'Basic Data'!$E:$E),"")</f>
        <v>3.846153846153845E-2</v>
      </c>
      <c r="K1047" s="102">
        <v>6130</v>
      </c>
      <c r="L1047" s="35" t="str">
        <f>IFERROR(_xlfn.XLOOKUP(Table6[[#This Row],[Error Code]],'Basic Data'!$AA:$AA,'Basic Data'!$AB:$AB),"Incorrect Error Code")</f>
        <v>Yaw speed high</v>
      </c>
      <c r="M1047" s="35" t="s">
        <v>292</v>
      </c>
      <c r="N1047" s="475"/>
      <c r="O1047" s="476">
        <v>0.55208333333333337</v>
      </c>
      <c r="P1047" s="476">
        <v>0.55208333333333337</v>
      </c>
      <c r="Q1047" s="477">
        <v>0.55625000000000002</v>
      </c>
      <c r="R1047" s="472">
        <f>IF(Table6[[#This Row],[Work Start TimeStamp]]="","",(Table6[[#This Row],[Work Start TimeStamp]]-Table6[[#This Row],[Fault Start TimeStamp]])*24)</f>
        <v>0</v>
      </c>
      <c r="S1047" s="472">
        <f>(Table6[[#This Row],[Fault Clearance time]]-Table6[[#This Row],[Work Start TimeStamp]])*24</f>
        <v>9.9999999999999645E-2</v>
      </c>
      <c r="T1047" s="472">
        <f>(Table6[[#This Row],[Fault Clearance time]]-Table6[[#This Row],[Fault Start TimeStamp]])*24</f>
        <v>9.9999999999999645E-2</v>
      </c>
      <c r="U1047" s="35" t="s">
        <v>336</v>
      </c>
      <c r="V1047" s="102" t="s">
        <v>293</v>
      </c>
      <c r="W1047" s="478">
        <f>IFERROR(Table6[[#This Row],[Breakdown Time]]*Table6[[#This Row],[Plant Equivalent Weightage]],"")</f>
        <v>3.8461538461538312E-3</v>
      </c>
      <c r="X1047" s="473" t="s">
        <v>294</v>
      </c>
      <c r="Y1047" s="474" t="s">
        <v>315</v>
      </c>
      <c r="Z1047" s="102">
        <v>39300.479999999996</v>
      </c>
      <c r="AA1047" s="468">
        <f>(Table6[[#This Row],[Paired WTG Generation for loss calculation]]/24)*Table6[[#This Row],[Breakdown Time]]</f>
        <v>163.75199999999938</v>
      </c>
      <c r="AB1047" s="102"/>
      <c r="AC1047" s="35"/>
      <c r="AD1047" s="35"/>
    </row>
    <row r="1048" spans="1:30">
      <c r="A1048" s="102">
        <f t="shared" si="17"/>
        <v>1047</v>
      </c>
      <c r="B1048" s="468">
        <f>YEAR(Table6[[#This Row],[Date]])+IF(MONTH(Table6[[#This Row],[Date]])&gt;=4,1,0)</f>
        <v>2026</v>
      </c>
      <c r="C1048" s="102">
        <f>YEAR(Table6[[#This Row],[Date]])</f>
        <v>2025</v>
      </c>
      <c r="D1048" s="102" t="s">
        <v>1992</v>
      </c>
      <c r="E1048" s="469">
        <f>Table6[[#This Row],[Date]]-DAY(Table6[[#This Row],[Date]])+1</f>
        <v>45809</v>
      </c>
      <c r="F1048" s="470">
        <v>45811</v>
      </c>
      <c r="G1048" s="35" t="s">
        <v>99</v>
      </c>
      <c r="H1048" s="35" t="str">
        <f>IFERROR(_xlfn.XLOOKUP(Table6[[#This Row],[Affected WTG]],'Basic Data'!$A:$A,'Basic Data'!$B:$B),"")</f>
        <v>TQGXIIPL</v>
      </c>
      <c r="I1048" s="35" t="str">
        <f>IFERROR(_xlfn.XLOOKUP(Table6[[#This Row],[Affected WTG]],'Basic Data'!$A:$A,'Basic Data'!$C:$C),"")</f>
        <v>GEDA</v>
      </c>
      <c r="J1048" s="471">
        <f>IFERROR(_xlfn.XLOOKUP(Table6[[#This Row],[Affected WTG]],'Basic Data'!$A:$A,'Basic Data'!$E:$E),"")</f>
        <v>3.846153846153845E-2</v>
      </c>
      <c r="K1048" s="102">
        <v>4970</v>
      </c>
      <c r="L1048" s="35" t="str">
        <f>IFERROR(_xlfn.XLOOKUP(Table6[[#This Row],[Error Code]],'Basic Data'!$AA:$AA,'Basic Data'!$AB:$AB),"Incorrect Error Code")</f>
        <v>Tower oscillation XF</v>
      </c>
      <c r="M1048" s="35" t="s">
        <v>292</v>
      </c>
      <c r="N1048" s="475"/>
      <c r="O1048" s="476">
        <v>0.47222222222222221</v>
      </c>
      <c r="P1048" s="476">
        <v>0.47222222222222221</v>
      </c>
      <c r="Q1048" s="477">
        <v>0.48333333333333334</v>
      </c>
      <c r="R1048" s="472">
        <f>IF(Table6[[#This Row],[Work Start TimeStamp]]="","",(Table6[[#This Row],[Work Start TimeStamp]]-Table6[[#This Row],[Fault Start TimeStamp]])*24)</f>
        <v>0</v>
      </c>
      <c r="S1048" s="472">
        <f>(Table6[[#This Row],[Fault Clearance time]]-Table6[[#This Row],[Work Start TimeStamp]])*24</f>
        <v>0.26666666666666705</v>
      </c>
      <c r="T1048" s="472">
        <f>(Table6[[#This Row],[Fault Clearance time]]-Table6[[#This Row],[Fault Start TimeStamp]])*24</f>
        <v>0.26666666666666705</v>
      </c>
      <c r="U1048" s="35" t="s">
        <v>336</v>
      </c>
      <c r="V1048" s="102" t="s">
        <v>293</v>
      </c>
      <c r="W1048" s="478">
        <f>IFERROR(Table6[[#This Row],[Breakdown Time]]*Table6[[#This Row],[Plant Equivalent Weightage]],"")</f>
        <v>1.0256410256410269E-2</v>
      </c>
      <c r="X1048" s="473" t="s">
        <v>294</v>
      </c>
      <c r="Y1048" s="474" t="s">
        <v>315</v>
      </c>
      <c r="Z1048" s="102">
        <v>39300.479999999996</v>
      </c>
      <c r="AA1048" s="468">
        <f>(Table6[[#This Row],[Paired WTG Generation for loss calculation]]/24)*Table6[[#This Row],[Breakdown Time]]</f>
        <v>436.67200000000054</v>
      </c>
      <c r="AB1048" s="102"/>
      <c r="AC1048" s="35"/>
      <c r="AD1048" s="35"/>
    </row>
    <row r="1049" spans="1:30">
      <c r="A1049" s="102">
        <f t="shared" si="17"/>
        <v>1048</v>
      </c>
      <c r="B1049" s="468">
        <f>YEAR(Table6[[#This Row],[Date]])+IF(MONTH(Table6[[#This Row],[Date]])&gt;=4,1,0)</f>
        <v>2026</v>
      </c>
      <c r="C1049" s="102">
        <f>YEAR(Table6[[#This Row],[Date]])</f>
        <v>2025</v>
      </c>
      <c r="D1049" s="102" t="s">
        <v>1992</v>
      </c>
      <c r="E1049" s="469">
        <f>Table6[[#This Row],[Date]]-DAY(Table6[[#This Row],[Date]])+1</f>
        <v>45809</v>
      </c>
      <c r="F1049" s="470">
        <v>45811</v>
      </c>
      <c r="G1049" s="35" t="s">
        <v>99</v>
      </c>
      <c r="H1049" s="35" t="str">
        <f>IFERROR(_xlfn.XLOOKUP(Table6[[#This Row],[Affected WTG]],'Basic Data'!$A:$A,'Basic Data'!$B:$B),"")</f>
        <v>TQGXIIPL</v>
      </c>
      <c r="I1049" s="35" t="str">
        <f>IFERROR(_xlfn.XLOOKUP(Table6[[#This Row],[Affected WTG]],'Basic Data'!$A:$A,'Basic Data'!$C:$C),"")</f>
        <v>GEDA</v>
      </c>
      <c r="J1049" s="471">
        <f>IFERROR(_xlfn.XLOOKUP(Table6[[#This Row],[Affected WTG]],'Basic Data'!$A:$A,'Basic Data'!$E:$E),"")</f>
        <v>3.846153846153845E-2</v>
      </c>
      <c r="K1049" s="102">
        <v>6130</v>
      </c>
      <c r="L1049" s="35" t="str">
        <f>IFERROR(_xlfn.XLOOKUP(Table6[[#This Row],[Error Code]],'Basic Data'!$AA:$AA,'Basic Data'!$AB:$AB),"Incorrect Error Code")</f>
        <v>Yaw speed high</v>
      </c>
      <c r="M1049" s="35" t="s">
        <v>292</v>
      </c>
      <c r="N1049" s="475"/>
      <c r="O1049" s="476">
        <v>0.59027777777777779</v>
      </c>
      <c r="P1049" s="476">
        <v>0.59027777777777779</v>
      </c>
      <c r="Q1049" s="477">
        <v>0.59444444444444444</v>
      </c>
      <c r="R1049" s="472">
        <f>IF(Table6[[#This Row],[Work Start TimeStamp]]="","",(Table6[[#This Row],[Work Start TimeStamp]]-Table6[[#This Row],[Fault Start TimeStamp]])*24)</f>
        <v>0</v>
      </c>
      <c r="S1049" s="472">
        <f>(Table6[[#This Row],[Fault Clearance time]]-Table6[[#This Row],[Work Start TimeStamp]])*24</f>
        <v>9.9999999999999645E-2</v>
      </c>
      <c r="T1049" s="472">
        <f>(Table6[[#This Row],[Fault Clearance time]]-Table6[[#This Row],[Fault Start TimeStamp]])*24</f>
        <v>9.9999999999999645E-2</v>
      </c>
      <c r="U1049" s="35" t="s">
        <v>336</v>
      </c>
      <c r="V1049" s="102" t="s">
        <v>293</v>
      </c>
      <c r="W1049" s="478">
        <f>IFERROR(Table6[[#This Row],[Breakdown Time]]*Table6[[#This Row],[Plant Equivalent Weightage]],"")</f>
        <v>3.8461538461538312E-3</v>
      </c>
      <c r="X1049" s="473" t="s">
        <v>294</v>
      </c>
      <c r="Y1049" s="474" t="s">
        <v>315</v>
      </c>
      <c r="Z1049" s="102">
        <v>39300.479999999996</v>
      </c>
      <c r="AA1049" s="468">
        <f>(Table6[[#This Row],[Paired WTG Generation for loss calculation]]/24)*Table6[[#This Row],[Breakdown Time]]</f>
        <v>163.75199999999938</v>
      </c>
      <c r="AB1049" s="102"/>
      <c r="AC1049" s="35"/>
      <c r="AD1049" s="35"/>
    </row>
    <row r="1050" spans="1:30">
      <c r="A1050" s="102">
        <f t="shared" si="17"/>
        <v>1049</v>
      </c>
      <c r="B1050" s="468">
        <f>YEAR(Table6[[#This Row],[Date]])+IF(MONTH(Table6[[#This Row],[Date]])&gt;=4,1,0)</f>
        <v>2026</v>
      </c>
      <c r="C1050" s="102">
        <f>YEAR(Table6[[#This Row],[Date]])</f>
        <v>2025</v>
      </c>
      <c r="D1050" s="102" t="s">
        <v>1992</v>
      </c>
      <c r="E1050" s="469">
        <f>Table6[[#This Row],[Date]]-DAY(Table6[[#This Row],[Date]])+1</f>
        <v>45809</v>
      </c>
      <c r="F1050" s="470">
        <v>45812</v>
      </c>
      <c r="G1050" s="35" t="s">
        <v>77</v>
      </c>
      <c r="H1050" s="35" t="str">
        <f>IFERROR(_xlfn.XLOOKUP(Table6[[#This Row],[Affected WTG]],'Basic Data'!$A:$A,'Basic Data'!$B:$B),"")</f>
        <v>TQGXIIPL</v>
      </c>
      <c r="I1050" s="35" t="str">
        <f>IFERROR(_xlfn.XLOOKUP(Table6[[#This Row],[Affected WTG]],'Basic Data'!$A:$A,'Basic Data'!$C:$C),"")</f>
        <v>GEDA</v>
      </c>
      <c r="J1050" s="471">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291</v>
      </c>
      <c r="N1050" s="475"/>
      <c r="O1050" s="476">
        <v>0.38541666666666669</v>
      </c>
      <c r="P1050" s="476">
        <v>0.38541666666666669</v>
      </c>
      <c r="Q1050" s="477">
        <v>0.38750000000000001</v>
      </c>
      <c r="R1050" s="472">
        <f>IF(Table6[[#This Row],[Work Start TimeStamp]]="","",(Table6[[#This Row],[Work Start TimeStamp]]-Table6[[#This Row],[Fault Start TimeStamp]])*24)</f>
        <v>0</v>
      </c>
      <c r="S1050" s="472">
        <f>(Table6[[#This Row],[Fault Clearance time]]-Table6[[#This Row],[Work Start TimeStamp]])*24</f>
        <v>4.9999999999999822E-2</v>
      </c>
      <c r="T1050" s="472">
        <f>(Table6[[#This Row],[Fault Clearance time]]-Table6[[#This Row],[Fault Start TimeStamp]])*24</f>
        <v>4.9999999999999822E-2</v>
      </c>
      <c r="U1050" s="35" t="s">
        <v>1924</v>
      </c>
      <c r="V1050" s="102" t="s">
        <v>293</v>
      </c>
      <c r="W1050" s="478">
        <f>IFERROR(Table6[[#This Row],[Breakdown Time]]*Table6[[#This Row],[Plant Equivalent Weightage]],"")</f>
        <v>1.9230769230769156E-3</v>
      </c>
      <c r="X1050" s="473" t="s">
        <v>294</v>
      </c>
      <c r="Y1050" s="474" t="s">
        <v>310</v>
      </c>
      <c r="Z1050" s="102">
        <v>24286</v>
      </c>
      <c r="AA1050" s="468">
        <f>(Table6[[#This Row],[Paired WTG Generation for loss calculation]]/24)*Table6[[#This Row],[Breakdown Time]]</f>
        <v>50.595833333333154</v>
      </c>
      <c r="AB1050" s="102"/>
      <c r="AC1050" s="35"/>
      <c r="AD1050" s="35"/>
    </row>
    <row r="1051" spans="1:30">
      <c r="A1051" s="102">
        <f t="shared" si="17"/>
        <v>1050</v>
      </c>
      <c r="B1051" s="468">
        <f>YEAR(Table6[[#This Row],[Date]])+IF(MONTH(Table6[[#This Row],[Date]])&gt;=4,1,0)</f>
        <v>2026</v>
      </c>
      <c r="C1051" s="102">
        <f>YEAR(Table6[[#This Row],[Date]])</f>
        <v>2025</v>
      </c>
      <c r="D1051" s="102" t="s">
        <v>1992</v>
      </c>
      <c r="E1051" s="469">
        <f>Table6[[#This Row],[Date]]-DAY(Table6[[#This Row],[Date]])+1</f>
        <v>45809</v>
      </c>
      <c r="F1051" s="470">
        <v>45812</v>
      </c>
      <c r="G1051" s="35" t="s">
        <v>77</v>
      </c>
      <c r="H1051" s="35" t="str">
        <f>IFERROR(_xlfn.XLOOKUP(Table6[[#This Row],[Affected WTG]],'Basic Data'!$A:$A,'Basic Data'!$B:$B),"")</f>
        <v>TQGXIIPL</v>
      </c>
      <c r="I1051" s="35" t="str">
        <f>IFERROR(_xlfn.XLOOKUP(Table6[[#This Row],[Affected WTG]],'Basic Data'!$A:$A,'Basic Data'!$C:$C),"")</f>
        <v>GEDA</v>
      </c>
      <c r="J1051" s="471">
        <f>IFERROR(_xlfn.XLOOKUP(Table6[[#This Row],[Affected WTG]],'Basic Data'!$A:$A,'Basic Data'!$E:$E),"")</f>
        <v>3.846153846153845E-2</v>
      </c>
      <c r="K1051" s="102">
        <v>6130</v>
      </c>
      <c r="L1051" s="35" t="str">
        <f>IFERROR(_xlfn.XLOOKUP(Table6[[#This Row],[Error Code]],'Basic Data'!$AA:$AA,'Basic Data'!$AB:$AB),"Incorrect Error Code")</f>
        <v>Yaw speed high</v>
      </c>
      <c r="M1051" s="35" t="s">
        <v>291</v>
      </c>
      <c r="N1051" s="475"/>
      <c r="O1051" s="476">
        <v>0.60763888888888884</v>
      </c>
      <c r="P1051" s="476">
        <v>0.60763888888888884</v>
      </c>
      <c r="Q1051" s="477">
        <v>0.60833333333333328</v>
      </c>
      <c r="R1051" s="472">
        <f>IF(Table6[[#This Row],[Work Start TimeStamp]]="","",(Table6[[#This Row],[Work Start TimeStamp]]-Table6[[#This Row],[Fault Start TimeStamp]])*24)</f>
        <v>0</v>
      </c>
      <c r="S1051" s="472">
        <f>(Table6[[#This Row],[Fault Clearance time]]-Table6[[#This Row],[Work Start TimeStamp]])*24</f>
        <v>1.6666666666666607E-2</v>
      </c>
      <c r="T1051" s="472">
        <f>(Table6[[#This Row],[Fault Clearance time]]-Table6[[#This Row],[Fault Start TimeStamp]])*24</f>
        <v>1.6666666666666607E-2</v>
      </c>
      <c r="U1051" s="35" t="s">
        <v>1924</v>
      </c>
      <c r="V1051" s="102" t="s">
        <v>293</v>
      </c>
      <c r="W1051" s="478">
        <f>IFERROR(Table6[[#This Row],[Breakdown Time]]*Table6[[#This Row],[Plant Equivalent Weightage]],"")</f>
        <v>6.4102564102563853E-4</v>
      </c>
      <c r="X1051" s="473" t="s">
        <v>294</v>
      </c>
      <c r="Y1051" s="474" t="s">
        <v>310</v>
      </c>
      <c r="Z1051" s="102">
        <v>24286</v>
      </c>
      <c r="AA1051" s="468">
        <f>(Table6[[#This Row],[Paired WTG Generation for loss calculation]]/24)*Table6[[#This Row],[Breakdown Time]]</f>
        <v>16.865277777777717</v>
      </c>
      <c r="AB1051" s="102"/>
      <c r="AC1051" s="35"/>
      <c r="AD1051" s="35"/>
    </row>
    <row r="1052" spans="1:30">
      <c r="A1052" s="102">
        <f t="shared" si="17"/>
        <v>1051</v>
      </c>
      <c r="B1052" s="468">
        <f>YEAR(Table6[[#This Row],[Date]])+IF(MONTH(Table6[[#This Row],[Date]])&gt;=4,1,0)</f>
        <v>2026</v>
      </c>
      <c r="C1052" s="102">
        <f>YEAR(Table6[[#This Row],[Date]])</f>
        <v>2025</v>
      </c>
      <c r="D1052" s="102" t="s">
        <v>1992</v>
      </c>
      <c r="E1052" s="469">
        <f>Table6[[#This Row],[Date]]-DAY(Table6[[#This Row],[Date]])+1</f>
        <v>45809</v>
      </c>
      <c r="F1052" s="470">
        <v>45812</v>
      </c>
      <c r="G1052" s="35" t="s">
        <v>78</v>
      </c>
      <c r="H1052" s="35" t="str">
        <f>IFERROR(_xlfn.XLOOKUP(Table6[[#This Row],[Affected WTG]],'Basic Data'!$A:$A,'Basic Data'!$B:$B),"")</f>
        <v>TQGXIIPL</v>
      </c>
      <c r="I1052" s="35" t="str">
        <f>IFERROR(_xlfn.XLOOKUP(Table6[[#This Row],[Affected WTG]],'Basic Data'!$A:$A,'Basic Data'!$C:$C),"")</f>
        <v>GEDA</v>
      </c>
      <c r="J1052" s="471">
        <f>IFERROR(_xlfn.XLOOKUP(Table6[[#This Row],[Affected WTG]],'Basic Data'!$A:$A,'Basic Data'!$E:$E),"")</f>
        <v>3.846153846153845E-2</v>
      </c>
      <c r="K1052" s="102">
        <v>6130</v>
      </c>
      <c r="L1052" s="35" t="str">
        <f>IFERROR(_xlfn.XLOOKUP(Table6[[#This Row],[Error Code]],'Basic Data'!$AA:$AA,'Basic Data'!$AB:$AB),"Incorrect Error Code")</f>
        <v>Yaw speed high</v>
      </c>
      <c r="M1052" s="35" t="s">
        <v>292</v>
      </c>
      <c r="N1052" s="475"/>
      <c r="O1052" s="476">
        <v>0.53055555555555556</v>
      </c>
      <c r="P1052" s="476">
        <v>0.53055555555555556</v>
      </c>
      <c r="Q1052" s="477">
        <v>0.53472222222222221</v>
      </c>
      <c r="R1052" s="472">
        <f>IF(Table6[[#This Row],[Work Start TimeStamp]]="","",(Table6[[#This Row],[Work Start TimeStamp]]-Table6[[#This Row],[Fault Start TimeStamp]])*24)</f>
        <v>0</v>
      </c>
      <c r="S1052" s="472">
        <f>(Table6[[#This Row],[Fault Clearance time]]-Table6[[#This Row],[Work Start TimeStamp]])*24</f>
        <v>9.9999999999999645E-2</v>
      </c>
      <c r="T1052" s="472">
        <f>(Table6[[#This Row],[Fault Clearance time]]-Table6[[#This Row],[Fault Start TimeStamp]])*24</f>
        <v>9.9999999999999645E-2</v>
      </c>
      <c r="U1052" s="35" t="s">
        <v>336</v>
      </c>
      <c r="V1052" s="102" t="s">
        <v>293</v>
      </c>
      <c r="W1052" s="478">
        <f>IFERROR(Table6[[#This Row],[Breakdown Time]]*Table6[[#This Row],[Plant Equivalent Weightage]],"")</f>
        <v>3.8461538461538312E-3</v>
      </c>
      <c r="X1052" s="473" t="s">
        <v>294</v>
      </c>
      <c r="Y1052" s="474" t="s">
        <v>333</v>
      </c>
      <c r="Z1052" s="102">
        <v>25759</v>
      </c>
      <c r="AA1052" s="468">
        <f>(Table6[[#This Row],[Paired WTG Generation for loss calculation]]/24)*Table6[[#This Row],[Breakdown Time]]</f>
        <v>107.3291666666663</v>
      </c>
      <c r="AB1052" s="102"/>
      <c r="AC1052" s="35"/>
      <c r="AD1052" s="35"/>
    </row>
    <row r="1053" spans="1:30">
      <c r="A1053" s="102">
        <f t="shared" si="17"/>
        <v>1052</v>
      </c>
      <c r="B1053" s="468">
        <f>YEAR(Table6[[#This Row],[Date]])+IF(MONTH(Table6[[#This Row],[Date]])&gt;=4,1,0)</f>
        <v>2026</v>
      </c>
      <c r="C1053" s="102">
        <f>YEAR(Table6[[#This Row],[Date]])</f>
        <v>2025</v>
      </c>
      <c r="D1053" s="102" t="s">
        <v>1992</v>
      </c>
      <c r="E1053" s="469">
        <f>Table6[[#This Row],[Date]]-DAY(Table6[[#This Row],[Date]])+1</f>
        <v>45809</v>
      </c>
      <c r="F1053" s="470">
        <v>45812</v>
      </c>
      <c r="G1053" s="35" t="s">
        <v>79</v>
      </c>
      <c r="H1053" s="35" t="str">
        <f>IFERROR(_xlfn.XLOOKUP(Table6[[#This Row],[Affected WTG]],'Basic Data'!$A:$A,'Basic Data'!$B:$B),"")</f>
        <v>TQGXIIPL</v>
      </c>
      <c r="I1053" s="35" t="str">
        <f>IFERROR(_xlfn.XLOOKUP(Table6[[#This Row],[Affected WTG]],'Basic Data'!$A:$A,'Basic Data'!$C:$C),"")</f>
        <v>GEDA</v>
      </c>
      <c r="J1053" s="471">
        <f>IFERROR(_xlfn.XLOOKUP(Table6[[#This Row],[Affected WTG]],'Basic Data'!$A:$A,'Basic Data'!$E:$E),"")</f>
        <v>3.846153846153845E-2</v>
      </c>
      <c r="K1053" s="102">
        <v>4970</v>
      </c>
      <c r="L1053" s="35" t="str">
        <f>IFERROR(_xlfn.XLOOKUP(Table6[[#This Row],[Error Code]],'Basic Data'!$AA:$AA,'Basic Data'!$AB:$AB),"Incorrect Error Code")</f>
        <v>Tower oscillation XF</v>
      </c>
      <c r="M1053" s="35" t="s">
        <v>292</v>
      </c>
      <c r="N1053" s="475"/>
      <c r="O1053" s="476">
        <v>0.60277777777777775</v>
      </c>
      <c r="P1053" s="476">
        <v>0.60277777777777775</v>
      </c>
      <c r="Q1053" s="477">
        <v>0.61388888888888893</v>
      </c>
      <c r="R1053" s="472">
        <f>IF(Table6[[#This Row],[Work Start TimeStamp]]="","",(Table6[[#This Row],[Work Start TimeStamp]]-Table6[[#This Row],[Fault Start TimeStamp]])*24)</f>
        <v>0</v>
      </c>
      <c r="S1053" s="472">
        <f>(Table6[[#This Row],[Fault Clearance time]]-Table6[[#This Row],[Work Start TimeStamp]])*24</f>
        <v>0.26666666666666838</v>
      </c>
      <c r="T1053" s="472">
        <f>(Table6[[#This Row],[Fault Clearance time]]-Table6[[#This Row],[Fault Start TimeStamp]])*24</f>
        <v>0.26666666666666838</v>
      </c>
      <c r="U1053" s="35" t="s">
        <v>336</v>
      </c>
      <c r="V1053" s="102" t="s">
        <v>293</v>
      </c>
      <c r="W1053" s="478">
        <f>IFERROR(Table6[[#This Row],[Breakdown Time]]*Table6[[#This Row],[Plant Equivalent Weightage]],"")</f>
        <v>1.0256410256410319E-2</v>
      </c>
      <c r="X1053" s="473" t="s">
        <v>294</v>
      </c>
      <c r="Y1053" s="474" t="s">
        <v>325</v>
      </c>
      <c r="Z1053" s="102">
        <v>26598</v>
      </c>
      <c r="AA1053" s="468">
        <f>(Table6[[#This Row],[Paired WTG Generation for loss calculation]]/24)*Table6[[#This Row],[Breakdown Time]]</f>
        <v>295.53333333333524</v>
      </c>
      <c r="AB1053" s="102"/>
      <c r="AC1053" s="35"/>
      <c r="AD1053" s="35"/>
    </row>
    <row r="1054" spans="1:30">
      <c r="A1054" s="102">
        <f t="shared" si="17"/>
        <v>1053</v>
      </c>
      <c r="B1054" s="468">
        <f>YEAR(Table6[[#This Row],[Date]])+IF(MONTH(Table6[[#This Row],[Date]])&gt;=4,1,0)</f>
        <v>2026</v>
      </c>
      <c r="C1054" s="102">
        <f>YEAR(Table6[[#This Row],[Date]])</f>
        <v>2025</v>
      </c>
      <c r="D1054" s="102" t="s">
        <v>1992</v>
      </c>
      <c r="E1054" s="469">
        <f>Table6[[#This Row],[Date]]-DAY(Table6[[#This Row],[Date]])+1</f>
        <v>45809</v>
      </c>
      <c r="F1054" s="470">
        <v>45812</v>
      </c>
      <c r="G1054" s="35" t="s">
        <v>79</v>
      </c>
      <c r="H1054" s="35" t="str">
        <f>IFERROR(_xlfn.XLOOKUP(Table6[[#This Row],[Affected WTG]],'Basic Data'!$A:$A,'Basic Data'!$B:$B),"")</f>
        <v>TQGXIIPL</v>
      </c>
      <c r="I1054" s="35" t="str">
        <f>IFERROR(_xlfn.XLOOKUP(Table6[[#This Row],[Affected WTG]],'Basic Data'!$A:$A,'Basic Data'!$C:$C),"")</f>
        <v>GEDA</v>
      </c>
      <c r="J1054" s="471">
        <f>IFERROR(_xlfn.XLOOKUP(Table6[[#This Row],[Affected WTG]],'Basic Data'!$A:$A,'Basic Data'!$E:$E),"")</f>
        <v>3.846153846153845E-2</v>
      </c>
      <c r="K1054" s="102">
        <v>55</v>
      </c>
      <c r="L1054" s="35" t="str">
        <f>IFERROR(_xlfn.XLOOKUP(Table6[[#This Row],[Error Code]],'Basic Data'!$AA:$AA,'Basic Data'!$AB:$AB),"Incorrect Error Code")</f>
        <v>WTG shut down</v>
      </c>
      <c r="M1054" s="35" t="s">
        <v>291</v>
      </c>
      <c r="N1054" s="475"/>
      <c r="O1054" s="476">
        <v>0.64513888888888893</v>
      </c>
      <c r="P1054" s="476">
        <v>0.64513888888888893</v>
      </c>
      <c r="Q1054" s="477">
        <v>0.65138888888888891</v>
      </c>
      <c r="R1054" s="472">
        <f>IF(Table6[[#This Row],[Work Start TimeStamp]]="","",(Table6[[#This Row],[Work Start TimeStamp]]-Table6[[#This Row],[Fault Start TimeStamp]])*24)</f>
        <v>0</v>
      </c>
      <c r="S1054" s="472">
        <f>(Table6[[#This Row],[Fault Clearance time]]-Table6[[#This Row],[Work Start TimeStamp]])*24</f>
        <v>0.14999999999999947</v>
      </c>
      <c r="T1054" s="472">
        <f>(Table6[[#This Row],[Fault Clearance time]]-Table6[[#This Row],[Fault Start TimeStamp]])*24</f>
        <v>0.14999999999999947</v>
      </c>
      <c r="U1054" s="35" t="s">
        <v>1942</v>
      </c>
      <c r="V1054" s="102" t="s">
        <v>293</v>
      </c>
      <c r="W1054" s="478">
        <f>IFERROR(Table6[[#This Row],[Breakdown Time]]*Table6[[#This Row],[Plant Equivalent Weightage]],"")</f>
        <v>5.769230769230747E-3</v>
      </c>
      <c r="X1054" s="473" t="s">
        <v>294</v>
      </c>
      <c r="Y1054" s="474" t="s">
        <v>325</v>
      </c>
      <c r="Z1054" s="102">
        <v>26598</v>
      </c>
      <c r="AA1054" s="468">
        <f>(Table6[[#This Row],[Paired WTG Generation for loss calculation]]/24)*Table6[[#This Row],[Breakdown Time]]</f>
        <v>166.23749999999941</v>
      </c>
      <c r="AB1054" s="102"/>
      <c r="AC1054" s="35"/>
      <c r="AD1054" s="35"/>
    </row>
    <row r="1055" spans="1:30">
      <c r="A1055" s="102">
        <f t="shared" si="17"/>
        <v>1054</v>
      </c>
      <c r="B1055" s="468">
        <f>YEAR(Table6[[#This Row],[Date]])+IF(MONTH(Table6[[#This Row],[Date]])&gt;=4,1,0)</f>
        <v>2026</v>
      </c>
      <c r="C1055" s="102">
        <f>YEAR(Table6[[#This Row],[Date]])</f>
        <v>2025</v>
      </c>
      <c r="D1055" s="102" t="s">
        <v>1992</v>
      </c>
      <c r="E1055" s="469">
        <f>Table6[[#This Row],[Date]]-DAY(Table6[[#This Row],[Date]])+1</f>
        <v>45809</v>
      </c>
      <c r="F1055" s="470">
        <v>45812</v>
      </c>
      <c r="G1055" s="35" t="s">
        <v>81</v>
      </c>
      <c r="H1055" s="35" t="str">
        <f>IFERROR(_xlfn.XLOOKUP(Table6[[#This Row],[Affected WTG]],'Basic Data'!$A:$A,'Basic Data'!$B:$B),"")</f>
        <v>TQGXIIPL</v>
      </c>
      <c r="I1055" s="35" t="str">
        <f>IFERROR(_xlfn.XLOOKUP(Table6[[#This Row],[Affected WTG]],'Basic Data'!$A:$A,'Basic Data'!$C:$C),"")</f>
        <v>GEDA</v>
      </c>
      <c r="J1055" s="471">
        <f>IFERROR(_xlfn.XLOOKUP(Table6[[#This Row],[Affected WTG]],'Basic Data'!$A:$A,'Basic Data'!$E:$E),"")</f>
        <v>3.846153846153845E-2</v>
      </c>
      <c r="K1055" s="102">
        <v>6130</v>
      </c>
      <c r="L1055" s="35" t="str">
        <f>IFERROR(_xlfn.XLOOKUP(Table6[[#This Row],[Error Code]],'Basic Data'!$AA:$AA,'Basic Data'!$AB:$AB),"Incorrect Error Code")</f>
        <v>Yaw speed high</v>
      </c>
      <c r="M1055" s="35" t="s">
        <v>292</v>
      </c>
      <c r="N1055" s="475"/>
      <c r="O1055" s="476">
        <v>0.56041666666666667</v>
      </c>
      <c r="P1055" s="476">
        <v>0.56041666666666667</v>
      </c>
      <c r="Q1055" s="477">
        <v>0.56458333333333333</v>
      </c>
      <c r="R1055" s="472">
        <f>IF(Table6[[#This Row],[Work Start TimeStamp]]="","",(Table6[[#This Row],[Work Start TimeStamp]]-Table6[[#This Row],[Fault Start TimeStamp]])*24)</f>
        <v>0</v>
      </c>
      <c r="S1055" s="472">
        <f>(Table6[[#This Row],[Fault Clearance time]]-Table6[[#This Row],[Work Start TimeStamp]])*24</f>
        <v>9.9999999999999645E-2</v>
      </c>
      <c r="T1055" s="472">
        <f>(Table6[[#This Row],[Fault Clearance time]]-Table6[[#This Row],[Fault Start TimeStamp]])*24</f>
        <v>9.9999999999999645E-2</v>
      </c>
      <c r="U1055" s="35" t="s">
        <v>336</v>
      </c>
      <c r="V1055" s="102" t="s">
        <v>293</v>
      </c>
      <c r="W1055" s="478">
        <f>IFERROR(Table6[[#This Row],[Breakdown Time]]*Table6[[#This Row],[Plant Equivalent Weightage]],"")</f>
        <v>3.8461538461538312E-3</v>
      </c>
      <c r="X1055" s="473" t="s">
        <v>294</v>
      </c>
      <c r="Y1055" s="474" t="s">
        <v>321</v>
      </c>
      <c r="Z1055" s="102">
        <v>26960</v>
      </c>
      <c r="AA1055" s="468">
        <f>(Table6[[#This Row],[Paired WTG Generation for loss calculation]]/24)*Table6[[#This Row],[Breakdown Time]]</f>
        <v>112.33333333333293</v>
      </c>
      <c r="AB1055" s="102"/>
      <c r="AC1055" s="35"/>
      <c r="AD1055" s="35"/>
    </row>
    <row r="1056" spans="1:30">
      <c r="A1056" s="102">
        <f t="shared" si="17"/>
        <v>1055</v>
      </c>
      <c r="B1056" s="468">
        <f>YEAR(Table6[[#This Row],[Date]])+IF(MONTH(Table6[[#This Row],[Date]])&gt;=4,1,0)</f>
        <v>2026</v>
      </c>
      <c r="C1056" s="102">
        <f>YEAR(Table6[[#This Row],[Date]])</f>
        <v>2025</v>
      </c>
      <c r="D1056" s="102" t="s">
        <v>1992</v>
      </c>
      <c r="E1056" s="469">
        <f>Table6[[#This Row],[Date]]-DAY(Table6[[#This Row],[Date]])+1</f>
        <v>45809</v>
      </c>
      <c r="F1056" s="470">
        <v>45812</v>
      </c>
      <c r="G1056" s="35" t="s">
        <v>83</v>
      </c>
      <c r="H1056" s="35" t="str">
        <f>IFERROR(_xlfn.XLOOKUP(Table6[[#This Row],[Affected WTG]],'Basic Data'!$A:$A,'Basic Data'!$B:$B),"")</f>
        <v>TQGXIIPL</v>
      </c>
      <c r="I1056" s="35" t="str">
        <f>IFERROR(_xlfn.XLOOKUP(Table6[[#This Row],[Affected WTG]],'Basic Data'!$A:$A,'Basic Data'!$C:$C),"")</f>
        <v>GEDA</v>
      </c>
      <c r="J1056" s="471">
        <f>IFERROR(_xlfn.XLOOKUP(Table6[[#This Row],[Affected WTG]],'Basic Data'!$A:$A,'Basic Data'!$E:$E),"")</f>
        <v>3.846153846153845E-2</v>
      </c>
      <c r="K1056" s="102">
        <v>4970</v>
      </c>
      <c r="L1056" s="35" t="str">
        <f>IFERROR(_xlfn.XLOOKUP(Table6[[#This Row],[Error Code]],'Basic Data'!$AA:$AA,'Basic Data'!$AB:$AB),"Incorrect Error Code")</f>
        <v>Tower oscillation XF</v>
      </c>
      <c r="M1056" s="35" t="s">
        <v>292</v>
      </c>
      <c r="N1056" s="475"/>
      <c r="O1056" s="476">
        <v>0.46458333333333335</v>
      </c>
      <c r="P1056" s="476">
        <v>0.46458333333333335</v>
      </c>
      <c r="Q1056" s="477">
        <v>0.47569444444444442</v>
      </c>
      <c r="R1056" s="472">
        <f>IF(Table6[[#This Row],[Work Start TimeStamp]]="","",(Table6[[#This Row],[Work Start TimeStamp]]-Table6[[#This Row],[Fault Start TimeStamp]])*24)</f>
        <v>0</v>
      </c>
      <c r="S1056" s="472">
        <f>(Table6[[#This Row],[Fault Clearance time]]-Table6[[#This Row],[Work Start TimeStamp]])*24</f>
        <v>0.26666666666666572</v>
      </c>
      <c r="T1056" s="472">
        <f>(Table6[[#This Row],[Fault Clearance time]]-Table6[[#This Row],[Fault Start TimeStamp]])*24</f>
        <v>0.26666666666666572</v>
      </c>
      <c r="U1056" s="35" t="s">
        <v>336</v>
      </c>
      <c r="V1056" s="102" t="s">
        <v>293</v>
      </c>
      <c r="W1056" s="478">
        <f>IFERROR(Table6[[#This Row],[Breakdown Time]]*Table6[[#This Row],[Plant Equivalent Weightage]],"")</f>
        <v>1.0256410256410217E-2</v>
      </c>
      <c r="X1056" s="473" t="s">
        <v>294</v>
      </c>
      <c r="Y1056" s="474" t="s">
        <v>312</v>
      </c>
      <c r="Z1056" s="102">
        <v>25789</v>
      </c>
      <c r="AA1056" s="468">
        <f>(Table6[[#This Row],[Paired WTG Generation for loss calculation]]/24)*Table6[[#This Row],[Breakdown Time]]</f>
        <v>286.54444444444346</v>
      </c>
      <c r="AB1056" s="102"/>
      <c r="AC1056" s="35"/>
      <c r="AD1056" s="35"/>
    </row>
    <row r="1057" spans="1:30">
      <c r="A1057" s="102">
        <f t="shared" si="17"/>
        <v>1056</v>
      </c>
      <c r="B1057" s="468">
        <f>YEAR(Table6[[#This Row],[Date]])+IF(MONTH(Table6[[#This Row],[Date]])&gt;=4,1,0)</f>
        <v>2026</v>
      </c>
      <c r="C1057" s="102">
        <f>YEAR(Table6[[#This Row],[Date]])</f>
        <v>2025</v>
      </c>
      <c r="D1057" s="102" t="s">
        <v>1992</v>
      </c>
      <c r="E1057" s="469">
        <f>Table6[[#This Row],[Date]]-DAY(Table6[[#This Row],[Date]])+1</f>
        <v>45809</v>
      </c>
      <c r="F1057" s="470">
        <v>45812</v>
      </c>
      <c r="G1057" s="35" t="s">
        <v>83</v>
      </c>
      <c r="H1057" s="35" t="str">
        <f>IFERROR(_xlfn.XLOOKUP(Table6[[#This Row],[Affected WTG]],'Basic Data'!$A:$A,'Basic Data'!$B:$B),"")</f>
        <v>TQGXIIPL</v>
      </c>
      <c r="I1057" s="35" t="str">
        <f>IFERROR(_xlfn.XLOOKUP(Table6[[#This Row],[Affected WTG]],'Basic Data'!$A:$A,'Basic Data'!$C:$C),"")</f>
        <v>GEDA</v>
      </c>
      <c r="J1057" s="471">
        <f>IFERROR(_xlfn.XLOOKUP(Table6[[#This Row],[Affected WTG]],'Basic Data'!$A:$A,'Basic Data'!$E:$E),"")</f>
        <v>3.846153846153845E-2</v>
      </c>
      <c r="K1057" s="102">
        <v>6601</v>
      </c>
      <c r="L1057" s="35" t="str">
        <f>IFERROR(_xlfn.XLOOKUP(Table6[[#This Row],[Error Code]],'Basic Data'!$AA:$AA,'Basic Data'!$AB:$AB),"Incorrect Error Code")</f>
        <v>Wind.dir. diff. level 1</v>
      </c>
      <c r="M1057" s="35" t="s">
        <v>291</v>
      </c>
      <c r="N1057" s="475"/>
      <c r="O1057" s="476">
        <v>0.47569444444444442</v>
      </c>
      <c r="P1057" s="476">
        <v>0.47569444444444442</v>
      </c>
      <c r="Q1057" s="477">
        <v>0.47708333333333336</v>
      </c>
      <c r="R1057" s="472">
        <f>IF(Table6[[#This Row],[Work Start TimeStamp]]="","",(Table6[[#This Row],[Work Start TimeStamp]]-Table6[[#This Row],[Fault Start TimeStamp]])*24)</f>
        <v>0</v>
      </c>
      <c r="S1057" s="472">
        <f>(Table6[[#This Row],[Fault Clearance time]]-Table6[[#This Row],[Work Start TimeStamp]])*24</f>
        <v>3.3333333333334547E-2</v>
      </c>
      <c r="T1057" s="472">
        <f>(Table6[[#This Row],[Fault Clearance time]]-Table6[[#This Row],[Fault Start TimeStamp]])*24</f>
        <v>3.3333333333334547E-2</v>
      </c>
      <c r="U1057" s="35" t="s">
        <v>1924</v>
      </c>
      <c r="V1057" s="102" t="s">
        <v>293</v>
      </c>
      <c r="W1057" s="478">
        <f>IFERROR(Table6[[#This Row],[Breakdown Time]]*Table6[[#This Row],[Plant Equivalent Weightage]],"")</f>
        <v>1.2820512820513285E-3</v>
      </c>
      <c r="X1057" s="473" t="s">
        <v>294</v>
      </c>
      <c r="Y1057" s="474" t="s">
        <v>312</v>
      </c>
      <c r="Z1057" s="102">
        <v>25789</v>
      </c>
      <c r="AA1057" s="468">
        <f>(Table6[[#This Row],[Paired WTG Generation for loss calculation]]/24)*Table6[[#This Row],[Breakdown Time]]</f>
        <v>35.81805555555686</v>
      </c>
      <c r="AB1057" s="102"/>
      <c r="AC1057" s="35"/>
      <c r="AD1057" s="35"/>
    </row>
    <row r="1058" spans="1:30">
      <c r="A1058" s="102">
        <f t="shared" si="17"/>
        <v>1057</v>
      </c>
      <c r="B1058" s="468">
        <f>YEAR(Table6[[#This Row],[Date]])+IF(MONTH(Table6[[#This Row],[Date]])&gt;=4,1,0)</f>
        <v>2026</v>
      </c>
      <c r="C1058" s="102">
        <f>YEAR(Table6[[#This Row],[Date]])</f>
        <v>2025</v>
      </c>
      <c r="D1058" s="102" t="s">
        <v>1992</v>
      </c>
      <c r="E1058" s="469">
        <f>Table6[[#This Row],[Date]]-DAY(Table6[[#This Row],[Date]])+1</f>
        <v>45809</v>
      </c>
      <c r="F1058" s="470">
        <v>45812</v>
      </c>
      <c r="G1058" s="35" t="s">
        <v>88</v>
      </c>
      <c r="H1058" s="35" t="str">
        <f>IFERROR(_xlfn.XLOOKUP(Table6[[#This Row],[Affected WTG]],'Basic Data'!$A:$A,'Basic Data'!$B:$B),"")</f>
        <v>TQGXIIPL</v>
      </c>
      <c r="I1058" s="35" t="str">
        <f>IFERROR(_xlfn.XLOOKUP(Table6[[#This Row],[Affected WTG]],'Basic Data'!$A:$A,'Basic Data'!$C:$C),"")</f>
        <v>GEDA</v>
      </c>
      <c r="J1058" s="471">
        <f>IFERROR(_xlfn.XLOOKUP(Table6[[#This Row],[Affected WTG]],'Basic Data'!$A:$A,'Basic Data'!$E:$E),"")</f>
        <v>3.846153846153845E-2</v>
      </c>
      <c r="K1058" s="102">
        <v>780</v>
      </c>
      <c r="L1058" s="35" t="str">
        <f>IFERROR(_xlfn.XLOOKUP(Table6[[#This Row],[Error Code]],'Basic Data'!$AA:$AA,'Basic Data'!$AB:$AB),"Incorrect Error Code")</f>
        <v>Error bridging start-up</v>
      </c>
      <c r="M1058" s="35" t="s">
        <v>291</v>
      </c>
      <c r="N1058" s="475"/>
      <c r="O1058" s="476">
        <v>0.50763888888888886</v>
      </c>
      <c r="P1058" s="476">
        <v>0.50763888888888886</v>
      </c>
      <c r="Q1058" s="477">
        <v>0.51041666666666663</v>
      </c>
      <c r="R1058" s="472">
        <f>IF(Table6[[#This Row],[Work Start TimeStamp]]="","",(Table6[[#This Row],[Work Start TimeStamp]]-Table6[[#This Row],[Fault Start TimeStamp]])*24)</f>
        <v>0</v>
      </c>
      <c r="S1058" s="472">
        <f>(Table6[[#This Row],[Fault Clearance time]]-Table6[[#This Row],[Work Start TimeStamp]])*24</f>
        <v>6.666666666666643E-2</v>
      </c>
      <c r="T1058" s="472">
        <f>(Table6[[#This Row],[Fault Clearance time]]-Table6[[#This Row],[Fault Start TimeStamp]])*24</f>
        <v>6.666666666666643E-2</v>
      </c>
      <c r="U1058" s="35" t="s">
        <v>1937</v>
      </c>
      <c r="V1058" s="102" t="s">
        <v>293</v>
      </c>
      <c r="W1058" s="478">
        <f>IFERROR(Table6[[#This Row],[Breakdown Time]]*Table6[[#This Row],[Plant Equivalent Weightage]],"")</f>
        <v>2.5641025641025541E-3</v>
      </c>
      <c r="X1058" s="473" t="s">
        <v>294</v>
      </c>
      <c r="Y1058" s="474" t="s">
        <v>323</v>
      </c>
      <c r="Z1058" s="102">
        <v>25043</v>
      </c>
      <c r="AA1058" s="468">
        <f>(Table6[[#This Row],[Paired WTG Generation for loss calculation]]/24)*Table6[[#This Row],[Breakdown Time]]</f>
        <v>69.563888888888641</v>
      </c>
      <c r="AB1058" s="102"/>
      <c r="AC1058" s="35"/>
      <c r="AD1058" s="35"/>
    </row>
    <row r="1059" spans="1:30">
      <c r="A1059" s="102">
        <f t="shared" si="17"/>
        <v>1058</v>
      </c>
      <c r="B1059" s="468">
        <f>YEAR(Table6[[#This Row],[Date]])+IF(MONTH(Table6[[#This Row],[Date]])&gt;=4,1,0)</f>
        <v>2026</v>
      </c>
      <c r="C1059" s="102">
        <f>YEAR(Table6[[#This Row],[Date]])</f>
        <v>2025</v>
      </c>
      <c r="D1059" s="102" t="s">
        <v>1992</v>
      </c>
      <c r="E1059" s="469">
        <f>Table6[[#This Row],[Date]]-DAY(Table6[[#This Row],[Date]])+1</f>
        <v>45809</v>
      </c>
      <c r="F1059" s="470">
        <v>45812</v>
      </c>
      <c r="G1059" s="35" t="s">
        <v>93</v>
      </c>
      <c r="H1059" s="35" t="str">
        <f>IFERROR(_xlfn.XLOOKUP(Table6[[#This Row],[Affected WTG]],'Basic Data'!$A:$A,'Basic Data'!$B:$B),"")</f>
        <v>TQGXIIPL</v>
      </c>
      <c r="I1059" s="35" t="str">
        <f>IFERROR(_xlfn.XLOOKUP(Table6[[#This Row],[Affected WTG]],'Basic Data'!$A:$A,'Basic Data'!$C:$C),"")</f>
        <v>GEDA</v>
      </c>
      <c r="J1059" s="471">
        <f>IFERROR(_xlfn.XLOOKUP(Table6[[#This Row],[Affected WTG]],'Basic Data'!$A:$A,'Basic Data'!$E:$E),"")</f>
        <v>3.846153846153845E-2</v>
      </c>
      <c r="K1059" s="102">
        <v>6130</v>
      </c>
      <c r="L1059" s="35" t="str">
        <f>IFERROR(_xlfn.XLOOKUP(Table6[[#This Row],[Error Code]],'Basic Data'!$AA:$AA,'Basic Data'!$AB:$AB),"Incorrect Error Code")</f>
        <v>Yaw speed high</v>
      </c>
      <c r="M1059" s="35" t="s">
        <v>291</v>
      </c>
      <c r="N1059" s="475"/>
      <c r="O1059" s="476">
        <v>0.64583333333333337</v>
      </c>
      <c r="P1059" s="476">
        <v>0.64583333333333337</v>
      </c>
      <c r="Q1059" s="477">
        <v>0.64861111111111114</v>
      </c>
      <c r="R1059" s="472">
        <f>IF(Table6[[#This Row],[Work Start TimeStamp]]="","",(Table6[[#This Row],[Work Start TimeStamp]]-Table6[[#This Row],[Fault Start TimeStamp]])*24)</f>
        <v>0</v>
      </c>
      <c r="S1059" s="472">
        <f>(Table6[[#This Row],[Fault Clearance time]]-Table6[[#This Row],[Work Start TimeStamp]])*24</f>
        <v>6.666666666666643E-2</v>
      </c>
      <c r="T1059" s="472">
        <f>(Table6[[#This Row],[Fault Clearance time]]-Table6[[#This Row],[Fault Start TimeStamp]])*24</f>
        <v>6.666666666666643E-2</v>
      </c>
      <c r="U1059" s="35" t="s">
        <v>1924</v>
      </c>
      <c r="V1059" s="102" t="s">
        <v>293</v>
      </c>
      <c r="W1059" s="478">
        <f>IFERROR(Table6[[#This Row],[Breakdown Time]]*Table6[[#This Row],[Plant Equivalent Weightage]],"")</f>
        <v>2.5641025641025541E-3</v>
      </c>
      <c r="X1059" s="473" t="s">
        <v>294</v>
      </c>
      <c r="Y1059" s="474" t="s">
        <v>314</v>
      </c>
      <c r="Z1059" s="102">
        <v>27210</v>
      </c>
      <c r="AA1059" s="468">
        <f>(Table6[[#This Row],[Paired WTG Generation for loss calculation]]/24)*Table6[[#This Row],[Breakdown Time]]</f>
        <v>75.583333333333059</v>
      </c>
      <c r="AB1059" s="102"/>
      <c r="AC1059" s="35"/>
      <c r="AD1059" s="35"/>
    </row>
    <row r="1060" spans="1:30">
      <c r="A1060" s="102">
        <f t="shared" si="17"/>
        <v>1059</v>
      </c>
      <c r="B1060" s="468">
        <f>YEAR(Table6[[#This Row],[Date]])+IF(MONTH(Table6[[#This Row],[Date]])&gt;=4,1,0)</f>
        <v>2026</v>
      </c>
      <c r="C1060" s="102">
        <f>YEAR(Table6[[#This Row],[Date]])</f>
        <v>2025</v>
      </c>
      <c r="D1060" s="102" t="s">
        <v>1992</v>
      </c>
      <c r="E1060" s="469">
        <f>Table6[[#This Row],[Date]]-DAY(Table6[[#This Row],[Date]])+1</f>
        <v>45809</v>
      </c>
      <c r="F1060" s="470">
        <v>45813</v>
      </c>
      <c r="G1060" s="35" t="s">
        <v>75</v>
      </c>
      <c r="H1060" s="35" t="str">
        <f>IFERROR(_xlfn.XLOOKUP(Table6[[#This Row],[Affected WTG]],'Basic Data'!$A:$A,'Basic Data'!$B:$B),"")</f>
        <v>TQGXIIPL</v>
      </c>
      <c r="I1060" s="35" t="str">
        <f>IFERROR(_xlfn.XLOOKUP(Table6[[#This Row],[Affected WTG]],'Basic Data'!$A:$A,'Basic Data'!$C:$C),"")</f>
        <v>GEDA</v>
      </c>
      <c r="J1060" s="471">
        <f>IFERROR(_xlfn.XLOOKUP(Table6[[#This Row],[Affected WTG]],'Basic Data'!$A:$A,'Basic Data'!$E:$E),"")</f>
        <v>3.846153846153845E-2</v>
      </c>
      <c r="K1060" s="102">
        <v>175</v>
      </c>
      <c r="L1060" s="35" t="str">
        <f>IFERROR(_xlfn.XLOOKUP(Table6[[#This Row],[Error Code]],'Basic Data'!$AA:$AA,'Basic Data'!$AB:$AB),"Incorrect Error Code")</f>
        <v>SLC error</v>
      </c>
      <c r="M1060" s="35" t="s">
        <v>291</v>
      </c>
      <c r="N1060" s="475"/>
      <c r="O1060" s="476">
        <v>0.46111111111111114</v>
      </c>
      <c r="P1060" s="476">
        <v>0.46111111111111114</v>
      </c>
      <c r="Q1060" s="477">
        <v>0.47083333333333333</v>
      </c>
      <c r="R1060" s="472">
        <f>IF(Table6[[#This Row],[Work Start TimeStamp]]="","",(Table6[[#This Row],[Work Start TimeStamp]]-Table6[[#This Row],[Fault Start TimeStamp]])*24)</f>
        <v>0</v>
      </c>
      <c r="S1060" s="472">
        <f>(Table6[[#This Row],[Fault Clearance time]]-Table6[[#This Row],[Work Start TimeStamp]])*24</f>
        <v>0.2333333333333325</v>
      </c>
      <c r="T1060" s="472">
        <f>(Table6[[#This Row],[Fault Clearance time]]-Table6[[#This Row],[Fault Start TimeStamp]])*24</f>
        <v>0.2333333333333325</v>
      </c>
      <c r="U1060" s="35" t="s">
        <v>1924</v>
      </c>
      <c r="V1060" s="102" t="s">
        <v>293</v>
      </c>
      <c r="W1060" s="478">
        <f>IFERROR(Table6[[#This Row],[Breakdown Time]]*Table6[[#This Row],[Plant Equivalent Weightage]],"")</f>
        <v>8.974358974358939E-3</v>
      </c>
      <c r="X1060" s="473" t="s">
        <v>294</v>
      </c>
      <c r="Y1060" s="474" t="s">
        <v>318</v>
      </c>
      <c r="Z1060" s="102">
        <v>16515</v>
      </c>
      <c r="AA1060" s="468">
        <f>(Table6[[#This Row],[Paired WTG Generation for loss calculation]]/24)*Table6[[#This Row],[Breakdown Time]]</f>
        <v>160.56249999999943</v>
      </c>
      <c r="AB1060" s="102"/>
      <c r="AC1060" s="35"/>
      <c r="AD1060" s="35"/>
    </row>
    <row r="1061" spans="1:30">
      <c r="A1061" s="102">
        <f t="shared" si="17"/>
        <v>1060</v>
      </c>
      <c r="B1061" s="468">
        <f>YEAR(Table6[[#This Row],[Date]])+IF(MONTH(Table6[[#This Row],[Date]])&gt;=4,1,0)</f>
        <v>2026</v>
      </c>
      <c r="C1061" s="102">
        <f>YEAR(Table6[[#This Row],[Date]])</f>
        <v>2025</v>
      </c>
      <c r="D1061" s="102" t="s">
        <v>1992</v>
      </c>
      <c r="E1061" s="469">
        <f>Table6[[#This Row],[Date]]-DAY(Table6[[#This Row],[Date]])+1</f>
        <v>45809</v>
      </c>
      <c r="F1061" s="470">
        <v>45813</v>
      </c>
      <c r="G1061" s="35" t="s">
        <v>75</v>
      </c>
      <c r="H1061" s="35" t="str">
        <f>IFERROR(_xlfn.XLOOKUP(Table6[[#This Row],[Affected WTG]],'Basic Data'!$A:$A,'Basic Data'!$B:$B),"")</f>
        <v>TQGXIIPL</v>
      </c>
      <c r="I1061" s="35" t="str">
        <f>IFERROR(_xlfn.XLOOKUP(Table6[[#This Row],[Affected WTG]],'Basic Data'!$A:$A,'Basic Data'!$C:$C),"")</f>
        <v>GEDA</v>
      </c>
      <c r="J1061" s="471">
        <f>IFERROR(_xlfn.XLOOKUP(Table6[[#This Row],[Affected WTG]],'Basic Data'!$A:$A,'Basic Data'!$E:$E),"")</f>
        <v>3.846153846153845E-2</v>
      </c>
      <c r="K1061" s="102">
        <v>175</v>
      </c>
      <c r="L1061" s="35" t="str">
        <f>IFERROR(_xlfn.XLOOKUP(Table6[[#This Row],[Error Code]],'Basic Data'!$AA:$AA,'Basic Data'!$AB:$AB),"Incorrect Error Code")</f>
        <v>SLC error</v>
      </c>
      <c r="M1061" s="35" t="s">
        <v>291</v>
      </c>
      <c r="N1061" s="475"/>
      <c r="O1061" s="476">
        <v>0.48194444444444445</v>
      </c>
      <c r="P1061" s="476">
        <v>0.48194444444444445</v>
      </c>
      <c r="Q1061" s="477">
        <v>0.4861111111111111</v>
      </c>
      <c r="R1061" s="472">
        <f>IF(Table6[[#This Row],[Work Start TimeStamp]]="","",(Table6[[#This Row],[Work Start TimeStamp]]-Table6[[#This Row],[Fault Start TimeStamp]])*24)</f>
        <v>0</v>
      </c>
      <c r="S1061" s="472">
        <f>(Table6[[#This Row],[Fault Clearance time]]-Table6[[#This Row],[Work Start TimeStamp]])*24</f>
        <v>9.9999999999999645E-2</v>
      </c>
      <c r="T1061" s="472">
        <f>(Table6[[#This Row],[Fault Clearance time]]-Table6[[#This Row],[Fault Start TimeStamp]])*24</f>
        <v>9.9999999999999645E-2</v>
      </c>
      <c r="U1061" s="35" t="s">
        <v>1924</v>
      </c>
      <c r="V1061" s="102" t="s">
        <v>293</v>
      </c>
      <c r="W1061" s="478">
        <f>IFERROR(Table6[[#This Row],[Breakdown Time]]*Table6[[#This Row],[Plant Equivalent Weightage]],"")</f>
        <v>3.8461538461538312E-3</v>
      </c>
      <c r="X1061" s="473" t="s">
        <v>294</v>
      </c>
      <c r="Y1061" s="474" t="s">
        <v>318</v>
      </c>
      <c r="Z1061" s="102">
        <v>16515</v>
      </c>
      <c r="AA1061" s="468">
        <f>(Table6[[#This Row],[Paired WTG Generation for loss calculation]]/24)*Table6[[#This Row],[Breakdown Time]]</f>
        <v>68.812499999999758</v>
      </c>
      <c r="AB1061" s="102"/>
      <c r="AC1061" s="35"/>
      <c r="AD1061" s="35"/>
    </row>
    <row r="1062" spans="1:30">
      <c r="A1062" s="102">
        <f t="shared" si="17"/>
        <v>1061</v>
      </c>
      <c r="B1062" s="468">
        <f>YEAR(Table6[[#This Row],[Date]])+IF(MONTH(Table6[[#This Row],[Date]])&gt;=4,1,0)</f>
        <v>2026</v>
      </c>
      <c r="C1062" s="102">
        <f>YEAR(Table6[[#This Row],[Date]])</f>
        <v>2025</v>
      </c>
      <c r="D1062" s="102" t="s">
        <v>1992</v>
      </c>
      <c r="E1062" s="469">
        <f>Table6[[#This Row],[Date]]-DAY(Table6[[#This Row],[Date]])+1</f>
        <v>45809</v>
      </c>
      <c r="F1062" s="470">
        <v>45813</v>
      </c>
      <c r="G1062" s="35" t="s">
        <v>77</v>
      </c>
      <c r="H1062" s="35" t="str">
        <f>IFERROR(_xlfn.XLOOKUP(Table6[[#This Row],[Affected WTG]],'Basic Data'!$A:$A,'Basic Data'!$B:$B),"")</f>
        <v>TQGXIIPL</v>
      </c>
      <c r="I1062" s="35" t="str">
        <f>IFERROR(_xlfn.XLOOKUP(Table6[[#This Row],[Affected WTG]],'Basic Data'!$A:$A,'Basic Data'!$C:$C),"")</f>
        <v>GEDA</v>
      </c>
      <c r="J1062" s="471">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291</v>
      </c>
      <c r="N1062" s="475"/>
      <c r="O1062" s="476">
        <v>0.36944444444444446</v>
      </c>
      <c r="P1062" s="476">
        <v>0.36944444444444446</v>
      </c>
      <c r="Q1062" s="477">
        <v>0.38124999999999998</v>
      </c>
      <c r="R1062" s="472">
        <f>IF(Table6[[#This Row],[Work Start TimeStamp]]="","",(Table6[[#This Row],[Work Start TimeStamp]]-Table6[[#This Row],[Fault Start TimeStamp]])*24)</f>
        <v>0</v>
      </c>
      <c r="S1062" s="472">
        <f>(Table6[[#This Row],[Fault Clearance time]]-Table6[[#This Row],[Work Start TimeStamp]])*24</f>
        <v>0.28333333333333233</v>
      </c>
      <c r="T1062" s="472">
        <f>(Table6[[#This Row],[Fault Clearance time]]-Table6[[#This Row],[Fault Start TimeStamp]])*24</f>
        <v>0.28333333333333233</v>
      </c>
      <c r="U1062" s="35" t="s">
        <v>1924</v>
      </c>
      <c r="V1062" s="102" t="s">
        <v>293</v>
      </c>
      <c r="W1062" s="478">
        <f>IFERROR(Table6[[#This Row],[Breakdown Time]]*Table6[[#This Row],[Plant Equivalent Weightage]],"")</f>
        <v>1.0897435897435855E-2</v>
      </c>
      <c r="X1062" s="473" t="s">
        <v>294</v>
      </c>
      <c r="Y1062" s="474" t="s">
        <v>310</v>
      </c>
      <c r="Z1062" s="102">
        <v>12137</v>
      </c>
      <c r="AA1062" s="468">
        <f>(Table6[[#This Row],[Paired WTG Generation for loss calculation]]/24)*Table6[[#This Row],[Breakdown Time]]</f>
        <v>143.28402777777725</v>
      </c>
      <c r="AB1062" s="102"/>
      <c r="AC1062" s="35"/>
      <c r="AD1062" s="35"/>
    </row>
    <row r="1063" spans="1:30">
      <c r="A1063" s="102">
        <f t="shared" si="17"/>
        <v>1062</v>
      </c>
      <c r="B1063" s="468">
        <f>YEAR(Table6[[#This Row],[Date]])+IF(MONTH(Table6[[#This Row],[Date]])&gt;=4,1,0)</f>
        <v>2026</v>
      </c>
      <c r="C1063" s="102">
        <f>YEAR(Table6[[#This Row],[Date]])</f>
        <v>2025</v>
      </c>
      <c r="D1063" s="102" t="s">
        <v>1992</v>
      </c>
      <c r="E1063" s="469">
        <f>Table6[[#This Row],[Date]]-DAY(Table6[[#This Row],[Date]])+1</f>
        <v>45809</v>
      </c>
      <c r="F1063" s="470">
        <v>45813</v>
      </c>
      <c r="G1063" s="35" t="s">
        <v>77</v>
      </c>
      <c r="H1063" s="35" t="str">
        <f>IFERROR(_xlfn.XLOOKUP(Table6[[#This Row],[Affected WTG]],'Basic Data'!$A:$A,'Basic Data'!$B:$B),"")</f>
        <v>TQGXIIPL</v>
      </c>
      <c r="I1063" s="35" t="str">
        <f>IFERROR(_xlfn.XLOOKUP(Table6[[#This Row],[Affected WTG]],'Basic Data'!$A:$A,'Basic Data'!$C:$C),"")</f>
        <v>GEDA</v>
      </c>
      <c r="J1063" s="471">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291</v>
      </c>
      <c r="N1063" s="475"/>
      <c r="O1063" s="476">
        <v>0.47569444444444442</v>
      </c>
      <c r="P1063" s="476">
        <v>0.47569444444444442</v>
      </c>
      <c r="Q1063" s="477">
        <v>0.48888888888888887</v>
      </c>
      <c r="R1063" s="472">
        <f>IF(Table6[[#This Row],[Work Start TimeStamp]]="","",(Table6[[#This Row],[Work Start TimeStamp]]-Table6[[#This Row],[Fault Start TimeStamp]])*24)</f>
        <v>0</v>
      </c>
      <c r="S1063" s="472">
        <f>(Table6[[#This Row],[Fault Clearance time]]-Table6[[#This Row],[Work Start TimeStamp]])*24</f>
        <v>0.31666666666666687</v>
      </c>
      <c r="T1063" s="472">
        <f>(Table6[[#This Row],[Fault Clearance time]]-Table6[[#This Row],[Fault Start TimeStamp]])*24</f>
        <v>0.31666666666666687</v>
      </c>
      <c r="U1063" s="35" t="s">
        <v>1924</v>
      </c>
      <c r="V1063" s="102" t="s">
        <v>293</v>
      </c>
      <c r="W1063" s="478">
        <f>IFERROR(Table6[[#This Row],[Breakdown Time]]*Table6[[#This Row],[Plant Equivalent Weightage]],"")</f>
        <v>1.2179487179487183E-2</v>
      </c>
      <c r="X1063" s="473" t="s">
        <v>294</v>
      </c>
      <c r="Y1063" s="474" t="s">
        <v>310</v>
      </c>
      <c r="Z1063" s="102">
        <v>12137</v>
      </c>
      <c r="AA1063" s="468">
        <f>(Table6[[#This Row],[Paired WTG Generation for loss calculation]]/24)*Table6[[#This Row],[Breakdown Time]]</f>
        <v>160.14097222222233</v>
      </c>
      <c r="AB1063" s="102"/>
      <c r="AC1063" s="35"/>
      <c r="AD1063" s="35"/>
    </row>
    <row r="1064" spans="1:30">
      <c r="A1064" s="102">
        <f t="shared" si="17"/>
        <v>1063</v>
      </c>
      <c r="B1064" s="468">
        <f>YEAR(Table6[[#This Row],[Date]])+IF(MONTH(Table6[[#This Row],[Date]])&gt;=4,1,0)</f>
        <v>2026</v>
      </c>
      <c r="C1064" s="102">
        <f>YEAR(Table6[[#This Row],[Date]])</f>
        <v>2025</v>
      </c>
      <c r="D1064" s="102" t="s">
        <v>1992</v>
      </c>
      <c r="E1064" s="469">
        <f>Table6[[#This Row],[Date]]-DAY(Table6[[#This Row],[Date]])+1</f>
        <v>45809</v>
      </c>
      <c r="F1064" s="470">
        <v>45813</v>
      </c>
      <c r="G1064" s="35" t="s">
        <v>77</v>
      </c>
      <c r="H1064" s="35" t="str">
        <f>IFERROR(_xlfn.XLOOKUP(Table6[[#This Row],[Affected WTG]],'Basic Data'!$A:$A,'Basic Data'!$B:$B),"")</f>
        <v>TQGXIIPL</v>
      </c>
      <c r="I1064" s="35" t="str">
        <f>IFERROR(_xlfn.XLOOKUP(Table6[[#This Row],[Affected WTG]],'Basic Data'!$A:$A,'Basic Data'!$C:$C),"")</f>
        <v>GEDA</v>
      </c>
      <c r="J1064" s="471">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291</v>
      </c>
      <c r="N1064" s="475"/>
      <c r="O1064" s="476">
        <v>0.5131944444444444</v>
      </c>
      <c r="P1064" s="476">
        <v>0.5541666666666667</v>
      </c>
      <c r="Q1064" s="477">
        <v>0.70138888888888884</v>
      </c>
      <c r="R1064" s="472">
        <f>IF(Table6[[#This Row],[Work Start TimeStamp]]="","",(Table6[[#This Row],[Work Start TimeStamp]]-Table6[[#This Row],[Fault Start TimeStamp]])*24)</f>
        <v>0.98333333333333517</v>
      </c>
      <c r="S1064" s="472">
        <f>(Table6[[#This Row],[Fault Clearance time]]-Table6[[#This Row],[Work Start TimeStamp]])*24</f>
        <v>3.5333333333333314</v>
      </c>
      <c r="T1064" s="472">
        <f>(Table6[[#This Row],[Fault Clearance time]]-Table6[[#This Row],[Fault Start TimeStamp]])*24</f>
        <v>4.5166666666666666</v>
      </c>
      <c r="U1064" s="35" t="s">
        <v>1943</v>
      </c>
      <c r="V1064" s="102" t="s">
        <v>293</v>
      </c>
      <c r="W1064" s="478">
        <f>IFERROR(Table6[[#This Row],[Breakdown Time]]*Table6[[#This Row],[Plant Equivalent Weightage]],"")</f>
        <v>0.17371794871794866</v>
      </c>
      <c r="X1064" s="473" t="s">
        <v>294</v>
      </c>
      <c r="Y1064" s="474" t="s">
        <v>310</v>
      </c>
      <c r="Z1064" s="102">
        <v>12137</v>
      </c>
      <c r="AA1064" s="468">
        <f>(Table6[[#This Row],[Paired WTG Generation for loss calculation]]/24)*Table6[[#This Row],[Breakdown Time]]</f>
        <v>2284.1159722222219</v>
      </c>
      <c r="AB1064" s="102"/>
      <c r="AC1064" s="35"/>
      <c r="AD1064" s="35"/>
    </row>
    <row r="1065" spans="1:30">
      <c r="A1065" s="102">
        <f t="shared" si="17"/>
        <v>1064</v>
      </c>
      <c r="B1065" s="468">
        <f>YEAR(Table6[[#This Row],[Date]])+IF(MONTH(Table6[[#This Row],[Date]])&gt;=4,1,0)</f>
        <v>2026</v>
      </c>
      <c r="C1065" s="102">
        <f>YEAR(Table6[[#This Row],[Date]])</f>
        <v>2025</v>
      </c>
      <c r="D1065" s="102" t="s">
        <v>1992</v>
      </c>
      <c r="E1065" s="469">
        <f>Table6[[#This Row],[Date]]-DAY(Table6[[#This Row],[Date]])+1</f>
        <v>45809</v>
      </c>
      <c r="F1065" s="470">
        <v>45813</v>
      </c>
      <c r="G1065" s="35" t="s">
        <v>83</v>
      </c>
      <c r="H1065" s="35" t="str">
        <f>IFERROR(_xlfn.XLOOKUP(Table6[[#This Row],[Affected WTG]],'Basic Data'!$A:$A,'Basic Data'!$B:$B),"")</f>
        <v>TQGXIIPL</v>
      </c>
      <c r="I1065" s="35" t="str">
        <f>IFERROR(_xlfn.XLOOKUP(Table6[[#This Row],[Affected WTG]],'Basic Data'!$A:$A,'Basic Data'!$C:$C),"")</f>
        <v>GEDA</v>
      </c>
      <c r="J1065" s="471">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292</v>
      </c>
      <c r="N1065" s="475"/>
      <c r="O1065" s="476">
        <v>0.83750000000000002</v>
      </c>
      <c r="P1065" s="476">
        <v>0.83750000000000002</v>
      </c>
      <c r="Q1065" s="477">
        <v>0.83819444444444446</v>
      </c>
      <c r="R1065" s="472">
        <f>IF(Table6[[#This Row],[Work Start TimeStamp]]="","",(Table6[[#This Row],[Work Start TimeStamp]]-Table6[[#This Row],[Fault Start TimeStamp]])*24)</f>
        <v>0</v>
      </c>
      <c r="S1065" s="472">
        <f>(Table6[[#This Row],[Fault Clearance time]]-Table6[[#This Row],[Work Start TimeStamp]])*24</f>
        <v>1.6666666666666607E-2</v>
      </c>
      <c r="T1065" s="472">
        <f>(Table6[[#This Row],[Fault Clearance time]]-Table6[[#This Row],[Fault Start TimeStamp]])*24</f>
        <v>1.6666666666666607E-2</v>
      </c>
      <c r="U1065" s="35" t="s">
        <v>336</v>
      </c>
      <c r="V1065" s="102" t="s">
        <v>293</v>
      </c>
      <c r="W1065" s="478">
        <f>IFERROR(Table6[[#This Row],[Breakdown Time]]*Table6[[#This Row],[Plant Equivalent Weightage]],"")</f>
        <v>6.4102564102563853E-4</v>
      </c>
      <c r="X1065" s="473" t="s">
        <v>294</v>
      </c>
      <c r="Y1065" s="474" t="s">
        <v>312</v>
      </c>
      <c r="Z1065" s="102">
        <v>13908</v>
      </c>
      <c r="AA1065" s="468">
        <f>(Table6[[#This Row],[Paired WTG Generation for loss calculation]]/24)*Table6[[#This Row],[Breakdown Time]]</f>
        <v>9.6583333333332995</v>
      </c>
      <c r="AB1065" s="102"/>
      <c r="AC1065" s="35"/>
      <c r="AD1065" s="35"/>
    </row>
    <row r="1066" spans="1:30">
      <c r="A1066" s="102">
        <f t="shared" si="17"/>
        <v>1065</v>
      </c>
      <c r="B1066" s="468">
        <f>YEAR(Table6[[#This Row],[Date]])+IF(MONTH(Table6[[#This Row],[Date]])&gt;=4,1,0)</f>
        <v>2026</v>
      </c>
      <c r="C1066" s="102">
        <f>YEAR(Table6[[#This Row],[Date]])</f>
        <v>2025</v>
      </c>
      <c r="D1066" s="102" t="s">
        <v>1992</v>
      </c>
      <c r="E1066" s="469">
        <f>Table6[[#This Row],[Date]]-DAY(Table6[[#This Row],[Date]])+1</f>
        <v>45809</v>
      </c>
      <c r="F1066" s="470">
        <v>45813</v>
      </c>
      <c r="G1066" s="35" t="s">
        <v>86</v>
      </c>
      <c r="H1066" s="35" t="str">
        <f>IFERROR(_xlfn.XLOOKUP(Table6[[#This Row],[Affected WTG]],'Basic Data'!$A:$A,'Basic Data'!$B:$B),"")</f>
        <v>TQGXIIPL</v>
      </c>
      <c r="I1066" s="35" t="str">
        <f>IFERROR(_xlfn.XLOOKUP(Table6[[#This Row],[Affected WTG]],'Basic Data'!$A:$A,'Basic Data'!$C:$C),"")</f>
        <v>GEDA</v>
      </c>
      <c r="J1066" s="471">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292</v>
      </c>
      <c r="N1066" s="475"/>
      <c r="O1066" s="476">
        <v>0.82847222222222228</v>
      </c>
      <c r="P1066" s="476">
        <v>0.82847222222222228</v>
      </c>
      <c r="Q1066" s="477">
        <v>0.82986111111111116</v>
      </c>
      <c r="R1066" s="472">
        <f>IF(Table6[[#This Row],[Work Start TimeStamp]]="","",(Table6[[#This Row],[Work Start TimeStamp]]-Table6[[#This Row],[Fault Start TimeStamp]])*24)</f>
        <v>0</v>
      </c>
      <c r="S1066" s="472">
        <f>(Table6[[#This Row],[Fault Clearance time]]-Table6[[#This Row],[Work Start TimeStamp]])*24</f>
        <v>3.3333333333333215E-2</v>
      </c>
      <c r="T1066" s="472">
        <f>(Table6[[#This Row],[Fault Clearance time]]-Table6[[#This Row],[Fault Start TimeStamp]])*24</f>
        <v>3.3333333333333215E-2</v>
      </c>
      <c r="U1066" s="35" t="s">
        <v>336</v>
      </c>
      <c r="V1066" s="102" t="s">
        <v>293</v>
      </c>
      <c r="W1066" s="478">
        <f>IFERROR(Table6[[#This Row],[Breakdown Time]]*Table6[[#This Row],[Plant Equivalent Weightage]],"")</f>
        <v>1.2820512820512771E-3</v>
      </c>
      <c r="X1066" s="473" t="s">
        <v>294</v>
      </c>
      <c r="Y1066" s="474" t="s">
        <v>313</v>
      </c>
      <c r="Z1066" s="102">
        <v>14184</v>
      </c>
      <c r="AA1066" s="468">
        <f>(Table6[[#This Row],[Paired WTG Generation for loss calculation]]/24)*Table6[[#This Row],[Breakdown Time]]</f>
        <v>19.699999999999932</v>
      </c>
      <c r="AB1066" s="102"/>
      <c r="AC1066" s="35"/>
      <c r="AD1066" s="35"/>
    </row>
    <row r="1067" spans="1:30">
      <c r="A1067" s="102">
        <f t="shared" si="17"/>
        <v>1066</v>
      </c>
      <c r="B1067" s="468">
        <f>YEAR(Table6[[#This Row],[Date]])+IF(MONTH(Table6[[#This Row],[Date]])&gt;=4,1,0)</f>
        <v>2026</v>
      </c>
      <c r="C1067" s="102">
        <f>YEAR(Table6[[#This Row],[Date]])</f>
        <v>2025</v>
      </c>
      <c r="D1067" s="102" t="s">
        <v>1992</v>
      </c>
      <c r="E1067" s="469">
        <f>Table6[[#This Row],[Date]]-DAY(Table6[[#This Row],[Date]])+1</f>
        <v>45809</v>
      </c>
      <c r="F1067" s="470">
        <v>45813</v>
      </c>
      <c r="G1067" s="35" t="s">
        <v>94</v>
      </c>
      <c r="H1067" s="35" t="str">
        <f>IFERROR(_xlfn.XLOOKUP(Table6[[#This Row],[Affected WTG]],'Basic Data'!$A:$A,'Basic Data'!$B:$B),"")</f>
        <v>TQGXIIPL</v>
      </c>
      <c r="I1067" s="35" t="str">
        <f>IFERROR(_xlfn.XLOOKUP(Table6[[#This Row],[Affected WTG]],'Basic Data'!$A:$A,'Basic Data'!$C:$C),"")</f>
        <v>GEDA</v>
      </c>
      <c r="J1067" s="471">
        <f>IFERROR(_xlfn.XLOOKUP(Table6[[#This Row],[Affected WTG]],'Basic Data'!$A:$A,'Basic Data'!$E:$E),"")</f>
        <v>3.846153846153845E-2</v>
      </c>
      <c r="K1067" s="102">
        <v>3110</v>
      </c>
      <c r="L1067" s="35" t="str">
        <f>IFERROR(_xlfn.XLOOKUP(Table6[[#This Row],[Error Code]],'Basic Data'!$AA:$AA,'Basic Data'!$AB:$AB),"Incorrect Error Code")</f>
        <v>Frequency converter error</v>
      </c>
      <c r="M1067" s="35" t="s">
        <v>292</v>
      </c>
      <c r="N1067" s="475"/>
      <c r="O1067" s="476">
        <v>0.7631944444444444</v>
      </c>
      <c r="P1067" s="476">
        <v>0.7631944444444444</v>
      </c>
      <c r="Q1067" s="477">
        <v>0.76388888888888884</v>
      </c>
      <c r="R1067" s="472">
        <f>IF(Table6[[#This Row],[Work Start TimeStamp]]="","",(Table6[[#This Row],[Work Start TimeStamp]]-Table6[[#This Row],[Fault Start TimeStamp]])*24)</f>
        <v>0</v>
      </c>
      <c r="S1067" s="472">
        <f>(Table6[[#This Row],[Fault Clearance time]]-Table6[[#This Row],[Work Start TimeStamp]])*24</f>
        <v>1.6666666666666607E-2</v>
      </c>
      <c r="T1067" s="472">
        <f>(Table6[[#This Row],[Fault Clearance time]]-Table6[[#This Row],[Fault Start TimeStamp]])*24</f>
        <v>1.6666666666666607E-2</v>
      </c>
      <c r="U1067" s="35" t="s">
        <v>336</v>
      </c>
      <c r="V1067" s="102" t="s">
        <v>293</v>
      </c>
      <c r="W1067" s="478">
        <f>IFERROR(Table6[[#This Row],[Breakdown Time]]*Table6[[#This Row],[Plant Equivalent Weightage]],"")</f>
        <v>6.4102564102563853E-4</v>
      </c>
      <c r="X1067" s="473" t="s">
        <v>294</v>
      </c>
      <c r="Y1067" s="474" t="s">
        <v>319</v>
      </c>
      <c r="Z1067" s="102">
        <v>16771</v>
      </c>
      <c r="AA1067" s="468">
        <f>(Table6[[#This Row],[Paired WTG Generation for loss calculation]]/24)*Table6[[#This Row],[Breakdown Time]]</f>
        <v>11.646527777777736</v>
      </c>
      <c r="AB1067" s="102"/>
      <c r="AC1067" s="35"/>
      <c r="AD1067" s="35"/>
    </row>
    <row r="1068" spans="1:30">
      <c r="A1068" s="102">
        <f t="shared" si="17"/>
        <v>1067</v>
      </c>
      <c r="B1068" s="468">
        <f>YEAR(Table6[[#This Row],[Date]])+IF(MONTH(Table6[[#This Row],[Date]])&gt;=4,1,0)</f>
        <v>2026</v>
      </c>
      <c r="C1068" s="102">
        <f>YEAR(Table6[[#This Row],[Date]])</f>
        <v>2025</v>
      </c>
      <c r="D1068" s="102" t="s">
        <v>1992</v>
      </c>
      <c r="E1068" s="469">
        <f>Table6[[#This Row],[Date]]-DAY(Table6[[#This Row],[Date]])+1</f>
        <v>45809</v>
      </c>
      <c r="F1068" s="470">
        <v>45813</v>
      </c>
      <c r="G1068" s="35" t="s">
        <v>95</v>
      </c>
      <c r="H1068" s="35" t="str">
        <f>IFERROR(_xlfn.XLOOKUP(Table6[[#This Row],[Affected WTG]],'Basic Data'!$A:$A,'Basic Data'!$B:$B),"")</f>
        <v>TQGXIIPL</v>
      </c>
      <c r="I1068" s="35" t="str">
        <f>IFERROR(_xlfn.XLOOKUP(Table6[[#This Row],[Affected WTG]],'Basic Data'!$A:$A,'Basic Data'!$C:$C),"")</f>
        <v>GEDA</v>
      </c>
      <c r="J1068" s="471">
        <f>IFERROR(_xlfn.XLOOKUP(Table6[[#This Row],[Affected WTG]],'Basic Data'!$A:$A,'Basic Data'!$E:$E),"")</f>
        <v>3.846153846153845E-2</v>
      </c>
      <c r="K1068" s="102">
        <v>3110</v>
      </c>
      <c r="L1068" s="35" t="str">
        <f>IFERROR(_xlfn.XLOOKUP(Table6[[#This Row],[Error Code]],'Basic Data'!$AA:$AA,'Basic Data'!$AB:$AB),"Incorrect Error Code")</f>
        <v>Frequency converter error</v>
      </c>
      <c r="M1068" s="35" t="s">
        <v>292</v>
      </c>
      <c r="N1068" s="475"/>
      <c r="O1068" s="476">
        <v>0.76666666666666672</v>
      </c>
      <c r="P1068" s="476">
        <v>0.76666666666666672</v>
      </c>
      <c r="Q1068" s="477">
        <v>0.77083333333333337</v>
      </c>
      <c r="R1068" s="472">
        <f>IF(Table6[[#This Row],[Work Start TimeStamp]]="","",(Table6[[#This Row],[Work Start TimeStamp]]-Table6[[#This Row],[Fault Start TimeStamp]])*24)</f>
        <v>0</v>
      </c>
      <c r="S1068" s="472">
        <f>(Table6[[#This Row],[Fault Clearance time]]-Table6[[#This Row],[Work Start TimeStamp]])*24</f>
        <v>9.9999999999999645E-2</v>
      </c>
      <c r="T1068" s="472">
        <f>(Table6[[#This Row],[Fault Clearance time]]-Table6[[#This Row],[Fault Start TimeStamp]])*24</f>
        <v>9.9999999999999645E-2</v>
      </c>
      <c r="U1068" s="35" t="s">
        <v>336</v>
      </c>
      <c r="V1068" s="102" t="s">
        <v>293</v>
      </c>
      <c r="W1068" s="478">
        <f>IFERROR(Table6[[#This Row],[Breakdown Time]]*Table6[[#This Row],[Plant Equivalent Weightage]],"")</f>
        <v>3.8461538461538312E-3</v>
      </c>
      <c r="X1068" s="473" t="s">
        <v>294</v>
      </c>
      <c r="Y1068" s="474" t="s">
        <v>319</v>
      </c>
      <c r="Z1068" s="102">
        <v>16771</v>
      </c>
      <c r="AA1068" s="468">
        <f>(Table6[[#This Row],[Paired WTG Generation for loss calculation]]/24)*Table6[[#This Row],[Breakdown Time]]</f>
        <v>69.879166666666421</v>
      </c>
      <c r="AB1068" s="102"/>
      <c r="AC1068" s="35"/>
      <c r="AD1068" s="35"/>
    </row>
    <row r="1069" spans="1:30">
      <c r="A1069" s="102">
        <f t="shared" si="17"/>
        <v>1068</v>
      </c>
      <c r="B1069" s="468">
        <f>YEAR(Table6[[#This Row],[Date]])+IF(MONTH(Table6[[#This Row],[Date]])&gt;=4,1,0)</f>
        <v>2026</v>
      </c>
      <c r="C1069" s="102">
        <f>YEAR(Table6[[#This Row],[Date]])</f>
        <v>2025</v>
      </c>
      <c r="D1069" s="102" t="s">
        <v>1992</v>
      </c>
      <c r="E1069" s="469">
        <f>Table6[[#This Row],[Date]]-DAY(Table6[[#This Row],[Date]])+1</f>
        <v>45809</v>
      </c>
      <c r="F1069" s="470">
        <v>45813</v>
      </c>
      <c r="G1069" s="35" t="s">
        <v>77</v>
      </c>
      <c r="H1069" s="35" t="str">
        <f>IFERROR(_xlfn.XLOOKUP(Table6[[#This Row],[Affected WTG]],'Basic Data'!$A:$A,'Basic Data'!$B:$B),"")</f>
        <v>TQGXIIPL</v>
      </c>
      <c r="I1069" s="35" t="str">
        <f>IFERROR(_xlfn.XLOOKUP(Table6[[#This Row],[Affected WTG]],'Basic Data'!$A:$A,'Basic Data'!$C:$C),"")</f>
        <v>GEDA</v>
      </c>
      <c r="J1069" s="471">
        <f>IFERROR(_xlfn.XLOOKUP(Table6[[#This Row],[Affected WTG]],'Basic Data'!$A:$A,'Basic Data'!$E:$E),"")</f>
        <v>3.846153846153845E-2</v>
      </c>
      <c r="K1069" s="102">
        <v>3110</v>
      </c>
      <c r="L1069" s="35" t="str">
        <f>IFERROR(_xlfn.XLOOKUP(Table6[[#This Row],[Error Code]],'Basic Data'!$AA:$AA,'Basic Data'!$AB:$AB),"Incorrect Error Code")</f>
        <v>Frequency converter error</v>
      </c>
      <c r="M1069" s="35" t="s">
        <v>292</v>
      </c>
      <c r="N1069" s="475"/>
      <c r="O1069" s="476">
        <v>0.74791666666666667</v>
      </c>
      <c r="P1069" s="476">
        <v>0.74791666666666667</v>
      </c>
      <c r="Q1069" s="477">
        <v>0.74930555555555556</v>
      </c>
      <c r="R1069" s="472">
        <f>IF(Table6[[#This Row],[Work Start TimeStamp]]="","",(Table6[[#This Row],[Work Start TimeStamp]]-Table6[[#This Row],[Fault Start TimeStamp]])*24)</f>
        <v>0</v>
      </c>
      <c r="S1069" s="472">
        <f>(Table6[[#This Row],[Fault Clearance time]]-Table6[[#This Row],[Work Start TimeStamp]])*24</f>
        <v>3.3333333333333215E-2</v>
      </c>
      <c r="T1069" s="472">
        <f>(Table6[[#This Row],[Fault Clearance time]]-Table6[[#This Row],[Fault Start TimeStamp]])*24</f>
        <v>3.3333333333333215E-2</v>
      </c>
      <c r="U1069" s="35" t="s">
        <v>336</v>
      </c>
      <c r="V1069" s="102" t="s">
        <v>293</v>
      </c>
      <c r="W1069" s="478">
        <f>IFERROR(Table6[[#This Row],[Breakdown Time]]*Table6[[#This Row],[Plant Equivalent Weightage]],"")</f>
        <v>1.2820512820512771E-3</v>
      </c>
      <c r="X1069" s="473" t="s">
        <v>294</v>
      </c>
      <c r="Y1069" s="474" t="s">
        <v>310</v>
      </c>
      <c r="Z1069" s="102">
        <v>12137</v>
      </c>
      <c r="AA1069" s="468">
        <f>(Table6[[#This Row],[Paired WTG Generation for loss calculation]]/24)*Table6[[#This Row],[Breakdown Time]]</f>
        <v>16.856944444444384</v>
      </c>
      <c r="AB1069" s="102"/>
      <c r="AC1069" s="35"/>
      <c r="AD1069" s="35"/>
    </row>
    <row r="1070" spans="1:30">
      <c r="A1070" s="102">
        <f t="shared" si="17"/>
        <v>1069</v>
      </c>
      <c r="B1070" s="468">
        <f>YEAR(Table6[[#This Row],[Date]])+IF(MONTH(Table6[[#This Row],[Date]])&gt;=4,1,0)</f>
        <v>2026</v>
      </c>
      <c r="C1070" s="102">
        <f>YEAR(Table6[[#This Row],[Date]])</f>
        <v>2025</v>
      </c>
      <c r="D1070" s="102" t="s">
        <v>1992</v>
      </c>
      <c r="E1070" s="469">
        <f>Table6[[#This Row],[Date]]-DAY(Table6[[#This Row],[Date]])+1</f>
        <v>45809</v>
      </c>
      <c r="F1070" s="470">
        <v>45814</v>
      </c>
      <c r="G1070" s="35" t="s">
        <v>74</v>
      </c>
      <c r="H1070" s="35" t="str">
        <f>IFERROR(_xlfn.XLOOKUP(Table6[[#This Row],[Affected WTG]],'Basic Data'!$A:$A,'Basic Data'!$B:$B),"")</f>
        <v>TQGXIIPL</v>
      </c>
      <c r="I1070" s="35" t="str">
        <f>IFERROR(_xlfn.XLOOKUP(Table6[[#This Row],[Affected WTG]],'Basic Data'!$A:$A,'Basic Data'!$C:$C),"")</f>
        <v>GEDA</v>
      </c>
      <c r="J1070" s="471">
        <f>IFERROR(_xlfn.XLOOKUP(Table6[[#This Row],[Affected WTG]],'Basic Data'!$A:$A,'Basic Data'!$E:$E),"")</f>
        <v>3.846153846153845E-2</v>
      </c>
      <c r="K1070" s="102">
        <v>4970</v>
      </c>
      <c r="L1070" s="35" t="str">
        <f>IFERROR(_xlfn.XLOOKUP(Table6[[#This Row],[Error Code]],'Basic Data'!$AA:$AA,'Basic Data'!$AB:$AB),"Incorrect Error Code")</f>
        <v>Tower oscillation XF</v>
      </c>
      <c r="M1070" s="35" t="s">
        <v>292</v>
      </c>
      <c r="N1070" s="475"/>
      <c r="O1070" s="476">
        <v>0.80625000000000002</v>
      </c>
      <c r="P1070" s="476">
        <v>0.80625000000000002</v>
      </c>
      <c r="Q1070" s="477">
        <v>0.81736111111111109</v>
      </c>
      <c r="R1070" s="472">
        <f>IF(Table6[[#This Row],[Work Start TimeStamp]]="","",(Table6[[#This Row],[Work Start TimeStamp]]-Table6[[#This Row],[Fault Start TimeStamp]])*24)</f>
        <v>0</v>
      </c>
      <c r="S1070" s="472">
        <f>(Table6[[#This Row],[Fault Clearance time]]-Table6[[#This Row],[Work Start TimeStamp]])*24</f>
        <v>0.26666666666666572</v>
      </c>
      <c r="T1070" s="472">
        <f>(Table6[[#This Row],[Fault Clearance time]]-Table6[[#This Row],[Fault Start TimeStamp]])*24</f>
        <v>0.26666666666666572</v>
      </c>
      <c r="U1070" s="35" t="s">
        <v>336</v>
      </c>
      <c r="V1070" s="102" t="s">
        <v>293</v>
      </c>
      <c r="W1070" s="478">
        <f>IFERROR(Table6[[#This Row],[Breakdown Time]]*Table6[[#This Row],[Plant Equivalent Weightage]],"")</f>
        <v>1.0256410256410217E-2</v>
      </c>
      <c r="X1070" s="473" t="s">
        <v>294</v>
      </c>
      <c r="Y1070" s="474" t="s">
        <v>321</v>
      </c>
      <c r="Z1070" s="102">
        <v>23651</v>
      </c>
      <c r="AA1070" s="468">
        <f>(Table6[[#This Row],[Paired WTG Generation for loss calculation]]/24)*Table6[[#This Row],[Breakdown Time]]</f>
        <v>262.78888888888798</v>
      </c>
      <c r="AB1070" s="102"/>
      <c r="AC1070" s="35"/>
      <c r="AD1070" s="35"/>
    </row>
    <row r="1071" spans="1:30">
      <c r="A1071" s="102">
        <f t="shared" si="17"/>
        <v>1070</v>
      </c>
      <c r="B1071" s="468">
        <f>YEAR(Table6[[#This Row],[Date]])+IF(MONTH(Table6[[#This Row],[Date]])&gt;=4,1,0)</f>
        <v>2026</v>
      </c>
      <c r="C1071" s="102">
        <f>YEAR(Table6[[#This Row],[Date]])</f>
        <v>2025</v>
      </c>
      <c r="D1071" s="102" t="s">
        <v>1992</v>
      </c>
      <c r="E1071" s="469">
        <f>Table6[[#This Row],[Date]]-DAY(Table6[[#This Row],[Date]])+1</f>
        <v>45809</v>
      </c>
      <c r="F1071" s="470">
        <v>45814</v>
      </c>
      <c r="G1071" s="35" t="s">
        <v>76</v>
      </c>
      <c r="H1071" s="35" t="str">
        <f>IFERROR(_xlfn.XLOOKUP(Table6[[#This Row],[Affected WTG]],'Basic Data'!$A:$A,'Basic Data'!$B:$B),"")</f>
        <v>TQGXIIPL</v>
      </c>
      <c r="I1071" s="35" t="str">
        <f>IFERROR(_xlfn.XLOOKUP(Table6[[#This Row],[Affected WTG]],'Basic Data'!$A:$A,'Basic Data'!$C:$C),"")</f>
        <v>GEDA</v>
      </c>
      <c r="J1071" s="471">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291</v>
      </c>
      <c r="N1071" s="475"/>
      <c r="O1071" s="476">
        <v>0.49513888888888891</v>
      </c>
      <c r="P1071" s="476">
        <v>0.57638888888888884</v>
      </c>
      <c r="Q1071" s="477">
        <v>0.73750000000000004</v>
      </c>
      <c r="R1071" s="472">
        <f>IF(Table6[[#This Row],[Work Start TimeStamp]]="","",(Table6[[#This Row],[Work Start TimeStamp]]-Table6[[#This Row],[Fault Start TimeStamp]])*24)</f>
        <v>1.9499999999999984</v>
      </c>
      <c r="S1071" s="472">
        <f>(Table6[[#This Row],[Fault Clearance time]]-Table6[[#This Row],[Work Start TimeStamp]])*24</f>
        <v>3.8666666666666689</v>
      </c>
      <c r="T1071" s="472">
        <f>(Table6[[#This Row],[Fault Clearance time]]-Table6[[#This Row],[Fault Start TimeStamp]])*24</f>
        <v>5.8166666666666673</v>
      </c>
      <c r="U1071" s="35" t="s">
        <v>1944</v>
      </c>
      <c r="V1071" s="102" t="s">
        <v>293</v>
      </c>
      <c r="W1071" s="478">
        <f>IFERROR(Table6[[#This Row],[Breakdown Time]]*Table6[[#This Row],[Plant Equivalent Weightage]],"")</f>
        <v>0.22371794871794867</v>
      </c>
      <c r="X1071" s="473" t="s">
        <v>290</v>
      </c>
      <c r="Y1071" s="474" t="s">
        <v>309</v>
      </c>
      <c r="Z1071" s="102">
        <v>22922</v>
      </c>
      <c r="AA1071" s="468">
        <f>(Table6[[#This Row],[Paired WTG Generation for loss calculation]]/24)*Table6[[#This Row],[Breakdown Time]]</f>
        <v>5555.4013888888894</v>
      </c>
      <c r="AB1071" s="102"/>
      <c r="AC1071" s="35"/>
      <c r="AD1071" s="35"/>
    </row>
    <row r="1072" spans="1:30">
      <c r="A1072" s="102">
        <f t="shared" si="17"/>
        <v>1071</v>
      </c>
      <c r="B1072" s="468">
        <f>YEAR(Table6[[#This Row],[Date]])+IF(MONTH(Table6[[#This Row],[Date]])&gt;=4,1,0)</f>
        <v>2026</v>
      </c>
      <c r="C1072" s="102">
        <f>YEAR(Table6[[#This Row],[Date]])</f>
        <v>2025</v>
      </c>
      <c r="D1072" s="102" t="s">
        <v>1992</v>
      </c>
      <c r="E1072" s="469">
        <f>Table6[[#This Row],[Date]]-DAY(Table6[[#This Row],[Date]])+1</f>
        <v>45809</v>
      </c>
      <c r="F1072" s="470">
        <v>45814</v>
      </c>
      <c r="G1072" s="35" t="s">
        <v>77</v>
      </c>
      <c r="H1072" s="35" t="str">
        <f>IFERROR(_xlfn.XLOOKUP(Table6[[#This Row],[Affected WTG]],'Basic Data'!$A:$A,'Basic Data'!$B:$B),"")</f>
        <v>TQGXIIPL</v>
      </c>
      <c r="I1072" s="35" t="str">
        <f>IFERROR(_xlfn.XLOOKUP(Table6[[#This Row],[Affected WTG]],'Basic Data'!$A:$A,'Basic Data'!$C:$C),"")</f>
        <v>GEDA</v>
      </c>
      <c r="J1072" s="471">
        <f>IFERROR(_xlfn.XLOOKUP(Table6[[#This Row],[Affected WTG]],'Basic Data'!$A:$A,'Basic Data'!$E:$E),"")</f>
        <v>3.846153846153845E-2</v>
      </c>
      <c r="K1072" s="102">
        <v>6130</v>
      </c>
      <c r="L1072" s="35" t="str">
        <f>IFERROR(_xlfn.XLOOKUP(Table6[[#This Row],[Error Code]],'Basic Data'!$AA:$AA,'Basic Data'!$AB:$AB),"Incorrect Error Code")</f>
        <v>Yaw speed high</v>
      </c>
      <c r="M1072" s="35" t="s">
        <v>292</v>
      </c>
      <c r="N1072" s="475"/>
      <c r="O1072" s="476">
        <v>0.7944444444444444</v>
      </c>
      <c r="P1072" s="476">
        <v>0.7944444444444444</v>
      </c>
      <c r="Q1072" s="477">
        <v>0.79861111111111116</v>
      </c>
      <c r="R1072" s="472">
        <f>IF(Table6[[#This Row],[Work Start TimeStamp]]="","",(Table6[[#This Row],[Work Start TimeStamp]]-Table6[[#This Row],[Fault Start TimeStamp]])*24)</f>
        <v>0</v>
      </c>
      <c r="S1072" s="472">
        <f>(Table6[[#This Row],[Fault Clearance time]]-Table6[[#This Row],[Work Start TimeStamp]])*24</f>
        <v>0.10000000000000231</v>
      </c>
      <c r="T1072" s="472">
        <f>(Table6[[#This Row],[Fault Clearance time]]-Table6[[#This Row],[Fault Start TimeStamp]])*24</f>
        <v>0.10000000000000231</v>
      </c>
      <c r="U1072" s="35" t="s">
        <v>336</v>
      </c>
      <c r="V1072" s="102" t="s">
        <v>293</v>
      </c>
      <c r="W1072" s="478">
        <f>IFERROR(Table6[[#This Row],[Breakdown Time]]*Table6[[#This Row],[Plant Equivalent Weightage]],"")</f>
        <v>3.846153846153934E-3</v>
      </c>
      <c r="X1072" s="473" t="s">
        <v>294</v>
      </c>
      <c r="Y1072" s="474" t="s">
        <v>310</v>
      </c>
      <c r="Z1072" s="102">
        <v>24124</v>
      </c>
      <c r="AA1072" s="468">
        <f>(Table6[[#This Row],[Paired WTG Generation for loss calculation]]/24)*Table6[[#This Row],[Breakdown Time]]</f>
        <v>100.51666666666898</v>
      </c>
      <c r="AB1072" s="102"/>
      <c r="AC1072" s="35"/>
      <c r="AD1072" s="35"/>
    </row>
    <row r="1073" spans="1:30">
      <c r="A1073" s="102">
        <f t="shared" si="17"/>
        <v>1072</v>
      </c>
      <c r="B1073" s="468">
        <f>YEAR(Table6[[#This Row],[Date]])+IF(MONTH(Table6[[#This Row],[Date]])&gt;=4,1,0)</f>
        <v>2026</v>
      </c>
      <c r="C1073" s="102">
        <f>YEAR(Table6[[#This Row],[Date]])</f>
        <v>2025</v>
      </c>
      <c r="D1073" s="102" t="s">
        <v>1992</v>
      </c>
      <c r="E1073" s="469">
        <f>Table6[[#This Row],[Date]]-DAY(Table6[[#This Row],[Date]])+1</f>
        <v>45809</v>
      </c>
      <c r="F1073" s="470">
        <v>45814</v>
      </c>
      <c r="G1073" s="35" t="s">
        <v>78</v>
      </c>
      <c r="H1073" s="35" t="str">
        <f>IFERROR(_xlfn.XLOOKUP(Table6[[#This Row],[Affected WTG]],'Basic Data'!$A:$A,'Basic Data'!$B:$B),"")</f>
        <v>TQGXIIPL</v>
      </c>
      <c r="I1073" s="35" t="str">
        <f>IFERROR(_xlfn.XLOOKUP(Table6[[#This Row],[Affected WTG]],'Basic Data'!$A:$A,'Basic Data'!$C:$C),"")</f>
        <v>GEDA</v>
      </c>
      <c r="J1073" s="471">
        <f>IFERROR(_xlfn.XLOOKUP(Table6[[#This Row],[Affected WTG]],'Basic Data'!$A:$A,'Basic Data'!$E:$E),"")</f>
        <v>3.846153846153845E-2</v>
      </c>
      <c r="K1073" s="102">
        <v>4970</v>
      </c>
      <c r="L1073" s="35" t="str">
        <f>IFERROR(_xlfn.XLOOKUP(Table6[[#This Row],[Error Code]],'Basic Data'!$AA:$AA,'Basic Data'!$AB:$AB),"Incorrect Error Code")</f>
        <v>Tower oscillation XF</v>
      </c>
      <c r="M1073" s="35" t="s">
        <v>292</v>
      </c>
      <c r="N1073" s="475"/>
      <c r="O1073" s="476">
        <v>0.78055555555555556</v>
      </c>
      <c r="P1073" s="476">
        <v>0.78055555555555556</v>
      </c>
      <c r="Q1073" s="477">
        <v>0.79166666666666663</v>
      </c>
      <c r="R1073" s="472">
        <f>IF(Table6[[#This Row],[Work Start TimeStamp]]="","",(Table6[[#This Row],[Work Start TimeStamp]]-Table6[[#This Row],[Fault Start TimeStamp]])*24)</f>
        <v>0</v>
      </c>
      <c r="S1073" s="472">
        <f>(Table6[[#This Row],[Fault Clearance time]]-Table6[[#This Row],[Work Start TimeStamp]])*24</f>
        <v>0.26666666666666572</v>
      </c>
      <c r="T1073" s="472">
        <f>(Table6[[#This Row],[Fault Clearance time]]-Table6[[#This Row],[Fault Start TimeStamp]])*24</f>
        <v>0.26666666666666572</v>
      </c>
      <c r="U1073" s="35" t="s">
        <v>336</v>
      </c>
      <c r="V1073" s="102" t="s">
        <v>293</v>
      </c>
      <c r="W1073" s="478">
        <f>IFERROR(Table6[[#This Row],[Breakdown Time]]*Table6[[#This Row],[Plant Equivalent Weightage]],"")</f>
        <v>1.0256410256410217E-2</v>
      </c>
      <c r="X1073" s="473" t="s">
        <v>294</v>
      </c>
      <c r="Y1073" s="474" t="s">
        <v>333</v>
      </c>
      <c r="Z1073" s="102">
        <v>28011</v>
      </c>
      <c r="AA1073" s="468">
        <f>(Table6[[#This Row],[Paired WTG Generation for loss calculation]]/24)*Table6[[#This Row],[Breakdown Time]]</f>
        <v>311.23333333333221</v>
      </c>
      <c r="AB1073" s="102"/>
      <c r="AC1073" s="35"/>
      <c r="AD1073" s="35"/>
    </row>
    <row r="1074" spans="1:30">
      <c r="A1074" s="102">
        <f t="shared" si="17"/>
        <v>1073</v>
      </c>
      <c r="B1074" s="468">
        <f>YEAR(Table6[[#This Row],[Date]])+IF(MONTH(Table6[[#This Row],[Date]])&gt;=4,1,0)</f>
        <v>2026</v>
      </c>
      <c r="C1074" s="102">
        <f>YEAR(Table6[[#This Row],[Date]])</f>
        <v>2025</v>
      </c>
      <c r="D1074" s="102" t="s">
        <v>1992</v>
      </c>
      <c r="E1074" s="469">
        <f>Table6[[#This Row],[Date]]-DAY(Table6[[#This Row],[Date]])+1</f>
        <v>45809</v>
      </c>
      <c r="F1074" s="470">
        <v>45814</v>
      </c>
      <c r="G1074" s="35" t="s">
        <v>80</v>
      </c>
      <c r="H1074" s="35" t="str">
        <f>IFERROR(_xlfn.XLOOKUP(Table6[[#This Row],[Affected WTG]],'Basic Data'!$A:$A,'Basic Data'!$B:$B),"")</f>
        <v>TQGXIIPL</v>
      </c>
      <c r="I1074" s="35" t="str">
        <f>IFERROR(_xlfn.XLOOKUP(Table6[[#This Row],[Affected WTG]],'Basic Data'!$A:$A,'Basic Data'!$C:$C),"")</f>
        <v>GEDA</v>
      </c>
      <c r="J1074" s="471">
        <f>IFERROR(_xlfn.XLOOKUP(Table6[[#This Row],[Affected WTG]],'Basic Data'!$A:$A,'Basic Data'!$E:$E),"")</f>
        <v>3.846153846153845E-2</v>
      </c>
      <c r="K1074" s="102">
        <v>175</v>
      </c>
      <c r="L1074" s="35" t="str">
        <f>IFERROR(_xlfn.XLOOKUP(Table6[[#This Row],[Error Code]],'Basic Data'!$AA:$AA,'Basic Data'!$AB:$AB),"Incorrect Error Code")</f>
        <v>SLC error</v>
      </c>
      <c r="M1074" s="35" t="s">
        <v>291</v>
      </c>
      <c r="N1074" s="475"/>
      <c r="O1074" s="476">
        <v>0.5625</v>
      </c>
      <c r="P1074" s="476">
        <v>0.5625</v>
      </c>
      <c r="Q1074" s="477">
        <v>0.5854166666666667</v>
      </c>
      <c r="R1074" s="472">
        <f>IF(Table6[[#This Row],[Work Start TimeStamp]]="","",(Table6[[#This Row],[Work Start TimeStamp]]-Table6[[#This Row],[Fault Start TimeStamp]])*24)</f>
        <v>0</v>
      </c>
      <c r="S1074" s="472">
        <f>(Table6[[#This Row],[Fault Clearance time]]-Table6[[#This Row],[Work Start TimeStamp]])*24</f>
        <v>0.55000000000000071</v>
      </c>
      <c r="T1074" s="472">
        <f>(Table6[[#This Row],[Fault Clearance time]]-Table6[[#This Row],[Fault Start TimeStamp]])*24</f>
        <v>0.55000000000000071</v>
      </c>
      <c r="U1074" s="35" t="s">
        <v>1945</v>
      </c>
      <c r="V1074" s="102" t="s">
        <v>293</v>
      </c>
      <c r="W1074" s="478">
        <f>IFERROR(Table6[[#This Row],[Breakdown Time]]*Table6[[#This Row],[Plant Equivalent Weightage]],"")</f>
        <v>2.1153846153846176E-2</v>
      </c>
      <c r="X1074" s="473" t="s">
        <v>294</v>
      </c>
      <c r="Y1074" s="474" t="s">
        <v>317</v>
      </c>
      <c r="Z1074" s="102">
        <v>25991</v>
      </c>
      <c r="AA1074" s="468">
        <f>(Table6[[#This Row],[Paired WTG Generation for loss calculation]]/24)*Table6[[#This Row],[Breakdown Time]]</f>
        <v>595.6270833333341</v>
      </c>
      <c r="AB1074" s="102"/>
      <c r="AC1074" s="35"/>
      <c r="AD1074" s="35"/>
    </row>
    <row r="1075" spans="1:30">
      <c r="A1075" s="102">
        <f t="shared" si="17"/>
        <v>1074</v>
      </c>
      <c r="B1075" s="468">
        <f>YEAR(Table6[[#This Row],[Date]])+IF(MONTH(Table6[[#This Row],[Date]])&gt;=4,1,0)</f>
        <v>2026</v>
      </c>
      <c r="C1075" s="102">
        <f>YEAR(Table6[[#This Row],[Date]])</f>
        <v>2025</v>
      </c>
      <c r="D1075" s="102" t="s">
        <v>1992</v>
      </c>
      <c r="E1075" s="469">
        <f>Table6[[#This Row],[Date]]-DAY(Table6[[#This Row],[Date]])+1</f>
        <v>45809</v>
      </c>
      <c r="F1075" s="470">
        <v>45814</v>
      </c>
      <c r="G1075" s="35" t="s">
        <v>82</v>
      </c>
      <c r="H1075" s="35" t="str">
        <f>IFERROR(_xlfn.XLOOKUP(Table6[[#This Row],[Affected WTG]],'Basic Data'!$A:$A,'Basic Data'!$B:$B),"")</f>
        <v>TQGXIIPL</v>
      </c>
      <c r="I1075" s="35" t="str">
        <f>IFERROR(_xlfn.XLOOKUP(Table6[[#This Row],[Affected WTG]],'Basic Data'!$A:$A,'Basic Data'!$C:$C),"")</f>
        <v>GEDA</v>
      </c>
      <c r="J1075" s="471">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292</v>
      </c>
      <c r="N1075" s="475"/>
      <c r="O1075" s="476">
        <v>0.80208333333333337</v>
      </c>
      <c r="P1075" s="476">
        <v>0.80208333333333337</v>
      </c>
      <c r="Q1075" s="477">
        <v>0.81319444444444444</v>
      </c>
      <c r="R1075" s="472">
        <f>IF(Table6[[#This Row],[Work Start TimeStamp]]="","",(Table6[[#This Row],[Work Start TimeStamp]]-Table6[[#This Row],[Fault Start TimeStamp]])*24)</f>
        <v>0</v>
      </c>
      <c r="S1075" s="472">
        <f>(Table6[[#This Row],[Fault Clearance time]]-Table6[[#This Row],[Work Start TimeStamp]])*24</f>
        <v>0.26666666666666572</v>
      </c>
      <c r="T1075" s="472">
        <f>(Table6[[#This Row],[Fault Clearance time]]-Table6[[#This Row],[Fault Start TimeStamp]])*24</f>
        <v>0.26666666666666572</v>
      </c>
      <c r="U1075" s="35" t="s">
        <v>336</v>
      </c>
      <c r="V1075" s="102" t="s">
        <v>293</v>
      </c>
      <c r="W1075" s="478">
        <f>IFERROR(Table6[[#This Row],[Breakdown Time]]*Table6[[#This Row],[Plant Equivalent Weightage]],"")</f>
        <v>1.0256410256410217E-2</v>
      </c>
      <c r="X1075" s="473" t="s">
        <v>294</v>
      </c>
      <c r="Y1075" s="474" t="s">
        <v>332</v>
      </c>
      <c r="Z1075" s="102">
        <v>21461</v>
      </c>
      <c r="AA1075" s="468">
        <f>(Table6[[#This Row],[Paired WTG Generation for loss calculation]]/24)*Table6[[#This Row],[Breakdown Time]]</f>
        <v>238.45555555555472</v>
      </c>
      <c r="AB1075" s="102"/>
      <c r="AC1075" s="35"/>
      <c r="AD1075" s="35"/>
    </row>
    <row r="1076" spans="1:30">
      <c r="A1076" s="102">
        <f t="shared" si="17"/>
        <v>1075</v>
      </c>
      <c r="B1076" s="468">
        <f>YEAR(Table6[[#This Row],[Date]])+IF(MONTH(Table6[[#This Row],[Date]])&gt;=4,1,0)</f>
        <v>2026</v>
      </c>
      <c r="C1076" s="102">
        <f>YEAR(Table6[[#This Row],[Date]])</f>
        <v>2025</v>
      </c>
      <c r="D1076" s="102" t="s">
        <v>1992</v>
      </c>
      <c r="E1076" s="469">
        <f>Table6[[#This Row],[Date]]-DAY(Table6[[#This Row],[Date]])+1</f>
        <v>45809</v>
      </c>
      <c r="F1076" s="470">
        <v>45814</v>
      </c>
      <c r="G1076" s="35" t="s">
        <v>86</v>
      </c>
      <c r="H1076" s="35" t="str">
        <f>IFERROR(_xlfn.XLOOKUP(Table6[[#This Row],[Affected WTG]],'Basic Data'!$A:$A,'Basic Data'!$B:$B),"")</f>
        <v>TQGXIIPL</v>
      </c>
      <c r="I1076" s="35" t="str">
        <f>IFERROR(_xlfn.XLOOKUP(Table6[[#This Row],[Affected WTG]],'Basic Data'!$A:$A,'Basic Data'!$C:$C),"")</f>
        <v>GEDA</v>
      </c>
      <c r="J1076" s="471">
        <f>IFERROR(_xlfn.XLOOKUP(Table6[[#This Row],[Affected WTG]],'Basic Data'!$A:$A,'Basic Data'!$E:$E),"")</f>
        <v>3.846153846153845E-2</v>
      </c>
      <c r="K1076" s="102">
        <v>687</v>
      </c>
      <c r="L1076" s="35" t="str">
        <f>IFERROR(_xlfn.XLOOKUP(Table6[[#This Row],[Error Code]],'Basic Data'!$AA:$AA,'Basic Data'!$AB:$AB),"Incorrect Error Code")</f>
        <v>Power failure pitch</v>
      </c>
      <c r="M1076" s="35" t="s">
        <v>291</v>
      </c>
      <c r="N1076" s="475"/>
      <c r="O1076" s="476">
        <v>0.69305555555555554</v>
      </c>
      <c r="P1076" s="476">
        <v>0.70833333333333337</v>
      </c>
      <c r="Q1076" s="477">
        <v>0.8125</v>
      </c>
      <c r="R1076" s="472">
        <f>IF(Table6[[#This Row],[Work Start TimeStamp]]="","",(Table6[[#This Row],[Work Start TimeStamp]]-Table6[[#This Row],[Fault Start TimeStamp]])*24)</f>
        <v>0.36666666666666803</v>
      </c>
      <c r="S1076" s="472">
        <f>(Table6[[#This Row],[Fault Clearance time]]-Table6[[#This Row],[Work Start TimeStamp]])*24</f>
        <v>2.4999999999999991</v>
      </c>
      <c r="T1076" s="472">
        <f>(Table6[[#This Row],[Fault Clearance time]]-Table6[[#This Row],[Fault Start TimeStamp]])*24</f>
        <v>2.8666666666666671</v>
      </c>
      <c r="U1076" s="35" t="s">
        <v>1946</v>
      </c>
      <c r="V1076" s="102" t="s">
        <v>293</v>
      </c>
      <c r="W1076" s="478">
        <f>IFERROR(Table6[[#This Row],[Breakdown Time]]*Table6[[#This Row],[Plant Equivalent Weightage]],"")</f>
        <v>0.11025641025641024</v>
      </c>
      <c r="X1076" s="473" t="s">
        <v>290</v>
      </c>
      <c r="Y1076" s="474" t="s">
        <v>313</v>
      </c>
      <c r="Z1076" s="102">
        <v>21231</v>
      </c>
      <c r="AA1076" s="468">
        <f>(Table6[[#This Row],[Paired WTG Generation for loss calculation]]/24)*Table6[[#This Row],[Breakdown Time]]</f>
        <v>2535.9250000000006</v>
      </c>
      <c r="AB1076" s="102"/>
      <c r="AC1076" s="35"/>
      <c r="AD1076" s="35"/>
    </row>
    <row r="1077" spans="1:30">
      <c r="A1077" s="102">
        <f t="shared" si="17"/>
        <v>1076</v>
      </c>
      <c r="B1077" s="468">
        <f>YEAR(Table6[[#This Row],[Date]])+IF(MONTH(Table6[[#This Row],[Date]])&gt;=4,1,0)</f>
        <v>2026</v>
      </c>
      <c r="C1077" s="102">
        <f>YEAR(Table6[[#This Row],[Date]])</f>
        <v>2025</v>
      </c>
      <c r="D1077" s="102" t="s">
        <v>1992</v>
      </c>
      <c r="E1077" s="469">
        <f>Table6[[#This Row],[Date]]-DAY(Table6[[#This Row],[Date]])+1</f>
        <v>45809</v>
      </c>
      <c r="F1077" s="470">
        <v>45814</v>
      </c>
      <c r="G1077" s="35" t="s">
        <v>90</v>
      </c>
      <c r="H1077" s="35" t="str">
        <f>IFERROR(_xlfn.XLOOKUP(Table6[[#This Row],[Affected WTG]],'Basic Data'!$A:$A,'Basic Data'!$B:$B),"")</f>
        <v>TQGXIIPL</v>
      </c>
      <c r="I1077" s="35" t="str">
        <f>IFERROR(_xlfn.XLOOKUP(Table6[[#This Row],[Affected WTG]],'Basic Data'!$A:$A,'Basic Data'!$C:$C),"")</f>
        <v>GEDA</v>
      </c>
      <c r="J1077" s="471">
        <f>IFERROR(_xlfn.XLOOKUP(Table6[[#This Row],[Affected WTG]],'Basic Data'!$A:$A,'Basic Data'!$E:$E),"")</f>
        <v>3.846153846153845E-2</v>
      </c>
      <c r="K1077" s="102">
        <v>4970</v>
      </c>
      <c r="L1077" s="35" t="str">
        <f>IFERROR(_xlfn.XLOOKUP(Table6[[#This Row],[Error Code]],'Basic Data'!$AA:$AA,'Basic Data'!$AB:$AB),"Incorrect Error Code")</f>
        <v>Tower oscillation XF</v>
      </c>
      <c r="M1077" s="35" t="s">
        <v>292</v>
      </c>
      <c r="N1077" s="475"/>
      <c r="O1077" s="476">
        <v>0.74791666666666667</v>
      </c>
      <c r="P1077" s="476">
        <v>0.74791666666666667</v>
      </c>
      <c r="Q1077" s="477">
        <v>0.75902777777777775</v>
      </c>
      <c r="R1077" s="472">
        <f>IF(Table6[[#This Row],[Work Start TimeStamp]]="","",(Table6[[#This Row],[Work Start TimeStamp]]-Table6[[#This Row],[Fault Start TimeStamp]])*24)</f>
        <v>0</v>
      </c>
      <c r="S1077" s="472">
        <f>(Table6[[#This Row],[Fault Clearance time]]-Table6[[#This Row],[Work Start TimeStamp]])*24</f>
        <v>0.26666666666666572</v>
      </c>
      <c r="T1077" s="472">
        <f>(Table6[[#This Row],[Fault Clearance time]]-Table6[[#This Row],[Fault Start TimeStamp]])*24</f>
        <v>0.26666666666666572</v>
      </c>
      <c r="U1077" s="35" t="s">
        <v>336</v>
      </c>
      <c r="V1077" s="102" t="s">
        <v>293</v>
      </c>
      <c r="W1077" s="478">
        <f>IFERROR(Table6[[#This Row],[Breakdown Time]]*Table6[[#This Row],[Plant Equivalent Weightage]],"")</f>
        <v>1.0256410256410217E-2</v>
      </c>
      <c r="X1077" s="473" t="s">
        <v>294</v>
      </c>
      <c r="Y1077" s="474" t="s">
        <v>339</v>
      </c>
      <c r="Z1077" s="102">
        <v>22267</v>
      </c>
      <c r="AA1077" s="468">
        <f>(Table6[[#This Row],[Paired WTG Generation for loss calculation]]/24)*Table6[[#This Row],[Breakdown Time]]</f>
        <v>247.41111111111022</v>
      </c>
      <c r="AB1077" s="102"/>
      <c r="AC1077" s="35"/>
      <c r="AD1077" s="35"/>
    </row>
    <row r="1078" spans="1:30">
      <c r="A1078" s="102">
        <f t="shared" si="17"/>
        <v>1077</v>
      </c>
      <c r="B1078" s="468">
        <f>YEAR(Table6[[#This Row],[Date]])+IF(MONTH(Table6[[#This Row],[Date]])&gt;=4,1,0)</f>
        <v>2026</v>
      </c>
      <c r="C1078" s="102">
        <f>YEAR(Table6[[#This Row],[Date]])</f>
        <v>2025</v>
      </c>
      <c r="D1078" s="102" t="s">
        <v>1992</v>
      </c>
      <c r="E1078" s="469">
        <f>Table6[[#This Row],[Date]]-DAY(Table6[[#This Row],[Date]])+1</f>
        <v>45809</v>
      </c>
      <c r="F1078" s="470">
        <v>45814</v>
      </c>
      <c r="G1078" s="35" t="s">
        <v>94</v>
      </c>
      <c r="H1078" s="35" t="str">
        <f>IFERROR(_xlfn.XLOOKUP(Table6[[#This Row],[Affected WTG]],'Basic Data'!$A:$A,'Basic Data'!$B:$B),"")</f>
        <v>TQGXIIPL</v>
      </c>
      <c r="I1078" s="35" t="str">
        <f>IFERROR(_xlfn.XLOOKUP(Table6[[#This Row],[Affected WTG]],'Basic Data'!$A:$A,'Basic Data'!$C:$C),"")</f>
        <v>GEDA</v>
      </c>
      <c r="J1078" s="471">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291</v>
      </c>
      <c r="N1078" s="475"/>
      <c r="O1078" s="476">
        <v>0.76249999999999996</v>
      </c>
      <c r="P1078" s="476">
        <v>0.76249999999999996</v>
      </c>
      <c r="Q1078" s="477">
        <v>0.77152777777777781</v>
      </c>
      <c r="R1078" s="472">
        <f>IF(Table6[[#This Row],[Work Start TimeStamp]]="","",(Table6[[#This Row],[Work Start TimeStamp]]-Table6[[#This Row],[Fault Start TimeStamp]])*24)</f>
        <v>0</v>
      </c>
      <c r="S1078" s="472">
        <f>(Table6[[#This Row],[Fault Clearance time]]-Table6[[#This Row],[Work Start TimeStamp]])*24</f>
        <v>0.21666666666666856</v>
      </c>
      <c r="T1078" s="472">
        <f>(Table6[[#This Row],[Fault Clearance time]]-Table6[[#This Row],[Fault Start TimeStamp]])*24</f>
        <v>0.21666666666666856</v>
      </c>
      <c r="U1078" s="35" t="s">
        <v>1924</v>
      </c>
      <c r="V1078" s="102" t="s">
        <v>293</v>
      </c>
      <c r="W1078" s="478">
        <f>IFERROR(Table6[[#This Row],[Breakdown Time]]*Table6[[#This Row],[Plant Equivalent Weightage]],"")</f>
        <v>8.3333333333334043E-3</v>
      </c>
      <c r="X1078" s="473" t="s">
        <v>294</v>
      </c>
      <c r="Y1078" s="474" t="s">
        <v>319</v>
      </c>
      <c r="Z1078" s="102">
        <v>21010</v>
      </c>
      <c r="AA1078" s="468">
        <f>(Table6[[#This Row],[Paired WTG Generation for loss calculation]]/24)*Table6[[#This Row],[Breakdown Time]]</f>
        <v>189.67361111111276</v>
      </c>
      <c r="AB1078" s="102"/>
      <c r="AC1078" s="35"/>
      <c r="AD1078" s="35"/>
    </row>
    <row r="1079" spans="1:30">
      <c r="A1079" s="102">
        <f t="shared" si="17"/>
        <v>1078</v>
      </c>
      <c r="B1079" s="468">
        <f>YEAR(Table6[[#This Row],[Date]])+IF(MONTH(Table6[[#This Row],[Date]])&gt;=4,1,0)</f>
        <v>2026</v>
      </c>
      <c r="C1079" s="102">
        <f>YEAR(Table6[[#This Row],[Date]])</f>
        <v>2025</v>
      </c>
      <c r="D1079" s="102" t="s">
        <v>1992</v>
      </c>
      <c r="E1079" s="469">
        <f>Table6[[#This Row],[Date]]-DAY(Table6[[#This Row],[Date]])+1</f>
        <v>45809</v>
      </c>
      <c r="F1079" s="470">
        <v>45814</v>
      </c>
      <c r="G1079" s="35" t="s">
        <v>96</v>
      </c>
      <c r="H1079" s="35" t="str">
        <f>IFERROR(_xlfn.XLOOKUP(Table6[[#This Row],[Affected WTG]],'Basic Data'!$A:$A,'Basic Data'!$B:$B),"")</f>
        <v>TQGXIIPL</v>
      </c>
      <c r="I1079" s="35" t="str">
        <f>IFERROR(_xlfn.XLOOKUP(Table6[[#This Row],[Affected WTG]],'Basic Data'!$A:$A,'Basic Data'!$C:$C),"")</f>
        <v>GEDA</v>
      </c>
      <c r="J1079" s="471">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291</v>
      </c>
      <c r="N1079" s="475"/>
      <c r="O1079" s="476">
        <v>0.51666666666666672</v>
      </c>
      <c r="P1079" s="476">
        <v>0.51666666666666672</v>
      </c>
      <c r="Q1079" s="477">
        <v>0.52430555555555558</v>
      </c>
      <c r="R1079" s="472">
        <f>IF(Table6[[#This Row],[Work Start TimeStamp]]="","",(Table6[[#This Row],[Work Start TimeStamp]]-Table6[[#This Row],[Fault Start TimeStamp]])*24)</f>
        <v>0</v>
      </c>
      <c r="S1079" s="472">
        <f>(Table6[[#This Row],[Fault Clearance time]]-Table6[[#This Row],[Work Start TimeStamp]])*24</f>
        <v>0.18333333333333268</v>
      </c>
      <c r="T1079" s="472">
        <f>(Table6[[#This Row],[Fault Clearance time]]-Table6[[#This Row],[Fault Start TimeStamp]])*24</f>
        <v>0.18333333333333268</v>
      </c>
      <c r="U1079" s="35" t="s">
        <v>1924</v>
      </c>
      <c r="V1079" s="102" t="s">
        <v>293</v>
      </c>
      <c r="W1079" s="478">
        <f>IFERROR(Table6[[#This Row],[Breakdown Time]]*Table6[[#This Row],[Plant Equivalent Weightage]],"")</f>
        <v>7.0512820512820245E-3</v>
      </c>
      <c r="X1079" s="473" t="s">
        <v>294</v>
      </c>
      <c r="Y1079" s="474" t="s">
        <v>313</v>
      </c>
      <c r="Z1079" s="102">
        <v>21231</v>
      </c>
      <c r="AA1079" s="468">
        <f>(Table6[[#This Row],[Paired WTG Generation for loss calculation]]/24)*Table6[[#This Row],[Breakdown Time]]</f>
        <v>162.18124999999944</v>
      </c>
      <c r="AB1079" s="102"/>
      <c r="AC1079" s="35"/>
      <c r="AD1079" s="35"/>
    </row>
    <row r="1080" spans="1:30">
      <c r="A1080" s="102">
        <f t="shared" si="17"/>
        <v>1079</v>
      </c>
      <c r="B1080" s="468">
        <f>YEAR(Table6[[#This Row],[Date]])+IF(MONTH(Table6[[#This Row],[Date]])&gt;=4,1,0)</f>
        <v>2026</v>
      </c>
      <c r="C1080" s="102">
        <f>YEAR(Table6[[#This Row],[Date]])</f>
        <v>2025</v>
      </c>
      <c r="D1080" s="102" t="s">
        <v>1992</v>
      </c>
      <c r="E1080" s="469">
        <f>Table6[[#This Row],[Date]]-DAY(Table6[[#This Row],[Date]])+1</f>
        <v>45809</v>
      </c>
      <c r="F1080" s="470">
        <v>45814</v>
      </c>
      <c r="G1080" s="35" t="s">
        <v>96</v>
      </c>
      <c r="H1080" s="35" t="str">
        <f>IFERROR(_xlfn.XLOOKUP(Table6[[#This Row],[Affected WTG]],'Basic Data'!$A:$A,'Basic Data'!$B:$B),"")</f>
        <v>TQGXIIPL</v>
      </c>
      <c r="I1080" s="35" t="str">
        <f>IFERROR(_xlfn.XLOOKUP(Table6[[#This Row],[Affected WTG]],'Basic Data'!$A:$A,'Basic Data'!$C:$C),"")</f>
        <v>GEDA</v>
      </c>
      <c r="J1080" s="471">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291</v>
      </c>
      <c r="N1080" s="475"/>
      <c r="O1080" s="476">
        <v>0.57847222222222228</v>
      </c>
      <c r="P1080" s="476">
        <v>0.57847222222222228</v>
      </c>
      <c r="Q1080" s="477">
        <v>0.58611111111111114</v>
      </c>
      <c r="R1080" s="472">
        <f>IF(Table6[[#This Row],[Work Start TimeStamp]]="","",(Table6[[#This Row],[Work Start TimeStamp]]-Table6[[#This Row],[Fault Start TimeStamp]])*24)</f>
        <v>0</v>
      </c>
      <c r="S1080" s="472">
        <f>(Table6[[#This Row],[Fault Clearance time]]-Table6[[#This Row],[Work Start TimeStamp]])*24</f>
        <v>0.18333333333333268</v>
      </c>
      <c r="T1080" s="472">
        <f>(Table6[[#This Row],[Fault Clearance time]]-Table6[[#This Row],[Fault Start TimeStamp]])*24</f>
        <v>0.18333333333333268</v>
      </c>
      <c r="U1080" s="35" t="s">
        <v>1945</v>
      </c>
      <c r="V1080" s="102" t="s">
        <v>293</v>
      </c>
      <c r="W1080" s="478">
        <f>IFERROR(Table6[[#This Row],[Breakdown Time]]*Table6[[#This Row],[Plant Equivalent Weightage]],"")</f>
        <v>7.0512820512820245E-3</v>
      </c>
      <c r="X1080" s="473" t="s">
        <v>294</v>
      </c>
      <c r="Y1080" s="474" t="s">
        <v>313</v>
      </c>
      <c r="Z1080" s="102">
        <v>21231</v>
      </c>
      <c r="AA1080" s="468">
        <f>(Table6[[#This Row],[Paired WTG Generation for loss calculation]]/24)*Table6[[#This Row],[Breakdown Time]]</f>
        <v>162.18124999999944</v>
      </c>
      <c r="AB1080" s="102"/>
      <c r="AC1080" s="35"/>
      <c r="AD1080" s="35"/>
    </row>
    <row r="1081" spans="1:30">
      <c r="A1081" s="102">
        <f t="shared" si="17"/>
        <v>1080</v>
      </c>
      <c r="B1081" s="468">
        <f>YEAR(Table6[[#This Row],[Date]])+IF(MONTH(Table6[[#This Row],[Date]])&gt;=4,1,0)</f>
        <v>2026</v>
      </c>
      <c r="C1081" s="102">
        <f>YEAR(Table6[[#This Row],[Date]])</f>
        <v>2025</v>
      </c>
      <c r="D1081" s="102" t="s">
        <v>1992</v>
      </c>
      <c r="E1081" s="469">
        <f>Table6[[#This Row],[Date]]-DAY(Table6[[#This Row],[Date]])+1</f>
        <v>45809</v>
      </c>
      <c r="F1081" s="470">
        <v>45814</v>
      </c>
      <c r="G1081" s="35" t="s">
        <v>96</v>
      </c>
      <c r="H1081" s="35" t="str">
        <f>IFERROR(_xlfn.XLOOKUP(Table6[[#This Row],[Affected WTG]],'Basic Data'!$A:$A,'Basic Data'!$B:$B),"")</f>
        <v>TQGXIIPL</v>
      </c>
      <c r="I1081" s="35" t="str">
        <f>IFERROR(_xlfn.XLOOKUP(Table6[[#This Row],[Affected WTG]],'Basic Data'!$A:$A,'Basic Data'!$C:$C),"")</f>
        <v>GEDA</v>
      </c>
      <c r="J1081" s="471">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291</v>
      </c>
      <c r="N1081" s="475"/>
      <c r="O1081" s="476">
        <v>0.74236111111111114</v>
      </c>
      <c r="P1081" s="476">
        <v>0.74236111111111114</v>
      </c>
      <c r="Q1081" s="477">
        <v>0.75486111111111109</v>
      </c>
      <c r="R1081" s="472">
        <f>IF(Table6[[#This Row],[Work Start TimeStamp]]="","",(Table6[[#This Row],[Work Start TimeStamp]]-Table6[[#This Row],[Fault Start TimeStamp]])*24)</f>
        <v>0</v>
      </c>
      <c r="S1081" s="472">
        <f>(Table6[[#This Row],[Fault Clearance time]]-Table6[[#This Row],[Work Start TimeStamp]])*24</f>
        <v>0.29999999999999893</v>
      </c>
      <c r="T1081" s="472">
        <f>(Table6[[#This Row],[Fault Clearance time]]-Table6[[#This Row],[Fault Start TimeStamp]])*24</f>
        <v>0.29999999999999893</v>
      </c>
      <c r="U1081" s="35" t="s">
        <v>1945</v>
      </c>
      <c r="V1081" s="102" t="s">
        <v>293</v>
      </c>
      <c r="W1081" s="478">
        <f>IFERROR(Table6[[#This Row],[Breakdown Time]]*Table6[[#This Row],[Plant Equivalent Weightage]],"")</f>
        <v>1.1538461538461494E-2</v>
      </c>
      <c r="X1081" s="473" t="s">
        <v>294</v>
      </c>
      <c r="Y1081" s="474" t="s">
        <v>313</v>
      </c>
      <c r="Z1081" s="102">
        <v>21231</v>
      </c>
      <c r="AA1081" s="468">
        <f>(Table6[[#This Row],[Paired WTG Generation for loss calculation]]/24)*Table6[[#This Row],[Breakdown Time]]</f>
        <v>265.38749999999908</v>
      </c>
      <c r="AB1081" s="102"/>
      <c r="AC1081" s="35"/>
      <c r="AD1081" s="35"/>
    </row>
    <row r="1082" spans="1:30">
      <c r="A1082" s="102">
        <f t="shared" si="17"/>
        <v>1081</v>
      </c>
      <c r="B1082" s="468">
        <f>YEAR(Table6[[#This Row],[Date]])+IF(MONTH(Table6[[#This Row],[Date]])&gt;=4,1,0)</f>
        <v>2026</v>
      </c>
      <c r="C1082" s="102">
        <f>YEAR(Table6[[#This Row],[Date]])</f>
        <v>2025</v>
      </c>
      <c r="D1082" s="102" t="s">
        <v>1992</v>
      </c>
      <c r="E1082" s="469">
        <f>Table6[[#This Row],[Date]]-DAY(Table6[[#This Row],[Date]])+1</f>
        <v>45809</v>
      </c>
      <c r="F1082" s="470">
        <v>45814</v>
      </c>
      <c r="G1082" s="35" t="s">
        <v>96</v>
      </c>
      <c r="H1082" s="35" t="str">
        <f>IFERROR(_xlfn.XLOOKUP(Table6[[#This Row],[Affected WTG]],'Basic Data'!$A:$A,'Basic Data'!$B:$B),"")</f>
        <v>TQGXIIPL</v>
      </c>
      <c r="I1082" s="35" t="str">
        <f>IFERROR(_xlfn.XLOOKUP(Table6[[#This Row],[Affected WTG]],'Basic Data'!$A:$A,'Basic Data'!$C:$C),"")</f>
        <v>GEDA</v>
      </c>
      <c r="J1082" s="471">
        <f>IFERROR(_xlfn.XLOOKUP(Table6[[#This Row],[Affected WTG]],'Basic Data'!$A:$A,'Basic Data'!$E:$E),"")</f>
        <v>3.846153846153845E-2</v>
      </c>
      <c r="K1082" s="102">
        <v>6300</v>
      </c>
      <c r="L1082" s="35" t="str">
        <f>IFERROR(_xlfn.XLOOKUP(Table6[[#This Row],[Error Code]],'Basic Data'!$AA:$AA,'Basic Data'!$AB:$AB),"Incorrect Error Code")</f>
        <v>Yaw error</v>
      </c>
      <c r="M1082" s="35" t="s">
        <v>291</v>
      </c>
      <c r="N1082" s="475"/>
      <c r="O1082" s="476">
        <v>0.78333333333333333</v>
      </c>
      <c r="P1082" s="476">
        <v>0.78333333333333333</v>
      </c>
      <c r="Q1082" s="477">
        <v>0.78472222222222221</v>
      </c>
      <c r="R1082" s="472">
        <f>IF(Table6[[#This Row],[Work Start TimeStamp]]="","",(Table6[[#This Row],[Work Start TimeStamp]]-Table6[[#This Row],[Fault Start TimeStamp]])*24)</f>
        <v>0</v>
      </c>
      <c r="S1082" s="472">
        <f>(Table6[[#This Row],[Fault Clearance time]]-Table6[[#This Row],[Work Start TimeStamp]])*24</f>
        <v>3.3333333333333215E-2</v>
      </c>
      <c r="T1082" s="472">
        <f>(Table6[[#This Row],[Fault Clearance time]]-Table6[[#This Row],[Fault Start TimeStamp]])*24</f>
        <v>3.3333333333333215E-2</v>
      </c>
      <c r="U1082" s="35" t="s">
        <v>1924</v>
      </c>
      <c r="V1082" s="102" t="s">
        <v>293</v>
      </c>
      <c r="W1082" s="478">
        <f>IFERROR(Table6[[#This Row],[Breakdown Time]]*Table6[[#This Row],[Plant Equivalent Weightage]],"")</f>
        <v>1.2820512820512771E-3</v>
      </c>
      <c r="X1082" s="473" t="s">
        <v>294</v>
      </c>
      <c r="Y1082" s="474" t="s">
        <v>313</v>
      </c>
      <c r="Z1082" s="102">
        <v>21231</v>
      </c>
      <c r="AA1082" s="468">
        <f>(Table6[[#This Row],[Paired WTG Generation for loss calculation]]/24)*Table6[[#This Row],[Breakdown Time]]</f>
        <v>29.487499999999894</v>
      </c>
      <c r="AB1082" s="102"/>
      <c r="AC1082" s="35"/>
      <c r="AD1082" s="35"/>
    </row>
    <row r="1083" spans="1:30">
      <c r="A1083" s="102">
        <f t="shared" si="17"/>
        <v>1082</v>
      </c>
      <c r="B1083" s="468">
        <f>YEAR(Table6[[#This Row],[Date]])+IF(MONTH(Table6[[#This Row],[Date]])&gt;=4,1,0)</f>
        <v>2026</v>
      </c>
      <c r="C1083" s="102">
        <f>YEAR(Table6[[#This Row],[Date]])</f>
        <v>2025</v>
      </c>
      <c r="D1083" s="102" t="s">
        <v>1992</v>
      </c>
      <c r="E1083" s="469">
        <f>Table6[[#This Row],[Date]]-DAY(Table6[[#This Row],[Date]])+1</f>
        <v>45809</v>
      </c>
      <c r="F1083" s="470">
        <v>45814</v>
      </c>
      <c r="G1083" s="35" t="s">
        <v>96</v>
      </c>
      <c r="H1083" s="35" t="str">
        <f>IFERROR(_xlfn.XLOOKUP(Table6[[#This Row],[Affected WTG]],'Basic Data'!$A:$A,'Basic Data'!$B:$B),"")</f>
        <v>TQGXIIPL</v>
      </c>
      <c r="I1083" s="35" t="str">
        <f>IFERROR(_xlfn.XLOOKUP(Table6[[#This Row],[Affected WTG]],'Basic Data'!$A:$A,'Basic Data'!$C:$C),"")</f>
        <v>GEDA</v>
      </c>
      <c r="J1083" s="471">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291</v>
      </c>
      <c r="N1083" s="475"/>
      <c r="O1083" s="476">
        <v>0.97499999999999998</v>
      </c>
      <c r="P1083" s="476">
        <v>0.97499999999999998</v>
      </c>
      <c r="Q1083" s="477">
        <v>1</v>
      </c>
      <c r="R1083" s="472">
        <f>IF(Table6[[#This Row],[Work Start TimeStamp]]="","",(Table6[[#This Row],[Work Start TimeStamp]]-Table6[[#This Row],[Fault Start TimeStamp]])*24)</f>
        <v>0</v>
      </c>
      <c r="S1083" s="472">
        <f>(Table6[[#This Row],[Fault Clearance time]]-Table6[[#This Row],[Work Start TimeStamp]])*24</f>
        <v>0.60000000000000053</v>
      </c>
      <c r="T1083" s="472">
        <f>(Table6[[#This Row],[Fault Clearance time]]-Table6[[#This Row],[Fault Start TimeStamp]])*24</f>
        <v>0.60000000000000053</v>
      </c>
      <c r="U1083" s="35" t="s">
        <v>1947</v>
      </c>
      <c r="V1083" s="102" t="s">
        <v>293</v>
      </c>
      <c r="W1083" s="478">
        <f>IFERROR(Table6[[#This Row],[Breakdown Time]]*Table6[[#This Row],[Plant Equivalent Weightage]],"")</f>
        <v>2.3076923076923092E-2</v>
      </c>
      <c r="X1083" s="473" t="s">
        <v>290</v>
      </c>
      <c r="Y1083" s="474" t="s">
        <v>313</v>
      </c>
      <c r="Z1083" s="102">
        <v>21231</v>
      </c>
      <c r="AA1083" s="468">
        <f>(Table6[[#This Row],[Paired WTG Generation for loss calculation]]/24)*Table6[[#This Row],[Breakdown Time]]</f>
        <v>530.77500000000043</v>
      </c>
      <c r="AB1083" s="102"/>
      <c r="AC1083" s="35"/>
      <c r="AD1083" s="35"/>
    </row>
    <row r="1084" spans="1:30">
      <c r="A1084" s="102">
        <f t="shared" si="17"/>
        <v>1083</v>
      </c>
      <c r="B1084" s="468">
        <f>YEAR(Table6[[#This Row],[Date]])+IF(MONTH(Table6[[#This Row],[Date]])&gt;=4,1,0)</f>
        <v>2026</v>
      </c>
      <c r="C1084" s="102">
        <f>YEAR(Table6[[#This Row],[Date]])</f>
        <v>2025</v>
      </c>
      <c r="D1084" s="102" t="s">
        <v>1992</v>
      </c>
      <c r="E1084" s="469">
        <f>Table6[[#This Row],[Date]]-DAY(Table6[[#This Row],[Date]])+1</f>
        <v>45809</v>
      </c>
      <c r="F1084" s="470">
        <v>45815</v>
      </c>
      <c r="G1084" s="35" t="s">
        <v>74</v>
      </c>
      <c r="H1084" s="35" t="str">
        <f>IFERROR(_xlfn.XLOOKUP(Table6[[#This Row],[Affected WTG]],'Basic Data'!$A:$A,'Basic Data'!$B:$B),"")</f>
        <v>TQGXIIPL</v>
      </c>
      <c r="I1084" s="35" t="str">
        <f>IFERROR(_xlfn.XLOOKUP(Table6[[#This Row],[Affected WTG]],'Basic Data'!$A:$A,'Basic Data'!$C:$C),"")</f>
        <v>GEDA</v>
      </c>
      <c r="J1084" s="471">
        <f>IFERROR(_xlfn.XLOOKUP(Table6[[#This Row],[Affected WTG]],'Basic Data'!$A:$A,'Basic Data'!$E:$E),"")</f>
        <v>3.846153846153845E-2</v>
      </c>
      <c r="K1084" s="102">
        <v>6130</v>
      </c>
      <c r="L1084" s="35" t="str">
        <f>IFERROR(_xlfn.XLOOKUP(Table6[[#This Row],[Error Code]],'Basic Data'!$AA:$AA,'Basic Data'!$AB:$AB),"Incorrect Error Code")</f>
        <v>Yaw speed high</v>
      </c>
      <c r="M1084" s="35" t="s">
        <v>292</v>
      </c>
      <c r="N1084" s="475"/>
      <c r="O1084" s="476">
        <v>0.60624999999999996</v>
      </c>
      <c r="P1084" s="476">
        <v>0.60624999999999996</v>
      </c>
      <c r="Q1084" s="477">
        <v>0.61041666666666672</v>
      </c>
      <c r="R1084" s="472">
        <f>IF(Table6[[#This Row],[Work Start TimeStamp]]="","",(Table6[[#This Row],[Work Start TimeStamp]]-Table6[[#This Row],[Fault Start TimeStamp]])*24)</f>
        <v>0</v>
      </c>
      <c r="S1084" s="472">
        <f>(Table6[[#This Row],[Fault Clearance time]]-Table6[[#This Row],[Work Start TimeStamp]])*24</f>
        <v>0.10000000000000231</v>
      </c>
      <c r="T1084" s="472">
        <f>(Table6[[#This Row],[Fault Clearance time]]-Table6[[#This Row],[Fault Start TimeStamp]])*24</f>
        <v>0.10000000000000231</v>
      </c>
      <c r="U1084" s="35" t="s">
        <v>336</v>
      </c>
      <c r="V1084" s="102" t="s">
        <v>293</v>
      </c>
      <c r="W1084" s="478">
        <f>IFERROR(Table6[[#This Row],[Breakdown Time]]*Table6[[#This Row],[Plant Equivalent Weightage]],"")</f>
        <v>3.846153846153934E-3</v>
      </c>
      <c r="X1084" s="473" t="s">
        <v>294</v>
      </c>
      <c r="Y1084" s="474" t="s">
        <v>321</v>
      </c>
      <c r="Z1084" s="102">
        <v>36341</v>
      </c>
      <c r="AA1084" s="468">
        <f>(Table6[[#This Row],[Paired WTG Generation for loss calculation]]/24)*Table6[[#This Row],[Breakdown Time]]</f>
        <v>151.42083333333682</v>
      </c>
      <c r="AB1084" s="102"/>
      <c r="AC1084" s="35"/>
      <c r="AD1084" s="35"/>
    </row>
    <row r="1085" spans="1:30">
      <c r="A1085" s="102">
        <f t="shared" si="17"/>
        <v>1084</v>
      </c>
      <c r="B1085" s="468">
        <f>YEAR(Table6[[#This Row],[Date]])+IF(MONTH(Table6[[#This Row],[Date]])&gt;=4,1,0)</f>
        <v>2026</v>
      </c>
      <c r="C1085" s="102">
        <f>YEAR(Table6[[#This Row],[Date]])</f>
        <v>2025</v>
      </c>
      <c r="D1085" s="102" t="s">
        <v>1992</v>
      </c>
      <c r="E1085" s="469">
        <f>Table6[[#This Row],[Date]]-DAY(Table6[[#This Row],[Date]])+1</f>
        <v>45809</v>
      </c>
      <c r="F1085" s="470">
        <v>45815</v>
      </c>
      <c r="G1085" s="35" t="s">
        <v>77</v>
      </c>
      <c r="H1085" s="35" t="str">
        <f>IFERROR(_xlfn.XLOOKUP(Table6[[#This Row],[Affected WTG]],'Basic Data'!$A:$A,'Basic Data'!$B:$B),"")</f>
        <v>TQGXIIPL</v>
      </c>
      <c r="I1085" s="35" t="str">
        <f>IFERROR(_xlfn.XLOOKUP(Table6[[#This Row],[Affected WTG]],'Basic Data'!$A:$A,'Basic Data'!$C:$C),"")</f>
        <v>GEDA</v>
      </c>
      <c r="J1085" s="471">
        <f>IFERROR(_xlfn.XLOOKUP(Table6[[#This Row],[Affected WTG]],'Basic Data'!$A:$A,'Basic Data'!$E:$E),"")</f>
        <v>3.846153846153845E-2</v>
      </c>
      <c r="K1085" s="102">
        <v>55</v>
      </c>
      <c r="L1085" s="35" t="str">
        <f>IFERROR(_xlfn.XLOOKUP(Table6[[#This Row],[Error Code]],'Basic Data'!$AA:$AA,'Basic Data'!$AB:$AB),"Incorrect Error Code")</f>
        <v>WTG shut down</v>
      </c>
      <c r="M1085" s="35" t="s">
        <v>1956</v>
      </c>
      <c r="N1085" s="475"/>
      <c r="O1085" s="476">
        <v>0.43194444444444446</v>
      </c>
      <c r="P1085" s="476">
        <v>0.43194444444444446</v>
      </c>
      <c r="Q1085" s="477">
        <v>0.48194444444444445</v>
      </c>
      <c r="R1085" s="472">
        <f>IF(Table6[[#This Row],[Work Start TimeStamp]]="","",(Table6[[#This Row],[Work Start TimeStamp]]-Table6[[#This Row],[Fault Start TimeStamp]])*24)</f>
        <v>0</v>
      </c>
      <c r="S1085" s="472">
        <f>(Table6[[#This Row],[Fault Clearance time]]-Table6[[#This Row],[Work Start TimeStamp]])*24</f>
        <v>1.1999999999999997</v>
      </c>
      <c r="T1085" s="472">
        <f>(Table6[[#This Row],[Fault Clearance time]]-Table6[[#This Row],[Fault Start TimeStamp]])*24</f>
        <v>1.1999999999999997</v>
      </c>
      <c r="U1085" s="35" t="s">
        <v>1948</v>
      </c>
      <c r="V1085" s="102" t="s">
        <v>293</v>
      </c>
      <c r="W1085" s="478">
        <f>IFERROR(Table6[[#This Row],[Breakdown Time]]*Table6[[#This Row],[Plant Equivalent Weightage]],"")</f>
        <v>4.6153846153846129E-2</v>
      </c>
      <c r="X1085" s="473" t="s">
        <v>290</v>
      </c>
      <c r="Y1085" s="474" t="s">
        <v>310</v>
      </c>
      <c r="Z1085" s="102">
        <v>29552</v>
      </c>
      <c r="AA1085" s="468">
        <f>(Table6[[#This Row],[Paired WTG Generation for loss calculation]]/24)*Table6[[#This Row],[Breakdown Time]]</f>
        <v>1477.5999999999997</v>
      </c>
      <c r="AB1085" s="102"/>
      <c r="AC1085" s="35"/>
      <c r="AD1085" s="35"/>
    </row>
    <row r="1086" spans="1:30">
      <c r="A1086" s="102">
        <f t="shared" si="17"/>
        <v>1085</v>
      </c>
      <c r="B1086" s="468">
        <f>YEAR(Table6[[#This Row],[Date]])+IF(MONTH(Table6[[#This Row],[Date]])&gt;=4,1,0)</f>
        <v>2026</v>
      </c>
      <c r="C1086" s="102">
        <f>YEAR(Table6[[#This Row],[Date]])</f>
        <v>2025</v>
      </c>
      <c r="D1086" s="102" t="s">
        <v>1992</v>
      </c>
      <c r="E1086" s="469">
        <f>Table6[[#This Row],[Date]]-DAY(Table6[[#This Row],[Date]])+1</f>
        <v>45809</v>
      </c>
      <c r="F1086" s="470">
        <v>45815</v>
      </c>
      <c r="G1086" s="35" t="s">
        <v>77</v>
      </c>
      <c r="H1086" s="35" t="str">
        <f>IFERROR(_xlfn.XLOOKUP(Table6[[#This Row],[Affected WTG]],'Basic Data'!$A:$A,'Basic Data'!$B:$B),"")</f>
        <v>TQGXIIPL</v>
      </c>
      <c r="I1086" s="35" t="str">
        <f>IFERROR(_xlfn.XLOOKUP(Table6[[#This Row],[Affected WTG]],'Basic Data'!$A:$A,'Basic Data'!$C:$C),"")</f>
        <v>GEDA</v>
      </c>
      <c r="J1086" s="471">
        <f>IFERROR(_xlfn.XLOOKUP(Table6[[#This Row],[Affected WTG]],'Basic Data'!$A:$A,'Basic Data'!$E:$E),"")</f>
        <v>3.846153846153845E-2</v>
      </c>
      <c r="K1086" s="102">
        <v>55</v>
      </c>
      <c r="L1086" s="35" t="str">
        <f>IFERROR(_xlfn.XLOOKUP(Table6[[#This Row],[Error Code]],'Basic Data'!$AA:$AA,'Basic Data'!$AB:$AB),"Incorrect Error Code")</f>
        <v>WTG shut down</v>
      </c>
      <c r="M1086" s="35" t="s">
        <v>1956</v>
      </c>
      <c r="N1086" s="475"/>
      <c r="O1086" s="476">
        <v>0.51944444444444449</v>
      </c>
      <c r="P1086" s="476">
        <v>0.51944444444444449</v>
      </c>
      <c r="Q1086" s="477">
        <v>0.53541666666666665</v>
      </c>
      <c r="R1086" s="472">
        <f>IF(Table6[[#This Row],[Work Start TimeStamp]]="","",(Table6[[#This Row],[Work Start TimeStamp]]-Table6[[#This Row],[Fault Start TimeStamp]])*24)</f>
        <v>0</v>
      </c>
      <c r="S1086" s="472">
        <f>(Table6[[#This Row],[Fault Clearance time]]-Table6[[#This Row],[Work Start TimeStamp]])*24</f>
        <v>0.38333333333333197</v>
      </c>
      <c r="T1086" s="472">
        <f>(Table6[[#This Row],[Fault Clearance time]]-Table6[[#This Row],[Fault Start TimeStamp]])*24</f>
        <v>0.38333333333333197</v>
      </c>
      <c r="U1086" s="35" t="s">
        <v>1948</v>
      </c>
      <c r="V1086" s="102" t="s">
        <v>293</v>
      </c>
      <c r="W1086" s="478">
        <f>IFERROR(Table6[[#This Row],[Breakdown Time]]*Table6[[#This Row],[Plant Equivalent Weightage]],"")</f>
        <v>1.4743589743589686E-2</v>
      </c>
      <c r="X1086" s="473" t="s">
        <v>290</v>
      </c>
      <c r="Y1086" s="474" t="s">
        <v>310</v>
      </c>
      <c r="Z1086" s="102">
        <v>29552</v>
      </c>
      <c r="AA1086" s="468">
        <f>(Table6[[#This Row],[Paired WTG Generation for loss calculation]]/24)*Table6[[#This Row],[Breakdown Time]]</f>
        <v>472.01111111110941</v>
      </c>
      <c r="AB1086" s="102"/>
      <c r="AC1086" s="35"/>
      <c r="AD1086" s="35"/>
    </row>
    <row r="1087" spans="1:30">
      <c r="A1087" s="102">
        <f t="shared" si="17"/>
        <v>1086</v>
      </c>
      <c r="B1087" s="468">
        <f>YEAR(Table6[[#This Row],[Date]])+IF(MONTH(Table6[[#This Row],[Date]])&gt;=4,1,0)</f>
        <v>2026</v>
      </c>
      <c r="C1087" s="102">
        <f>YEAR(Table6[[#This Row],[Date]])</f>
        <v>2025</v>
      </c>
      <c r="D1087" s="102" t="s">
        <v>1992</v>
      </c>
      <c r="E1087" s="469">
        <f>Table6[[#This Row],[Date]]-DAY(Table6[[#This Row],[Date]])+1</f>
        <v>45809</v>
      </c>
      <c r="F1087" s="470">
        <v>45815</v>
      </c>
      <c r="G1087" s="35" t="s">
        <v>77</v>
      </c>
      <c r="H1087" s="35" t="str">
        <f>IFERROR(_xlfn.XLOOKUP(Table6[[#This Row],[Affected WTG]],'Basic Data'!$A:$A,'Basic Data'!$B:$B),"")</f>
        <v>TQGXIIPL</v>
      </c>
      <c r="I1087" s="35" t="str">
        <f>IFERROR(_xlfn.XLOOKUP(Table6[[#This Row],[Affected WTG]],'Basic Data'!$A:$A,'Basic Data'!$C:$C),"")</f>
        <v>GEDA</v>
      </c>
      <c r="J1087" s="471">
        <f>IFERROR(_xlfn.XLOOKUP(Table6[[#This Row],[Affected WTG]],'Basic Data'!$A:$A,'Basic Data'!$E:$E),"")</f>
        <v>3.846153846153845E-2</v>
      </c>
      <c r="K1087" s="102">
        <v>55</v>
      </c>
      <c r="L1087" s="35" t="str">
        <f>IFERROR(_xlfn.XLOOKUP(Table6[[#This Row],[Error Code]],'Basic Data'!$AA:$AA,'Basic Data'!$AB:$AB),"Incorrect Error Code")</f>
        <v>WTG shut down</v>
      </c>
      <c r="M1087" s="35" t="s">
        <v>1956</v>
      </c>
      <c r="N1087" s="475"/>
      <c r="O1087" s="476">
        <v>0.70277777777777772</v>
      </c>
      <c r="P1087" s="476">
        <v>0.70277777777777772</v>
      </c>
      <c r="Q1087" s="477">
        <v>0.71805555555555556</v>
      </c>
      <c r="R1087" s="472">
        <f>IF(Table6[[#This Row],[Work Start TimeStamp]]="","",(Table6[[#This Row],[Work Start TimeStamp]]-Table6[[#This Row],[Fault Start TimeStamp]])*24)</f>
        <v>0</v>
      </c>
      <c r="S1087" s="472">
        <f>(Table6[[#This Row],[Fault Clearance time]]-Table6[[#This Row],[Work Start TimeStamp]])*24</f>
        <v>0.36666666666666803</v>
      </c>
      <c r="T1087" s="472">
        <f>(Table6[[#This Row],[Fault Clearance time]]-Table6[[#This Row],[Fault Start TimeStamp]])*24</f>
        <v>0.36666666666666803</v>
      </c>
      <c r="U1087" s="35" t="s">
        <v>1948</v>
      </c>
      <c r="V1087" s="102" t="s">
        <v>293</v>
      </c>
      <c r="W1087" s="478">
        <f>IFERROR(Table6[[#This Row],[Breakdown Time]]*Table6[[#This Row],[Plant Equivalent Weightage]],"")</f>
        <v>1.4102564102564151E-2</v>
      </c>
      <c r="X1087" s="473" t="s">
        <v>290</v>
      </c>
      <c r="Y1087" s="474" t="s">
        <v>310</v>
      </c>
      <c r="Z1087" s="102">
        <v>29552</v>
      </c>
      <c r="AA1087" s="468">
        <f>(Table6[[#This Row],[Paired WTG Generation for loss calculation]]/24)*Table6[[#This Row],[Breakdown Time]]</f>
        <v>451.48888888889053</v>
      </c>
      <c r="AB1087" s="102"/>
      <c r="AC1087" s="35"/>
      <c r="AD1087" s="35"/>
    </row>
    <row r="1088" spans="1:30">
      <c r="A1088" s="102">
        <f t="shared" si="17"/>
        <v>1087</v>
      </c>
      <c r="B1088" s="468">
        <f>YEAR(Table6[[#This Row],[Date]])+IF(MONTH(Table6[[#This Row],[Date]])&gt;=4,1,0)</f>
        <v>2026</v>
      </c>
      <c r="C1088" s="102">
        <f>YEAR(Table6[[#This Row],[Date]])</f>
        <v>2025</v>
      </c>
      <c r="D1088" s="102" t="s">
        <v>1992</v>
      </c>
      <c r="E1088" s="469">
        <f>Table6[[#This Row],[Date]]-DAY(Table6[[#This Row],[Date]])+1</f>
        <v>45809</v>
      </c>
      <c r="F1088" s="470">
        <v>45815</v>
      </c>
      <c r="G1088" s="35" t="s">
        <v>78</v>
      </c>
      <c r="H1088" s="35" t="str">
        <f>IFERROR(_xlfn.XLOOKUP(Table6[[#This Row],[Affected WTG]],'Basic Data'!$A:$A,'Basic Data'!$B:$B),"")</f>
        <v>TQGXIIPL</v>
      </c>
      <c r="I1088" s="35" t="str">
        <f>IFERROR(_xlfn.XLOOKUP(Table6[[#This Row],[Affected WTG]],'Basic Data'!$A:$A,'Basic Data'!$C:$C),"")</f>
        <v>GEDA</v>
      </c>
      <c r="J1088" s="471">
        <f>IFERROR(_xlfn.XLOOKUP(Table6[[#This Row],[Affected WTG]],'Basic Data'!$A:$A,'Basic Data'!$E:$E),"")</f>
        <v>3.846153846153845E-2</v>
      </c>
      <c r="K1088" s="102">
        <v>6130</v>
      </c>
      <c r="L1088" s="35" t="str">
        <f>IFERROR(_xlfn.XLOOKUP(Table6[[#This Row],[Error Code]],'Basic Data'!$AA:$AA,'Basic Data'!$AB:$AB),"Incorrect Error Code")</f>
        <v>Yaw speed high</v>
      </c>
      <c r="M1088" s="35" t="s">
        <v>292</v>
      </c>
      <c r="N1088" s="475"/>
      <c r="O1088" s="476">
        <v>0.7416666666666667</v>
      </c>
      <c r="P1088" s="476">
        <v>0.7416666666666667</v>
      </c>
      <c r="Q1088" s="477">
        <v>0.74583333333333335</v>
      </c>
      <c r="R1088" s="472">
        <f>IF(Table6[[#This Row],[Work Start TimeStamp]]="","",(Table6[[#This Row],[Work Start TimeStamp]]-Table6[[#This Row],[Fault Start TimeStamp]])*24)</f>
        <v>0</v>
      </c>
      <c r="S1088" s="472">
        <f>(Table6[[#This Row],[Fault Clearance time]]-Table6[[#This Row],[Work Start TimeStamp]])*24</f>
        <v>9.9999999999999645E-2</v>
      </c>
      <c r="T1088" s="472">
        <f>(Table6[[#This Row],[Fault Clearance time]]-Table6[[#This Row],[Fault Start TimeStamp]])*24</f>
        <v>9.9999999999999645E-2</v>
      </c>
      <c r="U1088" s="35" t="s">
        <v>336</v>
      </c>
      <c r="V1088" s="102" t="s">
        <v>293</v>
      </c>
      <c r="W1088" s="478">
        <f>IFERROR(Table6[[#This Row],[Breakdown Time]]*Table6[[#This Row],[Plant Equivalent Weightage]],"")</f>
        <v>3.8461538461538312E-3</v>
      </c>
      <c r="X1088" s="473" t="s">
        <v>294</v>
      </c>
      <c r="Y1088" s="474" t="s">
        <v>333</v>
      </c>
      <c r="Z1088" s="102">
        <v>39249</v>
      </c>
      <c r="AA1088" s="468">
        <f>(Table6[[#This Row],[Paired WTG Generation for loss calculation]]/24)*Table6[[#This Row],[Breakdown Time]]</f>
        <v>163.53749999999943</v>
      </c>
      <c r="AB1088" s="102"/>
      <c r="AC1088" s="35"/>
      <c r="AD1088" s="35"/>
    </row>
    <row r="1089" spans="1:30">
      <c r="A1089" s="102">
        <f t="shared" si="17"/>
        <v>1088</v>
      </c>
      <c r="B1089" s="468">
        <f>YEAR(Table6[[#This Row],[Date]])+IF(MONTH(Table6[[#This Row],[Date]])&gt;=4,1,0)</f>
        <v>2026</v>
      </c>
      <c r="C1089" s="102">
        <f>YEAR(Table6[[#This Row],[Date]])</f>
        <v>2025</v>
      </c>
      <c r="D1089" s="102" t="s">
        <v>1992</v>
      </c>
      <c r="E1089" s="469">
        <f>Table6[[#This Row],[Date]]-DAY(Table6[[#This Row],[Date]])+1</f>
        <v>45809</v>
      </c>
      <c r="F1089" s="470">
        <v>45815</v>
      </c>
      <c r="G1089" s="35" t="s">
        <v>78</v>
      </c>
      <c r="H1089" s="35" t="str">
        <f>IFERROR(_xlfn.XLOOKUP(Table6[[#This Row],[Affected WTG]],'Basic Data'!$A:$A,'Basic Data'!$B:$B),"")</f>
        <v>TQGXIIPL</v>
      </c>
      <c r="I1089" s="35" t="str">
        <f>IFERROR(_xlfn.XLOOKUP(Table6[[#This Row],[Affected WTG]],'Basic Data'!$A:$A,'Basic Data'!$C:$C),"")</f>
        <v>GEDA</v>
      </c>
      <c r="J1089" s="471">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291</v>
      </c>
      <c r="N1089" s="475"/>
      <c r="O1089" s="476">
        <v>0.91249999999999998</v>
      </c>
      <c r="P1089" s="476">
        <v>0.91249999999999998</v>
      </c>
      <c r="Q1089" s="477">
        <v>0.9194444444444444</v>
      </c>
      <c r="R1089" s="472">
        <f>IF(Table6[[#This Row],[Work Start TimeStamp]]="","",(Table6[[#This Row],[Work Start TimeStamp]]-Table6[[#This Row],[Fault Start TimeStamp]])*24)</f>
        <v>0</v>
      </c>
      <c r="S1089" s="472">
        <f>(Table6[[#This Row],[Fault Clearance time]]-Table6[[#This Row],[Work Start TimeStamp]])*24</f>
        <v>0.16666666666666607</v>
      </c>
      <c r="T1089" s="472">
        <f>(Table6[[#This Row],[Fault Clearance time]]-Table6[[#This Row],[Fault Start TimeStamp]])*24</f>
        <v>0.16666666666666607</v>
      </c>
      <c r="U1089" s="35" t="s">
        <v>1924</v>
      </c>
      <c r="V1089" s="102" t="s">
        <v>293</v>
      </c>
      <c r="W1089" s="478">
        <f>IFERROR(Table6[[#This Row],[Breakdown Time]]*Table6[[#This Row],[Plant Equivalent Weightage]],"")</f>
        <v>6.4102564102563857E-3</v>
      </c>
      <c r="X1089" s="473" t="s">
        <v>294</v>
      </c>
      <c r="Y1089" s="474" t="s">
        <v>333</v>
      </c>
      <c r="Z1089" s="102">
        <v>39249</v>
      </c>
      <c r="AA1089" s="468">
        <f>(Table6[[#This Row],[Paired WTG Generation for loss calculation]]/24)*Table6[[#This Row],[Breakdown Time]]</f>
        <v>272.56249999999903</v>
      </c>
      <c r="AB1089" s="102"/>
      <c r="AC1089" s="35"/>
      <c r="AD1089" s="35"/>
    </row>
    <row r="1090" spans="1:30">
      <c r="A1090" s="102">
        <f t="shared" si="17"/>
        <v>1089</v>
      </c>
      <c r="B1090" s="468">
        <f>YEAR(Table6[[#This Row],[Date]])+IF(MONTH(Table6[[#This Row],[Date]])&gt;=4,1,0)</f>
        <v>2026</v>
      </c>
      <c r="C1090" s="102">
        <f>YEAR(Table6[[#This Row],[Date]])</f>
        <v>2025</v>
      </c>
      <c r="D1090" s="102" t="s">
        <v>1992</v>
      </c>
      <c r="E1090" s="469">
        <f>Table6[[#This Row],[Date]]-DAY(Table6[[#This Row],[Date]])+1</f>
        <v>45809</v>
      </c>
      <c r="F1090" s="470">
        <v>45815</v>
      </c>
      <c r="G1090" s="35" t="s">
        <v>80</v>
      </c>
      <c r="H1090" s="35" t="str">
        <f>IFERROR(_xlfn.XLOOKUP(Table6[[#This Row],[Affected WTG]],'Basic Data'!$A:$A,'Basic Data'!$B:$B),"")</f>
        <v>TQGXIIPL</v>
      </c>
      <c r="I1090" s="35" t="str">
        <f>IFERROR(_xlfn.XLOOKUP(Table6[[#This Row],[Affected WTG]],'Basic Data'!$A:$A,'Basic Data'!$C:$C),"")</f>
        <v>GEDA</v>
      </c>
      <c r="J1090" s="471">
        <f>IFERROR(_xlfn.XLOOKUP(Table6[[#This Row],[Affected WTG]],'Basic Data'!$A:$A,'Basic Data'!$E:$E),"")</f>
        <v>3.846153846153845E-2</v>
      </c>
      <c r="K1090" s="102">
        <v>55</v>
      </c>
      <c r="L1090" s="35" t="str">
        <f>IFERROR(_xlfn.XLOOKUP(Table6[[#This Row],[Error Code]],'Basic Data'!$AA:$AA,'Basic Data'!$AB:$AB),"Incorrect Error Code")</f>
        <v>WTG shut down</v>
      </c>
      <c r="M1090" s="35" t="s">
        <v>1956</v>
      </c>
      <c r="N1090" s="475"/>
      <c r="O1090" s="476">
        <v>0.43194444444444446</v>
      </c>
      <c r="P1090" s="476">
        <v>0.43194444444444446</v>
      </c>
      <c r="Q1090" s="477">
        <v>0.48194444444444445</v>
      </c>
      <c r="R1090" s="472">
        <f>IF(Table6[[#This Row],[Work Start TimeStamp]]="","",(Table6[[#This Row],[Work Start TimeStamp]]-Table6[[#This Row],[Fault Start TimeStamp]])*24)</f>
        <v>0</v>
      </c>
      <c r="S1090" s="472">
        <f>(Table6[[#This Row],[Fault Clearance time]]-Table6[[#This Row],[Work Start TimeStamp]])*24</f>
        <v>1.1999999999999997</v>
      </c>
      <c r="T1090" s="472">
        <f>(Table6[[#This Row],[Fault Clearance time]]-Table6[[#This Row],[Fault Start TimeStamp]])*24</f>
        <v>1.1999999999999997</v>
      </c>
      <c r="U1090" s="35" t="s">
        <v>1948</v>
      </c>
      <c r="V1090" s="102" t="s">
        <v>293</v>
      </c>
      <c r="W1090" s="478">
        <f>IFERROR(Table6[[#This Row],[Breakdown Time]]*Table6[[#This Row],[Plant Equivalent Weightage]],"")</f>
        <v>4.6153846153846129E-2</v>
      </c>
      <c r="X1090" s="473" t="s">
        <v>290</v>
      </c>
      <c r="Y1090" s="474" t="s">
        <v>317</v>
      </c>
      <c r="Z1090" s="102">
        <v>37281</v>
      </c>
      <c r="AA1090" s="468">
        <f>(Table6[[#This Row],[Paired WTG Generation for loss calculation]]/24)*Table6[[#This Row],[Breakdown Time]]</f>
        <v>1864.0499999999995</v>
      </c>
      <c r="AB1090" s="102"/>
      <c r="AC1090" s="35"/>
      <c r="AD1090" s="35"/>
    </row>
    <row r="1091" spans="1:30">
      <c r="A1091" s="102">
        <f t="shared" si="17"/>
        <v>1090</v>
      </c>
      <c r="B1091" s="468">
        <f>YEAR(Table6[[#This Row],[Date]])+IF(MONTH(Table6[[#This Row],[Date]])&gt;=4,1,0)</f>
        <v>2026</v>
      </c>
      <c r="C1091" s="102">
        <f>YEAR(Table6[[#This Row],[Date]])</f>
        <v>2025</v>
      </c>
      <c r="D1091" s="102" t="s">
        <v>1992</v>
      </c>
      <c r="E1091" s="469">
        <f>Table6[[#This Row],[Date]]-DAY(Table6[[#This Row],[Date]])+1</f>
        <v>45809</v>
      </c>
      <c r="F1091" s="470">
        <v>45815</v>
      </c>
      <c r="G1091" s="35" t="s">
        <v>80</v>
      </c>
      <c r="H1091" s="35" t="str">
        <f>IFERROR(_xlfn.XLOOKUP(Table6[[#This Row],[Affected WTG]],'Basic Data'!$A:$A,'Basic Data'!$B:$B),"")</f>
        <v>TQGXIIPL</v>
      </c>
      <c r="I1091" s="35" t="str">
        <f>IFERROR(_xlfn.XLOOKUP(Table6[[#This Row],[Affected WTG]],'Basic Data'!$A:$A,'Basic Data'!$C:$C),"")</f>
        <v>GEDA</v>
      </c>
      <c r="J1091" s="471">
        <f>IFERROR(_xlfn.XLOOKUP(Table6[[#This Row],[Affected WTG]],'Basic Data'!$A:$A,'Basic Data'!$E:$E),"")</f>
        <v>3.846153846153845E-2</v>
      </c>
      <c r="K1091" s="102">
        <v>55</v>
      </c>
      <c r="L1091" s="35" t="str">
        <f>IFERROR(_xlfn.XLOOKUP(Table6[[#This Row],[Error Code]],'Basic Data'!$AA:$AA,'Basic Data'!$AB:$AB),"Incorrect Error Code")</f>
        <v>WTG shut down</v>
      </c>
      <c r="M1091" s="35" t="s">
        <v>1956</v>
      </c>
      <c r="N1091" s="475"/>
      <c r="O1091" s="476">
        <v>0.51944444444444449</v>
      </c>
      <c r="P1091" s="476">
        <v>0.51944444444444449</v>
      </c>
      <c r="Q1091" s="477">
        <v>0.71944444444444444</v>
      </c>
      <c r="R1091" s="472">
        <f>IF(Table6[[#This Row],[Work Start TimeStamp]]="","",(Table6[[#This Row],[Work Start TimeStamp]]-Table6[[#This Row],[Fault Start TimeStamp]])*24)</f>
        <v>0</v>
      </c>
      <c r="S1091" s="472">
        <f>(Table6[[#This Row],[Fault Clearance time]]-Table6[[#This Row],[Work Start TimeStamp]])*24</f>
        <v>4.7999999999999989</v>
      </c>
      <c r="T1091" s="472">
        <f>(Table6[[#This Row],[Fault Clearance time]]-Table6[[#This Row],[Fault Start TimeStamp]])*24</f>
        <v>4.7999999999999989</v>
      </c>
      <c r="U1091" s="35" t="s">
        <v>1948</v>
      </c>
      <c r="V1091" s="102" t="s">
        <v>293</v>
      </c>
      <c r="W1091" s="478">
        <f>IFERROR(Table6[[#This Row],[Breakdown Time]]*Table6[[#This Row],[Plant Equivalent Weightage]],"")</f>
        <v>0.18461538461538451</v>
      </c>
      <c r="X1091" s="473" t="s">
        <v>290</v>
      </c>
      <c r="Y1091" s="474" t="s">
        <v>317</v>
      </c>
      <c r="Z1091" s="102">
        <v>37281</v>
      </c>
      <c r="AA1091" s="468">
        <f>(Table6[[#This Row],[Paired WTG Generation for loss calculation]]/24)*Table6[[#This Row],[Breakdown Time]]</f>
        <v>7456.199999999998</v>
      </c>
      <c r="AB1091" s="102"/>
      <c r="AC1091" s="35"/>
      <c r="AD1091" s="35"/>
    </row>
    <row r="1092" spans="1:30">
      <c r="A1092" s="102">
        <f t="shared" si="17"/>
        <v>1091</v>
      </c>
      <c r="B1092" s="468">
        <f>YEAR(Table6[[#This Row],[Date]])+IF(MONTH(Table6[[#This Row],[Date]])&gt;=4,1,0)</f>
        <v>2026</v>
      </c>
      <c r="C1092" s="102">
        <f>YEAR(Table6[[#This Row],[Date]])</f>
        <v>2025</v>
      </c>
      <c r="D1092" s="102" t="s">
        <v>1992</v>
      </c>
      <c r="E1092" s="469">
        <f>Table6[[#This Row],[Date]]-DAY(Table6[[#This Row],[Date]])+1</f>
        <v>45809</v>
      </c>
      <c r="F1092" s="470">
        <v>45815</v>
      </c>
      <c r="G1092" s="35" t="s">
        <v>81</v>
      </c>
      <c r="H1092" s="35" t="str">
        <f>IFERROR(_xlfn.XLOOKUP(Table6[[#This Row],[Affected WTG]],'Basic Data'!$A:$A,'Basic Data'!$B:$B),"")</f>
        <v>TQGXIIPL</v>
      </c>
      <c r="I1092" s="35" t="str">
        <f>IFERROR(_xlfn.XLOOKUP(Table6[[#This Row],[Affected WTG]],'Basic Data'!$A:$A,'Basic Data'!$C:$C),"")</f>
        <v>GEDA</v>
      </c>
      <c r="J1092" s="471">
        <f>IFERROR(_xlfn.XLOOKUP(Table6[[#This Row],[Affected WTG]],'Basic Data'!$A:$A,'Basic Data'!$E:$E),"")</f>
        <v>3.846153846153845E-2</v>
      </c>
      <c r="K1092" s="102">
        <v>6130</v>
      </c>
      <c r="L1092" s="35" t="str">
        <f>IFERROR(_xlfn.XLOOKUP(Table6[[#This Row],[Error Code]],'Basic Data'!$AA:$AA,'Basic Data'!$AB:$AB),"Incorrect Error Code")</f>
        <v>Yaw speed high</v>
      </c>
      <c r="M1092" s="35" t="s">
        <v>292</v>
      </c>
      <c r="N1092" s="475"/>
      <c r="O1092" s="476">
        <v>0.57152777777777775</v>
      </c>
      <c r="P1092" s="476">
        <v>0.57152777777777775</v>
      </c>
      <c r="Q1092" s="477">
        <v>0.5756944444444444</v>
      </c>
      <c r="R1092" s="472">
        <f>IF(Table6[[#This Row],[Work Start TimeStamp]]="","",(Table6[[#This Row],[Work Start TimeStamp]]-Table6[[#This Row],[Fault Start TimeStamp]])*24)</f>
        <v>0</v>
      </c>
      <c r="S1092" s="472">
        <f>(Table6[[#This Row],[Fault Clearance time]]-Table6[[#This Row],[Work Start TimeStamp]])*24</f>
        <v>9.9999999999999645E-2</v>
      </c>
      <c r="T1092" s="472">
        <f>(Table6[[#This Row],[Fault Clearance time]]-Table6[[#This Row],[Fault Start TimeStamp]])*24</f>
        <v>9.9999999999999645E-2</v>
      </c>
      <c r="U1092" s="35" t="s">
        <v>336</v>
      </c>
      <c r="V1092" s="102" t="s">
        <v>293</v>
      </c>
      <c r="W1092" s="478">
        <f>IFERROR(Table6[[#This Row],[Breakdown Time]]*Table6[[#This Row],[Plant Equivalent Weightage]],"")</f>
        <v>3.8461538461538312E-3</v>
      </c>
      <c r="X1092" s="473" t="s">
        <v>294</v>
      </c>
      <c r="Y1092" s="474" t="s">
        <v>321</v>
      </c>
      <c r="Z1092" s="102">
        <v>36341</v>
      </c>
      <c r="AA1092" s="468">
        <f>(Table6[[#This Row],[Paired WTG Generation for loss calculation]]/24)*Table6[[#This Row],[Breakdown Time]]</f>
        <v>151.42083333333278</v>
      </c>
      <c r="AB1092" s="102"/>
      <c r="AC1092" s="35"/>
      <c r="AD1092" s="35"/>
    </row>
    <row r="1093" spans="1:30">
      <c r="A1093" s="102">
        <f t="shared" si="17"/>
        <v>1092</v>
      </c>
      <c r="B1093" s="468">
        <f>YEAR(Table6[[#This Row],[Date]])+IF(MONTH(Table6[[#This Row],[Date]])&gt;=4,1,0)</f>
        <v>2026</v>
      </c>
      <c r="C1093" s="102">
        <f>YEAR(Table6[[#This Row],[Date]])</f>
        <v>2025</v>
      </c>
      <c r="D1093" s="102" t="s">
        <v>1992</v>
      </c>
      <c r="E1093" s="469">
        <f>Table6[[#This Row],[Date]]-DAY(Table6[[#This Row],[Date]])+1</f>
        <v>45809</v>
      </c>
      <c r="F1093" s="470">
        <v>45815</v>
      </c>
      <c r="G1093" s="35" t="s">
        <v>81</v>
      </c>
      <c r="H1093" s="35" t="str">
        <f>IFERROR(_xlfn.XLOOKUP(Table6[[#This Row],[Affected WTG]],'Basic Data'!$A:$A,'Basic Data'!$B:$B),"")</f>
        <v>TQGXIIPL</v>
      </c>
      <c r="I1093" s="35" t="str">
        <f>IFERROR(_xlfn.XLOOKUP(Table6[[#This Row],[Affected WTG]],'Basic Data'!$A:$A,'Basic Data'!$C:$C),"")</f>
        <v>GEDA</v>
      </c>
      <c r="J1093" s="471">
        <f>IFERROR(_xlfn.XLOOKUP(Table6[[#This Row],[Affected WTG]],'Basic Data'!$A:$A,'Basic Data'!$E:$E),"")</f>
        <v>3.846153846153845E-2</v>
      </c>
      <c r="K1093" s="102">
        <v>53</v>
      </c>
      <c r="L1093" s="35" t="str">
        <f>IFERROR(_xlfn.XLOOKUP(Table6[[#This Row],[Error Code]],'Basic Data'!$AA:$AA,'Basic Data'!$AB:$AB),"Incorrect Error Code")</f>
        <v>Wind dir.dev. level 1</v>
      </c>
      <c r="M1093" s="35" t="s">
        <v>291</v>
      </c>
      <c r="N1093" s="475"/>
      <c r="O1093" s="476">
        <v>0.61250000000000004</v>
      </c>
      <c r="P1093" s="476">
        <v>0.61250000000000004</v>
      </c>
      <c r="Q1093" s="477">
        <v>0.61319444444444449</v>
      </c>
      <c r="R1093" s="472">
        <f>IF(Table6[[#This Row],[Work Start TimeStamp]]="","",(Table6[[#This Row],[Work Start TimeStamp]]-Table6[[#This Row],[Fault Start TimeStamp]])*24)</f>
        <v>0</v>
      </c>
      <c r="S1093" s="472">
        <f>(Table6[[#This Row],[Fault Clearance time]]-Table6[[#This Row],[Work Start TimeStamp]])*24</f>
        <v>1.6666666666666607E-2</v>
      </c>
      <c r="T1093" s="472">
        <f>(Table6[[#This Row],[Fault Clearance time]]-Table6[[#This Row],[Fault Start TimeStamp]])*24</f>
        <v>1.6666666666666607E-2</v>
      </c>
      <c r="U1093" s="35" t="s">
        <v>1924</v>
      </c>
      <c r="V1093" s="102" t="s">
        <v>293</v>
      </c>
      <c r="W1093" s="478">
        <f>IFERROR(Table6[[#This Row],[Breakdown Time]]*Table6[[#This Row],[Plant Equivalent Weightage]],"")</f>
        <v>6.4102564102563853E-4</v>
      </c>
      <c r="X1093" s="473" t="s">
        <v>294</v>
      </c>
      <c r="Y1093" s="474" t="s">
        <v>321</v>
      </c>
      <c r="Z1093" s="102">
        <v>36341</v>
      </c>
      <c r="AA1093" s="468">
        <f>(Table6[[#This Row],[Paired WTG Generation for loss calculation]]/24)*Table6[[#This Row],[Breakdown Time]]</f>
        <v>25.236805555555463</v>
      </c>
      <c r="AB1093" s="102"/>
      <c r="AC1093" s="35"/>
      <c r="AD1093" s="35"/>
    </row>
    <row r="1094" spans="1:30">
      <c r="A1094" s="102">
        <f t="shared" si="17"/>
        <v>1093</v>
      </c>
      <c r="B1094" s="468">
        <f>YEAR(Table6[[#This Row],[Date]])+IF(MONTH(Table6[[#This Row],[Date]])&gt;=4,1,0)</f>
        <v>2026</v>
      </c>
      <c r="C1094" s="102">
        <f>YEAR(Table6[[#This Row],[Date]])</f>
        <v>2025</v>
      </c>
      <c r="D1094" s="102" t="s">
        <v>1992</v>
      </c>
      <c r="E1094" s="469">
        <f>Table6[[#This Row],[Date]]-DAY(Table6[[#This Row],[Date]])+1</f>
        <v>45809</v>
      </c>
      <c r="F1094" s="470">
        <v>45815</v>
      </c>
      <c r="G1094" s="35" t="s">
        <v>81</v>
      </c>
      <c r="H1094" s="35" t="str">
        <f>IFERROR(_xlfn.XLOOKUP(Table6[[#This Row],[Affected WTG]],'Basic Data'!$A:$A,'Basic Data'!$B:$B),"")</f>
        <v>TQGXIIPL</v>
      </c>
      <c r="I1094" s="35" t="str">
        <f>IFERROR(_xlfn.XLOOKUP(Table6[[#This Row],[Affected WTG]],'Basic Data'!$A:$A,'Basic Data'!$C:$C),"")</f>
        <v>GEDA</v>
      </c>
      <c r="J1094" s="471">
        <f>IFERROR(_xlfn.XLOOKUP(Table6[[#This Row],[Affected WTG]],'Basic Data'!$A:$A,'Basic Data'!$E:$E),"")</f>
        <v>3.846153846153845E-2</v>
      </c>
      <c r="K1094" s="102">
        <v>6130</v>
      </c>
      <c r="L1094" s="35" t="str">
        <f>IFERROR(_xlfn.XLOOKUP(Table6[[#This Row],[Error Code]],'Basic Data'!$AA:$AA,'Basic Data'!$AB:$AB),"Incorrect Error Code")</f>
        <v>Yaw speed high</v>
      </c>
      <c r="M1094" s="35" t="s">
        <v>291</v>
      </c>
      <c r="N1094" s="475"/>
      <c r="O1094" s="476">
        <v>0.62222222222222223</v>
      </c>
      <c r="P1094" s="476">
        <v>0.62222222222222223</v>
      </c>
      <c r="Q1094" s="477">
        <v>0.62708333333333333</v>
      </c>
      <c r="R1094" s="472">
        <f>IF(Table6[[#This Row],[Work Start TimeStamp]]="","",(Table6[[#This Row],[Work Start TimeStamp]]-Table6[[#This Row],[Fault Start TimeStamp]])*24)</f>
        <v>0</v>
      </c>
      <c r="S1094" s="472">
        <f>(Table6[[#This Row],[Fault Clearance time]]-Table6[[#This Row],[Work Start TimeStamp]])*24</f>
        <v>0.11666666666666625</v>
      </c>
      <c r="T1094" s="472">
        <f>(Table6[[#This Row],[Fault Clearance time]]-Table6[[#This Row],[Fault Start TimeStamp]])*24</f>
        <v>0.11666666666666625</v>
      </c>
      <c r="U1094" s="35" t="s">
        <v>1924</v>
      </c>
      <c r="V1094" s="102" t="s">
        <v>293</v>
      </c>
      <c r="W1094" s="478">
        <f>IFERROR(Table6[[#This Row],[Breakdown Time]]*Table6[[#This Row],[Plant Equivalent Weightage]],"")</f>
        <v>4.4871794871794695E-3</v>
      </c>
      <c r="X1094" s="473" t="s">
        <v>294</v>
      </c>
      <c r="Y1094" s="474" t="s">
        <v>321</v>
      </c>
      <c r="Z1094" s="102">
        <v>36341</v>
      </c>
      <c r="AA1094" s="468">
        <f>(Table6[[#This Row],[Paired WTG Generation for loss calculation]]/24)*Table6[[#This Row],[Breakdown Time]]</f>
        <v>176.65763888888824</v>
      </c>
      <c r="AB1094" s="102"/>
      <c r="AC1094" s="35"/>
      <c r="AD1094" s="35"/>
    </row>
    <row r="1095" spans="1:30">
      <c r="A1095" s="102">
        <f t="shared" si="17"/>
        <v>1094</v>
      </c>
      <c r="B1095" s="468">
        <f>YEAR(Table6[[#This Row],[Date]])+IF(MONTH(Table6[[#This Row],[Date]])&gt;=4,1,0)</f>
        <v>2026</v>
      </c>
      <c r="C1095" s="102">
        <f>YEAR(Table6[[#This Row],[Date]])</f>
        <v>2025</v>
      </c>
      <c r="D1095" s="102" t="s">
        <v>1992</v>
      </c>
      <c r="E1095" s="469">
        <f>Table6[[#This Row],[Date]]-DAY(Table6[[#This Row],[Date]])+1</f>
        <v>45809</v>
      </c>
      <c r="F1095" s="470">
        <v>45815</v>
      </c>
      <c r="G1095" s="35" t="s">
        <v>84</v>
      </c>
      <c r="H1095" s="35" t="str">
        <f>IFERROR(_xlfn.XLOOKUP(Table6[[#This Row],[Affected WTG]],'Basic Data'!$A:$A,'Basic Data'!$B:$B),"")</f>
        <v>TQGXIIPL</v>
      </c>
      <c r="I1095" s="35" t="str">
        <f>IFERROR(_xlfn.XLOOKUP(Table6[[#This Row],[Affected WTG]],'Basic Data'!$A:$A,'Basic Data'!$C:$C),"")</f>
        <v>GEDA</v>
      </c>
      <c r="J1095" s="471">
        <f>IFERROR(_xlfn.XLOOKUP(Table6[[#This Row],[Affected WTG]],'Basic Data'!$A:$A,'Basic Data'!$E:$E),"")</f>
        <v>3.846153846153845E-2</v>
      </c>
      <c r="K1095" s="102">
        <v>6056</v>
      </c>
      <c r="L1095" s="35" t="str">
        <f>IFERROR(_xlfn.XLOOKUP(Table6[[#This Row],[Error Code]],'Basic Data'!$AA:$AA,'Basic Data'!$AB:$AB),"Incorrect Error Code")</f>
        <v>High yaw load</v>
      </c>
      <c r="M1095" s="35" t="s">
        <v>291</v>
      </c>
      <c r="N1095" s="475"/>
      <c r="O1095" s="476">
        <v>0.58402777777777781</v>
      </c>
      <c r="P1095" s="476">
        <v>0.58402777777777781</v>
      </c>
      <c r="Q1095" s="477">
        <v>0.58611111111111114</v>
      </c>
      <c r="R1095" s="472">
        <f>IF(Table6[[#This Row],[Work Start TimeStamp]]="","",(Table6[[#This Row],[Work Start TimeStamp]]-Table6[[#This Row],[Fault Start TimeStamp]])*24)</f>
        <v>0</v>
      </c>
      <c r="S1095" s="472">
        <f>(Table6[[#This Row],[Fault Clearance time]]-Table6[[#This Row],[Work Start TimeStamp]])*24</f>
        <v>4.9999999999999822E-2</v>
      </c>
      <c r="T1095" s="472">
        <f>(Table6[[#This Row],[Fault Clearance time]]-Table6[[#This Row],[Fault Start TimeStamp]])*24</f>
        <v>4.9999999999999822E-2</v>
      </c>
      <c r="U1095" s="35" t="s">
        <v>1924</v>
      </c>
      <c r="V1095" s="102" t="s">
        <v>293</v>
      </c>
      <c r="W1095" s="478">
        <f>IFERROR(Table6[[#This Row],[Breakdown Time]]*Table6[[#This Row],[Plant Equivalent Weightage]],"")</f>
        <v>1.9230769230769156E-3</v>
      </c>
      <c r="X1095" s="473" t="s">
        <v>294</v>
      </c>
      <c r="Y1095" s="474" t="s">
        <v>327</v>
      </c>
      <c r="Z1095" s="102">
        <v>32626</v>
      </c>
      <c r="AA1095" s="468">
        <f>(Table6[[#This Row],[Paired WTG Generation for loss calculation]]/24)*Table6[[#This Row],[Breakdown Time]]</f>
        <v>67.97083333333309</v>
      </c>
      <c r="AB1095" s="102"/>
      <c r="AC1095" s="35"/>
      <c r="AD1095" s="35"/>
    </row>
    <row r="1096" spans="1:30">
      <c r="A1096" s="102">
        <f t="shared" si="17"/>
        <v>1095</v>
      </c>
      <c r="B1096" s="468">
        <f>YEAR(Table6[[#This Row],[Date]])+IF(MONTH(Table6[[#This Row],[Date]])&gt;=4,1,0)</f>
        <v>2026</v>
      </c>
      <c r="C1096" s="102">
        <f>YEAR(Table6[[#This Row],[Date]])</f>
        <v>2025</v>
      </c>
      <c r="D1096" s="102" t="s">
        <v>1992</v>
      </c>
      <c r="E1096" s="469">
        <f>Table6[[#This Row],[Date]]-DAY(Table6[[#This Row],[Date]])+1</f>
        <v>45809</v>
      </c>
      <c r="F1096" s="470">
        <v>45815</v>
      </c>
      <c r="G1096" s="35" t="s">
        <v>87</v>
      </c>
      <c r="H1096" s="35" t="str">
        <f>IFERROR(_xlfn.XLOOKUP(Table6[[#This Row],[Affected WTG]],'Basic Data'!$A:$A,'Basic Data'!$B:$B),"")</f>
        <v>TQGXIIPL</v>
      </c>
      <c r="I1096" s="35" t="str">
        <f>IFERROR(_xlfn.XLOOKUP(Table6[[#This Row],[Affected WTG]],'Basic Data'!$A:$A,'Basic Data'!$C:$C),"")</f>
        <v>GEDA</v>
      </c>
      <c r="J1096" s="471">
        <f>IFERROR(_xlfn.XLOOKUP(Table6[[#This Row],[Affected WTG]],'Basic Data'!$A:$A,'Basic Data'!$E:$E),"")</f>
        <v>3.846153846153845E-2</v>
      </c>
      <c r="K1096" s="102">
        <v>6130</v>
      </c>
      <c r="L1096" s="35" t="str">
        <f>IFERROR(_xlfn.XLOOKUP(Table6[[#This Row],[Error Code]],'Basic Data'!$AA:$AA,'Basic Data'!$AB:$AB),"Incorrect Error Code")</f>
        <v>Yaw speed high</v>
      </c>
      <c r="M1096" s="35" t="s">
        <v>292</v>
      </c>
      <c r="N1096" s="475"/>
      <c r="O1096" s="476">
        <v>0.60486111111111107</v>
      </c>
      <c r="P1096" s="476">
        <v>0.60486111111111107</v>
      </c>
      <c r="Q1096" s="477">
        <v>0.60902777777777772</v>
      </c>
      <c r="R1096" s="472">
        <f>IF(Table6[[#This Row],[Work Start TimeStamp]]="","",(Table6[[#This Row],[Work Start TimeStamp]]-Table6[[#This Row],[Fault Start TimeStamp]])*24)</f>
        <v>0</v>
      </c>
      <c r="S1096" s="472">
        <f>(Table6[[#This Row],[Fault Clearance time]]-Table6[[#This Row],[Work Start TimeStamp]])*24</f>
        <v>9.9999999999999645E-2</v>
      </c>
      <c r="T1096" s="472">
        <f>(Table6[[#This Row],[Fault Clearance time]]-Table6[[#This Row],[Fault Start TimeStamp]])*24</f>
        <v>9.9999999999999645E-2</v>
      </c>
      <c r="U1096" s="35" t="s">
        <v>336</v>
      </c>
      <c r="V1096" s="102" t="s">
        <v>293</v>
      </c>
      <c r="W1096" s="478">
        <f>IFERROR(Table6[[#This Row],[Breakdown Time]]*Table6[[#This Row],[Plant Equivalent Weightage]],"")</f>
        <v>3.8461538461538312E-3</v>
      </c>
      <c r="X1096" s="473" t="s">
        <v>294</v>
      </c>
      <c r="Y1096" s="474" t="s">
        <v>327</v>
      </c>
      <c r="Z1096" s="102">
        <v>32626</v>
      </c>
      <c r="AA1096" s="468">
        <f>(Table6[[#This Row],[Paired WTG Generation for loss calculation]]/24)*Table6[[#This Row],[Breakdown Time]]</f>
        <v>135.94166666666618</v>
      </c>
      <c r="AB1096" s="102"/>
      <c r="AC1096" s="35"/>
      <c r="AD1096" s="35"/>
    </row>
    <row r="1097" spans="1:30">
      <c r="A1097" s="102">
        <f t="shared" si="17"/>
        <v>1096</v>
      </c>
      <c r="B1097" s="468">
        <f>YEAR(Table6[[#This Row],[Date]])+IF(MONTH(Table6[[#This Row],[Date]])&gt;=4,1,0)</f>
        <v>2026</v>
      </c>
      <c r="C1097" s="102">
        <f>YEAR(Table6[[#This Row],[Date]])</f>
        <v>2025</v>
      </c>
      <c r="D1097" s="102" t="s">
        <v>1992</v>
      </c>
      <c r="E1097" s="469">
        <f>Table6[[#This Row],[Date]]-DAY(Table6[[#This Row],[Date]])+1</f>
        <v>45809</v>
      </c>
      <c r="F1097" s="470">
        <v>45815</v>
      </c>
      <c r="G1097" s="35" t="s">
        <v>92</v>
      </c>
      <c r="H1097" s="35" t="str">
        <f>IFERROR(_xlfn.XLOOKUP(Table6[[#This Row],[Affected WTG]],'Basic Data'!$A:$A,'Basic Data'!$B:$B),"")</f>
        <v>TQGXIIPL</v>
      </c>
      <c r="I1097" s="35" t="str">
        <f>IFERROR(_xlfn.XLOOKUP(Table6[[#This Row],[Affected WTG]],'Basic Data'!$A:$A,'Basic Data'!$C:$C),"")</f>
        <v>GEDA</v>
      </c>
      <c r="J1097" s="471">
        <f>IFERROR(_xlfn.XLOOKUP(Table6[[#This Row],[Affected WTG]],'Basic Data'!$A:$A,'Basic Data'!$E:$E),"")</f>
        <v>3.846153846153845E-2</v>
      </c>
      <c r="K1097" s="102">
        <v>55</v>
      </c>
      <c r="L1097" s="35" t="str">
        <f>IFERROR(_xlfn.XLOOKUP(Table6[[#This Row],[Error Code]],'Basic Data'!$AA:$AA,'Basic Data'!$AB:$AB),"Incorrect Error Code")</f>
        <v>WTG shut down</v>
      </c>
      <c r="M1097" s="35" t="s">
        <v>1956</v>
      </c>
      <c r="N1097" s="475"/>
      <c r="O1097" s="476">
        <v>0.43194444444444446</v>
      </c>
      <c r="P1097" s="476">
        <v>0.43194444444444446</v>
      </c>
      <c r="Q1097" s="477">
        <v>0.48194444444444445</v>
      </c>
      <c r="R1097" s="472">
        <f>IF(Table6[[#This Row],[Work Start TimeStamp]]="","",(Table6[[#This Row],[Work Start TimeStamp]]-Table6[[#This Row],[Fault Start TimeStamp]])*24)</f>
        <v>0</v>
      </c>
      <c r="S1097" s="472">
        <f>(Table6[[#This Row],[Fault Clearance time]]-Table6[[#This Row],[Work Start TimeStamp]])*24</f>
        <v>1.1999999999999997</v>
      </c>
      <c r="T1097" s="472">
        <f>(Table6[[#This Row],[Fault Clearance time]]-Table6[[#This Row],[Fault Start TimeStamp]])*24</f>
        <v>1.1999999999999997</v>
      </c>
      <c r="U1097" s="35" t="s">
        <v>1948</v>
      </c>
      <c r="V1097" s="102" t="s">
        <v>293</v>
      </c>
      <c r="W1097" s="478">
        <f>IFERROR(Table6[[#This Row],[Breakdown Time]]*Table6[[#This Row],[Plant Equivalent Weightage]],"")</f>
        <v>4.6153846153846129E-2</v>
      </c>
      <c r="X1097" s="473" t="s">
        <v>290</v>
      </c>
      <c r="Y1097" s="474" t="s">
        <v>310</v>
      </c>
      <c r="Z1097" s="102">
        <v>29552</v>
      </c>
      <c r="AA1097" s="468">
        <f>(Table6[[#This Row],[Paired WTG Generation for loss calculation]]/24)*Table6[[#This Row],[Breakdown Time]]</f>
        <v>1477.5999999999997</v>
      </c>
      <c r="AB1097" s="102"/>
      <c r="AC1097" s="35"/>
      <c r="AD1097" s="35"/>
    </row>
    <row r="1098" spans="1:30">
      <c r="A1098" s="102">
        <f t="shared" si="17"/>
        <v>1097</v>
      </c>
      <c r="B1098" s="468">
        <f>YEAR(Table6[[#This Row],[Date]])+IF(MONTH(Table6[[#This Row],[Date]])&gt;=4,1,0)</f>
        <v>2026</v>
      </c>
      <c r="C1098" s="102">
        <f>YEAR(Table6[[#This Row],[Date]])</f>
        <v>2025</v>
      </c>
      <c r="D1098" s="102" t="s">
        <v>1992</v>
      </c>
      <c r="E1098" s="469">
        <f>Table6[[#This Row],[Date]]-DAY(Table6[[#This Row],[Date]])+1</f>
        <v>45809</v>
      </c>
      <c r="F1098" s="470">
        <v>45815</v>
      </c>
      <c r="G1098" s="35" t="s">
        <v>92</v>
      </c>
      <c r="H1098" s="35" t="str">
        <f>IFERROR(_xlfn.XLOOKUP(Table6[[#This Row],[Affected WTG]],'Basic Data'!$A:$A,'Basic Data'!$B:$B),"")</f>
        <v>TQGXIIPL</v>
      </c>
      <c r="I1098" s="35" t="str">
        <f>IFERROR(_xlfn.XLOOKUP(Table6[[#This Row],[Affected WTG]],'Basic Data'!$A:$A,'Basic Data'!$C:$C),"")</f>
        <v>GEDA</v>
      </c>
      <c r="J1098" s="471">
        <f>IFERROR(_xlfn.XLOOKUP(Table6[[#This Row],[Affected WTG]],'Basic Data'!$A:$A,'Basic Data'!$E:$E),"")</f>
        <v>3.846153846153845E-2</v>
      </c>
      <c r="K1098" s="102">
        <v>55</v>
      </c>
      <c r="L1098" s="35" t="str">
        <f>IFERROR(_xlfn.XLOOKUP(Table6[[#This Row],[Error Code]],'Basic Data'!$AA:$AA,'Basic Data'!$AB:$AB),"Incorrect Error Code")</f>
        <v>WTG shut down</v>
      </c>
      <c r="M1098" s="35" t="s">
        <v>1956</v>
      </c>
      <c r="N1098" s="475"/>
      <c r="O1098" s="476">
        <v>0.51944444444444449</v>
      </c>
      <c r="P1098" s="476">
        <v>0.51944444444444449</v>
      </c>
      <c r="Q1098" s="477">
        <v>0.53402777777777777</v>
      </c>
      <c r="R1098" s="472">
        <f>IF(Table6[[#This Row],[Work Start TimeStamp]]="","",(Table6[[#This Row],[Work Start TimeStamp]]-Table6[[#This Row],[Fault Start TimeStamp]])*24)</f>
        <v>0</v>
      </c>
      <c r="S1098" s="472">
        <f>(Table6[[#This Row],[Fault Clearance time]]-Table6[[#This Row],[Work Start TimeStamp]])*24</f>
        <v>0.34999999999999876</v>
      </c>
      <c r="T1098" s="472">
        <f>(Table6[[#This Row],[Fault Clearance time]]-Table6[[#This Row],[Fault Start TimeStamp]])*24</f>
        <v>0.34999999999999876</v>
      </c>
      <c r="U1098" s="35" t="s">
        <v>1948</v>
      </c>
      <c r="V1098" s="102" t="s">
        <v>293</v>
      </c>
      <c r="W1098" s="478">
        <f>IFERROR(Table6[[#This Row],[Breakdown Time]]*Table6[[#This Row],[Plant Equivalent Weightage]],"")</f>
        <v>1.346153846153841E-2</v>
      </c>
      <c r="X1098" s="473" t="s">
        <v>290</v>
      </c>
      <c r="Y1098" s="474" t="s">
        <v>310</v>
      </c>
      <c r="Z1098" s="102">
        <v>29552</v>
      </c>
      <c r="AA1098" s="468">
        <f>(Table6[[#This Row],[Paired WTG Generation for loss calculation]]/24)*Table6[[#This Row],[Breakdown Time]]</f>
        <v>430.96666666666511</v>
      </c>
      <c r="AB1098" s="102"/>
      <c r="AC1098" s="35"/>
      <c r="AD1098" s="35"/>
    </row>
    <row r="1099" spans="1:30">
      <c r="A1099" s="102">
        <f t="shared" si="17"/>
        <v>1098</v>
      </c>
      <c r="B1099" s="468">
        <f>YEAR(Table6[[#This Row],[Date]])+IF(MONTH(Table6[[#This Row],[Date]])&gt;=4,1,0)</f>
        <v>2026</v>
      </c>
      <c r="C1099" s="102">
        <f>YEAR(Table6[[#This Row],[Date]])</f>
        <v>2025</v>
      </c>
      <c r="D1099" s="102" t="s">
        <v>1992</v>
      </c>
      <c r="E1099" s="469">
        <f>Table6[[#This Row],[Date]]-DAY(Table6[[#This Row],[Date]])+1</f>
        <v>45809</v>
      </c>
      <c r="F1099" s="470">
        <v>45815</v>
      </c>
      <c r="G1099" s="35" t="s">
        <v>92</v>
      </c>
      <c r="H1099" s="35" t="str">
        <f>IFERROR(_xlfn.XLOOKUP(Table6[[#This Row],[Affected WTG]],'Basic Data'!$A:$A,'Basic Data'!$B:$B),"")</f>
        <v>TQGXIIPL</v>
      </c>
      <c r="I1099" s="35" t="str">
        <f>IFERROR(_xlfn.XLOOKUP(Table6[[#This Row],[Affected WTG]],'Basic Data'!$A:$A,'Basic Data'!$C:$C),"")</f>
        <v>GEDA</v>
      </c>
      <c r="J1099" s="471">
        <f>IFERROR(_xlfn.XLOOKUP(Table6[[#This Row],[Affected WTG]],'Basic Data'!$A:$A,'Basic Data'!$E:$E),"")</f>
        <v>3.846153846153845E-2</v>
      </c>
      <c r="K1099" s="102">
        <v>55</v>
      </c>
      <c r="L1099" s="35" t="str">
        <f>IFERROR(_xlfn.XLOOKUP(Table6[[#This Row],[Error Code]],'Basic Data'!$AA:$AA,'Basic Data'!$AB:$AB),"Incorrect Error Code")</f>
        <v>WTG shut down</v>
      </c>
      <c r="M1099" s="35" t="s">
        <v>1956</v>
      </c>
      <c r="N1099" s="475"/>
      <c r="O1099" s="476">
        <v>0.70277777777777772</v>
      </c>
      <c r="P1099" s="476">
        <v>0.70277777777777772</v>
      </c>
      <c r="Q1099" s="477">
        <v>0.71805555555555556</v>
      </c>
      <c r="R1099" s="472">
        <f>IF(Table6[[#This Row],[Work Start TimeStamp]]="","",(Table6[[#This Row],[Work Start TimeStamp]]-Table6[[#This Row],[Fault Start TimeStamp]])*24)</f>
        <v>0</v>
      </c>
      <c r="S1099" s="472">
        <f>(Table6[[#This Row],[Fault Clearance time]]-Table6[[#This Row],[Work Start TimeStamp]])*24</f>
        <v>0.36666666666666803</v>
      </c>
      <c r="T1099" s="472">
        <f>(Table6[[#This Row],[Fault Clearance time]]-Table6[[#This Row],[Fault Start TimeStamp]])*24</f>
        <v>0.36666666666666803</v>
      </c>
      <c r="U1099" s="35" t="s">
        <v>1948</v>
      </c>
      <c r="V1099" s="102" t="s">
        <v>293</v>
      </c>
      <c r="W1099" s="478">
        <f>IFERROR(Table6[[#This Row],[Breakdown Time]]*Table6[[#This Row],[Plant Equivalent Weightage]],"")</f>
        <v>1.4102564102564151E-2</v>
      </c>
      <c r="X1099" s="473" t="s">
        <v>290</v>
      </c>
      <c r="Y1099" s="474" t="s">
        <v>310</v>
      </c>
      <c r="Z1099" s="102">
        <v>29552</v>
      </c>
      <c r="AA1099" s="468">
        <f>(Table6[[#This Row],[Paired WTG Generation for loss calculation]]/24)*Table6[[#This Row],[Breakdown Time]]</f>
        <v>451.48888888889053</v>
      </c>
      <c r="AB1099" s="102"/>
      <c r="AC1099" s="35"/>
      <c r="AD1099" s="35"/>
    </row>
    <row r="1100" spans="1:30">
      <c r="A1100" s="102">
        <f t="shared" si="17"/>
        <v>1099</v>
      </c>
      <c r="B1100" s="468">
        <f>YEAR(Table6[[#This Row],[Date]])+IF(MONTH(Table6[[#This Row],[Date]])&gt;=4,1,0)</f>
        <v>2026</v>
      </c>
      <c r="C1100" s="102">
        <f>YEAR(Table6[[#This Row],[Date]])</f>
        <v>2025</v>
      </c>
      <c r="D1100" s="102" t="s">
        <v>1992</v>
      </c>
      <c r="E1100" s="469">
        <f>Table6[[#This Row],[Date]]-DAY(Table6[[#This Row],[Date]])+1</f>
        <v>45809</v>
      </c>
      <c r="F1100" s="470">
        <v>45815</v>
      </c>
      <c r="G1100" s="35" t="s">
        <v>92</v>
      </c>
      <c r="H1100" s="35" t="str">
        <f>IFERROR(_xlfn.XLOOKUP(Table6[[#This Row],[Affected WTG]],'Basic Data'!$A:$A,'Basic Data'!$B:$B),"")</f>
        <v>TQGXIIPL</v>
      </c>
      <c r="I1100" s="35" t="str">
        <f>IFERROR(_xlfn.XLOOKUP(Table6[[#This Row],[Affected WTG]],'Basic Data'!$A:$A,'Basic Data'!$C:$C),"")</f>
        <v>GEDA</v>
      </c>
      <c r="J1100" s="471">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291</v>
      </c>
      <c r="N1100" s="475"/>
      <c r="O1100" s="476">
        <v>0.77708333333333335</v>
      </c>
      <c r="P1100" s="476">
        <v>0.77708333333333335</v>
      </c>
      <c r="Q1100" s="477">
        <v>0.78333333333333333</v>
      </c>
      <c r="R1100" s="472">
        <f>IF(Table6[[#This Row],[Work Start TimeStamp]]="","",(Table6[[#This Row],[Work Start TimeStamp]]-Table6[[#This Row],[Fault Start TimeStamp]])*24)</f>
        <v>0</v>
      </c>
      <c r="S1100" s="472">
        <f>(Table6[[#This Row],[Fault Clearance time]]-Table6[[#This Row],[Work Start TimeStamp]])*24</f>
        <v>0.14999999999999947</v>
      </c>
      <c r="T1100" s="472">
        <f>(Table6[[#This Row],[Fault Clearance time]]-Table6[[#This Row],[Fault Start TimeStamp]])*24</f>
        <v>0.14999999999999947</v>
      </c>
      <c r="U1100" s="35" t="s">
        <v>1924</v>
      </c>
      <c r="V1100" s="102" t="s">
        <v>293</v>
      </c>
      <c r="W1100" s="478">
        <f>IFERROR(Table6[[#This Row],[Breakdown Time]]*Table6[[#This Row],[Plant Equivalent Weightage]],"")</f>
        <v>5.769230769230747E-3</v>
      </c>
      <c r="X1100" s="473" t="s">
        <v>294</v>
      </c>
      <c r="Y1100" s="474" t="s">
        <v>310</v>
      </c>
      <c r="Z1100" s="102">
        <v>29552</v>
      </c>
      <c r="AA1100" s="468">
        <f>(Table6[[#This Row],[Paired WTG Generation for loss calculation]]/24)*Table6[[#This Row],[Breakdown Time]]</f>
        <v>184.69999999999933</v>
      </c>
      <c r="AB1100" s="102"/>
      <c r="AC1100" s="35"/>
      <c r="AD1100" s="35"/>
    </row>
    <row r="1101" spans="1:30">
      <c r="A1101" s="102">
        <f t="shared" si="17"/>
        <v>1100</v>
      </c>
      <c r="B1101" s="468">
        <f>YEAR(Table6[[#This Row],[Date]])+IF(MONTH(Table6[[#This Row],[Date]])&gt;=4,1,0)</f>
        <v>2026</v>
      </c>
      <c r="C1101" s="102">
        <f>YEAR(Table6[[#This Row],[Date]])</f>
        <v>2025</v>
      </c>
      <c r="D1101" s="102" t="s">
        <v>1992</v>
      </c>
      <c r="E1101" s="469">
        <f>Table6[[#This Row],[Date]]-DAY(Table6[[#This Row],[Date]])+1</f>
        <v>45809</v>
      </c>
      <c r="F1101" s="470">
        <v>45815</v>
      </c>
      <c r="G1101" s="35" t="s">
        <v>94</v>
      </c>
      <c r="H1101" s="35" t="str">
        <f>IFERROR(_xlfn.XLOOKUP(Table6[[#This Row],[Affected WTG]],'Basic Data'!$A:$A,'Basic Data'!$B:$B),"")</f>
        <v>TQGXIIPL</v>
      </c>
      <c r="I1101" s="35" t="str">
        <f>IFERROR(_xlfn.XLOOKUP(Table6[[#This Row],[Affected WTG]],'Basic Data'!$A:$A,'Basic Data'!$C:$C),"")</f>
        <v>GEDA</v>
      </c>
      <c r="J1101" s="471">
        <f>IFERROR(_xlfn.XLOOKUP(Table6[[#This Row],[Affected WTG]],'Basic Data'!$A:$A,'Basic Data'!$E:$E),"")</f>
        <v>3.846153846153845E-2</v>
      </c>
      <c r="K1101" s="102">
        <v>6130</v>
      </c>
      <c r="L1101" s="35" t="str">
        <f>IFERROR(_xlfn.XLOOKUP(Table6[[#This Row],[Error Code]],'Basic Data'!$AA:$AA,'Basic Data'!$AB:$AB),"Incorrect Error Code")</f>
        <v>Yaw speed high</v>
      </c>
      <c r="M1101" s="35" t="s">
        <v>292</v>
      </c>
      <c r="N1101" s="475"/>
      <c r="O1101" s="476">
        <v>0.61111111111111116</v>
      </c>
      <c r="P1101" s="476">
        <v>0.61111111111111116</v>
      </c>
      <c r="Q1101" s="477">
        <v>0.61527777777777781</v>
      </c>
      <c r="R1101" s="472">
        <f>IF(Table6[[#This Row],[Work Start TimeStamp]]="","",(Table6[[#This Row],[Work Start TimeStamp]]-Table6[[#This Row],[Fault Start TimeStamp]])*24)</f>
        <v>0</v>
      </c>
      <c r="S1101" s="472">
        <f>(Table6[[#This Row],[Fault Clearance time]]-Table6[[#This Row],[Work Start TimeStamp]])*24</f>
        <v>9.9999999999999645E-2</v>
      </c>
      <c r="T1101" s="472">
        <f>(Table6[[#This Row],[Fault Clearance time]]-Table6[[#This Row],[Fault Start TimeStamp]])*24</f>
        <v>9.9999999999999645E-2</v>
      </c>
      <c r="U1101" s="35" t="s">
        <v>336</v>
      </c>
      <c r="V1101" s="102" t="s">
        <v>293</v>
      </c>
      <c r="W1101" s="478">
        <f>IFERROR(Table6[[#This Row],[Breakdown Time]]*Table6[[#This Row],[Plant Equivalent Weightage]],"")</f>
        <v>3.8461538461538312E-3</v>
      </c>
      <c r="X1101" s="473" t="s">
        <v>294</v>
      </c>
      <c r="Y1101" s="474" t="s">
        <v>319</v>
      </c>
      <c r="Z1101" s="102">
        <v>35598</v>
      </c>
      <c r="AA1101" s="468">
        <f>(Table6[[#This Row],[Paired WTG Generation for loss calculation]]/24)*Table6[[#This Row],[Breakdown Time]]</f>
        <v>148.32499999999948</v>
      </c>
      <c r="AB1101" s="102"/>
      <c r="AC1101" s="35"/>
      <c r="AD1101" s="35"/>
    </row>
    <row r="1102" spans="1:30">
      <c r="A1102" s="102">
        <f t="shared" ref="A1102:A1165" si="18">A1101+1</f>
        <v>1101</v>
      </c>
      <c r="B1102" s="468">
        <f>YEAR(Table6[[#This Row],[Date]])+IF(MONTH(Table6[[#This Row],[Date]])&gt;=4,1,0)</f>
        <v>2026</v>
      </c>
      <c r="C1102" s="102">
        <f>YEAR(Table6[[#This Row],[Date]])</f>
        <v>2025</v>
      </c>
      <c r="D1102" s="102" t="s">
        <v>1992</v>
      </c>
      <c r="E1102" s="469">
        <f>Table6[[#This Row],[Date]]-DAY(Table6[[#This Row],[Date]])+1</f>
        <v>45809</v>
      </c>
      <c r="F1102" s="470">
        <v>45815</v>
      </c>
      <c r="G1102" s="35" t="s">
        <v>95</v>
      </c>
      <c r="H1102" s="35" t="str">
        <f>IFERROR(_xlfn.XLOOKUP(Table6[[#This Row],[Affected WTG]],'Basic Data'!$A:$A,'Basic Data'!$B:$B),"")</f>
        <v>TQGXIIPL</v>
      </c>
      <c r="I1102" s="35" t="str">
        <f>IFERROR(_xlfn.XLOOKUP(Table6[[#This Row],[Affected WTG]],'Basic Data'!$A:$A,'Basic Data'!$C:$C),"")</f>
        <v>GEDA</v>
      </c>
      <c r="J1102" s="471">
        <f>IFERROR(_xlfn.XLOOKUP(Table6[[#This Row],[Affected WTG]],'Basic Data'!$A:$A,'Basic Data'!$E:$E),"")</f>
        <v>3.846153846153845E-2</v>
      </c>
      <c r="K1102" s="102">
        <v>6130</v>
      </c>
      <c r="L1102" s="35" t="str">
        <f>IFERROR(_xlfn.XLOOKUP(Table6[[#This Row],[Error Code]],'Basic Data'!$AA:$AA,'Basic Data'!$AB:$AB),"Incorrect Error Code")</f>
        <v>Yaw speed high</v>
      </c>
      <c r="M1102" s="35" t="s">
        <v>292</v>
      </c>
      <c r="N1102" s="475"/>
      <c r="O1102" s="476">
        <v>0.60138888888888886</v>
      </c>
      <c r="P1102" s="476">
        <v>0.60138888888888886</v>
      </c>
      <c r="Q1102" s="477">
        <v>0.60555555555555551</v>
      </c>
      <c r="R1102" s="472">
        <f>IF(Table6[[#This Row],[Work Start TimeStamp]]="","",(Table6[[#This Row],[Work Start TimeStamp]]-Table6[[#This Row],[Fault Start TimeStamp]])*24)</f>
        <v>0</v>
      </c>
      <c r="S1102" s="472">
        <f>(Table6[[#This Row],[Fault Clearance time]]-Table6[[#This Row],[Work Start TimeStamp]])*24</f>
        <v>9.9999999999999645E-2</v>
      </c>
      <c r="T1102" s="472">
        <f>(Table6[[#This Row],[Fault Clearance time]]-Table6[[#This Row],[Fault Start TimeStamp]])*24</f>
        <v>9.9999999999999645E-2</v>
      </c>
      <c r="U1102" s="35" t="s">
        <v>336</v>
      </c>
      <c r="V1102" s="102" t="s">
        <v>293</v>
      </c>
      <c r="W1102" s="478">
        <f>IFERROR(Table6[[#This Row],[Breakdown Time]]*Table6[[#This Row],[Plant Equivalent Weightage]],"")</f>
        <v>3.8461538461538312E-3</v>
      </c>
      <c r="X1102" s="473" t="s">
        <v>294</v>
      </c>
      <c r="Y1102" s="474" t="s">
        <v>319</v>
      </c>
      <c r="Z1102" s="102">
        <v>35598</v>
      </c>
      <c r="AA1102" s="468">
        <f>(Table6[[#This Row],[Paired WTG Generation for loss calculation]]/24)*Table6[[#This Row],[Breakdown Time]]</f>
        <v>148.32499999999948</v>
      </c>
      <c r="AB1102" s="102"/>
      <c r="AC1102" s="35"/>
      <c r="AD1102" s="35"/>
    </row>
    <row r="1103" spans="1:30">
      <c r="A1103" s="102">
        <f t="shared" si="18"/>
        <v>1102</v>
      </c>
      <c r="B1103" s="468">
        <f>YEAR(Table6[[#This Row],[Date]])+IF(MONTH(Table6[[#This Row],[Date]])&gt;=4,1,0)</f>
        <v>2026</v>
      </c>
      <c r="C1103" s="102">
        <f>YEAR(Table6[[#This Row],[Date]])</f>
        <v>2025</v>
      </c>
      <c r="D1103" s="102" t="s">
        <v>1992</v>
      </c>
      <c r="E1103" s="469">
        <f>Table6[[#This Row],[Date]]-DAY(Table6[[#This Row],[Date]])+1</f>
        <v>45809</v>
      </c>
      <c r="F1103" s="470">
        <v>45815</v>
      </c>
      <c r="G1103" s="35" t="s">
        <v>96</v>
      </c>
      <c r="H1103" s="35" t="str">
        <f>IFERROR(_xlfn.XLOOKUP(Table6[[#This Row],[Affected WTG]],'Basic Data'!$A:$A,'Basic Data'!$B:$B),"")</f>
        <v>TQGXIIPL</v>
      </c>
      <c r="I1103" s="35" t="str">
        <f>IFERROR(_xlfn.XLOOKUP(Table6[[#This Row],[Affected WTG]],'Basic Data'!$A:$A,'Basic Data'!$C:$C),"")</f>
        <v>GEDA</v>
      </c>
      <c r="J1103" s="471">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291</v>
      </c>
      <c r="N1103" s="475"/>
      <c r="O1103" s="476">
        <v>0</v>
      </c>
      <c r="P1103" s="476">
        <v>0</v>
      </c>
      <c r="Q1103" s="477">
        <v>1.3888888888888888E-2</v>
      </c>
      <c r="R1103" s="472">
        <f>IF(Table6[[#This Row],[Work Start TimeStamp]]="","",(Table6[[#This Row],[Work Start TimeStamp]]-Table6[[#This Row],[Fault Start TimeStamp]])*24)</f>
        <v>0</v>
      </c>
      <c r="S1103" s="472">
        <f>(Table6[[#This Row],[Fault Clearance time]]-Table6[[#This Row],[Work Start TimeStamp]])*24</f>
        <v>0.33333333333333331</v>
      </c>
      <c r="T1103" s="472">
        <f>(Table6[[#This Row],[Fault Clearance time]]-Table6[[#This Row],[Fault Start TimeStamp]])*24</f>
        <v>0.33333333333333331</v>
      </c>
      <c r="U1103" s="35" t="s">
        <v>1949</v>
      </c>
      <c r="V1103" s="102" t="s">
        <v>293</v>
      </c>
      <c r="W1103" s="478">
        <f>IFERROR(Table6[[#This Row],[Breakdown Time]]*Table6[[#This Row],[Plant Equivalent Weightage]],"")</f>
        <v>1.2820512820512817E-2</v>
      </c>
      <c r="X1103" s="473" t="s">
        <v>294</v>
      </c>
      <c r="Y1103" s="474" t="s">
        <v>313</v>
      </c>
      <c r="Z1103" s="102">
        <v>32412</v>
      </c>
      <c r="AA1103" s="468">
        <f>(Table6[[#This Row],[Paired WTG Generation for loss calculation]]/24)*Table6[[#This Row],[Breakdown Time]]</f>
        <v>450.16666666666663</v>
      </c>
      <c r="AB1103" s="102"/>
      <c r="AC1103" s="35"/>
      <c r="AD1103" s="35"/>
    </row>
    <row r="1104" spans="1:30">
      <c r="A1104" s="102">
        <f t="shared" si="18"/>
        <v>1103</v>
      </c>
      <c r="B1104" s="468">
        <f>YEAR(Table6[[#This Row],[Date]])+IF(MONTH(Table6[[#This Row],[Date]])&gt;=4,1,0)</f>
        <v>2026</v>
      </c>
      <c r="C1104" s="102">
        <f>YEAR(Table6[[#This Row],[Date]])</f>
        <v>2025</v>
      </c>
      <c r="D1104" s="102" t="s">
        <v>1992</v>
      </c>
      <c r="E1104" s="469">
        <f>Table6[[#This Row],[Date]]-DAY(Table6[[#This Row],[Date]])+1</f>
        <v>45809</v>
      </c>
      <c r="F1104" s="470">
        <v>45815</v>
      </c>
      <c r="G1104" s="35" t="s">
        <v>98</v>
      </c>
      <c r="H1104" s="35" t="str">
        <f>IFERROR(_xlfn.XLOOKUP(Table6[[#This Row],[Affected WTG]],'Basic Data'!$A:$A,'Basic Data'!$B:$B),"")</f>
        <v>TQGXIIPL</v>
      </c>
      <c r="I1104" s="35" t="str">
        <f>IFERROR(_xlfn.XLOOKUP(Table6[[#This Row],[Affected WTG]],'Basic Data'!$A:$A,'Basic Data'!$C:$C),"")</f>
        <v>GEDA</v>
      </c>
      <c r="J1104" s="471">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292</v>
      </c>
      <c r="N1104" s="475"/>
      <c r="O1104" s="476">
        <v>0.77152777777777781</v>
      </c>
      <c r="P1104" s="476">
        <v>0.77152777777777781</v>
      </c>
      <c r="Q1104" s="477">
        <v>0.78194444444444444</v>
      </c>
      <c r="R1104" s="472">
        <f>IF(Table6[[#This Row],[Work Start TimeStamp]]="","",(Table6[[#This Row],[Work Start TimeStamp]]-Table6[[#This Row],[Fault Start TimeStamp]])*24)</f>
        <v>0</v>
      </c>
      <c r="S1104" s="472">
        <f>(Table6[[#This Row],[Fault Clearance time]]-Table6[[#This Row],[Work Start TimeStamp]])*24</f>
        <v>0.24999999999999911</v>
      </c>
      <c r="T1104" s="472">
        <f>(Table6[[#This Row],[Fault Clearance time]]-Table6[[#This Row],[Fault Start TimeStamp]])*24</f>
        <v>0.24999999999999911</v>
      </c>
      <c r="U1104" s="35" t="s">
        <v>336</v>
      </c>
      <c r="V1104" s="102" t="s">
        <v>293</v>
      </c>
      <c r="W1104" s="478">
        <f>IFERROR(Table6[[#This Row],[Breakdown Time]]*Table6[[#This Row],[Plant Equivalent Weightage]],"")</f>
        <v>9.6153846153845778E-3</v>
      </c>
      <c r="X1104" s="473" t="s">
        <v>294</v>
      </c>
      <c r="Y1104" s="474" t="s">
        <v>315</v>
      </c>
      <c r="Z1104" s="102">
        <v>36444</v>
      </c>
      <c r="AA1104" s="468">
        <f>(Table6[[#This Row],[Paired WTG Generation for loss calculation]]/24)*Table6[[#This Row],[Breakdown Time]]</f>
        <v>379.62499999999864</v>
      </c>
      <c r="AB1104" s="102"/>
      <c r="AC1104" s="35"/>
      <c r="AD1104" s="35"/>
    </row>
    <row r="1105" spans="1:30">
      <c r="A1105" s="102">
        <f t="shared" si="18"/>
        <v>1104</v>
      </c>
      <c r="B1105" s="468">
        <f>YEAR(Table6[[#This Row],[Date]])+IF(MONTH(Table6[[#This Row],[Date]])&gt;=4,1,0)</f>
        <v>2026</v>
      </c>
      <c r="C1105" s="102">
        <f>YEAR(Table6[[#This Row],[Date]])</f>
        <v>2025</v>
      </c>
      <c r="D1105" s="102" t="s">
        <v>1992</v>
      </c>
      <c r="E1105" s="469">
        <f>Table6[[#This Row],[Date]]-DAY(Table6[[#This Row],[Date]])+1</f>
        <v>45809</v>
      </c>
      <c r="F1105" s="470">
        <v>45816</v>
      </c>
      <c r="G1105" s="35" t="s">
        <v>77</v>
      </c>
      <c r="H1105" s="35" t="str">
        <f>IFERROR(_xlfn.XLOOKUP(Table6[[#This Row],[Affected WTG]],'Basic Data'!$A:$A,'Basic Data'!$B:$B),"")</f>
        <v>TQGXIIPL</v>
      </c>
      <c r="I1105" s="35" t="str">
        <f>IFERROR(_xlfn.XLOOKUP(Table6[[#This Row],[Affected WTG]],'Basic Data'!$A:$A,'Basic Data'!$C:$C),"")</f>
        <v>GEDA</v>
      </c>
      <c r="J1105" s="471">
        <f>IFERROR(_xlfn.XLOOKUP(Table6[[#This Row],[Affected WTG]],'Basic Data'!$A:$A,'Basic Data'!$E:$E),"")</f>
        <v>3.846153846153845E-2</v>
      </c>
      <c r="K1105" s="102">
        <v>6130</v>
      </c>
      <c r="L1105" s="35" t="str">
        <f>IFERROR(_xlfn.XLOOKUP(Table6[[#This Row],[Error Code]],'Basic Data'!$AA:$AA,'Basic Data'!$AB:$AB),"Incorrect Error Code")</f>
        <v>Yaw speed high</v>
      </c>
      <c r="M1105" s="35" t="s">
        <v>292</v>
      </c>
      <c r="N1105" s="475"/>
      <c r="O1105" s="476">
        <v>0.33611111111111114</v>
      </c>
      <c r="P1105" s="476">
        <v>0.33611111111111114</v>
      </c>
      <c r="Q1105" s="477">
        <v>0.34027777777777779</v>
      </c>
      <c r="R1105" s="472">
        <f>IF(Table6[[#This Row],[Work Start TimeStamp]]="","",(Table6[[#This Row],[Work Start TimeStamp]]-Table6[[#This Row],[Fault Start TimeStamp]])*24)</f>
        <v>0</v>
      </c>
      <c r="S1105" s="472">
        <f>(Table6[[#This Row],[Fault Clearance time]]-Table6[[#This Row],[Work Start TimeStamp]])*24</f>
        <v>9.9999999999999645E-2</v>
      </c>
      <c r="T1105" s="472">
        <f>(Table6[[#This Row],[Fault Clearance time]]-Table6[[#This Row],[Fault Start TimeStamp]])*24</f>
        <v>9.9999999999999645E-2</v>
      </c>
      <c r="U1105" s="35" t="s">
        <v>336</v>
      </c>
      <c r="V1105" s="102" t="s">
        <v>293</v>
      </c>
      <c r="W1105" s="478">
        <f>IFERROR(Table6[[#This Row],[Breakdown Time]]*Table6[[#This Row],[Plant Equivalent Weightage]],"")</f>
        <v>3.8461538461538312E-3</v>
      </c>
      <c r="X1105" s="473" t="s">
        <v>294</v>
      </c>
      <c r="Y1105" s="474" t="s">
        <v>310</v>
      </c>
      <c r="Z1105" s="102">
        <v>27380</v>
      </c>
      <c r="AA1105" s="468">
        <f>(Table6[[#This Row],[Paired WTG Generation for loss calculation]]/24)*Table6[[#This Row],[Breakdown Time]]</f>
        <v>114.08333333333292</v>
      </c>
      <c r="AB1105" s="102"/>
      <c r="AC1105" s="35"/>
      <c r="AD1105" s="35"/>
    </row>
    <row r="1106" spans="1:30">
      <c r="A1106" s="102">
        <f t="shared" si="18"/>
        <v>1105</v>
      </c>
      <c r="B1106" s="468">
        <f>YEAR(Table6[[#This Row],[Date]])+IF(MONTH(Table6[[#This Row],[Date]])&gt;=4,1,0)</f>
        <v>2026</v>
      </c>
      <c r="C1106" s="102">
        <f>YEAR(Table6[[#This Row],[Date]])</f>
        <v>2025</v>
      </c>
      <c r="D1106" s="102" t="s">
        <v>1992</v>
      </c>
      <c r="E1106" s="469">
        <f>Table6[[#This Row],[Date]]-DAY(Table6[[#This Row],[Date]])+1</f>
        <v>45809</v>
      </c>
      <c r="F1106" s="470">
        <v>45816</v>
      </c>
      <c r="G1106" s="35" t="s">
        <v>77</v>
      </c>
      <c r="H1106" s="35" t="str">
        <f>IFERROR(_xlfn.XLOOKUP(Table6[[#This Row],[Affected WTG]],'Basic Data'!$A:$A,'Basic Data'!$B:$B),"")</f>
        <v>TQGXIIPL</v>
      </c>
      <c r="I1106" s="35" t="str">
        <f>IFERROR(_xlfn.XLOOKUP(Table6[[#This Row],[Affected WTG]],'Basic Data'!$A:$A,'Basic Data'!$C:$C),"")</f>
        <v>GEDA</v>
      </c>
      <c r="J1106" s="471">
        <f>IFERROR(_xlfn.XLOOKUP(Table6[[#This Row],[Affected WTG]],'Basic Data'!$A:$A,'Basic Data'!$E:$E),"")</f>
        <v>3.846153846153845E-2</v>
      </c>
      <c r="K1106" s="102">
        <v>55</v>
      </c>
      <c r="L1106" s="35" t="str">
        <f>IFERROR(_xlfn.XLOOKUP(Table6[[#This Row],[Error Code]],'Basic Data'!$AA:$AA,'Basic Data'!$AB:$AB),"Incorrect Error Code")</f>
        <v>WTG shut down</v>
      </c>
      <c r="M1106" s="35" t="s">
        <v>1956</v>
      </c>
      <c r="N1106" s="475"/>
      <c r="O1106" s="476">
        <v>0.37222222222222223</v>
      </c>
      <c r="P1106" s="476">
        <v>0.37222222222222223</v>
      </c>
      <c r="Q1106" s="477">
        <v>0.44236111111111109</v>
      </c>
      <c r="R1106" s="472">
        <f>IF(Table6[[#This Row],[Work Start TimeStamp]]="","",(Table6[[#This Row],[Work Start TimeStamp]]-Table6[[#This Row],[Fault Start TimeStamp]])*24)</f>
        <v>0</v>
      </c>
      <c r="S1106" s="472">
        <f>(Table6[[#This Row],[Fault Clearance time]]-Table6[[#This Row],[Work Start TimeStamp]])*24</f>
        <v>1.6833333333333327</v>
      </c>
      <c r="T1106" s="472">
        <f>(Table6[[#This Row],[Fault Clearance time]]-Table6[[#This Row],[Fault Start TimeStamp]])*24</f>
        <v>1.6833333333333327</v>
      </c>
      <c r="U1106" s="35" t="s">
        <v>1948</v>
      </c>
      <c r="V1106" s="102" t="s">
        <v>293</v>
      </c>
      <c r="W1106" s="478">
        <f>IFERROR(Table6[[#This Row],[Breakdown Time]]*Table6[[#This Row],[Plant Equivalent Weightage]],"")</f>
        <v>6.4743589743589694E-2</v>
      </c>
      <c r="X1106" s="473" t="s">
        <v>290</v>
      </c>
      <c r="Y1106" s="474" t="s">
        <v>310</v>
      </c>
      <c r="Z1106" s="102">
        <v>27380</v>
      </c>
      <c r="AA1106" s="468">
        <f>(Table6[[#This Row],[Paired WTG Generation for loss calculation]]/24)*Table6[[#This Row],[Breakdown Time]]</f>
        <v>1920.4027777777769</v>
      </c>
      <c r="AB1106" s="102"/>
      <c r="AC1106" s="35"/>
      <c r="AD1106" s="35"/>
    </row>
    <row r="1107" spans="1:30">
      <c r="A1107" s="102">
        <f t="shared" si="18"/>
        <v>1106</v>
      </c>
      <c r="B1107" s="468">
        <f>YEAR(Table6[[#This Row],[Date]])+IF(MONTH(Table6[[#This Row],[Date]])&gt;=4,1,0)</f>
        <v>2026</v>
      </c>
      <c r="C1107" s="102">
        <f>YEAR(Table6[[#This Row],[Date]])</f>
        <v>2025</v>
      </c>
      <c r="D1107" s="102" t="s">
        <v>1992</v>
      </c>
      <c r="E1107" s="469">
        <f>Table6[[#This Row],[Date]]-DAY(Table6[[#This Row],[Date]])+1</f>
        <v>45809</v>
      </c>
      <c r="F1107" s="470">
        <v>45816</v>
      </c>
      <c r="G1107" s="35" t="s">
        <v>77</v>
      </c>
      <c r="H1107" s="35" t="str">
        <f>IFERROR(_xlfn.XLOOKUP(Table6[[#This Row],[Affected WTG]],'Basic Data'!$A:$A,'Basic Data'!$B:$B),"")</f>
        <v>TQGXIIPL</v>
      </c>
      <c r="I1107" s="35" t="str">
        <f>IFERROR(_xlfn.XLOOKUP(Table6[[#This Row],[Affected WTG]],'Basic Data'!$A:$A,'Basic Data'!$C:$C),"")</f>
        <v>GEDA</v>
      </c>
      <c r="J1107" s="471">
        <f>IFERROR(_xlfn.XLOOKUP(Table6[[#This Row],[Affected WTG]],'Basic Data'!$A:$A,'Basic Data'!$E:$E),"")</f>
        <v>3.846153846153845E-2</v>
      </c>
      <c r="K1107" s="102">
        <v>55</v>
      </c>
      <c r="L1107" s="35" t="str">
        <f>IFERROR(_xlfn.XLOOKUP(Table6[[#This Row],[Error Code]],'Basic Data'!$AA:$AA,'Basic Data'!$AB:$AB),"Incorrect Error Code")</f>
        <v>WTG shut down</v>
      </c>
      <c r="M1107" s="35" t="s">
        <v>1956</v>
      </c>
      <c r="N1107" s="475"/>
      <c r="O1107" s="476">
        <v>0.76736111111111116</v>
      </c>
      <c r="P1107" s="476">
        <v>0.76736111111111116</v>
      </c>
      <c r="Q1107" s="477">
        <v>0.7895833333333333</v>
      </c>
      <c r="R1107" s="472">
        <f>IF(Table6[[#This Row],[Work Start TimeStamp]]="","",(Table6[[#This Row],[Work Start TimeStamp]]-Table6[[#This Row],[Fault Start TimeStamp]])*24)</f>
        <v>0</v>
      </c>
      <c r="S1107" s="472">
        <f>(Table6[[#This Row],[Fault Clearance time]]-Table6[[#This Row],[Work Start TimeStamp]])*24</f>
        <v>0.53333333333333144</v>
      </c>
      <c r="T1107" s="472">
        <f>(Table6[[#This Row],[Fault Clearance time]]-Table6[[#This Row],[Fault Start TimeStamp]])*24</f>
        <v>0.53333333333333144</v>
      </c>
      <c r="U1107" s="35" t="s">
        <v>1948</v>
      </c>
      <c r="V1107" s="102" t="s">
        <v>293</v>
      </c>
      <c r="W1107" s="478">
        <f>IFERROR(Table6[[#This Row],[Breakdown Time]]*Table6[[#This Row],[Plant Equivalent Weightage]],"")</f>
        <v>2.0512820512820433E-2</v>
      </c>
      <c r="X1107" s="473" t="s">
        <v>290</v>
      </c>
      <c r="Y1107" s="474" t="s">
        <v>310</v>
      </c>
      <c r="Z1107" s="102">
        <v>27380</v>
      </c>
      <c r="AA1107" s="468">
        <f>(Table6[[#This Row],[Paired WTG Generation for loss calculation]]/24)*Table6[[#This Row],[Breakdown Time]]</f>
        <v>608.4444444444423</v>
      </c>
      <c r="AB1107" s="102"/>
      <c r="AC1107" s="35"/>
      <c r="AD1107" s="35"/>
    </row>
    <row r="1108" spans="1:30">
      <c r="A1108" s="102">
        <f t="shared" si="18"/>
        <v>1107</v>
      </c>
      <c r="B1108" s="468">
        <f>YEAR(Table6[[#This Row],[Date]])+IF(MONTH(Table6[[#This Row],[Date]])&gt;=4,1,0)</f>
        <v>2026</v>
      </c>
      <c r="C1108" s="102">
        <f>YEAR(Table6[[#This Row],[Date]])</f>
        <v>2025</v>
      </c>
      <c r="D1108" s="102" t="s">
        <v>1992</v>
      </c>
      <c r="E1108" s="469">
        <f>Table6[[#This Row],[Date]]-DAY(Table6[[#This Row],[Date]])+1</f>
        <v>45809</v>
      </c>
      <c r="F1108" s="470">
        <v>45816</v>
      </c>
      <c r="G1108" s="35" t="s">
        <v>77</v>
      </c>
      <c r="H1108" s="35" t="str">
        <f>IFERROR(_xlfn.XLOOKUP(Table6[[#This Row],[Affected WTG]],'Basic Data'!$A:$A,'Basic Data'!$B:$B),"")</f>
        <v>TQGXIIPL</v>
      </c>
      <c r="I1108" s="35" t="str">
        <f>IFERROR(_xlfn.XLOOKUP(Table6[[#This Row],[Affected WTG]],'Basic Data'!$A:$A,'Basic Data'!$C:$C),"")</f>
        <v>GEDA</v>
      </c>
      <c r="J1108" s="471">
        <f>IFERROR(_xlfn.XLOOKUP(Table6[[#This Row],[Affected WTG]],'Basic Data'!$A:$A,'Basic Data'!$E:$E),"")</f>
        <v>3.846153846153845E-2</v>
      </c>
      <c r="K1108" s="102">
        <v>6130</v>
      </c>
      <c r="L1108" s="35" t="str">
        <f>IFERROR(_xlfn.XLOOKUP(Table6[[#This Row],[Error Code]],'Basic Data'!$AA:$AA,'Basic Data'!$AB:$AB),"Incorrect Error Code")</f>
        <v>Yaw speed high</v>
      </c>
      <c r="M1108" s="35" t="s">
        <v>291</v>
      </c>
      <c r="N1108" s="475"/>
      <c r="O1108" s="476">
        <v>0.93472222222222223</v>
      </c>
      <c r="P1108" s="476">
        <v>0.93472222222222223</v>
      </c>
      <c r="Q1108" s="477">
        <v>0.97222222222222221</v>
      </c>
      <c r="R1108" s="472">
        <f>IF(Table6[[#This Row],[Work Start TimeStamp]]="","",(Table6[[#This Row],[Work Start TimeStamp]]-Table6[[#This Row],[Fault Start TimeStamp]])*24)</f>
        <v>0</v>
      </c>
      <c r="S1108" s="472">
        <f>(Table6[[#This Row],[Fault Clearance time]]-Table6[[#This Row],[Work Start TimeStamp]])*24</f>
        <v>0.89999999999999947</v>
      </c>
      <c r="T1108" s="472">
        <f>(Table6[[#This Row],[Fault Clearance time]]-Table6[[#This Row],[Fault Start TimeStamp]])*24</f>
        <v>0.89999999999999947</v>
      </c>
      <c r="U1108" s="35" t="s">
        <v>1924</v>
      </c>
      <c r="V1108" s="102" t="s">
        <v>293</v>
      </c>
      <c r="W1108" s="478">
        <f>IFERROR(Table6[[#This Row],[Breakdown Time]]*Table6[[#This Row],[Plant Equivalent Weightage]],"")</f>
        <v>3.4615384615384583E-2</v>
      </c>
      <c r="X1108" s="473" t="s">
        <v>294</v>
      </c>
      <c r="Y1108" s="474" t="s">
        <v>310</v>
      </c>
      <c r="Z1108" s="102">
        <v>27380</v>
      </c>
      <c r="AA1108" s="468">
        <f>(Table6[[#This Row],[Paired WTG Generation for loss calculation]]/24)*Table6[[#This Row],[Breakdown Time]]</f>
        <v>1026.7499999999993</v>
      </c>
      <c r="AB1108" s="102"/>
      <c r="AC1108" s="35"/>
      <c r="AD1108" s="35"/>
    </row>
    <row r="1109" spans="1:30">
      <c r="A1109" s="102">
        <f t="shared" si="18"/>
        <v>1108</v>
      </c>
      <c r="B1109" s="468">
        <f>YEAR(Table6[[#This Row],[Date]])+IF(MONTH(Table6[[#This Row],[Date]])&gt;=4,1,0)</f>
        <v>2026</v>
      </c>
      <c r="C1109" s="102">
        <f>YEAR(Table6[[#This Row],[Date]])</f>
        <v>2025</v>
      </c>
      <c r="D1109" s="102" t="s">
        <v>1992</v>
      </c>
      <c r="E1109" s="469">
        <f>Table6[[#This Row],[Date]]-DAY(Table6[[#This Row],[Date]])+1</f>
        <v>45809</v>
      </c>
      <c r="F1109" s="470">
        <v>45816</v>
      </c>
      <c r="G1109" s="35" t="s">
        <v>79</v>
      </c>
      <c r="H1109" s="35" t="str">
        <f>IFERROR(_xlfn.XLOOKUP(Table6[[#This Row],[Affected WTG]],'Basic Data'!$A:$A,'Basic Data'!$B:$B),"")</f>
        <v>TQGXIIPL</v>
      </c>
      <c r="I1109" s="35" t="str">
        <f>IFERROR(_xlfn.XLOOKUP(Table6[[#This Row],[Affected WTG]],'Basic Data'!$A:$A,'Basic Data'!$C:$C),"")</f>
        <v>GEDA</v>
      </c>
      <c r="J1109" s="471">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291</v>
      </c>
      <c r="N1109" s="475"/>
      <c r="O1109" s="476">
        <v>0.51527777777777772</v>
      </c>
      <c r="P1109" s="476">
        <v>0.51527777777777772</v>
      </c>
      <c r="Q1109" s="477">
        <v>0.51736111111111116</v>
      </c>
      <c r="R1109" s="472">
        <f>IF(Table6[[#This Row],[Work Start TimeStamp]]="","",(Table6[[#This Row],[Work Start TimeStamp]]-Table6[[#This Row],[Fault Start TimeStamp]])*24)</f>
        <v>0</v>
      </c>
      <c r="S1109" s="472">
        <f>(Table6[[#This Row],[Fault Clearance time]]-Table6[[#This Row],[Work Start TimeStamp]])*24</f>
        <v>5.0000000000002487E-2</v>
      </c>
      <c r="T1109" s="472">
        <f>(Table6[[#This Row],[Fault Clearance time]]-Table6[[#This Row],[Fault Start TimeStamp]])*24</f>
        <v>5.0000000000002487E-2</v>
      </c>
      <c r="U1109" s="35" t="s">
        <v>1924</v>
      </c>
      <c r="V1109" s="102" t="s">
        <v>293</v>
      </c>
      <c r="W1109" s="478">
        <f>IFERROR(Table6[[#This Row],[Breakdown Time]]*Table6[[#This Row],[Plant Equivalent Weightage]],"")</f>
        <v>1.9230769230770182E-3</v>
      </c>
      <c r="X1109" s="473" t="s">
        <v>294</v>
      </c>
      <c r="Y1109" s="474" t="s">
        <v>325</v>
      </c>
      <c r="Z1109" s="102">
        <v>29442</v>
      </c>
      <c r="AA1109" s="468">
        <f>(Table6[[#This Row],[Paired WTG Generation for loss calculation]]/24)*Table6[[#This Row],[Breakdown Time]]</f>
        <v>61.337500000003054</v>
      </c>
      <c r="AB1109" s="102"/>
      <c r="AC1109" s="35"/>
      <c r="AD1109" s="35"/>
    </row>
    <row r="1110" spans="1:30">
      <c r="A1110" s="102">
        <f t="shared" si="18"/>
        <v>1109</v>
      </c>
      <c r="B1110" s="468">
        <f>YEAR(Table6[[#This Row],[Date]])+IF(MONTH(Table6[[#This Row],[Date]])&gt;=4,1,0)</f>
        <v>2026</v>
      </c>
      <c r="C1110" s="102">
        <f>YEAR(Table6[[#This Row],[Date]])</f>
        <v>2025</v>
      </c>
      <c r="D1110" s="102" t="s">
        <v>1992</v>
      </c>
      <c r="E1110" s="469">
        <f>Table6[[#This Row],[Date]]-DAY(Table6[[#This Row],[Date]])+1</f>
        <v>45809</v>
      </c>
      <c r="F1110" s="470">
        <v>45816</v>
      </c>
      <c r="G1110" s="35" t="s">
        <v>80</v>
      </c>
      <c r="H1110" s="35" t="str">
        <f>IFERROR(_xlfn.XLOOKUP(Table6[[#This Row],[Affected WTG]],'Basic Data'!$A:$A,'Basic Data'!$B:$B),"")</f>
        <v>TQGXIIPL</v>
      </c>
      <c r="I1110" s="35" t="str">
        <f>IFERROR(_xlfn.XLOOKUP(Table6[[#This Row],[Affected WTG]],'Basic Data'!$A:$A,'Basic Data'!$C:$C),"")</f>
        <v>GEDA</v>
      </c>
      <c r="J1110" s="471">
        <f>IFERROR(_xlfn.XLOOKUP(Table6[[#This Row],[Affected WTG]],'Basic Data'!$A:$A,'Basic Data'!$E:$E),"")</f>
        <v>3.846153846153845E-2</v>
      </c>
      <c r="K1110" s="102">
        <v>55</v>
      </c>
      <c r="L1110" s="35" t="str">
        <f>IFERROR(_xlfn.XLOOKUP(Table6[[#This Row],[Error Code]],'Basic Data'!$AA:$AA,'Basic Data'!$AB:$AB),"Incorrect Error Code")</f>
        <v>WTG shut down</v>
      </c>
      <c r="M1110" s="35" t="s">
        <v>1956</v>
      </c>
      <c r="N1110" s="475"/>
      <c r="O1110" s="476">
        <v>0.37152777777777779</v>
      </c>
      <c r="P1110" s="476">
        <v>0.37152777777777779</v>
      </c>
      <c r="Q1110" s="477">
        <v>0.78888888888888886</v>
      </c>
      <c r="R1110" s="472">
        <f>IF(Table6[[#This Row],[Work Start TimeStamp]]="","",(Table6[[#This Row],[Work Start TimeStamp]]-Table6[[#This Row],[Fault Start TimeStamp]])*24)</f>
        <v>0</v>
      </c>
      <c r="S1110" s="472">
        <f>(Table6[[#This Row],[Fault Clearance time]]-Table6[[#This Row],[Work Start TimeStamp]])*24</f>
        <v>10.016666666666666</v>
      </c>
      <c r="T1110" s="472">
        <f>(Table6[[#This Row],[Fault Clearance time]]-Table6[[#This Row],[Fault Start TimeStamp]])*24</f>
        <v>10.016666666666666</v>
      </c>
      <c r="U1110" s="35" t="s">
        <v>1948</v>
      </c>
      <c r="V1110" s="102" t="s">
        <v>293</v>
      </c>
      <c r="W1110" s="478">
        <f>IFERROR(Table6[[#This Row],[Breakdown Time]]*Table6[[#This Row],[Plant Equivalent Weightage]],"")</f>
        <v>0.38525641025641011</v>
      </c>
      <c r="X1110" s="473" t="s">
        <v>290</v>
      </c>
      <c r="Y1110" s="474" t="s">
        <v>317</v>
      </c>
      <c r="Z1110" s="102">
        <v>31181</v>
      </c>
      <c r="AA1110" s="468">
        <f>(Table6[[#This Row],[Paired WTG Generation for loss calculation]]/24)*Table6[[#This Row],[Breakdown Time]]</f>
        <v>13013.736805555554</v>
      </c>
      <c r="AB1110" s="102"/>
      <c r="AC1110" s="35"/>
      <c r="AD1110" s="35"/>
    </row>
    <row r="1111" spans="1:30">
      <c r="A1111" s="102">
        <f t="shared" si="18"/>
        <v>1110</v>
      </c>
      <c r="B1111" s="468">
        <f>YEAR(Table6[[#This Row],[Date]])+IF(MONTH(Table6[[#This Row],[Date]])&gt;=4,1,0)</f>
        <v>2026</v>
      </c>
      <c r="C1111" s="102">
        <f>YEAR(Table6[[#This Row],[Date]])</f>
        <v>2025</v>
      </c>
      <c r="D1111" s="102" t="s">
        <v>1992</v>
      </c>
      <c r="E1111" s="469">
        <f>Table6[[#This Row],[Date]]-DAY(Table6[[#This Row],[Date]])+1</f>
        <v>45809</v>
      </c>
      <c r="F1111" s="470">
        <v>45816</v>
      </c>
      <c r="G1111" s="35" t="s">
        <v>81</v>
      </c>
      <c r="H1111" s="35" t="str">
        <f>IFERROR(_xlfn.XLOOKUP(Table6[[#This Row],[Affected WTG]],'Basic Data'!$A:$A,'Basic Data'!$B:$B),"")</f>
        <v>TQGXIIPL</v>
      </c>
      <c r="I1111" s="35" t="str">
        <f>IFERROR(_xlfn.XLOOKUP(Table6[[#This Row],[Affected WTG]],'Basic Data'!$A:$A,'Basic Data'!$C:$C),"")</f>
        <v>GEDA</v>
      </c>
      <c r="J1111" s="471">
        <f>IFERROR(_xlfn.XLOOKUP(Table6[[#This Row],[Affected WTG]],'Basic Data'!$A:$A,'Basic Data'!$E:$E),"")</f>
        <v>3.846153846153845E-2</v>
      </c>
      <c r="K1111" s="102">
        <v>175</v>
      </c>
      <c r="L1111" s="35" t="str">
        <f>IFERROR(_xlfn.XLOOKUP(Table6[[#This Row],[Error Code]],'Basic Data'!$AA:$AA,'Basic Data'!$AB:$AB),"Incorrect Error Code")</f>
        <v>SLC error</v>
      </c>
      <c r="M1111" s="35" t="s">
        <v>291</v>
      </c>
      <c r="N1111" s="475"/>
      <c r="O1111" s="476">
        <v>0.48194444444444445</v>
      </c>
      <c r="P1111" s="476">
        <v>0.48194444444444445</v>
      </c>
      <c r="Q1111" s="477">
        <v>0.49791666666666667</v>
      </c>
      <c r="R1111" s="472">
        <f>IF(Table6[[#This Row],[Work Start TimeStamp]]="","",(Table6[[#This Row],[Work Start TimeStamp]]-Table6[[#This Row],[Fault Start TimeStamp]])*24)</f>
        <v>0</v>
      </c>
      <c r="S1111" s="472">
        <f>(Table6[[#This Row],[Fault Clearance time]]-Table6[[#This Row],[Work Start TimeStamp]])*24</f>
        <v>0.3833333333333333</v>
      </c>
      <c r="T1111" s="472">
        <f>(Table6[[#This Row],[Fault Clearance time]]-Table6[[#This Row],[Fault Start TimeStamp]])*24</f>
        <v>0.3833333333333333</v>
      </c>
      <c r="U1111" s="35" t="s">
        <v>1924</v>
      </c>
      <c r="V1111" s="102" t="s">
        <v>293</v>
      </c>
      <c r="W1111" s="478">
        <f>IFERROR(Table6[[#This Row],[Breakdown Time]]*Table6[[#This Row],[Plant Equivalent Weightage]],"")</f>
        <v>1.4743589743589738E-2</v>
      </c>
      <c r="X1111" s="473" t="s">
        <v>294</v>
      </c>
      <c r="Y1111" s="474" t="s">
        <v>321</v>
      </c>
      <c r="Z1111" s="102">
        <v>31644</v>
      </c>
      <c r="AA1111" s="468">
        <f>(Table6[[#This Row],[Paired WTG Generation for loss calculation]]/24)*Table6[[#This Row],[Breakdown Time]]</f>
        <v>505.42499999999995</v>
      </c>
      <c r="AB1111" s="102"/>
      <c r="AC1111" s="35"/>
      <c r="AD1111" s="35"/>
    </row>
    <row r="1112" spans="1:30">
      <c r="A1112" s="102">
        <f t="shared" si="18"/>
        <v>1111</v>
      </c>
      <c r="B1112" s="468">
        <f>YEAR(Table6[[#This Row],[Date]])+IF(MONTH(Table6[[#This Row],[Date]])&gt;=4,1,0)</f>
        <v>2026</v>
      </c>
      <c r="C1112" s="102">
        <f>YEAR(Table6[[#This Row],[Date]])</f>
        <v>2025</v>
      </c>
      <c r="D1112" s="102" t="s">
        <v>1992</v>
      </c>
      <c r="E1112" s="469">
        <f>Table6[[#This Row],[Date]]-DAY(Table6[[#This Row],[Date]])+1</f>
        <v>45809</v>
      </c>
      <c r="F1112" s="470">
        <v>45816</v>
      </c>
      <c r="G1112" s="35" t="s">
        <v>83</v>
      </c>
      <c r="H1112" s="35" t="str">
        <f>IFERROR(_xlfn.XLOOKUP(Table6[[#This Row],[Affected WTG]],'Basic Data'!$A:$A,'Basic Data'!$B:$B),"")</f>
        <v>TQGXIIPL</v>
      </c>
      <c r="I1112" s="35" t="str">
        <f>IFERROR(_xlfn.XLOOKUP(Table6[[#This Row],[Affected WTG]],'Basic Data'!$A:$A,'Basic Data'!$C:$C),"")</f>
        <v>GEDA</v>
      </c>
      <c r="J1112" s="471">
        <f>IFERROR(_xlfn.XLOOKUP(Table6[[#This Row],[Affected WTG]],'Basic Data'!$A:$A,'Basic Data'!$E:$E),"")</f>
        <v>3.846153846153845E-2</v>
      </c>
      <c r="K1112" s="102">
        <v>3110</v>
      </c>
      <c r="L1112" s="35" t="str">
        <f>IFERROR(_xlfn.XLOOKUP(Table6[[#This Row],[Error Code]],'Basic Data'!$AA:$AA,'Basic Data'!$AB:$AB),"Incorrect Error Code")</f>
        <v>Frequency converter error</v>
      </c>
      <c r="M1112" s="35" t="s">
        <v>291</v>
      </c>
      <c r="N1112" s="475"/>
      <c r="O1112" s="476">
        <v>0.84305555555555556</v>
      </c>
      <c r="P1112" s="476">
        <v>0.84305555555555556</v>
      </c>
      <c r="Q1112" s="477">
        <v>0.84722222222222221</v>
      </c>
      <c r="R1112" s="472">
        <f>IF(Table6[[#This Row],[Work Start TimeStamp]]="","",(Table6[[#This Row],[Work Start TimeStamp]]-Table6[[#This Row],[Fault Start TimeStamp]])*24)</f>
        <v>0</v>
      </c>
      <c r="S1112" s="472">
        <f>(Table6[[#This Row],[Fault Clearance time]]-Table6[[#This Row],[Work Start TimeStamp]])*24</f>
        <v>9.9999999999999645E-2</v>
      </c>
      <c r="T1112" s="472">
        <f>(Table6[[#This Row],[Fault Clearance time]]-Table6[[#This Row],[Fault Start TimeStamp]])*24</f>
        <v>9.9999999999999645E-2</v>
      </c>
      <c r="U1112" s="35" t="s">
        <v>1924</v>
      </c>
      <c r="V1112" s="102" t="s">
        <v>293</v>
      </c>
      <c r="W1112" s="478">
        <f>IFERROR(Table6[[#This Row],[Breakdown Time]]*Table6[[#This Row],[Plant Equivalent Weightage]],"")</f>
        <v>3.8461538461538312E-3</v>
      </c>
      <c r="X1112" s="473" t="s">
        <v>294</v>
      </c>
      <c r="Y1112" s="474" t="s">
        <v>312</v>
      </c>
      <c r="Z1112" s="102">
        <v>29849</v>
      </c>
      <c r="AA1112" s="468">
        <f>(Table6[[#This Row],[Paired WTG Generation for loss calculation]]/24)*Table6[[#This Row],[Breakdown Time]]</f>
        <v>124.37083333333288</v>
      </c>
      <c r="AB1112" s="102"/>
      <c r="AC1112" s="35"/>
      <c r="AD1112" s="35"/>
    </row>
    <row r="1113" spans="1:30">
      <c r="A1113" s="102">
        <f t="shared" si="18"/>
        <v>1112</v>
      </c>
      <c r="B1113" s="468">
        <f>YEAR(Table6[[#This Row],[Date]])+IF(MONTH(Table6[[#This Row],[Date]])&gt;=4,1,0)</f>
        <v>2026</v>
      </c>
      <c r="C1113" s="102">
        <f>YEAR(Table6[[#This Row],[Date]])</f>
        <v>2025</v>
      </c>
      <c r="D1113" s="102" t="s">
        <v>1992</v>
      </c>
      <c r="E1113" s="469">
        <f>Table6[[#This Row],[Date]]-DAY(Table6[[#This Row],[Date]])+1</f>
        <v>45809</v>
      </c>
      <c r="F1113" s="470">
        <v>45816</v>
      </c>
      <c r="G1113" s="35" t="s">
        <v>83</v>
      </c>
      <c r="H1113" s="35" t="str">
        <f>IFERROR(_xlfn.XLOOKUP(Table6[[#This Row],[Affected WTG]],'Basic Data'!$A:$A,'Basic Data'!$B:$B),"")</f>
        <v>TQGXIIPL</v>
      </c>
      <c r="I1113" s="35" t="str">
        <f>IFERROR(_xlfn.XLOOKUP(Table6[[#This Row],[Affected WTG]],'Basic Data'!$A:$A,'Basic Data'!$C:$C),"")</f>
        <v>GEDA</v>
      </c>
      <c r="J1113" s="471">
        <f>IFERROR(_xlfn.XLOOKUP(Table6[[#This Row],[Affected WTG]],'Basic Data'!$A:$A,'Basic Data'!$E:$E),"")</f>
        <v>3.846153846153845E-2</v>
      </c>
      <c r="K1113" s="102">
        <v>3110</v>
      </c>
      <c r="L1113" s="35" t="str">
        <f>IFERROR(_xlfn.XLOOKUP(Table6[[#This Row],[Error Code]],'Basic Data'!$AA:$AA,'Basic Data'!$AB:$AB),"Incorrect Error Code")</f>
        <v>Frequency converter error</v>
      </c>
      <c r="M1113" s="35" t="s">
        <v>291</v>
      </c>
      <c r="N1113" s="475"/>
      <c r="O1113" s="476">
        <v>0.86736111111111114</v>
      </c>
      <c r="P1113" s="476">
        <v>0.86736111111111114</v>
      </c>
      <c r="Q1113" s="477">
        <v>0.89583333333333337</v>
      </c>
      <c r="R1113" s="472">
        <f>IF(Table6[[#This Row],[Work Start TimeStamp]]="","",(Table6[[#This Row],[Work Start TimeStamp]]-Table6[[#This Row],[Fault Start TimeStamp]])*24)</f>
        <v>0</v>
      </c>
      <c r="S1113" s="472">
        <f>(Table6[[#This Row],[Fault Clearance time]]-Table6[[#This Row],[Work Start TimeStamp]])*24</f>
        <v>0.68333333333333357</v>
      </c>
      <c r="T1113" s="472">
        <f>(Table6[[#This Row],[Fault Clearance time]]-Table6[[#This Row],[Fault Start TimeStamp]])*24</f>
        <v>0.68333333333333357</v>
      </c>
      <c r="U1113" s="35" t="s">
        <v>1950</v>
      </c>
      <c r="V1113" s="102" t="s">
        <v>293</v>
      </c>
      <c r="W1113" s="478">
        <f>IFERROR(Table6[[#This Row],[Breakdown Time]]*Table6[[#This Row],[Plant Equivalent Weightage]],"")</f>
        <v>2.6282051282051282E-2</v>
      </c>
      <c r="X1113" s="473" t="s">
        <v>294</v>
      </c>
      <c r="Y1113" s="474" t="s">
        <v>312</v>
      </c>
      <c r="Z1113" s="102">
        <v>29849</v>
      </c>
      <c r="AA1113" s="468">
        <f>(Table6[[#This Row],[Paired WTG Generation for loss calculation]]/24)*Table6[[#This Row],[Breakdown Time]]</f>
        <v>849.86736111111134</v>
      </c>
      <c r="AB1113" s="102"/>
      <c r="AC1113" s="35"/>
      <c r="AD1113" s="35"/>
    </row>
    <row r="1114" spans="1:30">
      <c r="A1114" s="102">
        <f t="shared" si="18"/>
        <v>1113</v>
      </c>
      <c r="B1114" s="468">
        <f>YEAR(Table6[[#This Row],[Date]])+IF(MONTH(Table6[[#This Row],[Date]])&gt;=4,1,0)</f>
        <v>2026</v>
      </c>
      <c r="C1114" s="102">
        <f>YEAR(Table6[[#This Row],[Date]])</f>
        <v>2025</v>
      </c>
      <c r="D1114" s="102" t="s">
        <v>1992</v>
      </c>
      <c r="E1114" s="469">
        <f>Table6[[#This Row],[Date]]-DAY(Table6[[#This Row],[Date]])+1</f>
        <v>45809</v>
      </c>
      <c r="F1114" s="470">
        <v>45816</v>
      </c>
      <c r="G1114" s="35" t="s">
        <v>83</v>
      </c>
      <c r="H1114" s="35" t="str">
        <f>IFERROR(_xlfn.XLOOKUP(Table6[[#This Row],[Affected WTG]],'Basic Data'!$A:$A,'Basic Data'!$B:$B),"")</f>
        <v>TQGXIIPL</v>
      </c>
      <c r="I1114" s="35" t="str">
        <f>IFERROR(_xlfn.XLOOKUP(Table6[[#This Row],[Affected WTG]],'Basic Data'!$A:$A,'Basic Data'!$C:$C),"")</f>
        <v>GEDA</v>
      </c>
      <c r="J1114" s="471">
        <f>IFERROR(_xlfn.XLOOKUP(Table6[[#This Row],[Affected WTG]],'Basic Data'!$A:$A,'Basic Data'!$E:$E),"")</f>
        <v>3.846153846153845E-2</v>
      </c>
      <c r="K1114" s="102">
        <v>3110</v>
      </c>
      <c r="L1114" s="35" t="str">
        <f>IFERROR(_xlfn.XLOOKUP(Table6[[#This Row],[Error Code]],'Basic Data'!$AA:$AA,'Basic Data'!$AB:$AB),"Incorrect Error Code")</f>
        <v>Frequency converter error</v>
      </c>
      <c r="M1114" s="35" t="s">
        <v>291</v>
      </c>
      <c r="N1114" s="475"/>
      <c r="O1114" s="476">
        <v>0.90277777777777779</v>
      </c>
      <c r="P1114" s="476">
        <v>0.93055555555555558</v>
      </c>
      <c r="Q1114" s="477">
        <v>0.96736111111111112</v>
      </c>
      <c r="R1114" s="472">
        <f>IF(Table6[[#This Row],[Work Start TimeStamp]]="","",(Table6[[#This Row],[Work Start TimeStamp]]-Table6[[#This Row],[Fault Start TimeStamp]])*24)</f>
        <v>0.66666666666666696</v>
      </c>
      <c r="S1114" s="472">
        <f>(Table6[[#This Row],[Fault Clearance time]]-Table6[[#This Row],[Work Start TimeStamp]])*24</f>
        <v>0.88333333333333286</v>
      </c>
      <c r="T1114" s="472">
        <f>(Table6[[#This Row],[Fault Clearance time]]-Table6[[#This Row],[Fault Start TimeStamp]])*24</f>
        <v>1.5499999999999998</v>
      </c>
      <c r="U1114" s="35" t="s">
        <v>1951</v>
      </c>
      <c r="V1114" s="102" t="s">
        <v>293</v>
      </c>
      <c r="W1114" s="478">
        <f>IFERROR(Table6[[#This Row],[Breakdown Time]]*Table6[[#This Row],[Plant Equivalent Weightage]],"")</f>
        <v>5.9615384615384591E-2</v>
      </c>
      <c r="X1114" s="473" t="s">
        <v>290</v>
      </c>
      <c r="Y1114" s="474" t="s">
        <v>312</v>
      </c>
      <c r="Z1114" s="102">
        <v>29849</v>
      </c>
      <c r="AA1114" s="468">
        <f>(Table6[[#This Row],[Paired WTG Generation for loss calculation]]/24)*Table6[[#This Row],[Breakdown Time]]</f>
        <v>1927.7479166666662</v>
      </c>
      <c r="AB1114" s="102"/>
      <c r="AC1114" s="35"/>
      <c r="AD1114" s="35"/>
    </row>
    <row r="1115" spans="1:30">
      <c r="A1115" s="102">
        <f t="shared" si="18"/>
        <v>1114</v>
      </c>
      <c r="B1115" s="468">
        <f>YEAR(Table6[[#This Row],[Date]])+IF(MONTH(Table6[[#This Row],[Date]])&gt;=4,1,0)</f>
        <v>2026</v>
      </c>
      <c r="C1115" s="102">
        <f>YEAR(Table6[[#This Row],[Date]])</f>
        <v>2025</v>
      </c>
      <c r="D1115" s="102" t="s">
        <v>1992</v>
      </c>
      <c r="E1115" s="469">
        <f>Table6[[#This Row],[Date]]-DAY(Table6[[#This Row],[Date]])+1</f>
        <v>45809</v>
      </c>
      <c r="F1115" s="470">
        <v>45816</v>
      </c>
      <c r="G1115" s="35" t="s">
        <v>89</v>
      </c>
      <c r="H1115" s="35" t="str">
        <f>IFERROR(_xlfn.XLOOKUP(Table6[[#This Row],[Affected WTG]],'Basic Data'!$A:$A,'Basic Data'!$B:$B),"")</f>
        <v>TQGXIIPL</v>
      </c>
      <c r="I1115" s="35" t="str">
        <f>IFERROR(_xlfn.XLOOKUP(Table6[[#This Row],[Affected WTG]],'Basic Data'!$A:$A,'Basic Data'!$C:$C),"")</f>
        <v>GEDA</v>
      </c>
      <c r="J1115" s="471">
        <f>IFERROR(_xlfn.XLOOKUP(Table6[[#This Row],[Affected WTG]],'Basic Data'!$A:$A,'Basic Data'!$E:$E),"")</f>
        <v>3.846153846153845E-2</v>
      </c>
      <c r="K1115" s="102">
        <v>558</v>
      </c>
      <c r="L1115" s="35" t="str">
        <f>IFERROR(_xlfn.XLOOKUP(Table6[[#This Row],[Error Code]],'Basic Data'!$AA:$AA,'Basic Data'!$AB:$AB),"Incorrect Error Code")</f>
        <v>Pitch deviation Pitch Back</v>
      </c>
      <c r="M1115" s="35" t="s">
        <v>295</v>
      </c>
      <c r="N1115" s="475"/>
      <c r="O1115" s="476">
        <v>0.42986111111111114</v>
      </c>
      <c r="P1115" s="476">
        <v>0.45833333333333331</v>
      </c>
      <c r="Q1115" s="477">
        <v>0.7104166666666667</v>
      </c>
      <c r="R1115" s="472">
        <f>IF(Table6[[#This Row],[Work Start TimeStamp]]="","",(Table6[[#This Row],[Work Start TimeStamp]]-Table6[[#This Row],[Fault Start TimeStamp]])*24)</f>
        <v>0.68333333333333224</v>
      </c>
      <c r="S1115" s="472">
        <f>(Table6[[#This Row],[Fault Clearance time]]-Table6[[#This Row],[Work Start TimeStamp]])*24</f>
        <v>6.0500000000000007</v>
      </c>
      <c r="T1115" s="472">
        <f>(Table6[[#This Row],[Fault Clearance time]]-Table6[[#This Row],[Fault Start TimeStamp]])*24</f>
        <v>6.7333333333333334</v>
      </c>
      <c r="U1115" s="35" t="s">
        <v>1952</v>
      </c>
      <c r="V1115" s="102" t="s">
        <v>293</v>
      </c>
      <c r="W1115" s="478">
        <f>IFERROR(Table6[[#This Row],[Breakdown Time]]*Table6[[#This Row],[Plant Equivalent Weightage]],"")</f>
        <v>0.25897435897435889</v>
      </c>
      <c r="X1115" s="473" t="s">
        <v>290</v>
      </c>
      <c r="Y1115" s="474" t="s">
        <v>325</v>
      </c>
      <c r="Z1115" s="102">
        <v>29442</v>
      </c>
      <c r="AA1115" s="468">
        <f>(Table6[[#This Row],[Paired WTG Generation for loss calculation]]/24)*Table6[[#This Row],[Breakdown Time]]</f>
        <v>8260.1166666666668</v>
      </c>
      <c r="AB1115" s="102"/>
      <c r="AC1115" s="35"/>
      <c r="AD1115" s="35"/>
    </row>
    <row r="1116" spans="1:30">
      <c r="A1116" s="102">
        <f t="shared" si="18"/>
        <v>1115</v>
      </c>
      <c r="B1116" s="468">
        <f>YEAR(Table6[[#This Row],[Date]])+IF(MONTH(Table6[[#This Row],[Date]])&gt;=4,1,0)</f>
        <v>2026</v>
      </c>
      <c r="C1116" s="102">
        <f>YEAR(Table6[[#This Row],[Date]])</f>
        <v>2025</v>
      </c>
      <c r="D1116" s="102" t="s">
        <v>1992</v>
      </c>
      <c r="E1116" s="469">
        <f>Table6[[#This Row],[Date]]-DAY(Table6[[#This Row],[Date]])+1</f>
        <v>45809</v>
      </c>
      <c r="F1116" s="470">
        <v>45816</v>
      </c>
      <c r="G1116" s="35" t="s">
        <v>92</v>
      </c>
      <c r="H1116" s="35" t="str">
        <f>IFERROR(_xlfn.XLOOKUP(Table6[[#This Row],[Affected WTG]],'Basic Data'!$A:$A,'Basic Data'!$B:$B),"")</f>
        <v>TQGXIIPL</v>
      </c>
      <c r="I1116" s="35" t="str">
        <f>IFERROR(_xlfn.XLOOKUP(Table6[[#This Row],[Affected WTG]],'Basic Data'!$A:$A,'Basic Data'!$C:$C),"")</f>
        <v>GEDA</v>
      </c>
      <c r="J1116" s="471">
        <f>IFERROR(_xlfn.XLOOKUP(Table6[[#This Row],[Affected WTG]],'Basic Data'!$A:$A,'Basic Data'!$E:$E),"")</f>
        <v>3.846153846153845E-2</v>
      </c>
      <c r="K1116" s="102">
        <v>55</v>
      </c>
      <c r="L1116" s="35" t="str">
        <f>IFERROR(_xlfn.XLOOKUP(Table6[[#This Row],[Error Code]],'Basic Data'!$AA:$AA,'Basic Data'!$AB:$AB),"Incorrect Error Code")</f>
        <v>WTG shut down</v>
      </c>
      <c r="M1116" s="35" t="s">
        <v>1956</v>
      </c>
      <c r="N1116" s="475"/>
      <c r="O1116" s="476">
        <v>0.37152777777777779</v>
      </c>
      <c r="P1116" s="476">
        <v>0.37152777777777779</v>
      </c>
      <c r="Q1116" s="477">
        <v>0.43333333333333335</v>
      </c>
      <c r="R1116" s="472">
        <f>IF(Table6[[#This Row],[Work Start TimeStamp]]="","",(Table6[[#This Row],[Work Start TimeStamp]]-Table6[[#This Row],[Fault Start TimeStamp]])*24)</f>
        <v>0</v>
      </c>
      <c r="S1116" s="472">
        <f>(Table6[[#This Row],[Fault Clearance time]]-Table6[[#This Row],[Work Start TimeStamp]])*24</f>
        <v>1.4833333333333334</v>
      </c>
      <c r="T1116" s="472">
        <f>(Table6[[#This Row],[Fault Clearance time]]-Table6[[#This Row],[Fault Start TimeStamp]])*24</f>
        <v>1.4833333333333334</v>
      </c>
      <c r="U1116" s="35" t="s">
        <v>1948</v>
      </c>
      <c r="V1116" s="102" t="s">
        <v>293</v>
      </c>
      <c r="W1116" s="478">
        <f>IFERROR(Table6[[#This Row],[Breakdown Time]]*Table6[[#This Row],[Plant Equivalent Weightage]],"")</f>
        <v>5.7051282051282036E-2</v>
      </c>
      <c r="X1116" s="473" t="s">
        <v>290</v>
      </c>
      <c r="Y1116" s="474" t="s">
        <v>310</v>
      </c>
      <c r="Z1116" s="102">
        <v>27380</v>
      </c>
      <c r="AA1116" s="468">
        <f>(Table6[[#This Row],[Paired WTG Generation for loss calculation]]/24)*Table6[[#This Row],[Breakdown Time]]</f>
        <v>1692.2361111111111</v>
      </c>
      <c r="AB1116" s="102"/>
      <c r="AC1116" s="35"/>
      <c r="AD1116" s="35"/>
    </row>
    <row r="1117" spans="1:30">
      <c r="A1117" s="102">
        <f t="shared" si="18"/>
        <v>1116</v>
      </c>
      <c r="B1117" s="468">
        <f>YEAR(Table6[[#This Row],[Date]])+IF(MONTH(Table6[[#This Row],[Date]])&gt;=4,1,0)</f>
        <v>2026</v>
      </c>
      <c r="C1117" s="102">
        <f>YEAR(Table6[[#This Row],[Date]])</f>
        <v>2025</v>
      </c>
      <c r="D1117" s="102" t="s">
        <v>1992</v>
      </c>
      <c r="E1117" s="469">
        <f>Table6[[#This Row],[Date]]-DAY(Table6[[#This Row],[Date]])+1</f>
        <v>45809</v>
      </c>
      <c r="F1117" s="470">
        <v>45816</v>
      </c>
      <c r="G1117" s="35" t="s">
        <v>92</v>
      </c>
      <c r="H1117" s="35" t="str">
        <f>IFERROR(_xlfn.XLOOKUP(Table6[[#This Row],[Affected WTG]],'Basic Data'!$A:$A,'Basic Data'!$B:$B),"")</f>
        <v>TQGXIIPL</v>
      </c>
      <c r="I1117" s="35" t="str">
        <f>IFERROR(_xlfn.XLOOKUP(Table6[[#This Row],[Affected WTG]],'Basic Data'!$A:$A,'Basic Data'!$C:$C),"")</f>
        <v>GEDA</v>
      </c>
      <c r="J1117" s="471">
        <f>IFERROR(_xlfn.XLOOKUP(Table6[[#This Row],[Affected WTG]],'Basic Data'!$A:$A,'Basic Data'!$E:$E),"")</f>
        <v>3.846153846153845E-2</v>
      </c>
      <c r="K1117" s="102">
        <v>55</v>
      </c>
      <c r="L1117" s="35" t="str">
        <f>IFERROR(_xlfn.XLOOKUP(Table6[[#This Row],[Error Code]],'Basic Data'!$AA:$AA,'Basic Data'!$AB:$AB),"Incorrect Error Code")</f>
        <v>WTG shut down</v>
      </c>
      <c r="M1117" s="35" t="s">
        <v>1956</v>
      </c>
      <c r="N1117" s="475"/>
      <c r="O1117" s="476">
        <v>0.76597222222222228</v>
      </c>
      <c r="P1117" s="476">
        <v>0.76597222222222228</v>
      </c>
      <c r="Q1117" s="477">
        <v>0.78819444444444442</v>
      </c>
      <c r="R1117" s="472">
        <f>IF(Table6[[#This Row],[Work Start TimeStamp]]="","",(Table6[[#This Row],[Work Start TimeStamp]]-Table6[[#This Row],[Fault Start TimeStamp]])*24)</f>
        <v>0</v>
      </c>
      <c r="S1117" s="472">
        <f>(Table6[[#This Row],[Fault Clearance time]]-Table6[[#This Row],[Work Start TimeStamp]])*24</f>
        <v>0.53333333333333144</v>
      </c>
      <c r="T1117" s="472">
        <f>(Table6[[#This Row],[Fault Clearance time]]-Table6[[#This Row],[Fault Start TimeStamp]])*24</f>
        <v>0.53333333333333144</v>
      </c>
      <c r="U1117" s="35" t="s">
        <v>1948</v>
      </c>
      <c r="V1117" s="102" t="s">
        <v>293</v>
      </c>
      <c r="W1117" s="478">
        <f>IFERROR(Table6[[#This Row],[Breakdown Time]]*Table6[[#This Row],[Plant Equivalent Weightage]],"")</f>
        <v>2.0512820512820433E-2</v>
      </c>
      <c r="X1117" s="473" t="s">
        <v>290</v>
      </c>
      <c r="Y1117" s="474" t="s">
        <v>310</v>
      </c>
      <c r="Z1117" s="102">
        <v>27380</v>
      </c>
      <c r="AA1117" s="468">
        <f>(Table6[[#This Row],[Paired WTG Generation for loss calculation]]/24)*Table6[[#This Row],[Breakdown Time]]</f>
        <v>608.4444444444423</v>
      </c>
      <c r="AB1117" s="102"/>
      <c r="AC1117" s="35"/>
      <c r="AD1117" s="35"/>
    </row>
    <row r="1118" spans="1:30">
      <c r="A1118" s="102">
        <f t="shared" si="18"/>
        <v>1117</v>
      </c>
      <c r="B1118" s="468">
        <f>YEAR(Table6[[#This Row],[Date]])+IF(MONTH(Table6[[#This Row],[Date]])&gt;=4,1,0)</f>
        <v>2026</v>
      </c>
      <c r="C1118" s="102">
        <f>YEAR(Table6[[#This Row],[Date]])</f>
        <v>2025</v>
      </c>
      <c r="D1118" s="102" t="s">
        <v>1992</v>
      </c>
      <c r="E1118" s="469">
        <f>Table6[[#This Row],[Date]]-DAY(Table6[[#This Row],[Date]])+1</f>
        <v>45809</v>
      </c>
      <c r="F1118" s="470">
        <v>45816</v>
      </c>
      <c r="G1118" s="35" t="s">
        <v>97</v>
      </c>
      <c r="H1118" s="35" t="str">
        <f>IFERROR(_xlfn.XLOOKUP(Table6[[#This Row],[Affected WTG]],'Basic Data'!$A:$A,'Basic Data'!$B:$B),"")</f>
        <v>TQGXIIPL</v>
      </c>
      <c r="I1118" s="35" t="str">
        <f>IFERROR(_xlfn.XLOOKUP(Table6[[#This Row],[Affected WTG]],'Basic Data'!$A:$A,'Basic Data'!$C:$C),"")</f>
        <v>GEDA</v>
      </c>
      <c r="J1118" s="471">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291</v>
      </c>
      <c r="N1118" s="475"/>
      <c r="O1118" s="476">
        <v>0.43888888888888888</v>
      </c>
      <c r="P1118" s="476">
        <v>0.43888888888888888</v>
      </c>
      <c r="Q1118" s="477">
        <v>0.44722222222222224</v>
      </c>
      <c r="R1118" s="472">
        <f>IF(Table6[[#This Row],[Work Start TimeStamp]]="","",(Table6[[#This Row],[Work Start TimeStamp]]-Table6[[#This Row],[Fault Start TimeStamp]])*24)</f>
        <v>0</v>
      </c>
      <c r="S1118" s="472">
        <f>(Table6[[#This Row],[Fault Clearance time]]-Table6[[#This Row],[Work Start TimeStamp]])*24</f>
        <v>0.20000000000000062</v>
      </c>
      <c r="T1118" s="472">
        <f>(Table6[[#This Row],[Fault Clearance time]]-Table6[[#This Row],[Fault Start TimeStamp]])*24</f>
        <v>0.20000000000000062</v>
      </c>
      <c r="U1118" s="35" t="s">
        <v>1924</v>
      </c>
      <c r="V1118" s="102" t="s">
        <v>293</v>
      </c>
      <c r="W1118" s="478">
        <f>IFERROR(Table6[[#This Row],[Breakdown Time]]*Table6[[#This Row],[Plant Equivalent Weightage]],"")</f>
        <v>7.6923076923077136E-3</v>
      </c>
      <c r="X1118" s="473" t="s">
        <v>294</v>
      </c>
      <c r="Y1118" s="474" t="s">
        <v>320</v>
      </c>
      <c r="Z1118" s="102">
        <v>31913</v>
      </c>
      <c r="AA1118" s="468">
        <f>(Table6[[#This Row],[Paired WTG Generation for loss calculation]]/24)*Table6[[#This Row],[Breakdown Time]]</f>
        <v>265.94166666666746</v>
      </c>
      <c r="AB1118" s="102"/>
      <c r="AC1118" s="35"/>
      <c r="AD1118" s="35"/>
    </row>
    <row r="1119" spans="1:30">
      <c r="A1119" s="102">
        <f t="shared" si="18"/>
        <v>1118</v>
      </c>
      <c r="B1119" s="468">
        <f>YEAR(Table6[[#This Row],[Date]])+IF(MONTH(Table6[[#This Row],[Date]])&gt;=4,1,0)</f>
        <v>2026</v>
      </c>
      <c r="C1119" s="102">
        <f>YEAR(Table6[[#This Row],[Date]])</f>
        <v>2025</v>
      </c>
      <c r="D1119" s="102" t="s">
        <v>1992</v>
      </c>
      <c r="E1119" s="469">
        <f>Table6[[#This Row],[Date]]-DAY(Table6[[#This Row],[Date]])+1</f>
        <v>45809</v>
      </c>
      <c r="F1119" s="470">
        <v>45817</v>
      </c>
      <c r="G1119" s="35" t="s">
        <v>84</v>
      </c>
      <c r="H1119" s="35" t="str">
        <f>IFERROR(_xlfn.XLOOKUP(Table6[[#This Row],[Affected WTG]],'Basic Data'!$A:$A,'Basic Data'!$B:$B),"")</f>
        <v>TQGXIIPL</v>
      </c>
      <c r="I1119" s="35" t="str">
        <f>IFERROR(_xlfn.XLOOKUP(Table6[[#This Row],[Affected WTG]],'Basic Data'!$A:$A,'Basic Data'!$C:$C),"")</f>
        <v>GEDA</v>
      </c>
      <c r="J1119" s="471">
        <f>IFERROR(_xlfn.XLOOKUP(Table6[[#This Row],[Affected WTG]],'Basic Data'!$A:$A,'Basic Data'!$E:$E),"")</f>
        <v>3.846153846153845E-2</v>
      </c>
      <c r="K1119" s="102">
        <v>6130</v>
      </c>
      <c r="L1119" s="35" t="str">
        <f>IFERROR(_xlfn.XLOOKUP(Table6[[#This Row],[Error Code]],'Basic Data'!$AA:$AA,'Basic Data'!$AB:$AB),"Incorrect Error Code")</f>
        <v>Yaw speed high</v>
      </c>
      <c r="M1119" s="35" t="s">
        <v>292</v>
      </c>
      <c r="N1119" s="475"/>
      <c r="O1119" s="476">
        <v>0.60347222222222219</v>
      </c>
      <c r="P1119" s="476">
        <v>0.60347222222222219</v>
      </c>
      <c r="Q1119" s="477">
        <v>0.60763888888888884</v>
      </c>
      <c r="R1119" s="472">
        <f>IF(Table6[[#This Row],[Work Start TimeStamp]]="","",(Table6[[#This Row],[Work Start TimeStamp]]-Table6[[#This Row],[Fault Start TimeStamp]])*24)</f>
        <v>0</v>
      </c>
      <c r="S1119" s="472">
        <f>(Table6[[#This Row],[Fault Clearance time]]-Table6[[#This Row],[Work Start TimeStamp]])*24</f>
        <v>9.9999999999999645E-2</v>
      </c>
      <c r="T1119" s="472">
        <f>(Table6[[#This Row],[Fault Clearance time]]-Table6[[#This Row],[Fault Start TimeStamp]])*24</f>
        <v>9.9999999999999645E-2</v>
      </c>
      <c r="U1119" s="35" t="s">
        <v>336</v>
      </c>
      <c r="V1119" s="102" t="s">
        <v>293</v>
      </c>
      <c r="W1119" s="478">
        <f>IFERROR(Table6[[#This Row],[Breakdown Time]]*Table6[[#This Row],[Plant Equivalent Weightage]],"")</f>
        <v>3.8461538461538312E-3</v>
      </c>
      <c r="X1119" s="473" t="s">
        <v>294</v>
      </c>
      <c r="Y1119" s="474" t="s">
        <v>327</v>
      </c>
      <c r="Z1119" s="102">
        <v>36462</v>
      </c>
      <c r="AA1119" s="468">
        <f>(Table6[[#This Row],[Paired WTG Generation for loss calculation]]/24)*Table6[[#This Row],[Breakdown Time]]</f>
        <v>151.92499999999947</v>
      </c>
      <c r="AB1119" s="102"/>
      <c r="AC1119" s="35"/>
      <c r="AD1119" s="35"/>
    </row>
    <row r="1120" spans="1:30">
      <c r="A1120" s="102">
        <f t="shared" si="18"/>
        <v>1119</v>
      </c>
      <c r="B1120" s="468">
        <f>YEAR(Table6[[#This Row],[Date]])+IF(MONTH(Table6[[#This Row],[Date]])&gt;=4,1,0)</f>
        <v>2026</v>
      </c>
      <c r="C1120" s="102">
        <f>YEAR(Table6[[#This Row],[Date]])</f>
        <v>2025</v>
      </c>
      <c r="D1120" s="102" t="s">
        <v>1992</v>
      </c>
      <c r="E1120" s="469">
        <f>Table6[[#This Row],[Date]]-DAY(Table6[[#This Row],[Date]])+1</f>
        <v>45809</v>
      </c>
      <c r="F1120" s="470">
        <v>45817</v>
      </c>
      <c r="G1120" s="35" t="s">
        <v>86</v>
      </c>
      <c r="H1120" s="35" t="str">
        <f>IFERROR(_xlfn.XLOOKUP(Table6[[#This Row],[Affected WTG]],'Basic Data'!$A:$A,'Basic Data'!$B:$B),"")</f>
        <v>TQGXIIPL</v>
      </c>
      <c r="I1120" s="35" t="str">
        <f>IFERROR(_xlfn.XLOOKUP(Table6[[#This Row],[Affected WTG]],'Basic Data'!$A:$A,'Basic Data'!$C:$C),"")</f>
        <v>GEDA</v>
      </c>
      <c r="J1120" s="471">
        <f>IFERROR(_xlfn.XLOOKUP(Table6[[#This Row],[Affected WTG]],'Basic Data'!$A:$A,'Basic Data'!$E:$E),"")</f>
        <v>3.846153846153845E-2</v>
      </c>
      <c r="K1120" s="102">
        <v>6130</v>
      </c>
      <c r="L1120" s="35" t="str">
        <f>IFERROR(_xlfn.XLOOKUP(Table6[[#This Row],[Error Code]],'Basic Data'!$AA:$AA,'Basic Data'!$AB:$AB),"Incorrect Error Code")</f>
        <v>Yaw speed high</v>
      </c>
      <c r="M1120" s="35" t="s">
        <v>292</v>
      </c>
      <c r="N1120" s="475"/>
      <c r="O1120" s="476">
        <v>0.6</v>
      </c>
      <c r="P1120" s="476">
        <v>0.6</v>
      </c>
      <c r="Q1120" s="477">
        <v>0.60416666666666663</v>
      </c>
      <c r="R1120" s="472">
        <f>IF(Table6[[#This Row],[Work Start TimeStamp]]="","",(Table6[[#This Row],[Work Start TimeStamp]]-Table6[[#This Row],[Fault Start TimeStamp]])*24)</f>
        <v>0</v>
      </c>
      <c r="S1120" s="472">
        <f>(Table6[[#This Row],[Fault Clearance time]]-Table6[[#This Row],[Work Start TimeStamp]])*24</f>
        <v>9.9999999999999645E-2</v>
      </c>
      <c r="T1120" s="472">
        <f>(Table6[[#This Row],[Fault Clearance time]]-Table6[[#This Row],[Fault Start TimeStamp]])*24</f>
        <v>9.9999999999999645E-2</v>
      </c>
      <c r="U1120" s="35" t="s">
        <v>336</v>
      </c>
      <c r="V1120" s="102" t="s">
        <v>293</v>
      </c>
      <c r="W1120" s="478">
        <f>IFERROR(Table6[[#This Row],[Breakdown Time]]*Table6[[#This Row],[Plant Equivalent Weightage]],"")</f>
        <v>3.8461538461538312E-3</v>
      </c>
      <c r="X1120" s="473" t="s">
        <v>294</v>
      </c>
      <c r="Y1120" s="474" t="s">
        <v>313</v>
      </c>
      <c r="Z1120" s="102">
        <v>35565</v>
      </c>
      <c r="AA1120" s="468">
        <f>(Table6[[#This Row],[Paired WTG Generation for loss calculation]]/24)*Table6[[#This Row],[Breakdown Time]]</f>
        <v>148.18749999999946</v>
      </c>
      <c r="AB1120" s="102"/>
      <c r="AC1120" s="35"/>
      <c r="AD1120" s="35"/>
    </row>
    <row r="1121" spans="1:30">
      <c r="A1121" s="102">
        <f t="shared" si="18"/>
        <v>1120</v>
      </c>
      <c r="B1121" s="468">
        <f>YEAR(Table6[[#This Row],[Date]])+IF(MONTH(Table6[[#This Row],[Date]])&gt;=4,1,0)</f>
        <v>2026</v>
      </c>
      <c r="C1121" s="102">
        <f>YEAR(Table6[[#This Row],[Date]])</f>
        <v>2025</v>
      </c>
      <c r="D1121" s="102" t="s">
        <v>1992</v>
      </c>
      <c r="E1121" s="469">
        <f>Table6[[#This Row],[Date]]-DAY(Table6[[#This Row],[Date]])+1</f>
        <v>45809</v>
      </c>
      <c r="F1121" s="470">
        <v>45817</v>
      </c>
      <c r="G1121" s="35" t="s">
        <v>87</v>
      </c>
      <c r="H1121" s="35" t="str">
        <f>IFERROR(_xlfn.XLOOKUP(Table6[[#This Row],[Affected WTG]],'Basic Data'!$A:$A,'Basic Data'!$B:$B),"")</f>
        <v>TQGXIIPL</v>
      </c>
      <c r="I1121" s="35" t="str">
        <f>IFERROR(_xlfn.XLOOKUP(Table6[[#This Row],[Affected WTG]],'Basic Data'!$A:$A,'Basic Data'!$C:$C),"")</f>
        <v>GEDA</v>
      </c>
      <c r="J1121" s="471">
        <f>IFERROR(_xlfn.XLOOKUP(Table6[[#This Row],[Affected WTG]],'Basic Data'!$A:$A,'Basic Data'!$E:$E),"")</f>
        <v>3.846153846153845E-2</v>
      </c>
      <c r="K1121" s="102">
        <v>4970</v>
      </c>
      <c r="L1121" s="35" t="str">
        <f>IFERROR(_xlfn.XLOOKUP(Table6[[#This Row],[Error Code]],'Basic Data'!$AA:$AA,'Basic Data'!$AB:$AB),"Incorrect Error Code")</f>
        <v>Tower oscillation XF</v>
      </c>
      <c r="M1121" s="35" t="s">
        <v>292</v>
      </c>
      <c r="N1121" s="475"/>
      <c r="O1121" s="476">
        <v>0.62777777777777777</v>
      </c>
      <c r="P1121" s="476">
        <v>0.62777777777777777</v>
      </c>
      <c r="Q1121" s="477">
        <v>0.63888888888888884</v>
      </c>
      <c r="R1121" s="472">
        <f>IF(Table6[[#This Row],[Work Start TimeStamp]]="","",(Table6[[#This Row],[Work Start TimeStamp]]-Table6[[#This Row],[Fault Start TimeStamp]])*24)</f>
        <v>0</v>
      </c>
      <c r="S1121" s="472">
        <f>(Table6[[#This Row],[Fault Clearance time]]-Table6[[#This Row],[Work Start TimeStamp]])*24</f>
        <v>0.26666666666666572</v>
      </c>
      <c r="T1121" s="472">
        <f>(Table6[[#This Row],[Fault Clearance time]]-Table6[[#This Row],[Fault Start TimeStamp]])*24</f>
        <v>0.26666666666666572</v>
      </c>
      <c r="U1121" s="35" t="s">
        <v>336</v>
      </c>
      <c r="V1121" s="102" t="s">
        <v>293</v>
      </c>
      <c r="W1121" s="478">
        <f>IFERROR(Table6[[#This Row],[Breakdown Time]]*Table6[[#This Row],[Plant Equivalent Weightage]],"")</f>
        <v>1.0256410256410217E-2</v>
      </c>
      <c r="X1121" s="473" t="s">
        <v>294</v>
      </c>
      <c r="Y1121" s="474" t="s">
        <v>327</v>
      </c>
      <c r="Z1121" s="102">
        <v>36462</v>
      </c>
      <c r="AA1121" s="468">
        <f>(Table6[[#This Row],[Paired WTG Generation for loss calculation]]/24)*Table6[[#This Row],[Breakdown Time]]</f>
        <v>405.1333333333319</v>
      </c>
      <c r="AB1121" s="102"/>
      <c r="AC1121" s="35"/>
      <c r="AD1121" s="35"/>
    </row>
    <row r="1122" spans="1:30">
      <c r="A1122" s="102">
        <f t="shared" si="18"/>
        <v>1121</v>
      </c>
      <c r="B1122" s="468">
        <f>YEAR(Table6[[#This Row],[Date]])+IF(MONTH(Table6[[#This Row],[Date]])&gt;=4,1,0)</f>
        <v>2026</v>
      </c>
      <c r="C1122" s="102">
        <f>YEAR(Table6[[#This Row],[Date]])</f>
        <v>2025</v>
      </c>
      <c r="D1122" s="102" t="s">
        <v>1992</v>
      </c>
      <c r="E1122" s="469">
        <f>Table6[[#This Row],[Date]]-DAY(Table6[[#This Row],[Date]])+1</f>
        <v>45809</v>
      </c>
      <c r="F1122" s="470">
        <v>45817</v>
      </c>
      <c r="G1122" s="35" t="s">
        <v>91</v>
      </c>
      <c r="H1122" s="35" t="str">
        <f>IFERROR(_xlfn.XLOOKUP(Table6[[#This Row],[Affected WTG]],'Basic Data'!$A:$A,'Basic Data'!$B:$B),"")</f>
        <v>TQGXIIPL</v>
      </c>
      <c r="I1122" s="35" t="str">
        <f>IFERROR(_xlfn.XLOOKUP(Table6[[#This Row],[Affected WTG]],'Basic Data'!$A:$A,'Basic Data'!$C:$C),"")</f>
        <v>GEDA</v>
      </c>
      <c r="J1122" s="471">
        <f>IFERROR(_xlfn.XLOOKUP(Table6[[#This Row],[Affected WTG]],'Basic Data'!$A:$A,'Basic Data'!$E:$E),"")</f>
        <v>3.846153846153845E-2</v>
      </c>
      <c r="K1122" s="102">
        <v>6130</v>
      </c>
      <c r="L1122" s="35" t="str">
        <f>IFERROR(_xlfn.XLOOKUP(Table6[[#This Row],[Error Code]],'Basic Data'!$AA:$AA,'Basic Data'!$AB:$AB),"Incorrect Error Code")</f>
        <v>Yaw speed high</v>
      </c>
      <c r="M1122" s="35" t="s">
        <v>292</v>
      </c>
      <c r="N1122" s="475"/>
      <c r="O1122" s="476">
        <v>0.49513888888888891</v>
      </c>
      <c r="P1122" s="476">
        <v>0.49513888888888891</v>
      </c>
      <c r="Q1122" s="477">
        <v>0.49930555555555556</v>
      </c>
      <c r="R1122" s="472">
        <f>IF(Table6[[#This Row],[Work Start TimeStamp]]="","",(Table6[[#This Row],[Work Start TimeStamp]]-Table6[[#This Row],[Fault Start TimeStamp]])*24)</f>
        <v>0</v>
      </c>
      <c r="S1122" s="472">
        <f>(Table6[[#This Row],[Fault Clearance time]]-Table6[[#This Row],[Work Start TimeStamp]])*24</f>
        <v>9.9999999999999645E-2</v>
      </c>
      <c r="T1122" s="472">
        <f>(Table6[[#This Row],[Fault Clearance time]]-Table6[[#This Row],[Fault Start TimeStamp]])*24</f>
        <v>9.9999999999999645E-2</v>
      </c>
      <c r="U1122" s="35" t="s">
        <v>336</v>
      </c>
      <c r="V1122" s="102" t="s">
        <v>293</v>
      </c>
      <c r="W1122" s="478">
        <f>IFERROR(Table6[[#This Row],[Breakdown Time]]*Table6[[#This Row],[Plant Equivalent Weightage]],"")</f>
        <v>3.8461538461538312E-3</v>
      </c>
      <c r="X1122" s="473" t="s">
        <v>294</v>
      </c>
      <c r="Y1122" s="474" t="s">
        <v>319</v>
      </c>
      <c r="Z1122" s="102">
        <v>40911</v>
      </c>
      <c r="AA1122" s="468">
        <f>(Table6[[#This Row],[Paired WTG Generation for loss calculation]]/24)*Table6[[#This Row],[Breakdown Time]]</f>
        <v>170.46249999999938</v>
      </c>
      <c r="AB1122" s="102"/>
      <c r="AC1122" s="35"/>
      <c r="AD1122" s="35"/>
    </row>
    <row r="1123" spans="1:30">
      <c r="A1123" s="102">
        <f t="shared" si="18"/>
        <v>1122</v>
      </c>
      <c r="B1123" s="468">
        <f>YEAR(Table6[[#This Row],[Date]])+IF(MONTH(Table6[[#This Row],[Date]])&gt;=4,1,0)</f>
        <v>2026</v>
      </c>
      <c r="C1123" s="102">
        <f>YEAR(Table6[[#This Row],[Date]])</f>
        <v>2025</v>
      </c>
      <c r="D1123" s="102" t="s">
        <v>1992</v>
      </c>
      <c r="E1123" s="469">
        <f>Table6[[#This Row],[Date]]-DAY(Table6[[#This Row],[Date]])+1</f>
        <v>45809</v>
      </c>
      <c r="F1123" s="470">
        <v>45817</v>
      </c>
      <c r="G1123" s="35" t="s">
        <v>99</v>
      </c>
      <c r="H1123" s="35" t="str">
        <f>IFERROR(_xlfn.XLOOKUP(Table6[[#This Row],[Affected WTG]],'Basic Data'!$A:$A,'Basic Data'!$B:$B),"")</f>
        <v>TQGXIIPL</v>
      </c>
      <c r="I1123" s="35" t="str">
        <f>IFERROR(_xlfn.XLOOKUP(Table6[[#This Row],[Affected WTG]],'Basic Data'!$A:$A,'Basic Data'!$C:$C),"")</f>
        <v>GEDA</v>
      </c>
      <c r="J1123" s="471">
        <f>IFERROR(_xlfn.XLOOKUP(Table6[[#This Row],[Affected WTG]],'Basic Data'!$A:$A,'Basic Data'!$E:$E),"")</f>
        <v>3.846153846153845E-2</v>
      </c>
      <c r="K1123" s="102">
        <v>5510</v>
      </c>
      <c r="L1123" s="35" t="str">
        <f>IFERROR(_xlfn.XLOOKUP(Table6[[#This Row],[Error Code]],'Basic Data'!$AA:$AA,'Basic Data'!$AB:$AB),"Incorrect Error Code")</f>
        <v>Low hydraulic pressure</v>
      </c>
      <c r="M1123" s="35" t="s">
        <v>291</v>
      </c>
      <c r="N1123" s="475"/>
      <c r="O1123" s="476">
        <v>0.40555555555555556</v>
      </c>
      <c r="P1123" s="476">
        <v>0.40555555555555556</v>
      </c>
      <c r="Q1123" s="477">
        <v>0.40902777777777777</v>
      </c>
      <c r="R1123" s="472">
        <f>IF(Table6[[#This Row],[Work Start TimeStamp]]="","",(Table6[[#This Row],[Work Start TimeStamp]]-Table6[[#This Row],[Fault Start TimeStamp]])*24)</f>
        <v>0</v>
      </c>
      <c r="S1123" s="472">
        <f>(Table6[[#This Row],[Fault Clearance time]]-Table6[[#This Row],[Work Start TimeStamp]])*24</f>
        <v>8.3333333333333037E-2</v>
      </c>
      <c r="T1123" s="472">
        <f>(Table6[[#This Row],[Fault Clearance time]]-Table6[[#This Row],[Fault Start TimeStamp]])*24</f>
        <v>8.3333333333333037E-2</v>
      </c>
      <c r="U1123" s="35" t="s">
        <v>1924</v>
      </c>
      <c r="V1123" s="102" t="s">
        <v>293</v>
      </c>
      <c r="W1123" s="478">
        <f>IFERROR(Table6[[#This Row],[Breakdown Time]]*Table6[[#This Row],[Plant Equivalent Weightage]],"")</f>
        <v>3.2051282051281929E-3</v>
      </c>
      <c r="X1123" s="473" t="s">
        <v>294</v>
      </c>
      <c r="Y1123" s="474" t="s">
        <v>315</v>
      </c>
      <c r="Z1123" s="102">
        <v>38655</v>
      </c>
      <c r="AA1123" s="468">
        <f>(Table6[[#This Row],[Paired WTG Generation for loss calculation]]/24)*Table6[[#This Row],[Breakdown Time]]</f>
        <v>134.21874999999952</v>
      </c>
      <c r="AB1123" s="102"/>
      <c r="AC1123" s="35"/>
      <c r="AD1123" s="35"/>
    </row>
    <row r="1124" spans="1:30">
      <c r="A1124" s="102">
        <f t="shared" si="18"/>
        <v>1123</v>
      </c>
      <c r="B1124" s="468">
        <f>YEAR(Table6[[#This Row],[Date]])+IF(MONTH(Table6[[#This Row],[Date]])&gt;=4,1,0)</f>
        <v>2026</v>
      </c>
      <c r="C1124" s="102">
        <f>YEAR(Table6[[#This Row],[Date]])</f>
        <v>2025</v>
      </c>
      <c r="D1124" s="102" t="s">
        <v>1992</v>
      </c>
      <c r="E1124" s="469">
        <f>Table6[[#This Row],[Date]]-DAY(Table6[[#This Row],[Date]])+1</f>
        <v>45809</v>
      </c>
      <c r="F1124" s="470">
        <v>45818</v>
      </c>
      <c r="G1124" s="35" t="s">
        <v>74</v>
      </c>
      <c r="H1124" s="35" t="str">
        <f>IFERROR(_xlfn.XLOOKUP(Table6[[#This Row],[Affected WTG]],'Basic Data'!$A:$A,'Basic Data'!$B:$B),"")</f>
        <v>TQGXIIPL</v>
      </c>
      <c r="I1124" s="35" t="str">
        <f>IFERROR(_xlfn.XLOOKUP(Table6[[#This Row],[Affected WTG]],'Basic Data'!$A:$A,'Basic Data'!$C:$C),"")</f>
        <v>GEDA</v>
      </c>
      <c r="J1124" s="471">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291</v>
      </c>
      <c r="N1124" s="475"/>
      <c r="O1124" s="476">
        <v>0.33333333333333331</v>
      </c>
      <c r="P1124" s="476">
        <v>0.33333333333333331</v>
      </c>
      <c r="Q1124" s="477">
        <v>0.33750000000000002</v>
      </c>
      <c r="R1124" s="472">
        <f>IF(Table6[[#This Row],[Work Start TimeStamp]]="","",(Table6[[#This Row],[Work Start TimeStamp]]-Table6[[#This Row],[Fault Start TimeStamp]])*24)</f>
        <v>0</v>
      </c>
      <c r="S1124" s="472">
        <f>(Table6[[#This Row],[Fault Clearance time]]-Table6[[#This Row],[Work Start TimeStamp]])*24</f>
        <v>0.10000000000000098</v>
      </c>
      <c r="T1124" s="472">
        <f>(Table6[[#This Row],[Fault Clearance time]]-Table6[[#This Row],[Fault Start TimeStamp]])*24</f>
        <v>0.10000000000000098</v>
      </c>
      <c r="U1124" s="35" t="s">
        <v>1924</v>
      </c>
      <c r="V1124" s="102" t="s">
        <v>293</v>
      </c>
      <c r="W1124" s="478">
        <f>IFERROR(Table6[[#This Row],[Breakdown Time]]*Table6[[#This Row],[Plant Equivalent Weightage]],"")</f>
        <v>3.8461538461538824E-3</v>
      </c>
      <c r="X1124" s="473" t="s">
        <v>294</v>
      </c>
      <c r="Y1124" s="474" t="s">
        <v>321</v>
      </c>
      <c r="Z1124" s="102">
        <v>40326</v>
      </c>
      <c r="AA1124" s="468">
        <f>(Table6[[#This Row],[Paired WTG Generation for loss calculation]]/24)*Table6[[#This Row],[Breakdown Time]]</f>
        <v>168.02500000000165</v>
      </c>
      <c r="AB1124" s="102"/>
      <c r="AC1124" s="35"/>
      <c r="AD1124" s="35"/>
    </row>
    <row r="1125" spans="1:30">
      <c r="A1125" s="102">
        <f t="shared" si="18"/>
        <v>1124</v>
      </c>
      <c r="B1125" s="468">
        <f>YEAR(Table6[[#This Row],[Date]])+IF(MONTH(Table6[[#This Row],[Date]])&gt;=4,1,0)</f>
        <v>2026</v>
      </c>
      <c r="C1125" s="102">
        <f>YEAR(Table6[[#This Row],[Date]])</f>
        <v>2025</v>
      </c>
      <c r="D1125" s="102" t="s">
        <v>1992</v>
      </c>
      <c r="E1125" s="469">
        <f>Table6[[#This Row],[Date]]-DAY(Table6[[#This Row],[Date]])+1</f>
        <v>45809</v>
      </c>
      <c r="F1125" s="470">
        <v>45818</v>
      </c>
      <c r="G1125" s="35" t="s">
        <v>74</v>
      </c>
      <c r="H1125" s="35" t="str">
        <f>IFERROR(_xlfn.XLOOKUP(Table6[[#This Row],[Affected WTG]],'Basic Data'!$A:$A,'Basic Data'!$B:$B),"")</f>
        <v>TQGXIIPL</v>
      </c>
      <c r="I1125" s="35" t="str">
        <f>IFERROR(_xlfn.XLOOKUP(Table6[[#This Row],[Affected WTG]],'Basic Data'!$A:$A,'Basic Data'!$C:$C),"")</f>
        <v>GEDA</v>
      </c>
      <c r="J1125" s="471">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291</v>
      </c>
      <c r="N1125" s="475"/>
      <c r="O1125" s="476">
        <v>0.84652777777777777</v>
      </c>
      <c r="P1125" s="476">
        <v>0.90972222222222221</v>
      </c>
      <c r="Q1125" s="477">
        <v>1</v>
      </c>
      <c r="R1125" s="472">
        <f>IF(Table6[[#This Row],[Work Start TimeStamp]]="","",(Table6[[#This Row],[Work Start TimeStamp]]-Table6[[#This Row],[Fault Start TimeStamp]])*24)</f>
        <v>1.5166666666666666</v>
      </c>
      <c r="S1125" s="472">
        <f>(Table6[[#This Row],[Fault Clearance time]]-Table6[[#This Row],[Work Start TimeStamp]])*24</f>
        <v>2.166666666666667</v>
      </c>
      <c r="T1125" s="472">
        <f>(Table6[[#This Row],[Fault Clearance time]]-Table6[[#This Row],[Fault Start TimeStamp]])*24</f>
        <v>3.6833333333333336</v>
      </c>
      <c r="U1125" s="35" t="s">
        <v>1953</v>
      </c>
      <c r="V1125" s="102" t="s">
        <v>293</v>
      </c>
      <c r="W1125" s="478">
        <f>IFERROR(Table6[[#This Row],[Breakdown Time]]*Table6[[#This Row],[Plant Equivalent Weightage]],"")</f>
        <v>0.14166666666666664</v>
      </c>
      <c r="X1125" s="473" t="s">
        <v>290</v>
      </c>
      <c r="Y1125" s="474" t="s">
        <v>321</v>
      </c>
      <c r="Z1125" s="102">
        <v>40326</v>
      </c>
      <c r="AA1125" s="468">
        <f>(Table6[[#This Row],[Paired WTG Generation for loss calculation]]/24)*Table6[[#This Row],[Breakdown Time]]</f>
        <v>6188.9208333333336</v>
      </c>
      <c r="AB1125" s="102"/>
      <c r="AC1125" s="35"/>
      <c r="AD1125" s="35"/>
    </row>
    <row r="1126" spans="1:30">
      <c r="A1126" s="102">
        <f t="shared" si="18"/>
        <v>1125</v>
      </c>
      <c r="B1126" s="468">
        <f>YEAR(Table6[[#This Row],[Date]])+IF(MONTH(Table6[[#This Row],[Date]])&gt;=4,1,0)</f>
        <v>2026</v>
      </c>
      <c r="C1126" s="102">
        <f>YEAR(Table6[[#This Row],[Date]])</f>
        <v>2025</v>
      </c>
      <c r="D1126" s="102" t="s">
        <v>1992</v>
      </c>
      <c r="E1126" s="469">
        <f>Table6[[#This Row],[Date]]-DAY(Table6[[#This Row],[Date]])+1</f>
        <v>45809</v>
      </c>
      <c r="F1126" s="470">
        <v>45818</v>
      </c>
      <c r="G1126" s="35" t="s">
        <v>77</v>
      </c>
      <c r="H1126" s="35" t="str">
        <f>IFERROR(_xlfn.XLOOKUP(Table6[[#This Row],[Affected WTG]],'Basic Data'!$A:$A,'Basic Data'!$B:$B),"")</f>
        <v>TQGXIIPL</v>
      </c>
      <c r="I1126" s="35" t="str">
        <f>IFERROR(_xlfn.XLOOKUP(Table6[[#This Row],[Affected WTG]],'Basic Data'!$A:$A,'Basic Data'!$C:$C),"")</f>
        <v>GEDA</v>
      </c>
      <c r="J1126" s="471">
        <f>IFERROR(_xlfn.XLOOKUP(Table6[[#This Row],[Affected WTG]],'Basic Data'!$A:$A,'Basic Data'!$E:$E),"")</f>
        <v>3.846153846153845E-2</v>
      </c>
      <c r="K1126" s="102">
        <v>6130</v>
      </c>
      <c r="L1126" s="35" t="str">
        <f>IFERROR(_xlfn.XLOOKUP(Table6[[#This Row],[Error Code]],'Basic Data'!$AA:$AA,'Basic Data'!$AB:$AB),"Incorrect Error Code")</f>
        <v>Yaw speed high</v>
      </c>
      <c r="M1126" s="35" t="s">
        <v>292</v>
      </c>
      <c r="N1126" s="475"/>
      <c r="O1126" s="476">
        <v>0.39444444444444443</v>
      </c>
      <c r="P1126" s="476">
        <v>0.39444444444444443</v>
      </c>
      <c r="Q1126" s="477">
        <v>0.39861111111111114</v>
      </c>
      <c r="R1126" s="472">
        <f>IF(Table6[[#This Row],[Work Start TimeStamp]]="","",(Table6[[#This Row],[Work Start TimeStamp]]-Table6[[#This Row],[Fault Start TimeStamp]])*24)</f>
        <v>0</v>
      </c>
      <c r="S1126" s="472">
        <f>(Table6[[#This Row],[Fault Clearance time]]-Table6[[#This Row],[Work Start TimeStamp]])*24</f>
        <v>0.10000000000000098</v>
      </c>
      <c r="T1126" s="472">
        <f>(Table6[[#This Row],[Fault Clearance time]]-Table6[[#This Row],[Fault Start TimeStamp]])*24</f>
        <v>0.10000000000000098</v>
      </c>
      <c r="U1126" s="35" t="s">
        <v>336</v>
      </c>
      <c r="V1126" s="102" t="s">
        <v>293</v>
      </c>
      <c r="W1126" s="478">
        <f>IFERROR(Table6[[#This Row],[Breakdown Time]]*Table6[[#This Row],[Plant Equivalent Weightage]],"")</f>
        <v>3.8461538461538824E-3</v>
      </c>
      <c r="X1126" s="473" t="s">
        <v>294</v>
      </c>
      <c r="Y1126" s="474" t="s">
        <v>310</v>
      </c>
      <c r="Z1126" s="102">
        <v>44939</v>
      </c>
      <c r="AA1126" s="468">
        <f>(Table6[[#This Row],[Paired WTG Generation for loss calculation]]/24)*Table6[[#This Row],[Breakdown Time]]</f>
        <v>187.24583333333516</v>
      </c>
      <c r="AB1126" s="102"/>
      <c r="AC1126" s="35"/>
      <c r="AD1126" s="35"/>
    </row>
    <row r="1127" spans="1:30">
      <c r="A1127" s="102">
        <f t="shared" si="18"/>
        <v>1126</v>
      </c>
      <c r="B1127" s="468">
        <f>YEAR(Table6[[#This Row],[Date]])+IF(MONTH(Table6[[#This Row],[Date]])&gt;=4,1,0)</f>
        <v>2026</v>
      </c>
      <c r="C1127" s="102">
        <f>YEAR(Table6[[#This Row],[Date]])</f>
        <v>2025</v>
      </c>
      <c r="D1127" s="102" t="s">
        <v>1992</v>
      </c>
      <c r="E1127" s="469">
        <f>Table6[[#This Row],[Date]]-DAY(Table6[[#This Row],[Date]])+1</f>
        <v>45809</v>
      </c>
      <c r="F1127" s="470">
        <v>45818</v>
      </c>
      <c r="G1127" s="35" t="s">
        <v>77</v>
      </c>
      <c r="H1127" s="35" t="str">
        <f>IFERROR(_xlfn.XLOOKUP(Table6[[#This Row],[Affected WTG]],'Basic Data'!$A:$A,'Basic Data'!$B:$B),"")</f>
        <v>TQGXIIPL</v>
      </c>
      <c r="I1127" s="35" t="str">
        <f>IFERROR(_xlfn.XLOOKUP(Table6[[#This Row],[Affected WTG]],'Basic Data'!$A:$A,'Basic Data'!$C:$C),"")</f>
        <v>GEDA</v>
      </c>
      <c r="J1127" s="471">
        <f>IFERROR(_xlfn.XLOOKUP(Table6[[#This Row],[Affected WTG]],'Basic Data'!$A:$A,'Basic Data'!$E:$E),"")</f>
        <v>3.846153846153845E-2</v>
      </c>
      <c r="K1127" s="102">
        <v>55</v>
      </c>
      <c r="L1127" s="35" t="str">
        <f>IFERROR(_xlfn.XLOOKUP(Table6[[#This Row],[Error Code]],'Basic Data'!$AA:$AA,'Basic Data'!$AB:$AB),"Incorrect Error Code")</f>
        <v>WTG shut down</v>
      </c>
      <c r="M1127" s="35" t="s">
        <v>1956</v>
      </c>
      <c r="N1127" s="475"/>
      <c r="O1127" s="476">
        <v>0.43680555555555556</v>
      </c>
      <c r="P1127" s="476">
        <v>0.43680555555555556</v>
      </c>
      <c r="Q1127" s="477">
        <v>0.4777777777777778</v>
      </c>
      <c r="R1127" s="472">
        <f>IF(Table6[[#This Row],[Work Start TimeStamp]]="","",(Table6[[#This Row],[Work Start TimeStamp]]-Table6[[#This Row],[Fault Start TimeStamp]])*24)</f>
        <v>0</v>
      </c>
      <c r="S1127" s="472">
        <f>(Table6[[#This Row],[Fault Clearance time]]-Table6[[#This Row],[Work Start TimeStamp]])*24</f>
        <v>0.98333333333333384</v>
      </c>
      <c r="T1127" s="472">
        <f>(Table6[[#This Row],[Fault Clearance time]]-Table6[[#This Row],[Fault Start TimeStamp]])*24</f>
        <v>0.98333333333333384</v>
      </c>
      <c r="U1127" s="35" t="s">
        <v>1954</v>
      </c>
      <c r="V1127" s="102" t="s">
        <v>293</v>
      </c>
      <c r="W1127" s="478">
        <f>IFERROR(Table6[[#This Row],[Breakdown Time]]*Table6[[#This Row],[Plant Equivalent Weightage]],"")</f>
        <v>3.7820512820512825E-2</v>
      </c>
      <c r="X1127" s="473" t="s">
        <v>290</v>
      </c>
      <c r="Y1127" s="474" t="s">
        <v>310</v>
      </c>
      <c r="Z1127" s="102">
        <v>44939</v>
      </c>
      <c r="AA1127" s="468">
        <f>(Table6[[#This Row],[Paired WTG Generation for loss calculation]]/24)*Table6[[#This Row],[Breakdown Time]]</f>
        <v>1841.2506944444453</v>
      </c>
      <c r="AB1127" s="102"/>
      <c r="AC1127" s="35"/>
      <c r="AD1127" s="35"/>
    </row>
    <row r="1128" spans="1:30">
      <c r="A1128" s="102">
        <f t="shared" si="18"/>
        <v>1127</v>
      </c>
      <c r="B1128" s="468">
        <f>YEAR(Table6[[#This Row],[Date]])+IF(MONTH(Table6[[#This Row],[Date]])&gt;=4,1,0)</f>
        <v>2026</v>
      </c>
      <c r="C1128" s="102">
        <f>YEAR(Table6[[#This Row],[Date]])</f>
        <v>2025</v>
      </c>
      <c r="D1128" s="102" t="s">
        <v>1992</v>
      </c>
      <c r="E1128" s="469">
        <f>Table6[[#This Row],[Date]]-DAY(Table6[[#This Row],[Date]])+1</f>
        <v>45809</v>
      </c>
      <c r="F1128" s="470">
        <v>45818</v>
      </c>
      <c r="G1128" s="35" t="s">
        <v>77</v>
      </c>
      <c r="H1128" s="35" t="str">
        <f>IFERROR(_xlfn.XLOOKUP(Table6[[#This Row],[Affected WTG]],'Basic Data'!$A:$A,'Basic Data'!$B:$B),"")</f>
        <v>TQGXIIPL</v>
      </c>
      <c r="I1128" s="35" t="str">
        <f>IFERROR(_xlfn.XLOOKUP(Table6[[#This Row],[Affected WTG]],'Basic Data'!$A:$A,'Basic Data'!$C:$C),"")</f>
        <v>GEDA</v>
      </c>
      <c r="J1128" s="471">
        <f>IFERROR(_xlfn.XLOOKUP(Table6[[#This Row],[Affected WTG]],'Basic Data'!$A:$A,'Basic Data'!$E:$E),"")</f>
        <v>3.846153846153845E-2</v>
      </c>
      <c r="K1128" s="102">
        <v>55</v>
      </c>
      <c r="L1128" s="35" t="str">
        <f>IFERROR(_xlfn.XLOOKUP(Table6[[#This Row],[Error Code]],'Basic Data'!$AA:$AA,'Basic Data'!$AB:$AB),"Incorrect Error Code")</f>
        <v>WTG shut down</v>
      </c>
      <c r="M1128" s="35" t="s">
        <v>1956</v>
      </c>
      <c r="N1128" s="475"/>
      <c r="O1128" s="476">
        <v>0.51249999999999996</v>
      </c>
      <c r="P1128" s="476">
        <v>0.51249999999999996</v>
      </c>
      <c r="Q1128" s="477">
        <v>0.52986111111111112</v>
      </c>
      <c r="R1128" s="472">
        <f>IF(Table6[[#This Row],[Work Start TimeStamp]]="","",(Table6[[#This Row],[Work Start TimeStamp]]-Table6[[#This Row],[Fault Start TimeStamp]])*24)</f>
        <v>0</v>
      </c>
      <c r="S1128" s="472">
        <f>(Table6[[#This Row],[Fault Clearance time]]-Table6[[#This Row],[Work Start TimeStamp]])*24</f>
        <v>0.41666666666666785</v>
      </c>
      <c r="T1128" s="472">
        <f>(Table6[[#This Row],[Fault Clearance time]]-Table6[[#This Row],[Fault Start TimeStamp]])*24</f>
        <v>0.41666666666666785</v>
      </c>
      <c r="U1128" s="35" t="s">
        <v>1954</v>
      </c>
      <c r="V1128" s="102" t="s">
        <v>293</v>
      </c>
      <c r="W1128" s="478">
        <f>IFERROR(Table6[[#This Row],[Breakdown Time]]*Table6[[#This Row],[Plant Equivalent Weightage]],"")</f>
        <v>1.6025641025641066E-2</v>
      </c>
      <c r="X1128" s="473" t="s">
        <v>290</v>
      </c>
      <c r="Y1128" s="474" t="s">
        <v>310</v>
      </c>
      <c r="Z1128" s="102">
        <v>44939</v>
      </c>
      <c r="AA1128" s="468">
        <f>(Table6[[#This Row],[Paired WTG Generation for loss calculation]]/24)*Table6[[#This Row],[Breakdown Time]]</f>
        <v>780.19097222222445</v>
      </c>
      <c r="AB1128" s="102"/>
      <c r="AC1128" s="35"/>
      <c r="AD1128" s="35"/>
    </row>
    <row r="1129" spans="1:30">
      <c r="A1129" s="102">
        <f t="shared" si="18"/>
        <v>1128</v>
      </c>
      <c r="B1129" s="468">
        <f>YEAR(Table6[[#This Row],[Date]])+IF(MONTH(Table6[[#This Row],[Date]])&gt;=4,1,0)</f>
        <v>2026</v>
      </c>
      <c r="C1129" s="102">
        <f>YEAR(Table6[[#This Row],[Date]])</f>
        <v>2025</v>
      </c>
      <c r="D1129" s="102" t="s">
        <v>1992</v>
      </c>
      <c r="E1129" s="469">
        <f>Table6[[#This Row],[Date]]-DAY(Table6[[#This Row],[Date]])+1</f>
        <v>45809</v>
      </c>
      <c r="F1129" s="470">
        <v>45818</v>
      </c>
      <c r="G1129" s="35" t="s">
        <v>77</v>
      </c>
      <c r="H1129" s="35" t="str">
        <f>IFERROR(_xlfn.XLOOKUP(Table6[[#This Row],[Affected WTG]],'Basic Data'!$A:$A,'Basic Data'!$B:$B),"")</f>
        <v>TQGXIIPL</v>
      </c>
      <c r="I1129" s="35" t="str">
        <f>IFERROR(_xlfn.XLOOKUP(Table6[[#This Row],[Affected WTG]],'Basic Data'!$A:$A,'Basic Data'!$C:$C),"")</f>
        <v>GEDA</v>
      </c>
      <c r="J1129" s="471">
        <f>IFERROR(_xlfn.XLOOKUP(Table6[[#This Row],[Affected WTG]],'Basic Data'!$A:$A,'Basic Data'!$E:$E),"")</f>
        <v>3.846153846153845E-2</v>
      </c>
      <c r="K1129" s="102">
        <v>6130</v>
      </c>
      <c r="L1129" s="35" t="str">
        <f>IFERROR(_xlfn.XLOOKUP(Table6[[#This Row],[Error Code]],'Basic Data'!$AA:$AA,'Basic Data'!$AB:$AB),"Incorrect Error Code")</f>
        <v>Yaw speed high</v>
      </c>
      <c r="M1129" s="35" t="s">
        <v>291</v>
      </c>
      <c r="N1129" s="475"/>
      <c r="O1129" s="476">
        <v>0.78888888888888886</v>
      </c>
      <c r="P1129" s="476">
        <v>0.78888888888888886</v>
      </c>
      <c r="Q1129" s="477">
        <v>0.79097222222222219</v>
      </c>
      <c r="R1129" s="472">
        <f>IF(Table6[[#This Row],[Work Start TimeStamp]]="","",(Table6[[#This Row],[Work Start TimeStamp]]-Table6[[#This Row],[Fault Start TimeStamp]])*24)</f>
        <v>0</v>
      </c>
      <c r="S1129" s="472">
        <f>(Table6[[#This Row],[Fault Clearance time]]-Table6[[#This Row],[Work Start TimeStamp]])*24</f>
        <v>4.9999999999999822E-2</v>
      </c>
      <c r="T1129" s="472">
        <f>(Table6[[#This Row],[Fault Clearance time]]-Table6[[#This Row],[Fault Start TimeStamp]])*24</f>
        <v>4.9999999999999822E-2</v>
      </c>
      <c r="U1129" s="35" t="s">
        <v>1924</v>
      </c>
      <c r="V1129" s="102" t="s">
        <v>293</v>
      </c>
      <c r="W1129" s="478">
        <f>IFERROR(Table6[[#This Row],[Breakdown Time]]*Table6[[#This Row],[Plant Equivalent Weightage]],"")</f>
        <v>1.9230769230769156E-3</v>
      </c>
      <c r="X1129" s="473" t="s">
        <v>294</v>
      </c>
      <c r="Y1129" s="474" t="s">
        <v>310</v>
      </c>
      <c r="Z1129" s="102">
        <v>44939</v>
      </c>
      <c r="AA1129" s="468">
        <f>(Table6[[#This Row],[Paired WTG Generation for loss calculation]]/24)*Table6[[#This Row],[Breakdown Time]]</f>
        <v>93.622916666666328</v>
      </c>
      <c r="AB1129" s="102"/>
      <c r="AC1129" s="35"/>
      <c r="AD1129" s="35"/>
    </row>
    <row r="1130" spans="1:30">
      <c r="A1130" s="102">
        <f t="shared" si="18"/>
        <v>1129</v>
      </c>
      <c r="B1130" s="468">
        <f>YEAR(Table6[[#This Row],[Date]])+IF(MONTH(Table6[[#This Row],[Date]])&gt;=4,1,0)</f>
        <v>2026</v>
      </c>
      <c r="C1130" s="102">
        <f>YEAR(Table6[[#This Row],[Date]])</f>
        <v>2025</v>
      </c>
      <c r="D1130" s="102" t="s">
        <v>1992</v>
      </c>
      <c r="E1130" s="469">
        <f>Table6[[#This Row],[Date]]-DAY(Table6[[#This Row],[Date]])+1</f>
        <v>45809</v>
      </c>
      <c r="F1130" s="470">
        <v>45818</v>
      </c>
      <c r="G1130" s="35" t="s">
        <v>78</v>
      </c>
      <c r="H1130" s="35" t="str">
        <f>IFERROR(_xlfn.XLOOKUP(Table6[[#This Row],[Affected WTG]],'Basic Data'!$A:$A,'Basic Data'!$B:$B),"")</f>
        <v>TQGXIIPL</v>
      </c>
      <c r="I1130" s="35" t="str">
        <f>IFERROR(_xlfn.XLOOKUP(Table6[[#This Row],[Affected WTG]],'Basic Data'!$A:$A,'Basic Data'!$C:$C),"")</f>
        <v>GEDA</v>
      </c>
      <c r="J1130" s="471">
        <f>IFERROR(_xlfn.XLOOKUP(Table6[[#This Row],[Affected WTG]],'Basic Data'!$A:$A,'Basic Data'!$E:$E),"")</f>
        <v>3.846153846153845E-2</v>
      </c>
      <c r="K1130" s="102">
        <v>4960</v>
      </c>
      <c r="L1130" s="35" t="str">
        <f>IFERROR(_xlfn.XLOOKUP(Table6[[#This Row],[Error Code]],'Basic Data'!$AA:$AA,'Basic Data'!$AB:$AB),"Incorrect Error Code")</f>
        <v>Tower oscillation YF</v>
      </c>
      <c r="M1130" s="35" t="s">
        <v>291</v>
      </c>
      <c r="N1130" s="475"/>
      <c r="O1130" s="476">
        <v>0.50347222222222221</v>
      </c>
      <c r="P1130" s="476">
        <v>0.50347222222222221</v>
      </c>
      <c r="Q1130" s="477">
        <v>0.50555555555555554</v>
      </c>
      <c r="R1130" s="472">
        <f>IF(Table6[[#This Row],[Work Start TimeStamp]]="","",(Table6[[#This Row],[Work Start TimeStamp]]-Table6[[#This Row],[Fault Start TimeStamp]])*24)</f>
        <v>0</v>
      </c>
      <c r="S1130" s="472">
        <f>(Table6[[#This Row],[Fault Clearance time]]-Table6[[#This Row],[Work Start TimeStamp]])*24</f>
        <v>4.9999999999999822E-2</v>
      </c>
      <c r="T1130" s="472">
        <f>(Table6[[#This Row],[Fault Clearance time]]-Table6[[#This Row],[Fault Start TimeStamp]])*24</f>
        <v>4.9999999999999822E-2</v>
      </c>
      <c r="U1130" s="35" t="s">
        <v>1924</v>
      </c>
      <c r="V1130" s="102" t="s">
        <v>293</v>
      </c>
      <c r="W1130" s="478">
        <f>IFERROR(Table6[[#This Row],[Breakdown Time]]*Table6[[#This Row],[Plant Equivalent Weightage]],"")</f>
        <v>1.9230769230769156E-3</v>
      </c>
      <c r="X1130" s="473" t="s">
        <v>294</v>
      </c>
      <c r="Y1130" s="474" t="s">
        <v>333</v>
      </c>
      <c r="Z1130" s="102">
        <v>48133</v>
      </c>
      <c r="AA1130" s="468">
        <f>(Table6[[#This Row],[Paired WTG Generation for loss calculation]]/24)*Table6[[#This Row],[Breakdown Time]]</f>
        <v>100.27708333333298</v>
      </c>
      <c r="AB1130" s="102"/>
      <c r="AC1130" s="35"/>
      <c r="AD1130" s="35"/>
    </row>
    <row r="1131" spans="1:30">
      <c r="A1131" s="102">
        <f t="shared" si="18"/>
        <v>1130</v>
      </c>
      <c r="B1131" s="468">
        <f>YEAR(Table6[[#This Row],[Date]])+IF(MONTH(Table6[[#This Row],[Date]])&gt;=4,1,0)</f>
        <v>2026</v>
      </c>
      <c r="C1131" s="102">
        <f>YEAR(Table6[[#This Row],[Date]])</f>
        <v>2025</v>
      </c>
      <c r="D1131" s="102" t="s">
        <v>1992</v>
      </c>
      <c r="E1131" s="469">
        <f>Table6[[#This Row],[Date]]-DAY(Table6[[#This Row],[Date]])+1</f>
        <v>45809</v>
      </c>
      <c r="F1131" s="470">
        <v>45818</v>
      </c>
      <c r="G1131" s="35" t="s">
        <v>78</v>
      </c>
      <c r="H1131" s="35" t="str">
        <f>IFERROR(_xlfn.XLOOKUP(Table6[[#This Row],[Affected WTG]],'Basic Data'!$A:$A,'Basic Data'!$B:$B),"")</f>
        <v>TQGXIIPL</v>
      </c>
      <c r="I1131" s="35" t="str">
        <f>IFERROR(_xlfn.XLOOKUP(Table6[[#This Row],[Affected WTG]],'Basic Data'!$A:$A,'Basic Data'!$C:$C),"")</f>
        <v>GEDA</v>
      </c>
      <c r="J1131" s="471">
        <f>IFERROR(_xlfn.XLOOKUP(Table6[[#This Row],[Affected WTG]],'Basic Data'!$A:$A,'Basic Data'!$E:$E),"")</f>
        <v>3.846153846153845E-2</v>
      </c>
      <c r="K1131" s="102">
        <v>6130</v>
      </c>
      <c r="L1131" s="35" t="str">
        <f>IFERROR(_xlfn.XLOOKUP(Table6[[#This Row],[Error Code]],'Basic Data'!$AA:$AA,'Basic Data'!$AB:$AB),"Incorrect Error Code")</f>
        <v>Yaw speed high</v>
      </c>
      <c r="M1131" s="35" t="s">
        <v>291</v>
      </c>
      <c r="N1131" s="475"/>
      <c r="O1131" s="476">
        <v>0.59791666666666665</v>
      </c>
      <c r="P1131" s="476">
        <v>0.59791666666666665</v>
      </c>
      <c r="Q1131" s="477">
        <v>0.59861111111111109</v>
      </c>
      <c r="R1131" s="472">
        <f>IF(Table6[[#This Row],[Work Start TimeStamp]]="","",(Table6[[#This Row],[Work Start TimeStamp]]-Table6[[#This Row],[Fault Start TimeStamp]])*24)</f>
        <v>0</v>
      </c>
      <c r="S1131" s="472">
        <f>(Table6[[#This Row],[Fault Clearance time]]-Table6[[#This Row],[Work Start TimeStamp]])*24</f>
        <v>1.6666666666666607E-2</v>
      </c>
      <c r="T1131" s="472">
        <f>(Table6[[#This Row],[Fault Clearance time]]-Table6[[#This Row],[Fault Start TimeStamp]])*24</f>
        <v>1.6666666666666607E-2</v>
      </c>
      <c r="U1131" s="35" t="s">
        <v>1924</v>
      </c>
      <c r="V1131" s="102" t="s">
        <v>293</v>
      </c>
      <c r="W1131" s="478">
        <f>IFERROR(Table6[[#This Row],[Breakdown Time]]*Table6[[#This Row],[Plant Equivalent Weightage]],"")</f>
        <v>6.4102564102563853E-4</v>
      </c>
      <c r="X1131" s="473" t="s">
        <v>294</v>
      </c>
      <c r="Y1131" s="474" t="s">
        <v>333</v>
      </c>
      <c r="Z1131" s="102">
        <v>48133</v>
      </c>
      <c r="AA1131" s="468">
        <f>(Table6[[#This Row],[Paired WTG Generation for loss calculation]]/24)*Table6[[#This Row],[Breakdown Time]]</f>
        <v>33.425694444444325</v>
      </c>
      <c r="AB1131" s="102"/>
      <c r="AC1131" s="35"/>
      <c r="AD1131" s="35"/>
    </row>
    <row r="1132" spans="1:30">
      <c r="A1132" s="102">
        <f t="shared" si="18"/>
        <v>1131</v>
      </c>
      <c r="B1132" s="468">
        <f>YEAR(Table6[[#This Row],[Date]])+IF(MONTH(Table6[[#This Row],[Date]])&gt;=4,1,0)</f>
        <v>2026</v>
      </c>
      <c r="C1132" s="102">
        <f>YEAR(Table6[[#This Row],[Date]])</f>
        <v>2025</v>
      </c>
      <c r="D1132" s="102" t="s">
        <v>1992</v>
      </c>
      <c r="E1132" s="469">
        <f>Table6[[#This Row],[Date]]-DAY(Table6[[#This Row],[Date]])+1</f>
        <v>45809</v>
      </c>
      <c r="F1132" s="470">
        <v>45818</v>
      </c>
      <c r="G1132" s="35" t="s">
        <v>79</v>
      </c>
      <c r="H1132" s="35" t="str">
        <f>IFERROR(_xlfn.XLOOKUP(Table6[[#This Row],[Affected WTG]],'Basic Data'!$A:$A,'Basic Data'!$B:$B),"")</f>
        <v>TQGXIIPL</v>
      </c>
      <c r="I1132" s="35" t="str">
        <f>IFERROR(_xlfn.XLOOKUP(Table6[[#This Row],[Affected WTG]],'Basic Data'!$A:$A,'Basic Data'!$C:$C),"")</f>
        <v>GEDA</v>
      </c>
      <c r="J1132" s="471">
        <f>IFERROR(_xlfn.XLOOKUP(Table6[[#This Row],[Affected WTG]],'Basic Data'!$A:$A,'Basic Data'!$E:$E),"")</f>
        <v>3.846153846153845E-2</v>
      </c>
      <c r="K1132" s="102">
        <v>6130</v>
      </c>
      <c r="L1132" s="35" t="str">
        <f>IFERROR(_xlfn.XLOOKUP(Table6[[#This Row],[Error Code]],'Basic Data'!$AA:$AA,'Basic Data'!$AB:$AB),"Incorrect Error Code")</f>
        <v>Yaw speed high</v>
      </c>
      <c r="M1132" s="35" t="s">
        <v>291</v>
      </c>
      <c r="N1132" s="475"/>
      <c r="O1132" s="476">
        <v>0.49652777777777779</v>
      </c>
      <c r="P1132" s="476">
        <v>0.49652777777777779</v>
      </c>
      <c r="Q1132" s="477">
        <v>0.49722222222222223</v>
      </c>
      <c r="R1132" s="472">
        <f>IF(Table6[[#This Row],[Work Start TimeStamp]]="","",(Table6[[#This Row],[Work Start TimeStamp]]-Table6[[#This Row],[Fault Start TimeStamp]])*24)</f>
        <v>0</v>
      </c>
      <c r="S1132" s="472">
        <f>(Table6[[#This Row],[Fault Clearance time]]-Table6[[#This Row],[Work Start TimeStamp]])*24</f>
        <v>1.6666666666666607E-2</v>
      </c>
      <c r="T1132" s="472">
        <f>(Table6[[#This Row],[Fault Clearance time]]-Table6[[#This Row],[Fault Start TimeStamp]])*24</f>
        <v>1.6666666666666607E-2</v>
      </c>
      <c r="U1132" s="35" t="s">
        <v>1924</v>
      </c>
      <c r="V1132" s="102" t="s">
        <v>293</v>
      </c>
      <c r="W1132" s="478">
        <f>IFERROR(Table6[[#This Row],[Breakdown Time]]*Table6[[#This Row],[Plant Equivalent Weightage]],"")</f>
        <v>6.4102564102563853E-4</v>
      </c>
      <c r="X1132" s="473" t="s">
        <v>294</v>
      </c>
      <c r="Y1132" s="474" t="s">
        <v>325</v>
      </c>
      <c r="Z1132" s="102">
        <v>39222</v>
      </c>
      <c r="AA1132" s="468">
        <f>(Table6[[#This Row],[Paired WTG Generation for loss calculation]]/24)*Table6[[#This Row],[Breakdown Time]]</f>
        <v>27.237499999999905</v>
      </c>
      <c r="AB1132" s="102"/>
      <c r="AC1132" s="35"/>
      <c r="AD1132" s="35"/>
    </row>
    <row r="1133" spans="1:30">
      <c r="A1133" s="102">
        <f t="shared" si="18"/>
        <v>1132</v>
      </c>
      <c r="B1133" s="468">
        <f>YEAR(Table6[[#This Row],[Date]])+IF(MONTH(Table6[[#This Row],[Date]])&gt;=4,1,0)</f>
        <v>2026</v>
      </c>
      <c r="C1133" s="102">
        <f>YEAR(Table6[[#This Row],[Date]])</f>
        <v>2025</v>
      </c>
      <c r="D1133" s="102" t="s">
        <v>1992</v>
      </c>
      <c r="E1133" s="469">
        <f>Table6[[#This Row],[Date]]-DAY(Table6[[#This Row],[Date]])+1</f>
        <v>45809</v>
      </c>
      <c r="F1133" s="470">
        <v>45818</v>
      </c>
      <c r="G1133" s="35" t="s">
        <v>80</v>
      </c>
      <c r="H1133" s="35" t="str">
        <f>IFERROR(_xlfn.XLOOKUP(Table6[[#This Row],[Affected WTG]],'Basic Data'!$A:$A,'Basic Data'!$B:$B),"")</f>
        <v>TQGXIIPL</v>
      </c>
      <c r="I1133" s="35" t="str">
        <f>IFERROR(_xlfn.XLOOKUP(Table6[[#This Row],[Affected WTG]],'Basic Data'!$A:$A,'Basic Data'!$C:$C),"")</f>
        <v>GEDA</v>
      </c>
      <c r="J1133" s="471">
        <f>IFERROR(_xlfn.XLOOKUP(Table6[[#This Row],[Affected WTG]],'Basic Data'!$A:$A,'Basic Data'!$E:$E),"")</f>
        <v>3.846153846153845E-2</v>
      </c>
      <c r="K1133" s="102">
        <v>55</v>
      </c>
      <c r="L1133" s="35" t="str">
        <f>IFERROR(_xlfn.XLOOKUP(Table6[[#This Row],[Error Code]],'Basic Data'!$AA:$AA,'Basic Data'!$AB:$AB),"Incorrect Error Code")</f>
        <v>WTG shut down</v>
      </c>
      <c r="M1133" s="35" t="s">
        <v>1956</v>
      </c>
      <c r="N1133" s="475"/>
      <c r="O1133" s="476">
        <v>0.43680555555555556</v>
      </c>
      <c r="P1133" s="476">
        <v>0.43680555555555556</v>
      </c>
      <c r="Q1133" s="477">
        <v>0.53055555555555556</v>
      </c>
      <c r="R1133" s="472">
        <f>IF(Table6[[#This Row],[Work Start TimeStamp]]="","",(Table6[[#This Row],[Work Start TimeStamp]]-Table6[[#This Row],[Fault Start TimeStamp]])*24)</f>
        <v>0</v>
      </c>
      <c r="S1133" s="472">
        <f>(Table6[[#This Row],[Fault Clearance time]]-Table6[[#This Row],[Work Start TimeStamp]])*24</f>
        <v>2.25</v>
      </c>
      <c r="T1133" s="472">
        <f>(Table6[[#This Row],[Fault Clearance time]]-Table6[[#This Row],[Fault Start TimeStamp]])*24</f>
        <v>2.25</v>
      </c>
      <c r="U1133" s="35" t="s">
        <v>1954</v>
      </c>
      <c r="V1133" s="102" t="s">
        <v>293</v>
      </c>
      <c r="W1133" s="478">
        <f>IFERROR(Table6[[#This Row],[Breakdown Time]]*Table6[[#This Row],[Plant Equivalent Weightage]],"")</f>
        <v>8.6538461538461509E-2</v>
      </c>
      <c r="X1133" s="473" t="s">
        <v>290</v>
      </c>
      <c r="Y1133" s="474" t="s">
        <v>317</v>
      </c>
      <c r="Z1133" s="102">
        <v>45191</v>
      </c>
      <c r="AA1133" s="468">
        <f>(Table6[[#This Row],[Paired WTG Generation for loss calculation]]/24)*Table6[[#This Row],[Breakdown Time]]</f>
        <v>4236.65625</v>
      </c>
      <c r="AB1133" s="102"/>
      <c r="AC1133" s="35"/>
      <c r="AD1133" s="35"/>
    </row>
    <row r="1134" spans="1:30">
      <c r="A1134" s="102">
        <f t="shared" si="18"/>
        <v>1133</v>
      </c>
      <c r="B1134" s="468">
        <f>YEAR(Table6[[#This Row],[Date]])+IF(MONTH(Table6[[#This Row],[Date]])&gt;=4,1,0)</f>
        <v>2026</v>
      </c>
      <c r="C1134" s="102">
        <f>YEAR(Table6[[#This Row],[Date]])</f>
        <v>2025</v>
      </c>
      <c r="D1134" s="102" t="s">
        <v>1992</v>
      </c>
      <c r="E1134" s="469">
        <f>Table6[[#This Row],[Date]]-DAY(Table6[[#This Row],[Date]])+1</f>
        <v>45809</v>
      </c>
      <c r="F1134" s="470">
        <v>45818</v>
      </c>
      <c r="G1134" s="35" t="s">
        <v>81</v>
      </c>
      <c r="H1134" s="35" t="str">
        <f>IFERROR(_xlfn.XLOOKUP(Table6[[#This Row],[Affected WTG]],'Basic Data'!$A:$A,'Basic Data'!$B:$B),"")</f>
        <v>TQGXIIPL</v>
      </c>
      <c r="I1134" s="35" t="str">
        <f>IFERROR(_xlfn.XLOOKUP(Table6[[#This Row],[Affected WTG]],'Basic Data'!$A:$A,'Basic Data'!$C:$C),"")</f>
        <v>GEDA</v>
      </c>
      <c r="J1134" s="471">
        <f>IFERROR(_xlfn.XLOOKUP(Table6[[#This Row],[Affected WTG]],'Basic Data'!$A:$A,'Basic Data'!$E:$E),"")</f>
        <v>3.846153846153845E-2</v>
      </c>
      <c r="K1134" s="102">
        <v>665</v>
      </c>
      <c r="L1134" s="35" t="str">
        <f>IFERROR(_xlfn.XLOOKUP(Table6[[#This Row],[Error Code]],'Basic Data'!$AA:$AA,'Basic Data'!$AB:$AB),"Incorrect Error Code")</f>
        <v>Pitch error</v>
      </c>
      <c r="M1134" s="35" t="s">
        <v>291</v>
      </c>
      <c r="N1134" s="475"/>
      <c r="O1134" s="476">
        <v>0.11458333333333333</v>
      </c>
      <c r="P1134" s="476">
        <v>0.11458333333333333</v>
      </c>
      <c r="Q1134" s="477">
        <v>0.11874999999999999</v>
      </c>
      <c r="R1134" s="472">
        <f>IF(Table6[[#This Row],[Work Start TimeStamp]]="","",(Table6[[#This Row],[Work Start TimeStamp]]-Table6[[#This Row],[Fault Start TimeStamp]])*24)</f>
        <v>0</v>
      </c>
      <c r="S1134" s="472">
        <f>(Table6[[#This Row],[Fault Clearance time]]-Table6[[#This Row],[Work Start TimeStamp]])*24</f>
        <v>9.9999999999999978E-2</v>
      </c>
      <c r="T1134" s="472">
        <f>(Table6[[#This Row],[Fault Clearance time]]-Table6[[#This Row],[Fault Start TimeStamp]])*24</f>
        <v>9.9999999999999978E-2</v>
      </c>
      <c r="U1134" s="35" t="s">
        <v>1924</v>
      </c>
      <c r="V1134" s="102" t="s">
        <v>293</v>
      </c>
      <c r="W1134" s="478">
        <f>IFERROR(Table6[[#This Row],[Breakdown Time]]*Table6[[#This Row],[Plant Equivalent Weightage]],"")</f>
        <v>3.8461538461538442E-3</v>
      </c>
      <c r="X1134" s="473" t="s">
        <v>294</v>
      </c>
      <c r="Y1134" s="474" t="s">
        <v>321</v>
      </c>
      <c r="Z1134" s="102">
        <v>40326</v>
      </c>
      <c r="AA1134" s="468">
        <f>(Table6[[#This Row],[Paired WTG Generation for loss calculation]]/24)*Table6[[#This Row],[Breakdown Time]]</f>
        <v>168.02499999999995</v>
      </c>
      <c r="AB1134" s="102"/>
      <c r="AC1134" s="35"/>
      <c r="AD1134" s="35"/>
    </row>
    <row r="1135" spans="1:30">
      <c r="A1135" s="102">
        <f t="shared" si="18"/>
        <v>1134</v>
      </c>
      <c r="B1135" s="468">
        <f>YEAR(Table6[[#This Row],[Date]])+IF(MONTH(Table6[[#This Row],[Date]])&gt;=4,1,0)</f>
        <v>2026</v>
      </c>
      <c r="C1135" s="102">
        <f>YEAR(Table6[[#This Row],[Date]])</f>
        <v>2025</v>
      </c>
      <c r="D1135" s="102" t="s">
        <v>1992</v>
      </c>
      <c r="E1135" s="469">
        <f>Table6[[#This Row],[Date]]-DAY(Table6[[#This Row],[Date]])+1</f>
        <v>45809</v>
      </c>
      <c r="F1135" s="470">
        <v>45818</v>
      </c>
      <c r="G1135" s="35" t="s">
        <v>81</v>
      </c>
      <c r="H1135" s="35" t="str">
        <f>IFERROR(_xlfn.XLOOKUP(Table6[[#This Row],[Affected WTG]],'Basic Data'!$A:$A,'Basic Data'!$B:$B),"")</f>
        <v>TQGXIIPL</v>
      </c>
      <c r="I1135" s="35" t="str">
        <f>IFERROR(_xlfn.XLOOKUP(Table6[[#This Row],[Affected WTG]],'Basic Data'!$A:$A,'Basic Data'!$C:$C),"")</f>
        <v>GEDA</v>
      </c>
      <c r="J1135" s="471">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291</v>
      </c>
      <c r="N1135" s="475"/>
      <c r="O1135" s="476">
        <v>0.31944444444444442</v>
      </c>
      <c r="P1135" s="476">
        <v>0.31944444444444442</v>
      </c>
      <c r="Q1135" s="477">
        <v>0.3263888888888889</v>
      </c>
      <c r="R1135" s="472">
        <f>IF(Table6[[#This Row],[Work Start TimeStamp]]="","",(Table6[[#This Row],[Work Start TimeStamp]]-Table6[[#This Row],[Fault Start TimeStamp]])*24)</f>
        <v>0</v>
      </c>
      <c r="S1135" s="472">
        <f>(Table6[[#This Row],[Fault Clearance time]]-Table6[[#This Row],[Work Start TimeStamp]])*24</f>
        <v>0.16666666666666741</v>
      </c>
      <c r="T1135" s="472">
        <f>(Table6[[#This Row],[Fault Clearance time]]-Table6[[#This Row],[Fault Start TimeStamp]])*24</f>
        <v>0.16666666666666741</v>
      </c>
      <c r="U1135" s="35" t="s">
        <v>1924</v>
      </c>
      <c r="V1135" s="102" t="s">
        <v>293</v>
      </c>
      <c r="W1135" s="478">
        <f>IFERROR(Table6[[#This Row],[Breakdown Time]]*Table6[[#This Row],[Plant Equivalent Weightage]],"")</f>
        <v>6.4102564102564369E-3</v>
      </c>
      <c r="X1135" s="473" t="s">
        <v>294</v>
      </c>
      <c r="Y1135" s="474" t="s">
        <v>321</v>
      </c>
      <c r="Z1135" s="102">
        <v>40326</v>
      </c>
      <c r="AA1135" s="468">
        <f>(Table6[[#This Row],[Paired WTG Generation for loss calculation]]/24)*Table6[[#This Row],[Breakdown Time]]</f>
        <v>280.04166666666794</v>
      </c>
      <c r="AB1135" s="102"/>
      <c r="AC1135" s="35"/>
      <c r="AD1135" s="35"/>
    </row>
    <row r="1136" spans="1:30">
      <c r="A1136" s="102">
        <f t="shared" si="18"/>
        <v>1135</v>
      </c>
      <c r="B1136" s="468">
        <f>YEAR(Table6[[#This Row],[Date]])+IF(MONTH(Table6[[#This Row],[Date]])&gt;=4,1,0)</f>
        <v>2026</v>
      </c>
      <c r="C1136" s="102">
        <f>YEAR(Table6[[#This Row],[Date]])</f>
        <v>2025</v>
      </c>
      <c r="D1136" s="102" t="s">
        <v>1992</v>
      </c>
      <c r="E1136" s="469">
        <f>Table6[[#This Row],[Date]]-DAY(Table6[[#This Row],[Date]])+1</f>
        <v>45809</v>
      </c>
      <c r="F1136" s="470">
        <v>45818</v>
      </c>
      <c r="G1136" s="35" t="s">
        <v>83</v>
      </c>
      <c r="H1136" s="35" t="str">
        <f>IFERROR(_xlfn.XLOOKUP(Table6[[#This Row],[Affected WTG]],'Basic Data'!$A:$A,'Basic Data'!$B:$B),"")</f>
        <v>TQGXIIPL</v>
      </c>
      <c r="I1136" s="35" t="str">
        <f>IFERROR(_xlfn.XLOOKUP(Table6[[#This Row],[Affected WTG]],'Basic Data'!$A:$A,'Basic Data'!$C:$C),"")</f>
        <v>GEDA</v>
      </c>
      <c r="J1136" s="471">
        <f>IFERROR(_xlfn.XLOOKUP(Table6[[#This Row],[Affected WTG]],'Basic Data'!$A:$A,'Basic Data'!$E:$E),"")</f>
        <v>3.846153846153845E-2</v>
      </c>
      <c r="K1136" s="102">
        <v>3110</v>
      </c>
      <c r="L1136" s="35" t="str">
        <f>IFERROR(_xlfn.XLOOKUP(Table6[[#This Row],[Error Code]],'Basic Data'!$AA:$AA,'Basic Data'!$AB:$AB),"Incorrect Error Code")</f>
        <v>Frequency converter error</v>
      </c>
      <c r="M1136" s="35" t="s">
        <v>291</v>
      </c>
      <c r="N1136" s="475"/>
      <c r="O1136" s="476">
        <v>0.29305555555555557</v>
      </c>
      <c r="P1136" s="476">
        <v>0.29305555555555557</v>
      </c>
      <c r="Q1136" s="477">
        <v>0.3</v>
      </c>
      <c r="R1136" s="472">
        <f>IF(Table6[[#This Row],[Work Start TimeStamp]]="","",(Table6[[#This Row],[Work Start TimeStamp]]-Table6[[#This Row],[Fault Start TimeStamp]])*24)</f>
        <v>0</v>
      </c>
      <c r="S1136" s="472">
        <f>(Table6[[#This Row],[Fault Clearance time]]-Table6[[#This Row],[Work Start TimeStamp]])*24</f>
        <v>0.16666666666666607</v>
      </c>
      <c r="T1136" s="472">
        <f>(Table6[[#This Row],[Fault Clearance time]]-Table6[[#This Row],[Fault Start TimeStamp]])*24</f>
        <v>0.16666666666666607</v>
      </c>
      <c r="U1136" s="35" t="s">
        <v>1935</v>
      </c>
      <c r="V1136" s="102" t="s">
        <v>293</v>
      </c>
      <c r="W1136" s="478">
        <f>IFERROR(Table6[[#This Row],[Breakdown Time]]*Table6[[#This Row],[Plant Equivalent Weightage]],"")</f>
        <v>6.4102564102563857E-3</v>
      </c>
      <c r="X1136" s="473" t="s">
        <v>294</v>
      </c>
      <c r="Y1136" s="474" t="s">
        <v>312</v>
      </c>
      <c r="Z1136" s="102">
        <v>39946</v>
      </c>
      <c r="AA1136" s="468">
        <f>(Table6[[#This Row],[Paired WTG Generation for loss calculation]]/24)*Table6[[#This Row],[Breakdown Time]]</f>
        <v>277.40277777777681</v>
      </c>
      <c r="AB1136" s="102"/>
      <c r="AC1136" s="35"/>
      <c r="AD1136" s="35"/>
    </row>
    <row r="1137" spans="1:30">
      <c r="A1137" s="102">
        <f t="shared" si="18"/>
        <v>1136</v>
      </c>
      <c r="B1137" s="468">
        <f>YEAR(Table6[[#This Row],[Date]])+IF(MONTH(Table6[[#This Row],[Date]])&gt;=4,1,0)</f>
        <v>2026</v>
      </c>
      <c r="C1137" s="102">
        <f>YEAR(Table6[[#This Row],[Date]])</f>
        <v>2025</v>
      </c>
      <c r="D1137" s="102" t="s">
        <v>1992</v>
      </c>
      <c r="E1137" s="469">
        <f>Table6[[#This Row],[Date]]-DAY(Table6[[#This Row],[Date]])+1</f>
        <v>45809</v>
      </c>
      <c r="F1137" s="470">
        <v>45818</v>
      </c>
      <c r="G1137" s="35" t="s">
        <v>83</v>
      </c>
      <c r="H1137" s="35" t="str">
        <f>IFERROR(_xlfn.XLOOKUP(Table6[[#This Row],[Affected WTG]],'Basic Data'!$A:$A,'Basic Data'!$B:$B),"")</f>
        <v>TQGXIIPL</v>
      </c>
      <c r="I1137" s="35" t="str">
        <f>IFERROR(_xlfn.XLOOKUP(Table6[[#This Row],[Affected WTG]],'Basic Data'!$A:$A,'Basic Data'!$C:$C),"")</f>
        <v>GEDA</v>
      </c>
      <c r="J1137" s="471">
        <f>IFERROR(_xlfn.XLOOKUP(Table6[[#This Row],[Affected WTG]],'Basic Data'!$A:$A,'Basic Data'!$E:$E),"")</f>
        <v>3.846153846153845E-2</v>
      </c>
      <c r="K1137" s="102">
        <v>3395</v>
      </c>
      <c r="L1137" s="35" t="str">
        <f>IFERROR(_xlfn.XLOOKUP(Table6[[#This Row],[Error Code]],'Basic Data'!$AA:$AA,'Basic Data'!$AB:$AB),"Incorrect Error Code")</f>
        <v>Pump cooling sys. overload</v>
      </c>
      <c r="M1137" s="35" t="s">
        <v>291</v>
      </c>
      <c r="N1137" s="475"/>
      <c r="O1137" s="476">
        <v>0.30277777777777776</v>
      </c>
      <c r="P1137" s="476">
        <v>0.35416666666666669</v>
      </c>
      <c r="Q1137" s="477">
        <v>0.54027777777777775</v>
      </c>
      <c r="R1137" s="472">
        <f>IF(Table6[[#This Row],[Work Start TimeStamp]]="","",(Table6[[#This Row],[Work Start TimeStamp]]-Table6[[#This Row],[Fault Start TimeStamp]])*24)</f>
        <v>1.2333333333333343</v>
      </c>
      <c r="S1137" s="472">
        <f>(Table6[[#This Row],[Fault Clearance time]]-Table6[[#This Row],[Work Start TimeStamp]])*24</f>
        <v>4.466666666666665</v>
      </c>
      <c r="T1137" s="472">
        <f>(Table6[[#This Row],[Fault Clearance time]]-Table6[[#This Row],[Fault Start TimeStamp]])*24</f>
        <v>5.6999999999999993</v>
      </c>
      <c r="U1137" s="35" t="s">
        <v>1955</v>
      </c>
      <c r="V1137" s="102" t="s">
        <v>293</v>
      </c>
      <c r="W1137" s="478">
        <f>IFERROR(Table6[[#This Row],[Breakdown Time]]*Table6[[#This Row],[Plant Equivalent Weightage]],"")</f>
        <v>0.21923076923076915</v>
      </c>
      <c r="X1137" s="473" t="s">
        <v>290</v>
      </c>
      <c r="Y1137" s="474" t="s">
        <v>312</v>
      </c>
      <c r="Z1137" s="102">
        <v>39946</v>
      </c>
      <c r="AA1137" s="468">
        <f>(Table6[[#This Row],[Paired WTG Generation for loss calculation]]/24)*Table6[[#This Row],[Breakdown Time]]</f>
        <v>9487.1749999999993</v>
      </c>
      <c r="AB1137" s="102"/>
      <c r="AC1137" s="35"/>
      <c r="AD1137" s="35"/>
    </row>
    <row r="1138" spans="1:30">
      <c r="A1138" s="102">
        <f t="shared" si="18"/>
        <v>1137</v>
      </c>
      <c r="B1138" s="468">
        <f>YEAR(Table6[[#This Row],[Date]])+IF(MONTH(Table6[[#This Row],[Date]])&gt;=4,1,0)</f>
        <v>2026</v>
      </c>
      <c r="C1138" s="102">
        <f>YEAR(Table6[[#This Row],[Date]])</f>
        <v>2025</v>
      </c>
      <c r="D1138" s="102" t="s">
        <v>1992</v>
      </c>
      <c r="E1138" s="469">
        <f>Table6[[#This Row],[Date]]-DAY(Table6[[#This Row],[Date]])+1</f>
        <v>45809</v>
      </c>
      <c r="F1138" s="470">
        <v>45818</v>
      </c>
      <c r="G1138" s="35" t="s">
        <v>84</v>
      </c>
      <c r="H1138" s="35" t="str">
        <f>IFERROR(_xlfn.XLOOKUP(Table6[[#This Row],[Affected WTG]],'Basic Data'!$A:$A,'Basic Data'!$B:$B),"")</f>
        <v>TQGXIIPL</v>
      </c>
      <c r="I1138" s="35" t="str">
        <f>IFERROR(_xlfn.XLOOKUP(Table6[[#This Row],[Affected WTG]],'Basic Data'!$A:$A,'Basic Data'!$C:$C),"")</f>
        <v>GEDA</v>
      </c>
      <c r="J1138" s="471">
        <f>IFERROR(_xlfn.XLOOKUP(Table6[[#This Row],[Affected WTG]],'Basic Data'!$A:$A,'Basic Data'!$E:$E),"")</f>
        <v>3.846153846153845E-2</v>
      </c>
      <c r="K1138" s="102">
        <v>6130</v>
      </c>
      <c r="L1138" s="35" t="str">
        <f>IFERROR(_xlfn.XLOOKUP(Table6[[#This Row],[Error Code]],'Basic Data'!$AA:$AA,'Basic Data'!$AB:$AB),"Incorrect Error Code")</f>
        <v>Yaw speed high</v>
      </c>
      <c r="M1138" s="35" t="s">
        <v>291</v>
      </c>
      <c r="N1138" s="475"/>
      <c r="O1138" s="476">
        <v>0.46388888888888891</v>
      </c>
      <c r="P1138" s="476">
        <v>0.46388888888888891</v>
      </c>
      <c r="Q1138" s="477">
        <v>0.46597222222222223</v>
      </c>
      <c r="R1138" s="472">
        <f>IF(Table6[[#This Row],[Work Start TimeStamp]]="","",(Table6[[#This Row],[Work Start TimeStamp]]-Table6[[#This Row],[Fault Start TimeStamp]])*24)</f>
        <v>0</v>
      </c>
      <c r="S1138" s="472">
        <f>(Table6[[#This Row],[Fault Clearance time]]-Table6[[#This Row],[Work Start TimeStamp]])*24</f>
        <v>4.9999999999999822E-2</v>
      </c>
      <c r="T1138" s="472">
        <f>(Table6[[#This Row],[Fault Clearance time]]-Table6[[#This Row],[Fault Start TimeStamp]])*24</f>
        <v>4.9999999999999822E-2</v>
      </c>
      <c r="U1138" s="35" t="s">
        <v>1924</v>
      </c>
      <c r="V1138" s="102" t="s">
        <v>293</v>
      </c>
      <c r="W1138" s="478">
        <f>IFERROR(Table6[[#This Row],[Breakdown Time]]*Table6[[#This Row],[Plant Equivalent Weightage]],"")</f>
        <v>1.9230769230769156E-3</v>
      </c>
      <c r="X1138" s="473" t="s">
        <v>294</v>
      </c>
      <c r="Y1138" s="474" t="s">
        <v>327</v>
      </c>
      <c r="Z1138" s="102">
        <v>38012</v>
      </c>
      <c r="AA1138" s="468">
        <f>(Table6[[#This Row],[Paired WTG Generation for loss calculation]]/24)*Table6[[#This Row],[Breakdown Time]]</f>
        <v>79.191666666666379</v>
      </c>
      <c r="AB1138" s="102"/>
      <c r="AC1138" s="35"/>
      <c r="AD1138" s="35"/>
    </row>
    <row r="1139" spans="1:30">
      <c r="A1139" s="102">
        <f t="shared" si="18"/>
        <v>1138</v>
      </c>
      <c r="B1139" s="468">
        <f>YEAR(Table6[[#This Row],[Date]])+IF(MONTH(Table6[[#This Row],[Date]])&gt;=4,1,0)</f>
        <v>2026</v>
      </c>
      <c r="C1139" s="102">
        <f>YEAR(Table6[[#This Row],[Date]])</f>
        <v>2025</v>
      </c>
      <c r="D1139" s="102" t="s">
        <v>1992</v>
      </c>
      <c r="E1139" s="469">
        <f>Table6[[#This Row],[Date]]-DAY(Table6[[#This Row],[Date]])+1</f>
        <v>45809</v>
      </c>
      <c r="F1139" s="470">
        <v>45818</v>
      </c>
      <c r="G1139" s="35" t="s">
        <v>87</v>
      </c>
      <c r="H1139" s="35" t="str">
        <f>IFERROR(_xlfn.XLOOKUP(Table6[[#This Row],[Affected WTG]],'Basic Data'!$A:$A,'Basic Data'!$B:$B),"")</f>
        <v>TQGXIIPL</v>
      </c>
      <c r="I1139" s="35" t="str">
        <f>IFERROR(_xlfn.XLOOKUP(Table6[[#This Row],[Affected WTG]],'Basic Data'!$A:$A,'Basic Data'!$C:$C),"")</f>
        <v>GEDA</v>
      </c>
      <c r="J1139" s="471">
        <f>IFERROR(_xlfn.XLOOKUP(Table6[[#This Row],[Affected WTG]],'Basic Data'!$A:$A,'Basic Data'!$E:$E),"")</f>
        <v>3.846153846153845E-2</v>
      </c>
      <c r="K1139" s="102">
        <v>6130</v>
      </c>
      <c r="L1139" s="35" t="str">
        <f>IFERROR(_xlfn.XLOOKUP(Table6[[#This Row],[Error Code]],'Basic Data'!$AA:$AA,'Basic Data'!$AB:$AB),"Incorrect Error Code")</f>
        <v>Yaw speed high</v>
      </c>
      <c r="M1139" s="35" t="s">
        <v>291</v>
      </c>
      <c r="N1139" s="475"/>
      <c r="O1139" s="476">
        <v>0.66874999999999996</v>
      </c>
      <c r="P1139" s="476">
        <v>0.66874999999999996</v>
      </c>
      <c r="Q1139" s="477">
        <v>0.6694444444444444</v>
      </c>
      <c r="R1139" s="472">
        <f>IF(Table6[[#This Row],[Work Start TimeStamp]]="","",(Table6[[#This Row],[Work Start TimeStamp]]-Table6[[#This Row],[Fault Start TimeStamp]])*24)</f>
        <v>0</v>
      </c>
      <c r="S1139" s="472">
        <f>(Table6[[#This Row],[Fault Clearance time]]-Table6[[#This Row],[Work Start TimeStamp]])*24</f>
        <v>1.6666666666666607E-2</v>
      </c>
      <c r="T1139" s="472">
        <f>(Table6[[#This Row],[Fault Clearance time]]-Table6[[#This Row],[Fault Start TimeStamp]])*24</f>
        <v>1.6666666666666607E-2</v>
      </c>
      <c r="U1139" s="35" t="s">
        <v>1924</v>
      </c>
      <c r="V1139" s="102" t="s">
        <v>293</v>
      </c>
      <c r="W1139" s="478">
        <f>IFERROR(Table6[[#This Row],[Breakdown Time]]*Table6[[#This Row],[Plant Equivalent Weightage]],"")</f>
        <v>6.4102564102563853E-4</v>
      </c>
      <c r="X1139" s="473" t="s">
        <v>294</v>
      </c>
      <c r="Y1139" s="474" t="s">
        <v>327</v>
      </c>
      <c r="Z1139" s="102">
        <v>38012</v>
      </c>
      <c r="AA1139" s="468">
        <f>(Table6[[#This Row],[Paired WTG Generation for loss calculation]]/24)*Table6[[#This Row],[Breakdown Time]]</f>
        <v>26.397222222222126</v>
      </c>
      <c r="AB1139" s="102"/>
      <c r="AC1139" s="35"/>
      <c r="AD1139" s="35"/>
    </row>
    <row r="1140" spans="1:30">
      <c r="A1140" s="102">
        <f t="shared" si="18"/>
        <v>1139</v>
      </c>
      <c r="B1140" s="468">
        <f>YEAR(Table6[[#This Row],[Date]])+IF(MONTH(Table6[[#This Row],[Date]])&gt;=4,1,0)</f>
        <v>2026</v>
      </c>
      <c r="C1140" s="102">
        <f>YEAR(Table6[[#This Row],[Date]])</f>
        <v>2025</v>
      </c>
      <c r="D1140" s="102" t="s">
        <v>1992</v>
      </c>
      <c r="E1140" s="469">
        <f>Table6[[#This Row],[Date]]-DAY(Table6[[#This Row],[Date]])+1</f>
        <v>45809</v>
      </c>
      <c r="F1140" s="470">
        <v>45818</v>
      </c>
      <c r="G1140" s="35" t="s">
        <v>88</v>
      </c>
      <c r="H1140" s="35" t="str">
        <f>IFERROR(_xlfn.XLOOKUP(Table6[[#This Row],[Affected WTG]],'Basic Data'!$A:$A,'Basic Data'!$B:$B),"")</f>
        <v>TQGXIIPL</v>
      </c>
      <c r="I1140" s="35" t="str">
        <f>IFERROR(_xlfn.XLOOKUP(Table6[[#This Row],[Affected WTG]],'Basic Data'!$A:$A,'Basic Data'!$C:$C),"")</f>
        <v>GEDA</v>
      </c>
      <c r="J1140" s="471">
        <f>IFERROR(_xlfn.XLOOKUP(Table6[[#This Row],[Affected WTG]],'Basic Data'!$A:$A,'Basic Data'!$E:$E),"")</f>
        <v>3.846153846153845E-2</v>
      </c>
      <c r="K1140" s="102">
        <v>6130</v>
      </c>
      <c r="L1140" s="35" t="str">
        <f>IFERROR(_xlfn.XLOOKUP(Table6[[#This Row],[Error Code]],'Basic Data'!$AA:$AA,'Basic Data'!$AB:$AB),"Incorrect Error Code")</f>
        <v>Yaw speed high</v>
      </c>
      <c r="M1140" s="35" t="s">
        <v>292</v>
      </c>
      <c r="N1140" s="475"/>
      <c r="O1140" s="476">
        <v>0.55625000000000002</v>
      </c>
      <c r="P1140" s="476">
        <v>0.55625000000000002</v>
      </c>
      <c r="Q1140" s="477">
        <v>0.56041666666666667</v>
      </c>
      <c r="R1140" s="472">
        <f>IF(Table6[[#This Row],[Work Start TimeStamp]]="","",(Table6[[#This Row],[Work Start TimeStamp]]-Table6[[#This Row],[Fault Start TimeStamp]])*24)</f>
        <v>0</v>
      </c>
      <c r="S1140" s="472">
        <f>(Table6[[#This Row],[Fault Clearance time]]-Table6[[#This Row],[Work Start TimeStamp]])*24</f>
        <v>9.9999999999999645E-2</v>
      </c>
      <c r="T1140" s="472">
        <f>(Table6[[#This Row],[Fault Clearance time]]-Table6[[#This Row],[Fault Start TimeStamp]])*24</f>
        <v>9.9999999999999645E-2</v>
      </c>
      <c r="U1140" s="35" t="s">
        <v>336</v>
      </c>
      <c r="V1140" s="102" t="s">
        <v>293</v>
      </c>
      <c r="W1140" s="478">
        <f>IFERROR(Table6[[#This Row],[Breakdown Time]]*Table6[[#This Row],[Plant Equivalent Weightage]],"")</f>
        <v>3.8461538461538312E-3</v>
      </c>
      <c r="X1140" s="473" t="s">
        <v>294</v>
      </c>
      <c r="Y1140" s="474" t="s">
        <v>323</v>
      </c>
      <c r="Z1140" s="102">
        <v>24662</v>
      </c>
      <c r="AA1140" s="468">
        <f>(Table6[[#This Row],[Paired WTG Generation for loss calculation]]/24)*Table6[[#This Row],[Breakdown Time]]</f>
        <v>102.75833333333296</v>
      </c>
      <c r="AB1140" s="102"/>
      <c r="AC1140" s="35"/>
      <c r="AD1140" s="35"/>
    </row>
    <row r="1141" spans="1:30">
      <c r="A1141" s="102">
        <f t="shared" si="18"/>
        <v>1140</v>
      </c>
      <c r="B1141" s="468">
        <f>YEAR(Table6[[#This Row],[Date]])+IF(MONTH(Table6[[#This Row],[Date]])&gt;=4,1,0)</f>
        <v>2026</v>
      </c>
      <c r="C1141" s="102">
        <f>YEAR(Table6[[#This Row],[Date]])</f>
        <v>2025</v>
      </c>
      <c r="D1141" s="102" t="s">
        <v>1992</v>
      </c>
      <c r="E1141" s="469">
        <f>Table6[[#This Row],[Date]]-DAY(Table6[[#This Row],[Date]])+1</f>
        <v>45809</v>
      </c>
      <c r="F1141" s="470">
        <v>45818</v>
      </c>
      <c r="G1141" s="35" t="s">
        <v>90</v>
      </c>
      <c r="H1141" s="35" t="str">
        <f>IFERROR(_xlfn.XLOOKUP(Table6[[#This Row],[Affected WTG]],'Basic Data'!$A:$A,'Basic Data'!$B:$B),"")</f>
        <v>TQGXIIPL</v>
      </c>
      <c r="I1141" s="35" t="str">
        <f>IFERROR(_xlfn.XLOOKUP(Table6[[#This Row],[Affected WTG]],'Basic Data'!$A:$A,'Basic Data'!$C:$C),"")</f>
        <v>GEDA</v>
      </c>
      <c r="J1141" s="471">
        <f>IFERROR(_xlfn.XLOOKUP(Table6[[#This Row],[Affected WTG]],'Basic Data'!$A:$A,'Basic Data'!$E:$E),"")</f>
        <v>3.846153846153845E-2</v>
      </c>
      <c r="K1141" s="102">
        <v>4960</v>
      </c>
      <c r="L1141" s="35" t="str">
        <f>IFERROR(_xlfn.XLOOKUP(Table6[[#This Row],[Error Code]],'Basic Data'!$AA:$AA,'Basic Data'!$AB:$AB),"Incorrect Error Code")</f>
        <v>Tower oscillation YF</v>
      </c>
      <c r="M1141" s="35" t="s">
        <v>292</v>
      </c>
      <c r="N1141" s="475"/>
      <c r="O1141" s="476">
        <v>0.43819444444444444</v>
      </c>
      <c r="P1141" s="476">
        <v>0.43819444444444444</v>
      </c>
      <c r="Q1141" s="477">
        <v>0.44930555555555557</v>
      </c>
      <c r="R1141" s="472">
        <f>IF(Table6[[#This Row],[Work Start TimeStamp]]="","",(Table6[[#This Row],[Work Start TimeStamp]]-Table6[[#This Row],[Fault Start TimeStamp]])*24)</f>
        <v>0</v>
      </c>
      <c r="S1141" s="472">
        <f>(Table6[[#This Row],[Fault Clearance time]]-Table6[[#This Row],[Work Start TimeStamp]])*24</f>
        <v>0.26666666666666705</v>
      </c>
      <c r="T1141" s="472">
        <f>(Table6[[#This Row],[Fault Clearance time]]-Table6[[#This Row],[Fault Start TimeStamp]])*24</f>
        <v>0.26666666666666705</v>
      </c>
      <c r="U1141" s="35" t="s">
        <v>336</v>
      </c>
      <c r="V1141" s="102" t="s">
        <v>293</v>
      </c>
      <c r="W1141" s="478">
        <f>IFERROR(Table6[[#This Row],[Breakdown Time]]*Table6[[#This Row],[Plant Equivalent Weightage]],"")</f>
        <v>1.0256410256410269E-2</v>
      </c>
      <c r="X1141" s="473" t="s">
        <v>294</v>
      </c>
      <c r="Y1141" s="474" t="s">
        <v>339</v>
      </c>
      <c r="Z1141" s="102">
        <v>47621</v>
      </c>
      <c r="AA1141" s="468">
        <f>(Table6[[#This Row],[Paired WTG Generation for loss calculation]]/24)*Table6[[#This Row],[Breakdown Time]]</f>
        <v>529.12222222222294</v>
      </c>
      <c r="AB1141" s="102"/>
      <c r="AC1141" s="35"/>
      <c r="AD1141" s="35"/>
    </row>
    <row r="1142" spans="1:30">
      <c r="A1142" s="102">
        <f t="shared" si="18"/>
        <v>1141</v>
      </c>
      <c r="B1142" s="468">
        <f>YEAR(Table6[[#This Row],[Date]])+IF(MONTH(Table6[[#This Row],[Date]])&gt;=4,1,0)</f>
        <v>2026</v>
      </c>
      <c r="C1142" s="102">
        <f>YEAR(Table6[[#This Row],[Date]])</f>
        <v>2025</v>
      </c>
      <c r="D1142" s="102" t="s">
        <v>1992</v>
      </c>
      <c r="E1142" s="469">
        <f>Table6[[#This Row],[Date]]-DAY(Table6[[#This Row],[Date]])+1</f>
        <v>45809</v>
      </c>
      <c r="F1142" s="470">
        <v>45818</v>
      </c>
      <c r="G1142" s="35" t="s">
        <v>92</v>
      </c>
      <c r="H1142" s="35" t="str">
        <f>IFERROR(_xlfn.XLOOKUP(Table6[[#This Row],[Affected WTG]],'Basic Data'!$A:$A,'Basic Data'!$B:$B),"")</f>
        <v>TQGXIIPL</v>
      </c>
      <c r="I1142" s="35" t="str">
        <f>IFERROR(_xlfn.XLOOKUP(Table6[[#This Row],[Affected WTG]],'Basic Data'!$A:$A,'Basic Data'!$C:$C),"")</f>
        <v>GEDA</v>
      </c>
      <c r="J1142" s="471">
        <f>IFERROR(_xlfn.XLOOKUP(Table6[[#This Row],[Affected WTG]],'Basic Data'!$A:$A,'Basic Data'!$E:$E),"")</f>
        <v>3.846153846153845E-2</v>
      </c>
      <c r="K1142" s="102">
        <v>55</v>
      </c>
      <c r="L1142" s="35" t="str">
        <f>IFERROR(_xlfn.XLOOKUP(Table6[[#This Row],[Error Code]],'Basic Data'!$AA:$AA,'Basic Data'!$AB:$AB),"Incorrect Error Code")</f>
        <v>WTG shut down</v>
      </c>
      <c r="M1142" s="35" t="s">
        <v>1956</v>
      </c>
      <c r="N1142" s="475"/>
      <c r="O1142" s="476">
        <v>0.43680555555555556</v>
      </c>
      <c r="P1142" s="476">
        <v>0.43680555555555556</v>
      </c>
      <c r="Q1142" s="477">
        <v>0.46041666666666664</v>
      </c>
      <c r="R1142" s="472">
        <f>IF(Table6[[#This Row],[Work Start TimeStamp]]="","",(Table6[[#This Row],[Work Start TimeStamp]]-Table6[[#This Row],[Fault Start TimeStamp]])*24)</f>
        <v>0</v>
      </c>
      <c r="S1142" s="472">
        <f>(Table6[[#This Row],[Fault Clearance time]]-Table6[[#This Row],[Work Start TimeStamp]])*24</f>
        <v>0.56666666666666599</v>
      </c>
      <c r="T1142" s="472">
        <f>(Table6[[#This Row],[Fault Clearance time]]-Table6[[#This Row],[Fault Start TimeStamp]])*24</f>
        <v>0.56666666666666599</v>
      </c>
      <c r="U1142" s="35" t="s">
        <v>1954</v>
      </c>
      <c r="V1142" s="102" t="s">
        <v>293</v>
      </c>
      <c r="W1142" s="478">
        <f>IFERROR(Table6[[#This Row],[Breakdown Time]]*Table6[[#This Row],[Plant Equivalent Weightage]],"")</f>
        <v>2.1794871794871763E-2</v>
      </c>
      <c r="X1142" s="473" t="s">
        <v>290</v>
      </c>
      <c r="Y1142" s="474" t="s">
        <v>310</v>
      </c>
      <c r="Z1142" s="102">
        <v>44939</v>
      </c>
      <c r="AA1142" s="468">
        <f>(Table6[[#This Row],[Paired WTG Generation for loss calculation]]/24)*Table6[[#This Row],[Breakdown Time]]</f>
        <v>1061.0597222222209</v>
      </c>
      <c r="AB1142" s="102"/>
      <c r="AC1142" s="35"/>
      <c r="AD1142" s="35"/>
    </row>
    <row r="1143" spans="1:30">
      <c r="A1143" s="102">
        <f t="shared" si="18"/>
        <v>1142</v>
      </c>
      <c r="B1143" s="468">
        <f>YEAR(Table6[[#This Row],[Date]])+IF(MONTH(Table6[[#This Row],[Date]])&gt;=4,1,0)</f>
        <v>2026</v>
      </c>
      <c r="C1143" s="102">
        <f>YEAR(Table6[[#This Row],[Date]])</f>
        <v>2025</v>
      </c>
      <c r="D1143" s="102" t="s">
        <v>1992</v>
      </c>
      <c r="E1143" s="469">
        <f>Table6[[#This Row],[Date]]-DAY(Table6[[#This Row],[Date]])+1</f>
        <v>45809</v>
      </c>
      <c r="F1143" s="470">
        <v>45818</v>
      </c>
      <c r="G1143" s="35" t="s">
        <v>92</v>
      </c>
      <c r="H1143" s="35" t="str">
        <f>IFERROR(_xlfn.XLOOKUP(Table6[[#This Row],[Affected WTG]],'Basic Data'!$A:$A,'Basic Data'!$B:$B),"")</f>
        <v>TQGXIIPL</v>
      </c>
      <c r="I1143" s="35" t="str">
        <f>IFERROR(_xlfn.XLOOKUP(Table6[[#This Row],[Affected WTG]],'Basic Data'!$A:$A,'Basic Data'!$C:$C),"")</f>
        <v>GEDA</v>
      </c>
      <c r="J1143" s="471">
        <f>IFERROR(_xlfn.XLOOKUP(Table6[[#This Row],[Affected WTG]],'Basic Data'!$A:$A,'Basic Data'!$E:$E),"")</f>
        <v>3.846153846153845E-2</v>
      </c>
      <c r="K1143" s="102">
        <v>55</v>
      </c>
      <c r="L1143" s="35" t="str">
        <f>IFERROR(_xlfn.XLOOKUP(Table6[[#This Row],[Error Code]],'Basic Data'!$AA:$AA,'Basic Data'!$AB:$AB),"Incorrect Error Code")</f>
        <v>WTG shut down</v>
      </c>
      <c r="M1143" s="35" t="s">
        <v>1956</v>
      </c>
      <c r="N1143" s="475"/>
      <c r="O1143" s="476">
        <v>0.51249999999999996</v>
      </c>
      <c r="P1143" s="476">
        <v>0.51249999999999996</v>
      </c>
      <c r="Q1143" s="477">
        <v>0.52986111111111112</v>
      </c>
      <c r="R1143" s="472">
        <f>IF(Table6[[#This Row],[Work Start TimeStamp]]="","",(Table6[[#This Row],[Work Start TimeStamp]]-Table6[[#This Row],[Fault Start TimeStamp]])*24)</f>
        <v>0</v>
      </c>
      <c r="S1143" s="472">
        <f>(Table6[[#This Row],[Fault Clearance time]]-Table6[[#This Row],[Work Start TimeStamp]])*24</f>
        <v>0.41666666666666785</v>
      </c>
      <c r="T1143" s="472">
        <f>(Table6[[#This Row],[Fault Clearance time]]-Table6[[#This Row],[Fault Start TimeStamp]])*24</f>
        <v>0.41666666666666785</v>
      </c>
      <c r="U1143" s="35" t="s">
        <v>1954</v>
      </c>
      <c r="V1143" s="102" t="s">
        <v>293</v>
      </c>
      <c r="W1143" s="478">
        <f>IFERROR(Table6[[#This Row],[Breakdown Time]]*Table6[[#This Row],[Plant Equivalent Weightage]],"")</f>
        <v>1.6025641025641066E-2</v>
      </c>
      <c r="X1143" s="473" t="s">
        <v>290</v>
      </c>
      <c r="Y1143" s="474" t="s">
        <v>310</v>
      </c>
      <c r="Z1143" s="102">
        <v>44939</v>
      </c>
      <c r="AA1143" s="468">
        <f>(Table6[[#This Row],[Paired WTG Generation for loss calculation]]/24)*Table6[[#This Row],[Breakdown Time]]</f>
        <v>780.19097222222445</v>
      </c>
      <c r="AB1143" s="102"/>
      <c r="AC1143" s="35"/>
      <c r="AD1143" s="35"/>
    </row>
    <row r="1144" spans="1:30">
      <c r="A1144" s="102">
        <f t="shared" si="18"/>
        <v>1143</v>
      </c>
      <c r="B1144" s="468">
        <f>YEAR(Table6[[#This Row],[Date]])+IF(MONTH(Table6[[#This Row],[Date]])&gt;=4,1,0)</f>
        <v>2026</v>
      </c>
      <c r="C1144" s="102">
        <f>YEAR(Table6[[#This Row],[Date]])</f>
        <v>2025</v>
      </c>
      <c r="D1144" s="102" t="s">
        <v>1992</v>
      </c>
      <c r="E1144" s="469">
        <f>Table6[[#This Row],[Date]]-DAY(Table6[[#This Row],[Date]])+1</f>
        <v>45809</v>
      </c>
      <c r="F1144" s="470">
        <v>45818</v>
      </c>
      <c r="G1144" s="35" t="s">
        <v>97</v>
      </c>
      <c r="H1144" s="35" t="str">
        <f>IFERROR(_xlfn.XLOOKUP(Table6[[#This Row],[Affected WTG]],'Basic Data'!$A:$A,'Basic Data'!$B:$B),"")</f>
        <v>TQGXIIPL</v>
      </c>
      <c r="I1144" s="35" t="str">
        <f>IFERROR(_xlfn.XLOOKUP(Table6[[#This Row],[Affected WTG]],'Basic Data'!$A:$A,'Basic Data'!$C:$C),"")</f>
        <v>GEDA</v>
      </c>
      <c r="J1144" s="471">
        <f>IFERROR(_xlfn.XLOOKUP(Table6[[#This Row],[Affected WTG]],'Basic Data'!$A:$A,'Basic Data'!$E:$E),"")</f>
        <v>3.846153846153845E-2</v>
      </c>
      <c r="K1144" s="102">
        <v>6130</v>
      </c>
      <c r="L1144" s="35" t="str">
        <f>IFERROR(_xlfn.XLOOKUP(Table6[[#This Row],[Error Code]],'Basic Data'!$AA:$AA,'Basic Data'!$AB:$AB),"Incorrect Error Code")</f>
        <v>Yaw speed high</v>
      </c>
      <c r="M1144" s="35" t="s">
        <v>291</v>
      </c>
      <c r="N1144" s="475"/>
      <c r="O1144" s="476">
        <v>0.69861111111111107</v>
      </c>
      <c r="P1144" s="476">
        <v>0.69861111111111107</v>
      </c>
      <c r="Q1144" s="477">
        <v>0.70138888888888884</v>
      </c>
      <c r="R1144" s="472">
        <f>IF(Table6[[#This Row],[Work Start TimeStamp]]="","",(Table6[[#This Row],[Work Start TimeStamp]]-Table6[[#This Row],[Fault Start TimeStamp]])*24)</f>
        <v>0</v>
      </c>
      <c r="S1144" s="472">
        <f>(Table6[[#This Row],[Fault Clearance time]]-Table6[[#This Row],[Work Start TimeStamp]])*24</f>
        <v>6.666666666666643E-2</v>
      </c>
      <c r="T1144" s="472">
        <f>(Table6[[#This Row],[Fault Clearance time]]-Table6[[#This Row],[Fault Start TimeStamp]])*24</f>
        <v>6.666666666666643E-2</v>
      </c>
      <c r="U1144" s="35" t="s">
        <v>1924</v>
      </c>
      <c r="V1144" s="102" t="s">
        <v>293</v>
      </c>
      <c r="W1144" s="478">
        <f>IFERROR(Table6[[#This Row],[Breakdown Time]]*Table6[[#This Row],[Plant Equivalent Weightage]],"")</f>
        <v>2.5641025641025541E-3</v>
      </c>
      <c r="X1144" s="473" t="s">
        <v>294</v>
      </c>
      <c r="Y1144" s="474" t="s">
        <v>320</v>
      </c>
      <c r="Z1144" s="102">
        <v>41819</v>
      </c>
      <c r="AA1144" s="468">
        <f>(Table6[[#This Row],[Paired WTG Generation for loss calculation]]/24)*Table6[[#This Row],[Breakdown Time]]</f>
        <v>116.16388888888847</v>
      </c>
      <c r="AB1144" s="102"/>
      <c r="AC1144" s="35"/>
      <c r="AD1144" s="35"/>
    </row>
    <row r="1145" spans="1:30">
      <c r="A1145" s="102">
        <f t="shared" si="18"/>
        <v>1144</v>
      </c>
      <c r="B1145" s="468">
        <f>YEAR(Table6[[#This Row],[Date]])+IF(MONTH(Table6[[#This Row],[Date]])&gt;=4,1,0)</f>
        <v>2026</v>
      </c>
      <c r="C1145" s="102">
        <f>YEAR(Table6[[#This Row],[Date]])</f>
        <v>2025</v>
      </c>
      <c r="D1145" s="102" t="s">
        <v>1992</v>
      </c>
      <c r="E1145" s="469">
        <f>Table6[[#This Row],[Date]]-DAY(Table6[[#This Row],[Date]])+1</f>
        <v>45809</v>
      </c>
      <c r="F1145" s="470">
        <v>45818</v>
      </c>
      <c r="G1145" s="35" t="s">
        <v>98</v>
      </c>
      <c r="H1145" s="35" t="str">
        <f>IFERROR(_xlfn.XLOOKUP(Table6[[#This Row],[Affected WTG]],'Basic Data'!$A:$A,'Basic Data'!$B:$B),"")</f>
        <v>TQGXIIPL</v>
      </c>
      <c r="I1145" s="35" t="str">
        <f>IFERROR(_xlfn.XLOOKUP(Table6[[#This Row],[Affected WTG]],'Basic Data'!$A:$A,'Basic Data'!$C:$C),"")</f>
        <v>GEDA</v>
      </c>
      <c r="J1145" s="471">
        <f>IFERROR(_xlfn.XLOOKUP(Table6[[#This Row],[Affected WTG]],'Basic Data'!$A:$A,'Basic Data'!$E:$E),"")</f>
        <v>3.846153846153845E-2</v>
      </c>
      <c r="K1145" s="102">
        <v>4960</v>
      </c>
      <c r="L1145" s="35" t="str">
        <f>IFERROR(_xlfn.XLOOKUP(Table6[[#This Row],[Error Code]],'Basic Data'!$AA:$AA,'Basic Data'!$AB:$AB),"Incorrect Error Code")</f>
        <v>Tower oscillation YF</v>
      </c>
      <c r="M1145" s="35" t="s">
        <v>292</v>
      </c>
      <c r="N1145" s="475"/>
      <c r="O1145" s="476">
        <v>0.83263888888888893</v>
      </c>
      <c r="P1145" s="476">
        <v>0.83263888888888893</v>
      </c>
      <c r="Q1145" s="477">
        <v>0.84375</v>
      </c>
      <c r="R1145" s="472">
        <f>IF(Table6[[#This Row],[Work Start TimeStamp]]="","",(Table6[[#This Row],[Work Start TimeStamp]]-Table6[[#This Row],[Fault Start TimeStamp]])*24)</f>
        <v>0</v>
      </c>
      <c r="S1145" s="472">
        <f>(Table6[[#This Row],[Fault Clearance time]]-Table6[[#This Row],[Work Start TimeStamp]])*24</f>
        <v>0.26666666666666572</v>
      </c>
      <c r="T1145" s="472">
        <f>(Table6[[#This Row],[Fault Clearance time]]-Table6[[#This Row],[Fault Start TimeStamp]])*24</f>
        <v>0.26666666666666572</v>
      </c>
      <c r="U1145" s="35" t="s">
        <v>336</v>
      </c>
      <c r="V1145" s="102" t="s">
        <v>293</v>
      </c>
      <c r="W1145" s="478">
        <f>IFERROR(Table6[[#This Row],[Breakdown Time]]*Table6[[#This Row],[Plant Equivalent Weightage]],"")</f>
        <v>1.0256410256410217E-2</v>
      </c>
      <c r="X1145" s="473" t="s">
        <v>294</v>
      </c>
      <c r="Y1145" s="474" t="s">
        <v>315</v>
      </c>
      <c r="Z1145" s="102">
        <v>31902</v>
      </c>
      <c r="AA1145" s="468">
        <f>(Table6[[#This Row],[Paired WTG Generation for loss calculation]]/24)*Table6[[#This Row],[Breakdown Time]]</f>
        <v>354.46666666666539</v>
      </c>
      <c r="AB1145" s="102"/>
      <c r="AC1145" s="35"/>
      <c r="AD1145" s="35"/>
    </row>
    <row r="1146" spans="1:30">
      <c r="A1146" s="102">
        <f t="shared" si="18"/>
        <v>1145</v>
      </c>
      <c r="B1146" s="468">
        <f>YEAR(Table6[[#This Row],[Date]])+IF(MONTH(Table6[[#This Row],[Date]])&gt;=4,1,0)</f>
        <v>2026</v>
      </c>
      <c r="C1146" s="102">
        <f>YEAR(Table6[[#This Row],[Date]])</f>
        <v>2025</v>
      </c>
      <c r="D1146" s="102" t="s">
        <v>1992</v>
      </c>
      <c r="E1146" s="469">
        <f>Table6[[#This Row],[Date]]-DAY(Table6[[#This Row],[Date]])+1</f>
        <v>45809</v>
      </c>
      <c r="F1146" s="470">
        <v>45819</v>
      </c>
      <c r="G1146" s="35" t="s">
        <v>74</v>
      </c>
      <c r="H1146" s="35" t="str">
        <f>IFERROR(_xlfn.XLOOKUP(Table6[[#This Row],[Affected WTG]],'Basic Data'!$A:$A,'Basic Data'!$B:$B),"")</f>
        <v>TQGXIIPL</v>
      </c>
      <c r="I1146" s="35" t="str">
        <f>IFERROR(_xlfn.XLOOKUP(Table6[[#This Row],[Affected WTG]],'Basic Data'!$A:$A,'Basic Data'!$C:$C),"")</f>
        <v>GEDA</v>
      </c>
      <c r="J1146" s="471">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295</v>
      </c>
      <c r="N1146" s="475"/>
      <c r="O1146" s="476">
        <v>0</v>
      </c>
      <c r="P1146" s="476">
        <v>0</v>
      </c>
      <c r="Q1146" s="477">
        <v>0.55069444444444449</v>
      </c>
      <c r="R1146" s="472">
        <f>IF(Table6[[#This Row],[Work Start TimeStamp]]="","",(Table6[[#This Row],[Work Start TimeStamp]]-Table6[[#This Row],[Fault Start TimeStamp]])*24)</f>
        <v>0</v>
      </c>
      <c r="S1146" s="472">
        <f>(Table6[[#This Row],[Fault Clearance time]]-Table6[[#This Row],[Work Start TimeStamp]])*24</f>
        <v>13.216666666666669</v>
      </c>
      <c r="T1146" s="472">
        <f>(Table6[[#This Row],[Fault Clearance time]]-Table6[[#This Row],[Fault Start TimeStamp]])*24</f>
        <v>13.216666666666669</v>
      </c>
      <c r="U1146" s="35" t="s">
        <v>1957</v>
      </c>
      <c r="V1146" s="102" t="s">
        <v>293</v>
      </c>
      <c r="W1146" s="478">
        <f>IFERROR(Table6[[#This Row],[Breakdown Time]]*Table6[[#This Row],[Plant Equivalent Weightage]],"")</f>
        <v>0.5083333333333333</v>
      </c>
      <c r="X1146" s="473" t="s">
        <v>290</v>
      </c>
      <c r="Y1146" s="474" t="s">
        <v>321</v>
      </c>
      <c r="Z1146" s="102">
        <v>31821</v>
      </c>
      <c r="AA1146" s="468">
        <f>(Table6[[#This Row],[Paired WTG Generation for loss calculation]]/24)*Table6[[#This Row],[Breakdown Time]]</f>
        <v>17523.647916666669</v>
      </c>
      <c r="AB1146" s="102"/>
      <c r="AC1146" s="35"/>
      <c r="AD1146" s="35"/>
    </row>
    <row r="1147" spans="1:30">
      <c r="A1147" s="102">
        <f t="shared" si="18"/>
        <v>1146</v>
      </c>
      <c r="B1147" s="468">
        <f>YEAR(Table6[[#This Row],[Date]])+IF(MONTH(Table6[[#This Row],[Date]])&gt;=4,1,0)</f>
        <v>2026</v>
      </c>
      <c r="C1147" s="102">
        <f>YEAR(Table6[[#This Row],[Date]])</f>
        <v>2025</v>
      </c>
      <c r="D1147" s="102" t="s">
        <v>1992</v>
      </c>
      <c r="E1147" s="469">
        <f>Table6[[#This Row],[Date]]-DAY(Table6[[#This Row],[Date]])+1</f>
        <v>45809</v>
      </c>
      <c r="F1147" s="470">
        <v>45819</v>
      </c>
      <c r="G1147" s="35" t="s">
        <v>74</v>
      </c>
      <c r="H1147" s="35" t="str">
        <f>IFERROR(_xlfn.XLOOKUP(Table6[[#This Row],[Affected WTG]],'Basic Data'!$A:$A,'Basic Data'!$B:$B),"")</f>
        <v>TQGXIIPL</v>
      </c>
      <c r="I1147" s="35" t="str">
        <f>IFERROR(_xlfn.XLOOKUP(Table6[[#This Row],[Affected WTG]],'Basic Data'!$A:$A,'Basic Data'!$C:$C),"")</f>
        <v>GEDA</v>
      </c>
      <c r="J1147" s="471">
        <f>IFERROR(_xlfn.XLOOKUP(Table6[[#This Row],[Affected WTG]],'Basic Data'!$A:$A,'Basic Data'!$E:$E),"")</f>
        <v>3.846153846153845E-2</v>
      </c>
      <c r="K1147" s="102">
        <v>55</v>
      </c>
      <c r="L1147" s="35" t="str">
        <f>IFERROR(_xlfn.XLOOKUP(Table6[[#This Row],[Error Code]],'Basic Data'!$AA:$AA,'Basic Data'!$AB:$AB),"Incorrect Error Code")</f>
        <v>WTG shut down</v>
      </c>
      <c r="M1147" s="35" t="s">
        <v>291</v>
      </c>
      <c r="N1147" s="475"/>
      <c r="O1147" s="476">
        <v>0.65555555555555556</v>
      </c>
      <c r="P1147" s="476">
        <v>0.65555555555555556</v>
      </c>
      <c r="Q1147" s="477">
        <v>0.65972222222222221</v>
      </c>
      <c r="R1147" s="472">
        <f>IF(Table6[[#This Row],[Work Start TimeStamp]]="","",(Table6[[#This Row],[Work Start TimeStamp]]-Table6[[#This Row],[Fault Start TimeStamp]])*24)</f>
        <v>0</v>
      </c>
      <c r="S1147" s="472">
        <f>(Table6[[#This Row],[Fault Clearance time]]-Table6[[#This Row],[Work Start TimeStamp]])*24</f>
        <v>9.9999999999999645E-2</v>
      </c>
      <c r="T1147" s="472">
        <f>(Table6[[#This Row],[Fault Clearance time]]-Table6[[#This Row],[Fault Start TimeStamp]])*24</f>
        <v>9.9999999999999645E-2</v>
      </c>
      <c r="U1147" s="35" t="s">
        <v>1958</v>
      </c>
      <c r="V1147" s="102" t="s">
        <v>293</v>
      </c>
      <c r="W1147" s="478">
        <f>IFERROR(Table6[[#This Row],[Breakdown Time]]*Table6[[#This Row],[Plant Equivalent Weightage]],"")</f>
        <v>3.8461538461538312E-3</v>
      </c>
      <c r="X1147" s="473" t="s">
        <v>290</v>
      </c>
      <c r="Y1147" s="474" t="s">
        <v>321</v>
      </c>
      <c r="Z1147" s="102">
        <v>31821</v>
      </c>
      <c r="AA1147" s="468">
        <f>(Table6[[#This Row],[Paired WTG Generation for loss calculation]]/24)*Table6[[#This Row],[Breakdown Time]]</f>
        <v>132.58749999999952</v>
      </c>
      <c r="AB1147" s="102"/>
      <c r="AC1147" s="35"/>
      <c r="AD1147" s="35"/>
    </row>
    <row r="1148" spans="1:30">
      <c r="A1148" s="102">
        <f t="shared" si="18"/>
        <v>1147</v>
      </c>
      <c r="B1148" s="468">
        <f>YEAR(Table6[[#This Row],[Date]])+IF(MONTH(Table6[[#This Row],[Date]])&gt;=4,1,0)</f>
        <v>2026</v>
      </c>
      <c r="C1148" s="102">
        <f>YEAR(Table6[[#This Row],[Date]])</f>
        <v>2025</v>
      </c>
      <c r="D1148" s="102" t="s">
        <v>1992</v>
      </c>
      <c r="E1148" s="469">
        <f>Table6[[#This Row],[Date]]-DAY(Table6[[#This Row],[Date]])+1</f>
        <v>45809</v>
      </c>
      <c r="F1148" s="470">
        <v>45819</v>
      </c>
      <c r="G1148" s="35" t="s">
        <v>75</v>
      </c>
      <c r="H1148" s="35" t="str">
        <f>IFERROR(_xlfn.XLOOKUP(Table6[[#This Row],[Affected WTG]],'Basic Data'!$A:$A,'Basic Data'!$B:$B),"")</f>
        <v>TQGXIIPL</v>
      </c>
      <c r="I1148" s="35" t="str">
        <f>IFERROR(_xlfn.XLOOKUP(Table6[[#This Row],[Affected WTG]],'Basic Data'!$A:$A,'Basic Data'!$C:$C),"")</f>
        <v>GEDA</v>
      </c>
      <c r="J1148" s="471">
        <f>IFERROR(_xlfn.XLOOKUP(Table6[[#This Row],[Affected WTG]],'Basic Data'!$A:$A,'Basic Data'!$E:$E),"")</f>
        <v>3.846153846153845E-2</v>
      </c>
      <c r="K1148" s="102">
        <v>55</v>
      </c>
      <c r="L1148" s="35" t="str">
        <f>IFERROR(_xlfn.XLOOKUP(Table6[[#This Row],[Error Code]],'Basic Data'!$AA:$AA,'Basic Data'!$AB:$AB),"Incorrect Error Code")</f>
        <v>WTG shut down</v>
      </c>
      <c r="M1148" s="35" t="s">
        <v>291</v>
      </c>
      <c r="N1148" s="475"/>
      <c r="O1148" s="476">
        <v>0.64166666666666672</v>
      </c>
      <c r="P1148" s="476">
        <v>0.64166666666666672</v>
      </c>
      <c r="Q1148" s="477">
        <v>0.65138888888888891</v>
      </c>
      <c r="R1148" s="472">
        <f>IF(Table6[[#This Row],[Work Start TimeStamp]]="","",(Table6[[#This Row],[Work Start TimeStamp]]-Table6[[#This Row],[Fault Start TimeStamp]])*24)</f>
        <v>0</v>
      </c>
      <c r="S1148" s="472">
        <f>(Table6[[#This Row],[Fault Clearance time]]-Table6[[#This Row],[Work Start TimeStamp]])*24</f>
        <v>0.2333333333333325</v>
      </c>
      <c r="T1148" s="472">
        <f>(Table6[[#This Row],[Fault Clearance time]]-Table6[[#This Row],[Fault Start TimeStamp]])*24</f>
        <v>0.2333333333333325</v>
      </c>
      <c r="U1148" s="35" t="s">
        <v>1958</v>
      </c>
      <c r="V1148" s="102" t="s">
        <v>293</v>
      </c>
      <c r="W1148" s="478">
        <f>IFERROR(Table6[[#This Row],[Breakdown Time]]*Table6[[#This Row],[Plant Equivalent Weightage]],"")</f>
        <v>8.974358974358939E-3</v>
      </c>
      <c r="X1148" s="473" t="s">
        <v>290</v>
      </c>
      <c r="Y1148" s="474" t="s">
        <v>318</v>
      </c>
      <c r="Z1148" s="102">
        <v>36794</v>
      </c>
      <c r="AA1148" s="468">
        <f>(Table6[[#This Row],[Paired WTG Generation for loss calculation]]/24)*Table6[[#This Row],[Breakdown Time]]</f>
        <v>357.71944444444318</v>
      </c>
      <c r="AB1148" s="102"/>
      <c r="AC1148" s="35"/>
      <c r="AD1148" s="35"/>
    </row>
    <row r="1149" spans="1:30">
      <c r="A1149" s="102">
        <f t="shared" si="18"/>
        <v>1148</v>
      </c>
      <c r="B1149" s="468">
        <f>YEAR(Table6[[#This Row],[Date]])+IF(MONTH(Table6[[#This Row],[Date]])&gt;=4,1,0)</f>
        <v>2026</v>
      </c>
      <c r="C1149" s="102">
        <f>YEAR(Table6[[#This Row],[Date]])</f>
        <v>2025</v>
      </c>
      <c r="D1149" s="102" t="s">
        <v>1992</v>
      </c>
      <c r="E1149" s="469">
        <f>Table6[[#This Row],[Date]]-DAY(Table6[[#This Row],[Date]])+1</f>
        <v>45809</v>
      </c>
      <c r="F1149" s="470">
        <v>45819</v>
      </c>
      <c r="G1149" s="35" t="s">
        <v>76</v>
      </c>
      <c r="H1149" s="35" t="str">
        <f>IFERROR(_xlfn.XLOOKUP(Table6[[#This Row],[Affected WTG]],'Basic Data'!$A:$A,'Basic Data'!$B:$B),"")</f>
        <v>TQGXIIPL</v>
      </c>
      <c r="I1149" s="35" t="str">
        <f>IFERROR(_xlfn.XLOOKUP(Table6[[#This Row],[Affected WTG]],'Basic Data'!$A:$A,'Basic Data'!$C:$C),"")</f>
        <v>GEDA</v>
      </c>
      <c r="J1149" s="471">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291</v>
      </c>
      <c r="N1149" s="475"/>
      <c r="O1149" s="476">
        <v>0.28194444444444444</v>
      </c>
      <c r="P1149" s="476">
        <v>0.28194444444444444</v>
      </c>
      <c r="Q1149" s="477">
        <v>0.28472222222222221</v>
      </c>
      <c r="R1149" s="472">
        <f>IF(Table6[[#This Row],[Work Start TimeStamp]]="","",(Table6[[#This Row],[Work Start TimeStamp]]-Table6[[#This Row],[Fault Start TimeStamp]])*24)</f>
        <v>0</v>
      </c>
      <c r="S1149" s="472">
        <f>(Table6[[#This Row],[Fault Clearance time]]-Table6[[#This Row],[Work Start TimeStamp]])*24</f>
        <v>6.666666666666643E-2</v>
      </c>
      <c r="T1149" s="472">
        <f>(Table6[[#This Row],[Fault Clearance time]]-Table6[[#This Row],[Fault Start TimeStamp]])*24</f>
        <v>6.666666666666643E-2</v>
      </c>
      <c r="U1149" s="35" t="s">
        <v>1959</v>
      </c>
      <c r="V1149" s="102" t="s">
        <v>293</v>
      </c>
      <c r="W1149" s="478">
        <f>IFERROR(Table6[[#This Row],[Breakdown Time]]*Table6[[#This Row],[Plant Equivalent Weightage]],"")</f>
        <v>2.5641025641025541E-3</v>
      </c>
      <c r="X1149" s="473" t="s">
        <v>294</v>
      </c>
      <c r="Y1149" s="474" t="s">
        <v>309</v>
      </c>
      <c r="Z1149" s="102">
        <v>31584</v>
      </c>
      <c r="AA1149" s="468">
        <f>(Table6[[#This Row],[Paired WTG Generation for loss calculation]]/24)*Table6[[#This Row],[Breakdown Time]]</f>
        <v>87.733333333333022</v>
      </c>
      <c r="AB1149" s="102"/>
      <c r="AC1149" s="35"/>
      <c r="AD1149" s="35"/>
    </row>
    <row r="1150" spans="1:30">
      <c r="A1150" s="102">
        <f t="shared" si="18"/>
        <v>1149</v>
      </c>
      <c r="B1150" s="468">
        <f>YEAR(Table6[[#This Row],[Date]])+IF(MONTH(Table6[[#This Row],[Date]])&gt;=4,1,0)</f>
        <v>2026</v>
      </c>
      <c r="C1150" s="102">
        <f>YEAR(Table6[[#This Row],[Date]])</f>
        <v>2025</v>
      </c>
      <c r="D1150" s="102" t="s">
        <v>1992</v>
      </c>
      <c r="E1150" s="469">
        <f>Table6[[#This Row],[Date]]-DAY(Table6[[#This Row],[Date]])+1</f>
        <v>45809</v>
      </c>
      <c r="F1150" s="470">
        <v>45819</v>
      </c>
      <c r="G1150" s="35" t="s">
        <v>78</v>
      </c>
      <c r="H1150" s="35" t="str">
        <f>IFERROR(_xlfn.XLOOKUP(Table6[[#This Row],[Affected WTG]],'Basic Data'!$A:$A,'Basic Data'!$B:$B),"")</f>
        <v>TQGXIIPL</v>
      </c>
      <c r="I1150" s="35" t="str">
        <f>IFERROR(_xlfn.XLOOKUP(Table6[[#This Row],[Affected WTG]],'Basic Data'!$A:$A,'Basic Data'!$C:$C),"")</f>
        <v>GEDA</v>
      </c>
      <c r="J1150" s="471">
        <f>IFERROR(_xlfn.XLOOKUP(Table6[[#This Row],[Affected WTG]],'Basic Data'!$A:$A,'Basic Data'!$E:$E),"")</f>
        <v>3.846153846153845E-2</v>
      </c>
      <c r="K1150" s="102">
        <v>6130</v>
      </c>
      <c r="L1150" s="35" t="str">
        <f>IFERROR(_xlfn.XLOOKUP(Table6[[#This Row],[Error Code]],'Basic Data'!$AA:$AA,'Basic Data'!$AB:$AB),"Incorrect Error Code")</f>
        <v>Yaw speed high</v>
      </c>
      <c r="M1150" s="35" t="s">
        <v>292</v>
      </c>
      <c r="N1150" s="475"/>
      <c r="O1150" s="476">
        <v>0.63263888888888886</v>
      </c>
      <c r="P1150" s="476">
        <v>0.63263888888888886</v>
      </c>
      <c r="Q1150" s="477">
        <v>0.63680555555555551</v>
      </c>
      <c r="R1150" s="472">
        <f>IF(Table6[[#This Row],[Work Start TimeStamp]]="","",(Table6[[#This Row],[Work Start TimeStamp]]-Table6[[#This Row],[Fault Start TimeStamp]])*24)</f>
        <v>0</v>
      </c>
      <c r="S1150" s="472">
        <f>(Table6[[#This Row],[Fault Clearance time]]-Table6[[#This Row],[Work Start TimeStamp]])*24</f>
        <v>9.9999999999999645E-2</v>
      </c>
      <c r="T1150" s="472">
        <f>(Table6[[#This Row],[Fault Clearance time]]-Table6[[#This Row],[Fault Start TimeStamp]])*24</f>
        <v>9.9999999999999645E-2</v>
      </c>
      <c r="U1150" s="35" t="s">
        <v>336</v>
      </c>
      <c r="V1150" s="102" t="s">
        <v>293</v>
      </c>
      <c r="W1150" s="478">
        <f>IFERROR(Table6[[#This Row],[Breakdown Time]]*Table6[[#This Row],[Plant Equivalent Weightage]],"")</f>
        <v>3.8461538461538312E-3</v>
      </c>
      <c r="X1150" s="473" t="s">
        <v>294</v>
      </c>
      <c r="Y1150" s="474" t="s">
        <v>333</v>
      </c>
      <c r="Z1150" s="102">
        <v>36977</v>
      </c>
      <c r="AA1150" s="468">
        <f>(Table6[[#This Row],[Paired WTG Generation for loss calculation]]/24)*Table6[[#This Row],[Breakdown Time]]</f>
        <v>154.07083333333279</v>
      </c>
      <c r="AB1150" s="102"/>
      <c r="AC1150" s="35"/>
      <c r="AD1150" s="35"/>
    </row>
    <row r="1151" spans="1:30">
      <c r="A1151" s="102">
        <f t="shared" si="18"/>
        <v>1150</v>
      </c>
      <c r="B1151" s="468">
        <f>YEAR(Table6[[#This Row],[Date]])+IF(MONTH(Table6[[#This Row],[Date]])&gt;=4,1,0)</f>
        <v>2026</v>
      </c>
      <c r="C1151" s="102">
        <f>YEAR(Table6[[#This Row],[Date]])</f>
        <v>2025</v>
      </c>
      <c r="D1151" s="102" t="s">
        <v>1992</v>
      </c>
      <c r="E1151" s="469">
        <f>Table6[[#This Row],[Date]]-DAY(Table6[[#This Row],[Date]])+1</f>
        <v>45809</v>
      </c>
      <c r="F1151" s="470">
        <v>45819</v>
      </c>
      <c r="G1151" s="35" t="s">
        <v>81</v>
      </c>
      <c r="H1151" s="35" t="str">
        <f>IFERROR(_xlfn.XLOOKUP(Table6[[#This Row],[Affected WTG]],'Basic Data'!$A:$A,'Basic Data'!$B:$B),"")</f>
        <v>TQGXIIPL</v>
      </c>
      <c r="I1151" s="35" t="str">
        <f>IFERROR(_xlfn.XLOOKUP(Table6[[#This Row],[Affected WTG]],'Basic Data'!$A:$A,'Basic Data'!$C:$C),"")</f>
        <v>GEDA</v>
      </c>
      <c r="J1151" s="471">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291</v>
      </c>
      <c r="N1151" s="475"/>
      <c r="O1151" s="476">
        <v>0.12916666666666668</v>
      </c>
      <c r="P1151" s="476">
        <v>0.12916666666666668</v>
      </c>
      <c r="Q1151" s="477">
        <v>0.13819444444444445</v>
      </c>
      <c r="R1151" s="472">
        <f>IF(Table6[[#This Row],[Work Start TimeStamp]]="","",(Table6[[#This Row],[Work Start TimeStamp]]-Table6[[#This Row],[Fault Start TimeStamp]])*24)</f>
        <v>0</v>
      </c>
      <c r="S1151" s="472">
        <f>(Table6[[#This Row],[Fault Clearance time]]-Table6[[#This Row],[Work Start TimeStamp]])*24</f>
        <v>0.21666666666666656</v>
      </c>
      <c r="T1151" s="472">
        <f>(Table6[[#This Row],[Fault Clearance time]]-Table6[[#This Row],[Fault Start TimeStamp]])*24</f>
        <v>0.21666666666666656</v>
      </c>
      <c r="U1151" s="35" t="s">
        <v>1924</v>
      </c>
      <c r="V1151" s="102" t="s">
        <v>293</v>
      </c>
      <c r="W1151" s="478">
        <f>IFERROR(Table6[[#This Row],[Breakdown Time]]*Table6[[#This Row],[Plant Equivalent Weightage]],"")</f>
        <v>8.3333333333333263E-3</v>
      </c>
      <c r="X1151" s="473" t="s">
        <v>294</v>
      </c>
      <c r="Y1151" s="474" t="s">
        <v>321</v>
      </c>
      <c r="Z1151" s="102">
        <v>31821</v>
      </c>
      <c r="AA1151" s="468">
        <f>(Table6[[#This Row],[Paired WTG Generation for loss calculation]]/24)*Table6[[#This Row],[Breakdown Time]]</f>
        <v>287.2729166666665</v>
      </c>
      <c r="AB1151" s="102"/>
      <c r="AC1151" s="35"/>
      <c r="AD1151" s="35"/>
    </row>
    <row r="1152" spans="1:30">
      <c r="A1152" s="102">
        <f t="shared" si="18"/>
        <v>1151</v>
      </c>
      <c r="B1152" s="468">
        <f>YEAR(Table6[[#This Row],[Date]])+IF(MONTH(Table6[[#This Row],[Date]])&gt;=4,1,0)</f>
        <v>2026</v>
      </c>
      <c r="C1152" s="102">
        <f>YEAR(Table6[[#This Row],[Date]])</f>
        <v>2025</v>
      </c>
      <c r="D1152" s="102" t="s">
        <v>1992</v>
      </c>
      <c r="E1152" s="469">
        <f>Table6[[#This Row],[Date]]-DAY(Table6[[#This Row],[Date]])+1</f>
        <v>45809</v>
      </c>
      <c r="F1152" s="470">
        <v>45819</v>
      </c>
      <c r="G1152" s="35" t="s">
        <v>81</v>
      </c>
      <c r="H1152" s="35" t="str">
        <f>IFERROR(_xlfn.XLOOKUP(Table6[[#This Row],[Affected WTG]],'Basic Data'!$A:$A,'Basic Data'!$B:$B),"")</f>
        <v>TQGXIIPL</v>
      </c>
      <c r="I1152" s="35" t="str">
        <f>IFERROR(_xlfn.XLOOKUP(Table6[[#This Row],[Affected WTG]],'Basic Data'!$A:$A,'Basic Data'!$C:$C),"")</f>
        <v>GEDA</v>
      </c>
      <c r="J1152" s="471">
        <f>IFERROR(_xlfn.XLOOKUP(Table6[[#This Row],[Affected WTG]],'Basic Data'!$A:$A,'Basic Data'!$E:$E),"")</f>
        <v>3.846153846153845E-2</v>
      </c>
      <c r="K1152" s="102">
        <v>665</v>
      </c>
      <c r="L1152" s="35" t="str">
        <f>IFERROR(_xlfn.XLOOKUP(Table6[[#This Row],[Error Code]],'Basic Data'!$AA:$AA,'Basic Data'!$AB:$AB),"Incorrect Error Code")</f>
        <v>Pitch error</v>
      </c>
      <c r="M1152" s="35" t="s">
        <v>291</v>
      </c>
      <c r="N1152" s="475"/>
      <c r="O1152" s="476">
        <v>0.17083333333333334</v>
      </c>
      <c r="P1152" s="476">
        <v>0.17083333333333334</v>
      </c>
      <c r="Q1152" s="477">
        <v>0.18124999999999999</v>
      </c>
      <c r="R1152" s="472">
        <f>IF(Table6[[#This Row],[Work Start TimeStamp]]="","",(Table6[[#This Row],[Work Start TimeStamp]]-Table6[[#This Row],[Fault Start TimeStamp]])*24)</f>
        <v>0</v>
      </c>
      <c r="S1152" s="472">
        <f>(Table6[[#This Row],[Fault Clearance time]]-Table6[[#This Row],[Work Start TimeStamp]])*24</f>
        <v>0.24999999999999978</v>
      </c>
      <c r="T1152" s="472">
        <f>(Table6[[#This Row],[Fault Clearance time]]-Table6[[#This Row],[Fault Start TimeStamp]])*24</f>
        <v>0.24999999999999978</v>
      </c>
      <c r="U1152" s="35" t="s">
        <v>1924</v>
      </c>
      <c r="V1152" s="102" t="s">
        <v>293</v>
      </c>
      <c r="W1152" s="478">
        <f>IFERROR(Table6[[#This Row],[Breakdown Time]]*Table6[[#This Row],[Plant Equivalent Weightage]],"")</f>
        <v>9.6153846153846038E-3</v>
      </c>
      <c r="X1152" s="473" t="s">
        <v>294</v>
      </c>
      <c r="Y1152" s="474" t="s">
        <v>321</v>
      </c>
      <c r="Z1152" s="102">
        <v>31821</v>
      </c>
      <c r="AA1152" s="468">
        <f>(Table6[[#This Row],[Paired WTG Generation for loss calculation]]/24)*Table6[[#This Row],[Breakdown Time]]</f>
        <v>331.46874999999972</v>
      </c>
      <c r="AB1152" s="102"/>
      <c r="AC1152" s="35"/>
      <c r="AD1152" s="35"/>
    </row>
    <row r="1153" spans="1:30">
      <c r="A1153" s="102">
        <f t="shared" si="18"/>
        <v>1152</v>
      </c>
      <c r="B1153" s="468">
        <f>YEAR(Table6[[#This Row],[Date]])+IF(MONTH(Table6[[#This Row],[Date]])&gt;=4,1,0)</f>
        <v>2026</v>
      </c>
      <c r="C1153" s="102">
        <f>YEAR(Table6[[#This Row],[Date]])</f>
        <v>2025</v>
      </c>
      <c r="D1153" s="102" t="s">
        <v>1992</v>
      </c>
      <c r="E1153" s="469">
        <f>Table6[[#This Row],[Date]]-DAY(Table6[[#This Row],[Date]])+1</f>
        <v>45809</v>
      </c>
      <c r="F1153" s="470">
        <v>45819</v>
      </c>
      <c r="G1153" s="35" t="s">
        <v>84</v>
      </c>
      <c r="H1153" s="35" t="str">
        <f>IFERROR(_xlfn.XLOOKUP(Table6[[#This Row],[Affected WTG]],'Basic Data'!$A:$A,'Basic Data'!$B:$B),"")</f>
        <v>TQGXIIPL</v>
      </c>
      <c r="I1153" s="35" t="str">
        <f>IFERROR(_xlfn.XLOOKUP(Table6[[#This Row],[Affected WTG]],'Basic Data'!$A:$A,'Basic Data'!$C:$C),"")</f>
        <v>GEDA</v>
      </c>
      <c r="J1153" s="471">
        <f>IFERROR(_xlfn.XLOOKUP(Table6[[#This Row],[Affected WTG]],'Basic Data'!$A:$A,'Basic Data'!$E:$E),"")</f>
        <v>3.846153846153845E-2</v>
      </c>
      <c r="K1153" s="102">
        <v>55</v>
      </c>
      <c r="L1153" s="35" t="str">
        <f>IFERROR(_xlfn.XLOOKUP(Table6[[#This Row],[Error Code]],'Basic Data'!$AA:$AA,'Basic Data'!$AB:$AB),"Incorrect Error Code")</f>
        <v>WTG shut down</v>
      </c>
      <c r="M1153" s="35" t="s">
        <v>291</v>
      </c>
      <c r="N1153" s="475"/>
      <c r="O1153" s="476">
        <v>0.64027777777777772</v>
      </c>
      <c r="P1153" s="476">
        <v>0.64027777777777772</v>
      </c>
      <c r="Q1153" s="477">
        <v>0.64583333333333337</v>
      </c>
      <c r="R1153" s="472">
        <f>IF(Table6[[#This Row],[Work Start TimeStamp]]="","",(Table6[[#This Row],[Work Start TimeStamp]]-Table6[[#This Row],[Fault Start TimeStamp]])*24)</f>
        <v>0</v>
      </c>
      <c r="S1153" s="472">
        <f>(Table6[[#This Row],[Fault Clearance time]]-Table6[[#This Row],[Work Start TimeStamp]])*24</f>
        <v>0.13333333333333552</v>
      </c>
      <c r="T1153" s="472">
        <f>(Table6[[#This Row],[Fault Clearance time]]-Table6[[#This Row],[Fault Start TimeStamp]])*24</f>
        <v>0.13333333333333552</v>
      </c>
      <c r="U1153" s="35" t="s">
        <v>1958</v>
      </c>
      <c r="V1153" s="102" t="s">
        <v>293</v>
      </c>
      <c r="W1153" s="478">
        <f>IFERROR(Table6[[#This Row],[Breakdown Time]]*Table6[[#This Row],[Plant Equivalent Weightage]],"")</f>
        <v>5.1282051282052106E-3</v>
      </c>
      <c r="X1153" s="473" t="s">
        <v>290</v>
      </c>
      <c r="Y1153" s="474" t="s">
        <v>327</v>
      </c>
      <c r="Z1153" s="102">
        <v>29594</v>
      </c>
      <c r="AA1153" s="468">
        <f>(Table6[[#This Row],[Paired WTG Generation for loss calculation]]/24)*Table6[[#This Row],[Breakdown Time]]</f>
        <v>164.4111111111138</v>
      </c>
      <c r="AB1153" s="102"/>
      <c r="AC1153" s="35"/>
      <c r="AD1153" s="35"/>
    </row>
    <row r="1154" spans="1:30">
      <c r="A1154" s="102">
        <f t="shared" si="18"/>
        <v>1153</v>
      </c>
      <c r="B1154" s="468">
        <f>YEAR(Table6[[#This Row],[Date]])+IF(MONTH(Table6[[#This Row],[Date]])&gt;=4,1,0)</f>
        <v>2026</v>
      </c>
      <c r="C1154" s="102">
        <f>YEAR(Table6[[#This Row],[Date]])</f>
        <v>2025</v>
      </c>
      <c r="D1154" s="102" t="s">
        <v>1992</v>
      </c>
      <c r="E1154" s="469">
        <f>Table6[[#This Row],[Date]]-DAY(Table6[[#This Row],[Date]])+1</f>
        <v>45809</v>
      </c>
      <c r="F1154" s="470">
        <v>45819</v>
      </c>
      <c r="G1154" s="35" t="s">
        <v>86</v>
      </c>
      <c r="H1154" s="35" t="str">
        <f>IFERROR(_xlfn.XLOOKUP(Table6[[#This Row],[Affected WTG]],'Basic Data'!$A:$A,'Basic Data'!$B:$B),"")</f>
        <v>TQGXIIPL</v>
      </c>
      <c r="I1154" s="35" t="str">
        <f>IFERROR(_xlfn.XLOOKUP(Table6[[#This Row],[Affected WTG]],'Basic Data'!$A:$A,'Basic Data'!$C:$C),"")</f>
        <v>GEDA</v>
      </c>
      <c r="J1154" s="471">
        <f>IFERROR(_xlfn.XLOOKUP(Table6[[#This Row],[Affected WTG]],'Basic Data'!$A:$A,'Basic Data'!$E:$E),"")</f>
        <v>3.846153846153845E-2</v>
      </c>
      <c r="K1154" s="102">
        <v>6130</v>
      </c>
      <c r="L1154" s="35" t="str">
        <f>IFERROR(_xlfn.XLOOKUP(Table6[[#This Row],[Error Code]],'Basic Data'!$AA:$AA,'Basic Data'!$AB:$AB),"Incorrect Error Code")</f>
        <v>Yaw speed high</v>
      </c>
      <c r="M1154" s="35" t="s">
        <v>291</v>
      </c>
      <c r="N1154" s="475"/>
      <c r="O1154" s="476">
        <v>0.12083333333333333</v>
      </c>
      <c r="P1154" s="476">
        <v>0.12083333333333333</v>
      </c>
      <c r="Q1154" s="477">
        <v>0.12291666666666666</v>
      </c>
      <c r="R1154" s="472">
        <f>IF(Table6[[#This Row],[Work Start TimeStamp]]="","",(Table6[[#This Row],[Work Start TimeStamp]]-Table6[[#This Row],[Fault Start TimeStamp]])*24)</f>
        <v>0</v>
      </c>
      <c r="S1154" s="472">
        <f>(Table6[[#This Row],[Fault Clearance time]]-Table6[[#This Row],[Work Start TimeStamp]])*24</f>
        <v>4.9999999999999822E-2</v>
      </c>
      <c r="T1154" s="472">
        <f>(Table6[[#This Row],[Fault Clearance time]]-Table6[[#This Row],[Fault Start TimeStamp]])*24</f>
        <v>4.9999999999999822E-2</v>
      </c>
      <c r="U1154" s="35" t="s">
        <v>1924</v>
      </c>
      <c r="V1154" s="102" t="s">
        <v>293</v>
      </c>
      <c r="W1154" s="478">
        <f>IFERROR(Table6[[#This Row],[Breakdown Time]]*Table6[[#This Row],[Plant Equivalent Weightage]],"")</f>
        <v>1.9230769230769156E-3</v>
      </c>
      <c r="X1154" s="473" t="s">
        <v>294</v>
      </c>
      <c r="Y1154" s="474" t="s">
        <v>313</v>
      </c>
      <c r="Z1154" s="102">
        <v>30425</v>
      </c>
      <c r="AA1154" s="468">
        <f>(Table6[[#This Row],[Paired WTG Generation for loss calculation]]/24)*Table6[[#This Row],[Breakdown Time]]</f>
        <v>63.385416666666437</v>
      </c>
      <c r="AB1154" s="102"/>
      <c r="AC1154" s="35"/>
      <c r="AD1154" s="35"/>
    </row>
    <row r="1155" spans="1:30">
      <c r="A1155" s="102">
        <f t="shared" si="18"/>
        <v>1154</v>
      </c>
      <c r="B1155" s="468">
        <f>YEAR(Table6[[#This Row],[Date]])+IF(MONTH(Table6[[#This Row],[Date]])&gt;=4,1,0)</f>
        <v>2026</v>
      </c>
      <c r="C1155" s="102">
        <f>YEAR(Table6[[#This Row],[Date]])</f>
        <v>2025</v>
      </c>
      <c r="D1155" s="102" t="s">
        <v>1992</v>
      </c>
      <c r="E1155" s="469">
        <f>Table6[[#This Row],[Date]]-DAY(Table6[[#This Row],[Date]])+1</f>
        <v>45809</v>
      </c>
      <c r="F1155" s="470">
        <v>45819</v>
      </c>
      <c r="G1155" s="35" t="s">
        <v>86</v>
      </c>
      <c r="H1155" s="35" t="str">
        <f>IFERROR(_xlfn.XLOOKUP(Table6[[#This Row],[Affected WTG]],'Basic Data'!$A:$A,'Basic Data'!$B:$B),"")</f>
        <v>TQGXIIPL</v>
      </c>
      <c r="I1155" s="35" t="str">
        <f>IFERROR(_xlfn.XLOOKUP(Table6[[#This Row],[Affected WTG]],'Basic Data'!$A:$A,'Basic Data'!$C:$C),"")</f>
        <v>GEDA</v>
      </c>
      <c r="J1155" s="471">
        <f>IFERROR(_xlfn.XLOOKUP(Table6[[#This Row],[Affected WTG]],'Basic Data'!$A:$A,'Basic Data'!$E:$E),"")</f>
        <v>3.846153846153845E-2</v>
      </c>
      <c r="K1155" s="102">
        <v>55</v>
      </c>
      <c r="L1155" s="35" t="str">
        <f>IFERROR(_xlfn.XLOOKUP(Table6[[#This Row],[Error Code]],'Basic Data'!$AA:$AA,'Basic Data'!$AB:$AB),"Incorrect Error Code")</f>
        <v>WTG shut down</v>
      </c>
      <c r="M1155" s="35" t="s">
        <v>291</v>
      </c>
      <c r="N1155" s="475"/>
      <c r="O1155" s="476">
        <v>0.63749999999999996</v>
      </c>
      <c r="P1155" s="476">
        <v>0.63749999999999996</v>
      </c>
      <c r="Q1155" s="477">
        <v>0.64375000000000004</v>
      </c>
      <c r="R1155" s="472">
        <f>IF(Table6[[#This Row],[Work Start TimeStamp]]="","",(Table6[[#This Row],[Work Start TimeStamp]]-Table6[[#This Row],[Fault Start TimeStamp]])*24)</f>
        <v>0</v>
      </c>
      <c r="S1155" s="472">
        <f>(Table6[[#This Row],[Fault Clearance time]]-Table6[[#This Row],[Work Start TimeStamp]])*24</f>
        <v>0.15000000000000213</v>
      </c>
      <c r="T1155" s="472">
        <f>(Table6[[#This Row],[Fault Clearance time]]-Table6[[#This Row],[Fault Start TimeStamp]])*24</f>
        <v>0.15000000000000213</v>
      </c>
      <c r="U1155" s="35" t="s">
        <v>1958</v>
      </c>
      <c r="V1155" s="102" t="s">
        <v>293</v>
      </c>
      <c r="W1155" s="478">
        <f>IFERROR(Table6[[#This Row],[Breakdown Time]]*Table6[[#This Row],[Plant Equivalent Weightage]],"")</f>
        <v>5.7692307692308493E-3</v>
      </c>
      <c r="X1155" s="473" t="s">
        <v>290</v>
      </c>
      <c r="Y1155" s="474" t="s">
        <v>313</v>
      </c>
      <c r="Z1155" s="102">
        <v>30425</v>
      </c>
      <c r="AA1155" s="468">
        <f>(Table6[[#This Row],[Paired WTG Generation for loss calculation]]/24)*Table6[[#This Row],[Breakdown Time]]</f>
        <v>190.1562500000027</v>
      </c>
      <c r="AB1155" s="102"/>
      <c r="AC1155" s="35"/>
      <c r="AD1155" s="35"/>
    </row>
    <row r="1156" spans="1:30">
      <c r="A1156" s="102">
        <f t="shared" si="18"/>
        <v>1155</v>
      </c>
      <c r="B1156" s="468">
        <f>YEAR(Table6[[#This Row],[Date]])+IF(MONTH(Table6[[#This Row],[Date]])&gt;=4,1,0)</f>
        <v>2026</v>
      </c>
      <c r="C1156" s="102">
        <f>YEAR(Table6[[#This Row],[Date]])</f>
        <v>2025</v>
      </c>
      <c r="D1156" s="102" t="s">
        <v>1992</v>
      </c>
      <c r="E1156" s="469">
        <f>Table6[[#This Row],[Date]]-DAY(Table6[[#This Row],[Date]])+1</f>
        <v>45809</v>
      </c>
      <c r="F1156" s="470">
        <v>45819</v>
      </c>
      <c r="G1156" s="35" t="s">
        <v>90</v>
      </c>
      <c r="H1156" s="35" t="str">
        <f>IFERROR(_xlfn.XLOOKUP(Table6[[#This Row],[Affected WTG]],'Basic Data'!$A:$A,'Basic Data'!$B:$B),"")</f>
        <v>TQGXIIPL</v>
      </c>
      <c r="I1156" s="35" t="str">
        <f>IFERROR(_xlfn.XLOOKUP(Table6[[#This Row],[Affected WTG]],'Basic Data'!$A:$A,'Basic Data'!$C:$C),"")</f>
        <v>GEDA</v>
      </c>
      <c r="J1156" s="471">
        <f>IFERROR(_xlfn.XLOOKUP(Table6[[#This Row],[Affected WTG]],'Basic Data'!$A:$A,'Basic Data'!$E:$E),"")</f>
        <v>3.846153846153845E-2</v>
      </c>
      <c r="K1156" s="102">
        <v>55</v>
      </c>
      <c r="L1156" s="35" t="str">
        <f>IFERROR(_xlfn.XLOOKUP(Table6[[#This Row],[Error Code]],'Basic Data'!$AA:$AA,'Basic Data'!$AB:$AB),"Incorrect Error Code")</f>
        <v>WTG shut down</v>
      </c>
      <c r="M1156" s="35" t="s">
        <v>291</v>
      </c>
      <c r="N1156" s="475"/>
      <c r="O1156" s="476">
        <v>0.65277777777777779</v>
      </c>
      <c r="P1156" s="476">
        <v>0.65277777777777779</v>
      </c>
      <c r="Q1156" s="477">
        <v>0.65694444444444444</v>
      </c>
      <c r="R1156" s="472">
        <f>IF(Table6[[#This Row],[Work Start TimeStamp]]="","",(Table6[[#This Row],[Work Start TimeStamp]]-Table6[[#This Row],[Fault Start TimeStamp]])*24)</f>
        <v>0</v>
      </c>
      <c r="S1156" s="472">
        <f>(Table6[[#This Row],[Fault Clearance time]]-Table6[[#This Row],[Work Start TimeStamp]])*24</f>
        <v>9.9999999999999645E-2</v>
      </c>
      <c r="T1156" s="472">
        <f>(Table6[[#This Row],[Fault Clearance time]]-Table6[[#This Row],[Fault Start TimeStamp]])*24</f>
        <v>9.9999999999999645E-2</v>
      </c>
      <c r="U1156" s="35" t="s">
        <v>1958</v>
      </c>
      <c r="V1156" s="102" t="s">
        <v>293</v>
      </c>
      <c r="W1156" s="478">
        <f>IFERROR(Table6[[#This Row],[Breakdown Time]]*Table6[[#This Row],[Plant Equivalent Weightage]],"")</f>
        <v>3.8461538461538312E-3</v>
      </c>
      <c r="X1156" s="473" t="s">
        <v>290</v>
      </c>
      <c r="Y1156" s="474" t="s">
        <v>339</v>
      </c>
      <c r="Z1156" s="102">
        <v>42577</v>
      </c>
      <c r="AA1156" s="468">
        <f>(Table6[[#This Row],[Paired WTG Generation for loss calculation]]/24)*Table6[[#This Row],[Breakdown Time]]</f>
        <v>177.40416666666604</v>
      </c>
      <c r="AB1156" s="102"/>
      <c r="AC1156" s="35"/>
      <c r="AD1156" s="35"/>
    </row>
    <row r="1157" spans="1:30">
      <c r="A1157" s="102">
        <f t="shared" si="18"/>
        <v>1156</v>
      </c>
      <c r="B1157" s="468">
        <f>YEAR(Table6[[#This Row],[Date]])+IF(MONTH(Table6[[#This Row],[Date]])&gt;=4,1,0)</f>
        <v>2026</v>
      </c>
      <c r="C1157" s="102">
        <f>YEAR(Table6[[#This Row],[Date]])</f>
        <v>2025</v>
      </c>
      <c r="D1157" s="102" t="s">
        <v>1992</v>
      </c>
      <c r="E1157" s="469">
        <f>Table6[[#This Row],[Date]]-DAY(Table6[[#This Row],[Date]])+1</f>
        <v>45809</v>
      </c>
      <c r="F1157" s="470">
        <v>45819</v>
      </c>
      <c r="G1157" s="35" t="s">
        <v>97</v>
      </c>
      <c r="H1157" s="35" t="str">
        <f>IFERROR(_xlfn.XLOOKUP(Table6[[#This Row],[Affected WTG]],'Basic Data'!$A:$A,'Basic Data'!$B:$B),"")</f>
        <v>TQGXIIPL</v>
      </c>
      <c r="I1157" s="35" t="str">
        <f>IFERROR(_xlfn.XLOOKUP(Table6[[#This Row],[Affected WTG]],'Basic Data'!$A:$A,'Basic Data'!$C:$C),"")</f>
        <v>GEDA</v>
      </c>
      <c r="J1157" s="471">
        <f>IFERROR(_xlfn.XLOOKUP(Table6[[#This Row],[Affected WTG]],'Basic Data'!$A:$A,'Basic Data'!$E:$E),"")</f>
        <v>3.846153846153845E-2</v>
      </c>
      <c r="K1157" s="102">
        <v>6130</v>
      </c>
      <c r="L1157" s="35" t="str">
        <f>IFERROR(_xlfn.XLOOKUP(Table6[[#This Row],[Error Code]],'Basic Data'!$AA:$AA,'Basic Data'!$AB:$AB),"Incorrect Error Code")</f>
        <v>Yaw speed high</v>
      </c>
      <c r="M1157" s="35" t="s">
        <v>291</v>
      </c>
      <c r="N1157" s="475"/>
      <c r="O1157" s="476">
        <v>0.36875000000000002</v>
      </c>
      <c r="P1157" s="476">
        <v>0.36875000000000002</v>
      </c>
      <c r="Q1157" s="477">
        <v>0.37152777777777779</v>
      </c>
      <c r="R1157" s="472">
        <f>IF(Table6[[#This Row],[Work Start TimeStamp]]="","",(Table6[[#This Row],[Work Start TimeStamp]]-Table6[[#This Row],[Fault Start TimeStamp]])*24)</f>
        <v>0</v>
      </c>
      <c r="S1157" s="472">
        <f>(Table6[[#This Row],[Fault Clearance time]]-Table6[[#This Row],[Work Start TimeStamp]])*24</f>
        <v>6.666666666666643E-2</v>
      </c>
      <c r="T1157" s="472">
        <f>(Table6[[#This Row],[Fault Clearance time]]-Table6[[#This Row],[Fault Start TimeStamp]])*24</f>
        <v>6.666666666666643E-2</v>
      </c>
      <c r="U1157" s="35" t="s">
        <v>1924</v>
      </c>
      <c r="V1157" s="102" t="s">
        <v>293</v>
      </c>
      <c r="W1157" s="478">
        <f>IFERROR(Table6[[#This Row],[Breakdown Time]]*Table6[[#This Row],[Plant Equivalent Weightage]],"")</f>
        <v>2.5641025641025541E-3</v>
      </c>
      <c r="X1157" s="473" t="s">
        <v>294</v>
      </c>
      <c r="Y1157" s="474" t="s">
        <v>320</v>
      </c>
      <c r="Z1157" s="102">
        <v>36328</v>
      </c>
      <c r="AA1157" s="468">
        <f>(Table6[[#This Row],[Paired WTG Generation for loss calculation]]/24)*Table6[[#This Row],[Breakdown Time]]</f>
        <v>100.91111111111076</v>
      </c>
      <c r="AB1157" s="102"/>
      <c r="AC1157" s="35"/>
      <c r="AD1157" s="35"/>
    </row>
    <row r="1158" spans="1:30">
      <c r="A1158" s="102">
        <f t="shared" si="18"/>
        <v>1157</v>
      </c>
      <c r="B1158" s="468">
        <f>YEAR(Table6[[#This Row],[Date]])+IF(MONTH(Table6[[#This Row],[Date]])&gt;=4,1,0)</f>
        <v>2026</v>
      </c>
      <c r="C1158" s="102">
        <f>YEAR(Table6[[#This Row],[Date]])</f>
        <v>2025</v>
      </c>
      <c r="D1158" s="102" t="s">
        <v>1992</v>
      </c>
      <c r="E1158" s="469">
        <f>Table6[[#This Row],[Date]]-DAY(Table6[[#This Row],[Date]])+1</f>
        <v>45809</v>
      </c>
      <c r="F1158" s="470">
        <v>45819</v>
      </c>
      <c r="G1158" s="35" t="s">
        <v>98</v>
      </c>
      <c r="H1158" s="35" t="str">
        <f>IFERROR(_xlfn.XLOOKUP(Table6[[#This Row],[Affected WTG]],'Basic Data'!$A:$A,'Basic Data'!$B:$B),"")</f>
        <v>TQGXIIPL</v>
      </c>
      <c r="I1158" s="35" t="str">
        <f>IFERROR(_xlfn.XLOOKUP(Table6[[#This Row],[Affected WTG]],'Basic Data'!$A:$A,'Basic Data'!$C:$C),"")</f>
        <v>GEDA</v>
      </c>
      <c r="J1158" s="471">
        <f>IFERROR(_xlfn.XLOOKUP(Table6[[#This Row],[Affected WTG]],'Basic Data'!$A:$A,'Basic Data'!$E:$E),"")</f>
        <v>3.846153846153845E-2</v>
      </c>
      <c r="K1158" s="102">
        <v>550</v>
      </c>
      <c r="L1158" s="35" t="str">
        <f>IFERROR(_xlfn.XLOOKUP(Table6[[#This Row],[Error Code]],'Basic Data'!$AA:$AA,'Basic Data'!$AB:$AB),"Incorrect Error Code")</f>
        <v>Pitch current asymmetry</v>
      </c>
      <c r="M1158" s="35" t="s">
        <v>291</v>
      </c>
      <c r="N1158" s="475"/>
      <c r="O1158" s="476">
        <v>0.2638888888888889</v>
      </c>
      <c r="P1158" s="476">
        <v>0.2638888888888889</v>
      </c>
      <c r="Q1158" s="477">
        <v>0.2722222222222222</v>
      </c>
      <c r="R1158" s="472">
        <f>IF(Table6[[#This Row],[Work Start TimeStamp]]="","",(Table6[[#This Row],[Work Start TimeStamp]]-Table6[[#This Row],[Fault Start TimeStamp]])*24)</f>
        <v>0</v>
      </c>
      <c r="S1158" s="472">
        <f>(Table6[[#This Row],[Fault Clearance time]]-Table6[[#This Row],[Work Start TimeStamp]])*24</f>
        <v>0.19999999999999929</v>
      </c>
      <c r="T1158" s="472">
        <f>(Table6[[#This Row],[Fault Clearance time]]-Table6[[#This Row],[Fault Start TimeStamp]])*24</f>
        <v>0.19999999999999929</v>
      </c>
      <c r="U1158" s="35" t="s">
        <v>1924</v>
      </c>
      <c r="V1158" s="102" t="s">
        <v>293</v>
      </c>
      <c r="W1158" s="478">
        <f>IFERROR(Table6[[#This Row],[Breakdown Time]]*Table6[[#This Row],[Plant Equivalent Weightage]],"")</f>
        <v>7.6923076923076624E-3</v>
      </c>
      <c r="X1158" s="473" t="s">
        <v>294</v>
      </c>
      <c r="Y1158" s="474" t="s">
        <v>315</v>
      </c>
      <c r="Z1158" s="102">
        <v>9734</v>
      </c>
      <c r="AA1158" s="468">
        <f>(Table6[[#This Row],[Paired WTG Generation for loss calculation]]/24)*Table6[[#This Row],[Breakdown Time]]</f>
        <v>81.116666666666376</v>
      </c>
      <c r="AB1158" s="102"/>
      <c r="AC1158" s="35"/>
      <c r="AD1158" s="35"/>
    </row>
    <row r="1159" spans="1:30">
      <c r="A1159" s="102">
        <f t="shared" si="18"/>
        <v>1158</v>
      </c>
      <c r="B1159" s="468">
        <f>YEAR(Table6[[#This Row],[Date]])+IF(MONTH(Table6[[#This Row],[Date]])&gt;=4,1,0)</f>
        <v>2026</v>
      </c>
      <c r="C1159" s="102">
        <f>YEAR(Table6[[#This Row],[Date]])</f>
        <v>2025</v>
      </c>
      <c r="D1159" s="102" t="s">
        <v>1992</v>
      </c>
      <c r="E1159" s="469">
        <f>Table6[[#This Row],[Date]]-DAY(Table6[[#This Row],[Date]])+1</f>
        <v>45809</v>
      </c>
      <c r="F1159" s="470">
        <v>45819</v>
      </c>
      <c r="G1159" s="35" t="s">
        <v>99</v>
      </c>
      <c r="H1159" s="35" t="str">
        <f>IFERROR(_xlfn.XLOOKUP(Table6[[#This Row],[Affected WTG]],'Basic Data'!$A:$A,'Basic Data'!$B:$B),"")</f>
        <v>TQGXIIPL</v>
      </c>
      <c r="I1159" s="35" t="str">
        <f>IFERROR(_xlfn.XLOOKUP(Table6[[#This Row],[Affected WTG]],'Basic Data'!$A:$A,'Basic Data'!$C:$C),"")</f>
        <v>GEDA</v>
      </c>
      <c r="J1159" s="471">
        <f>IFERROR(_xlfn.XLOOKUP(Table6[[#This Row],[Affected WTG]],'Basic Data'!$A:$A,'Basic Data'!$E:$E),"")</f>
        <v>3.846153846153845E-2</v>
      </c>
      <c r="K1159" s="102">
        <v>55</v>
      </c>
      <c r="L1159" s="35" t="str">
        <f>IFERROR(_xlfn.XLOOKUP(Table6[[#This Row],[Error Code]],'Basic Data'!$AA:$AA,'Basic Data'!$AB:$AB),"Incorrect Error Code")</f>
        <v>WTG shut down</v>
      </c>
      <c r="M1159" s="35" t="s">
        <v>291</v>
      </c>
      <c r="N1159" s="475"/>
      <c r="O1159" s="476">
        <v>0.42986111111111114</v>
      </c>
      <c r="P1159" s="476">
        <v>0.42986111111111114</v>
      </c>
      <c r="Q1159" s="477">
        <v>0.43611111111111112</v>
      </c>
      <c r="R1159" s="472">
        <f>IF(Table6[[#This Row],[Work Start TimeStamp]]="","",(Table6[[#This Row],[Work Start TimeStamp]]-Table6[[#This Row],[Fault Start TimeStamp]])*24)</f>
        <v>0</v>
      </c>
      <c r="S1159" s="472">
        <f>(Table6[[#This Row],[Fault Clearance time]]-Table6[[#This Row],[Work Start TimeStamp]])*24</f>
        <v>0.14999999999999947</v>
      </c>
      <c r="T1159" s="472">
        <f>(Table6[[#This Row],[Fault Clearance time]]-Table6[[#This Row],[Fault Start TimeStamp]])*24</f>
        <v>0.14999999999999947</v>
      </c>
      <c r="U1159" s="35" t="s">
        <v>1958</v>
      </c>
      <c r="V1159" s="102" t="s">
        <v>293</v>
      </c>
      <c r="W1159" s="478">
        <f>IFERROR(Table6[[#This Row],[Breakdown Time]]*Table6[[#This Row],[Plant Equivalent Weightage]],"")</f>
        <v>5.769230769230747E-3</v>
      </c>
      <c r="X1159" s="473" t="s">
        <v>290</v>
      </c>
      <c r="Y1159" s="474" t="s">
        <v>315</v>
      </c>
      <c r="Z1159" s="102">
        <v>9734</v>
      </c>
      <c r="AA1159" s="468">
        <f>(Table6[[#This Row],[Paired WTG Generation for loss calculation]]/24)*Table6[[#This Row],[Breakdown Time]]</f>
        <v>60.837499999999778</v>
      </c>
      <c r="AB1159" s="102"/>
      <c r="AC1159" s="35"/>
      <c r="AD1159" s="35"/>
    </row>
    <row r="1160" spans="1:30">
      <c r="A1160" s="102">
        <f t="shared" si="18"/>
        <v>1159</v>
      </c>
      <c r="B1160" s="468">
        <f>YEAR(Table6[[#This Row],[Date]])+IF(MONTH(Table6[[#This Row],[Date]])&gt;=4,1,0)</f>
        <v>2026</v>
      </c>
      <c r="C1160" s="102">
        <f>YEAR(Table6[[#This Row],[Date]])</f>
        <v>2025</v>
      </c>
      <c r="D1160" s="102" t="s">
        <v>1992</v>
      </c>
      <c r="E1160" s="469">
        <f>Table6[[#This Row],[Date]]-DAY(Table6[[#This Row],[Date]])+1</f>
        <v>45809</v>
      </c>
      <c r="F1160" s="470">
        <v>45820</v>
      </c>
      <c r="G1160" s="35" t="s">
        <v>89</v>
      </c>
      <c r="H1160" s="35" t="str">
        <f>IFERROR(_xlfn.XLOOKUP(Table6[[#This Row],[Affected WTG]],'Basic Data'!$A:$A,'Basic Data'!$B:$B),"")</f>
        <v>TQGXIIPL</v>
      </c>
      <c r="I1160" s="35" t="str">
        <f>IFERROR(_xlfn.XLOOKUP(Table6[[#This Row],[Affected WTG]],'Basic Data'!$A:$A,'Basic Data'!$C:$C),"")</f>
        <v>GEDA</v>
      </c>
      <c r="J1160" s="471">
        <f>IFERROR(_xlfn.XLOOKUP(Table6[[#This Row],[Affected WTG]],'Basic Data'!$A:$A,'Basic Data'!$E:$E),"")</f>
        <v>3.846153846153845E-2</v>
      </c>
      <c r="K1160" s="102">
        <v>55</v>
      </c>
      <c r="L1160" s="35" t="str">
        <f>IFERROR(_xlfn.XLOOKUP(Table6[[#This Row],[Error Code]],'Basic Data'!$AA:$AA,'Basic Data'!$AB:$AB),"Incorrect Error Code")</f>
        <v>WTG shut down</v>
      </c>
      <c r="M1160" s="35" t="s">
        <v>291</v>
      </c>
      <c r="N1160" s="475"/>
      <c r="O1160" s="476">
        <v>0.57361111111111107</v>
      </c>
      <c r="P1160" s="476">
        <v>0.57361111111111107</v>
      </c>
      <c r="Q1160" s="477">
        <v>0.61527777777777781</v>
      </c>
      <c r="R1160" s="472">
        <f>IF(Table6[[#This Row],[Work Start TimeStamp]]="","",(Table6[[#This Row],[Work Start TimeStamp]]-Table6[[#This Row],[Fault Start TimeStamp]])*24)</f>
        <v>0</v>
      </c>
      <c r="S1160" s="472">
        <f>(Table6[[#This Row],[Fault Clearance time]]-Table6[[#This Row],[Work Start TimeStamp]])*24</f>
        <v>1.0000000000000018</v>
      </c>
      <c r="T1160" s="472">
        <f>(Table6[[#This Row],[Fault Clearance time]]-Table6[[#This Row],[Fault Start TimeStamp]])*24</f>
        <v>1.0000000000000018</v>
      </c>
      <c r="U1160" s="35" t="s">
        <v>1960</v>
      </c>
      <c r="V1160" s="102" t="s">
        <v>293</v>
      </c>
      <c r="W1160" s="478">
        <f>IFERROR(Table6[[#This Row],[Breakdown Time]]*Table6[[#This Row],[Plant Equivalent Weightage]],"")</f>
        <v>3.8461538461538519E-2</v>
      </c>
      <c r="X1160" s="473" t="s">
        <v>290</v>
      </c>
      <c r="Y1160" s="474" t="s">
        <v>325</v>
      </c>
      <c r="Z1160" s="102">
        <v>36826</v>
      </c>
      <c r="AA1160" s="468">
        <f>(Table6[[#This Row],[Paired WTG Generation for loss calculation]]/24)*Table6[[#This Row],[Breakdown Time]]</f>
        <v>1534.4166666666695</v>
      </c>
      <c r="AB1160" s="102"/>
      <c r="AC1160" s="35"/>
      <c r="AD1160" s="35"/>
    </row>
    <row r="1161" spans="1:30">
      <c r="A1161" s="102">
        <f t="shared" si="18"/>
        <v>1160</v>
      </c>
      <c r="B1161" s="468">
        <f>YEAR(Table6[[#This Row],[Date]])+IF(MONTH(Table6[[#This Row],[Date]])&gt;=4,1,0)</f>
        <v>2026</v>
      </c>
      <c r="C1161" s="102">
        <f>YEAR(Table6[[#This Row],[Date]])</f>
        <v>2025</v>
      </c>
      <c r="D1161" s="102" t="s">
        <v>1992</v>
      </c>
      <c r="E1161" s="469">
        <f>Table6[[#This Row],[Date]]-DAY(Table6[[#This Row],[Date]])+1</f>
        <v>45809</v>
      </c>
      <c r="F1161" s="470">
        <v>45820</v>
      </c>
      <c r="G1161" s="35" t="s">
        <v>90</v>
      </c>
      <c r="H1161" s="35" t="str">
        <f>IFERROR(_xlfn.XLOOKUP(Table6[[#This Row],[Affected WTG]],'Basic Data'!$A:$A,'Basic Data'!$B:$B),"")</f>
        <v>TQGXIIPL</v>
      </c>
      <c r="I1161" s="35" t="str">
        <f>IFERROR(_xlfn.XLOOKUP(Table6[[#This Row],[Affected WTG]],'Basic Data'!$A:$A,'Basic Data'!$C:$C),"")</f>
        <v>GEDA</v>
      </c>
      <c r="J1161" s="471">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291</v>
      </c>
      <c r="N1161" s="475"/>
      <c r="O1161" s="476">
        <v>9.375E-2</v>
      </c>
      <c r="P1161" s="476">
        <v>9.375E-2</v>
      </c>
      <c r="Q1161" s="477">
        <v>0.10347222222222222</v>
      </c>
      <c r="R1161" s="472">
        <f>IF(Table6[[#This Row],[Work Start TimeStamp]]="","",(Table6[[#This Row],[Work Start TimeStamp]]-Table6[[#This Row],[Fault Start TimeStamp]])*24)</f>
        <v>0</v>
      </c>
      <c r="S1161" s="472">
        <f>(Table6[[#This Row],[Fault Clearance time]]-Table6[[#This Row],[Work Start TimeStamp]])*24</f>
        <v>0.23333333333333317</v>
      </c>
      <c r="T1161" s="472">
        <f>(Table6[[#This Row],[Fault Clearance time]]-Table6[[#This Row],[Fault Start TimeStamp]])*24</f>
        <v>0.23333333333333317</v>
      </c>
      <c r="U1161" s="35" t="s">
        <v>1961</v>
      </c>
      <c r="V1161" s="102" t="s">
        <v>293</v>
      </c>
      <c r="W1161" s="478">
        <f>IFERROR(Table6[[#This Row],[Breakdown Time]]*Table6[[#This Row],[Plant Equivalent Weightage]],"")</f>
        <v>8.974358974358965E-3</v>
      </c>
      <c r="X1161" s="473" t="s">
        <v>294</v>
      </c>
      <c r="Y1161" s="474" t="s">
        <v>339</v>
      </c>
      <c r="Z1161" s="102">
        <v>38525</v>
      </c>
      <c r="AA1161" s="468">
        <f>(Table6[[#This Row],[Paired WTG Generation for loss calculation]]/24)*Table6[[#This Row],[Breakdown Time]]</f>
        <v>374.54861111111086</v>
      </c>
      <c r="AB1161" s="102"/>
      <c r="AC1161" s="35"/>
      <c r="AD1161" s="35"/>
    </row>
    <row r="1162" spans="1:30">
      <c r="A1162" s="102">
        <f t="shared" si="18"/>
        <v>1161</v>
      </c>
      <c r="B1162" s="468">
        <f>YEAR(Table6[[#This Row],[Date]])+IF(MONTH(Table6[[#This Row],[Date]])&gt;=4,1,0)</f>
        <v>2026</v>
      </c>
      <c r="C1162" s="102">
        <f>YEAR(Table6[[#This Row],[Date]])</f>
        <v>2025</v>
      </c>
      <c r="D1162" s="102" t="s">
        <v>1992</v>
      </c>
      <c r="E1162" s="469">
        <f>Table6[[#This Row],[Date]]-DAY(Table6[[#This Row],[Date]])+1</f>
        <v>45809</v>
      </c>
      <c r="F1162" s="470">
        <v>45820</v>
      </c>
      <c r="G1162" s="35" t="s">
        <v>96</v>
      </c>
      <c r="H1162" s="35" t="str">
        <f>IFERROR(_xlfn.XLOOKUP(Table6[[#This Row],[Affected WTG]],'Basic Data'!$A:$A,'Basic Data'!$B:$B),"")</f>
        <v>TQGXIIPL</v>
      </c>
      <c r="I1162" s="35" t="str">
        <f>IFERROR(_xlfn.XLOOKUP(Table6[[#This Row],[Affected WTG]],'Basic Data'!$A:$A,'Basic Data'!$C:$C),"")</f>
        <v>GEDA</v>
      </c>
      <c r="J1162" s="471">
        <f>IFERROR(_xlfn.XLOOKUP(Table6[[#This Row],[Affected WTG]],'Basic Data'!$A:$A,'Basic Data'!$E:$E),"")</f>
        <v>3.846153846153845E-2</v>
      </c>
      <c r="K1162" s="102">
        <v>72</v>
      </c>
      <c r="L1162" s="35" t="str">
        <f>IFERROR(_xlfn.XLOOKUP(Table6[[#This Row],[Error Code]],'Basic Data'!$AA:$AA,'Basic Data'!$AB:$AB),"Incorrect Error Code")</f>
        <v>Outdoor temperature high</v>
      </c>
      <c r="M1162" s="35" t="s">
        <v>291</v>
      </c>
      <c r="N1162" s="475"/>
      <c r="O1162" s="476">
        <v>0.6791666666666667</v>
      </c>
      <c r="P1162" s="476">
        <v>0.6791666666666667</v>
      </c>
      <c r="Q1162" s="477">
        <v>0.6875</v>
      </c>
      <c r="R1162" s="472">
        <f>IF(Table6[[#This Row],[Work Start TimeStamp]]="","",(Table6[[#This Row],[Work Start TimeStamp]]-Table6[[#This Row],[Fault Start TimeStamp]])*24)</f>
        <v>0</v>
      </c>
      <c r="S1162" s="472">
        <f>(Table6[[#This Row],[Fault Clearance time]]-Table6[[#This Row],[Work Start TimeStamp]])*24</f>
        <v>0.19999999999999929</v>
      </c>
      <c r="T1162" s="472">
        <f>(Table6[[#This Row],[Fault Clearance time]]-Table6[[#This Row],[Fault Start TimeStamp]])*24</f>
        <v>0.19999999999999929</v>
      </c>
      <c r="U1162" s="35" t="s">
        <v>1924</v>
      </c>
      <c r="V1162" s="102" t="s">
        <v>293</v>
      </c>
      <c r="W1162" s="478">
        <f>IFERROR(Table6[[#This Row],[Breakdown Time]]*Table6[[#This Row],[Plant Equivalent Weightage]],"")</f>
        <v>7.6923076923076624E-3</v>
      </c>
      <c r="X1162" s="473" t="s">
        <v>294</v>
      </c>
      <c r="Y1162" s="474" t="s">
        <v>313</v>
      </c>
      <c r="Z1162" s="102">
        <v>35464</v>
      </c>
      <c r="AA1162" s="468">
        <f>(Table6[[#This Row],[Paired WTG Generation for loss calculation]]/24)*Table6[[#This Row],[Breakdown Time]]</f>
        <v>295.53333333333228</v>
      </c>
      <c r="AB1162" s="102"/>
      <c r="AC1162" s="35"/>
      <c r="AD1162" s="35"/>
    </row>
    <row r="1163" spans="1:30">
      <c r="A1163" s="102">
        <f t="shared" si="18"/>
        <v>1162</v>
      </c>
      <c r="B1163" s="468">
        <f>YEAR(Table6[[#This Row],[Date]])+IF(MONTH(Table6[[#This Row],[Date]])&gt;=4,1,0)</f>
        <v>2026</v>
      </c>
      <c r="C1163" s="102">
        <f>YEAR(Table6[[#This Row],[Date]])</f>
        <v>2025</v>
      </c>
      <c r="D1163" s="102" t="s">
        <v>1992</v>
      </c>
      <c r="E1163" s="469">
        <f>Table6[[#This Row],[Date]]-DAY(Table6[[#This Row],[Date]])+1</f>
        <v>45809</v>
      </c>
      <c r="F1163" s="470">
        <v>45820</v>
      </c>
      <c r="G1163" s="35" t="s">
        <v>92</v>
      </c>
      <c r="H1163" s="35" t="str">
        <f>IFERROR(_xlfn.XLOOKUP(Table6[[#This Row],[Affected WTG]],'Basic Data'!$A:$A,'Basic Data'!$B:$B),"")</f>
        <v>TQGXIIPL</v>
      </c>
      <c r="I1163" s="35" t="str">
        <f>IFERROR(_xlfn.XLOOKUP(Table6[[#This Row],[Affected WTG]],'Basic Data'!$A:$A,'Basic Data'!$C:$C),"")</f>
        <v>GEDA</v>
      </c>
      <c r="J1163" s="471">
        <f>IFERROR(_xlfn.XLOOKUP(Table6[[#This Row],[Affected WTG]],'Basic Data'!$A:$A,'Basic Data'!$E:$E),"")</f>
        <v>3.846153846153845E-2</v>
      </c>
      <c r="K1163" s="102">
        <v>6601</v>
      </c>
      <c r="L1163" s="35" t="str">
        <f>IFERROR(_xlfn.XLOOKUP(Table6[[#This Row],[Error Code]],'Basic Data'!$AA:$AA,'Basic Data'!$AB:$AB),"Incorrect Error Code")</f>
        <v>Wind.dir. diff. level 1</v>
      </c>
      <c r="M1163" s="35" t="s">
        <v>291</v>
      </c>
      <c r="N1163" s="475"/>
      <c r="O1163" s="476">
        <v>0.75069444444444444</v>
      </c>
      <c r="P1163" s="476">
        <v>0.75069444444444444</v>
      </c>
      <c r="Q1163" s="477">
        <v>0.75277777777777777</v>
      </c>
      <c r="R1163" s="472">
        <f>IF(Table6[[#This Row],[Work Start TimeStamp]]="","",(Table6[[#This Row],[Work Start TimeStamp]]-Table6[[#This Row],[Fault Start TimeStamp]])*24)</f>
        <v>0</v>
      </c>
      <c r="S1163" s="472">
        <f>(Table6[[#This Row],[Fault Clearance time]]-Table6[[#This Row],[Work Start TimeStamp]])*24</f>
        <v>4.9999999999999822E-2</v>
      </c>
      <c r="T1163" s="472">
        <f>(Table6[[#This Row],[Fault Clearance time]]-Table6[[#This Row],[Fault Start TimeStamp]])*24</f>
        <v>4.9999999999999822E-2</v>
      </c>
      <c r="U1163" s="35" t="s">
        <v>1924</v>
      </c>
      <c r="V1163" s="102" t="s">
        <v>293</v>
      </c>
      <c r="W1163" s="478">
        <f>IFERROR(Table6[[#This Row],[Breakdown Time]]*Table6[[#This Row],[Plant Equivalent Weightage]],"")</f>
        <v>1.9230769230769156E-3</v>
      </c>
      <c r="X1163" s="473" t="s">
        <v>294</v>
      </c>
      <c r="Y1163" s="474" t="s">
        <v>319</v>
      </c>
      <c r="Z1163" s="102">
        <v>38942</v>
      </c>
      <c r="AA1163" s="468">
        <f>(Table6[[#This Row],[Paired WTG Generation for loss calculation]]/24)*Table6[[#This Row],[Breakdown Time]]</f>
        <v>81.129166666666379</v>
      </c>
      <c r="AB1163" s="102"/>
      <c r="AC1163" s="35"/>
      <c r="AD1163" s="35"/>
    </row>
    <row r="1164" spans="1:30">
      <c r="A1164" s="102">
        <f t="shared" si="18"/>
        <v>1163</v>
      </c>
      <c r="B1164" s="468">
        <f>YEAR(Table6[[#This Row],[Date]])+IF(MONTH(Table6[[#This Row],[Date]])&gt;=4,1,0)</f>
        <v>2026</v>
      </c>
      <c r="C1164" s="102">
        <f>YEAR(Table6[[#This Row],[Date]])</f>
        <v>2025</v>
      </c>
      <c r="D1164" s="102" t="s">
        <v>1992</v>
      </c>
      <c r="E1164" s="469">
        <f>Table6[[#This Row],[Date]]-DAY(Table6[[#This Row],[Date]])+1</f>
        <v>45809</v>
      </c>
      <c r="F1164" s="470">
        <v>45821</v>
      </c>
      <c r="G1164" s="35" t="s">
        <v>74</v>
      </c>
      <c r="H1164" s="35" t="str">
        <f>IFERROR(_xlfn.XLOOKUP(Table6[[#This Row],[Affected WTG]],'Basic Data'!$A:$A,'Basic Data'!$B:$B),"")</f>
        <v>TQGXIIPL</v>
      </c>
      <c r="I1164" s="35" t="str">
        <f>IFERROR(_xlfn.XLOOKUP(Table6[[#This Row],[Affected WTG]],'Basic Data'!$A:$A,'Basic Data'!$C:$C),"")</f>
        <v>GEDA</v>
      </c>
      <c r="J1164" s="471">
        <f>IFERROR(_xlfn.XLOOKUP(Table6[[#This Row],[Affected WTG]],'Basic Data'!$A:$A,'Basic Data'!$E:$E),"")</f>
        <v>3.846153846153845E-2</v>
      </c>
      <c r="K1164" s="102">
        <v>6130</v>
      </c>
      <c r="L1164" s="35" t="str">
        <f>IFERROR(_xlfn.XLOOKUP(Table6[[#This Row],[Error Code]],'Basic Data'!$AA:$AA,'Basic Data'!$AB:$AB),"Incorrect Error Code")</f>
        <v>Yaw speed high</v>
      </c>
      <c r="M1164" s="35" t="s">
        <v>292</v>
      </c>
      <c r="N1164" s="475"/>
      <c r="O1164" s="476">
        <v>0.52708333333333335</v>
      </c>
      <c r="P1164" s="476">
        <v>0.52708333333333335</v>
      </c>
      <c r="Q1164" s="477">
        <v>0.53125</v>
      </c>
      <c r="R1164" s="472">
        <f>IF(Table6[[#This Row],[Work Start TimeStamp]]="","",(Table6[[#This Row],[Work Start TimeStamp]]-Table6[[#This Row],[Fault Start TimeStamp]])*24)</f>
        <v>0</v>
      </c>
      <c r="S1164" s="472">
        <f>(Table6[[#This Row],[Fault Clearance time]]-Table6[[#This Row],[Work Start TimeStamp]])*24</f>
        <v>9.9999999999999645E-2</v>
      </c>
      <c r="T1164" s="472">
        <f>(Table6[[#This Row],[Fault Clearance time]]-Table6[[#This Row],[Fault Start TimeStamp]])*24</f>
        <v>9.9999999999999645E-2</v>
      </c>
      <c r="U1164" s="35" t="s">
        <v>336</v>
      </c>
      <c r="V1164" s="102" t="s">
        <v>293</v>
      </c>
      <c r="W1164" s="478">
        <f>IFERROR(Table6[[#This Row],[Breakdown Time]]*Table6[[#This Row],[Plant Equivalent Weightage]],"")</f>
        <v>3.8461538461538312E-3</v>
      </c>
      <c r="X1164" s="473" t="s">
        <v>294</v>
      </c>
      <c r="Y1164" s="474" t="s">
        <v>321</v>
      </c>
      <c r="Z1164" s="102">
        <v>35207</v>
      </c>
      <c r="AA1164" s="468">
        <f>(Table6[[#This Row],[Paired WTG Generation for loss calculation]]/24)*Table6[[#This Row],[Breakdown Time]]</f>
        <v>146.69583333333281</v>
      </c>
      <c r="AB1164" s="102"/>
      <c r="AC1164" s="35"/>
      <c r="AD1164" s="35"/>
    </row>
    <row r="1165" spans="1:30">
      <c r="A1165" s="102">
        <f t="shared" si="18"/>
        <v>1164</v>
      </c>
      <c r="B1165" s="468">
        <f>YEAR(Table6[[#This Row],[Date]])+IF(MONTH(Table6[[#This Row],[Date]])&gt;=4,1,0)</f>
        <v>2026</v>
      </c>
      <c r="C1165" s="102">
        <f>YEAR(Table6[[#This Row],[Date]])</f>
        <v>2025</v>
      </c>
      <c r="D1165" s="102" t="s">
        <v>1992</v>
      </c>
      <c r="E1165" s="469">
        <f>Table6[[#This Row],[Date]]-DAY(Table6[[#This Row],[Date]])+1</f>
        <v>45809</v>
      </c>
      <c r="F1165" s="470">
        <v>45821</v>
      </c>
      <c r="G1165" s="35" t="s">
        <v>74</v>
      </c>
      <c r="H1165" s="35" t="str">
        <f>IFERROR(_xlfn.XLOOKUP(Table6[[#This Row],[Affected WTG]],'Basic Data'!$A:$A,'Basic Data'!$B:$B),"")</f>
        <v>TQGXIIPL</v>
      </c>
      <c r="I1165" s="35" t="str">
        <f>IFERROR(_xlfn.XLOOKUP(Table6[[#This Row],[Affected WTG]],'Basic Data'!$A:$A,'Basic Data'!$C:$C),"")</f>
        <v>GEDA</v>
      </c>
      <c r="J1165" s="471">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291</v>
      </c>
      <c r="N1165" s="475"/>
      <c r="O1165" s="476">
        <v>0.53194444444444444</v>
      </c>
      <c r="P1165" s="476">
        <v>0.53194444444444444</v>
      </c>
      <c r="Q1165" s="477">
        <v>0.53402777777777777</v>
      </c>
      <c r="R1165" s="472">
        <f>IF(Table6[[#This Row],[Work Start TimeStamp]]="","",(Table6[[#This Row],[Work Start TimeStamp]]-Table6[[#This Row],[Fault Start TimeStamp]])*24)</f>
        <v>0</v>
      </c>
      <c r="S1165" s="472">
        <f>(Table6[[#This Row],[Fault Clearance time]]-Table6[[#This Row],[Work Start TimeStamp]])*24</f>
        <v>4.9999999999999822E-2</v>
      </c>
      <c r="T1165" s="472">
        <f>(Table6[[#This Row],[Fault Clearance time]]-Table6[[#This Row],[Fault Start TimeStamp]])*24</f>
        <v>4.9999999999999822E-2</v>
      </c>
      <c r="U1165" s="35" t="s">
        <v>1924</v>
      </c>
      <c r="V1165" s="102" t="s">
        <v>293</v>
      </c>
      <c r="W1165" s="478">
        <f>IFERROR(Table6[[#This Row],[Breakdown Time]]*Table6[[#This Row],[Plant Equivalent Weightage]],"")</f>
        <v>1.9230769230769156E-3</v>
      </c>
      <c r="X1165" s="473" t="s">
        <v>294</v>
      </c>
      <c r="Y1165" s="474" t="s">
        <v>321</v>
      </c>
      <c r="Z1165" s="102">
        <v>35207</v>
      </c>
      <c r="AA1165" s="468">
        <f>(Table6[[#This Row],[Paired WTG Generation for loss calculation]]/24)*Table6[[#This Row],[Breakdown Time]]</f>
        <v>73.347916666666407</v>
      </c>
      <c r="AB1165" s="102"/>
      <c r="AC1165" s="35"/>
      <c r="AD1165" s="35"/>
    </row>
    <row r="1166" spans="1:30">
      <c r="A1166" s="102">
        <f t="shared" ref="A1166:A1229" si="19">A1165+1</f>
        <v>1165</v>
      </c>
      <c r="B1166" s="468">
        <f>YEAR(Table6[[#This Row],[Date]])+IF(MONTH(Table6[[#This Row],[Date]])&gt;=4,1,0)</f>
        <v>2026</v>
      </c>
      <c r="C1166" s="102">
        <f>YEAR(Table6[[#This Row],[Date]])</f>
        <v>2025</v>
      </c>
      <c r="D1166" s="102" t="s">
        <v>1992</v>
      </c>
      <c r="E1166" s="469">
        <f>Table6[[#This Row],[Date]]-DAY(Table6[[#This Row],[Date]])+1</f>
        <v>45809</v>
      </c>
      <c r="F1166" s="470">
        <v>45821</v>
      </c>
      <c r="G1166" s="35" t="s">
        <v>76</v>
      </c>
      <c r="H1166" s="35" t="str">
        <f>IFERROR(_xlfn.XLOOKUP(Table6[[#This Row],[Affected WTG]],'Basic Data'!$A:$A,'Basic Data'!$B:$B),"")</f>
        <v>TQGXIIPL</v>
      </c>
      <c r="I1166" s="35" t="str">
        <f>IFERROR(_xlfn.XLOOKUP(Table6[[#This Row],[Affected WTG]],'Basic Data'!$A:$A,'Basic Data'!$C:$C),"")</f>
        <v>GEDA</v>
      </c>
      <c r="J1166" s="471">
        <f>IFERROR(_xlfn.XLOOKUP(Table6[[#This Row],[Affected WTG]],'Basic Data'!$A:$A,'Basic Data'!$E:$E),"")</f>
        <v>3.846153846153845E-2</v>
      </c>
      <c r="K1166" s="102">
        <v>4970</v>
      </c>
      <c r="L1166" s="35" t="str">
        <f>IFERROR(_xlfn.XLOOKUP(Table6[[#This Row],[Error Code]],'Basic Data'!$AA:$AA,'Basic Data'!$AB:$AB),"Incorrect Error Code")</f>
        <v>Tower oscillation XF</v>
      </c>
      <c r="M1166" s="35" t="s">
        <v>291</v>
      </c>
      <c r="N1166" s="475"/>
      <c r="O1166" s="476">
        <v>0.52569444444444446</v>
      </c>
      <c r="P1166" s="476">
        <v>0.52569444444444446</v>
      </c>
      <c r="Q1166" s="477">
        <v>0.53263888888888888</v>
      </c>
      <c r="R1166" s="472">
        <f>IF(Table6[[#This Row],[Work Start TimeStamp]]="","",(Table6[[#This Row],[Work Start TimeStamp]]-Table6[[#This Row],[Fault Start TimeStamp]])*24)</f>
        <v>0</v>
      </c>
      <c r="S1166" s="472">
        <f>(Table6[[#This Row],[Fault Clearance time]]-Table6[[#This Row],[Work Start TimeStamp]])*24</f>
        <v>0.16666666666666607</v>
      </c>
      <c r="T1166" s="472">
        <f>(Table6[[#This Row],[Fault Clearance time]]-Table6[[#This Row],[Fault Start TimeStamp]])*24</f>
        <v>0.16666666666666607</v>
      </c>
      <c r="U1166" s="35" t="s">
        <v>1924</v>
      </c>
      <c r="V1166" s="102" t="s">
        <v>293</v>
      </c>
      <c r="W1166" s="478">
        <f>IFERROR(Table6[[#This Row],[Breakdown Time]]*Table6[[#This Row],[Plant Equivalent Weightage]],"")</f>
        <v>6.4102564102563857E-3</v>
      </c>
      <c r="X1166" s="473" t="s">
        <v>294</v>
      </c>
      <c r="Y1166" s="474" t="s">
        <v>309</v>
      </c>
      <c r="Z1166" s="102">
        <v>33994</v>
      </c>
      <c r="AA1166" s="468">
        <f>(Table6[[#This Row],[Paired WTG Generation for loss calculation]]/24)*Table6[[#This Row],[Breakdown Time]]</f>
        <v>236.0694444444436</v>
      </c>
      <c r="AB1166" s="102"/>
      <c r="AC1166" s="35"/>
      <c r="AD1166" s="35"/>
    </row>
    <row r="1167" spans="1:30">
      <c r="A1167" s="102">
        <f t="shared" si="19"/>
        <v>1166</v>
      </c>
      <c r="B1167" s="468">
        <f>YEAR(Table6[[#This Row],[Date]])+IF(MONTH(Table6[[#This Row],[Date]])&gt;=4,1,0)</f>
        <v>2026</v>
      </c>
      <c r="C1167" s="102">
        <f>YEAR(Table6[[#This Row],[Date]])</f>
        <v>2025</v>
      </c>
      <c r="D1167" s="102" t="s">
        <v>1992</v>
      </c>
      <c r="E1167" s="469">
        <f>Table6[[#This Row],[Date]]-DAY(Table6[[#This Row],[Date]])+1</f>
        <v>45809</v>
      </c>
      <c r="F1167" s="470">
        <v>45821</v>
      </c>
      <c r="G1167" s="35" t="s">
        <v>76</v>
      </c>
      <c r="H1167" s="35" t="str">
        <f>IFERROR(_xlfn.XLOOKUP(Table6[[#This Row],[Affected WTG]],'Basic Data'!$A:$A,'Basic Data'!$B:$B),"")</f>
        <v>TQGXIIPL</v>
      </c>
      <c r="I1167" s="35" t="str">
        <f>IFERROR(_xlfn.XLOOKUP(Table6[[#This Row],[Affected WTG]],'Basic Data'!$A:$A,'Basic Data'!$C:$C),"")</f>
        <v>GEDA</v>
      </c>
      <c r="J1167" s="471">
        <f>IFERROR(_xlfn.XLOOKUP(Table6[[#This Row],[Affected WTG]],'Basic Data'!$A:$A,'Basic Data'!$E:$E),"")</f>
        <v>3.846153846153845E-2</v>
      </c>
      <c r="K1167" s="102">
        <v>55</v>
      </c>
      <c r="L1167" s="35" t="str">
        <f>IFERROR(_xlfn.XLOOKUP(Table6[[#This Row],[Error Code]],'Basic Data'!$AA:$AA,'Basic Data'!$AB:$AB),"Incorrect Error Code")</f>
        <v>WTG shut down</v>
      </c>
      <c r="M1167" s="35" t="s">
        <v>291</v>
      </c>
      <c r="N1167" s="475"/>
      <c r="O1167" s="476">
        <v>0.64583333333333337</v>
      </c>
      <c r="P1167" s="476">
        <v>0.64583333333333337</v>
      </c>
      <c r="Q1167" s="477">
        <v>0.80833333333333335</v>
      </c>
      <c r="R1167" s="472">
        <f>IF(Table6[[#This Row],[Work Start TimeStamp]]="","",(Table6[[#This Row],[Work Start TimeStamp]]-Table6[[#This Row],[Fault Start TimeStamp]])*24)</f>
        <v>0</v>
      </c>
      <c r="S1167" s="472">
        <f>(Table6[[#This Row],[Fault Clearance time]]-Table6[[#This Row],[Work Start TimeStamp]])*24</f>
        <v>3.8999999999999995</v>
      </c>
      <c r="T1167" s="472">
        <f>(Table6[[#This Row],[Fault Clearance time]]-Table6[[#This Row],[Fault Start TimeStamp]])*24</f>
        <v>3.8999999999999995</v>
      </c>
      <c r="U1167" s="35" t="s">
        <v>1962</v>
      </c>
      <c r="V1167" s="102" t="s">
        <v>293</v>
      </c>
      <c r="W1167" s="478">
        <f>IFERROR(Table6[[#This Row],[Breakdown Time]]*Table6[[#This Row],[Plant Equivalent Weightage]],"")</f>
        <v>0.14999999999999994</v>
      </c>
      <c r="X1167" s="473" t="s">
        <v>290</v>
      </c>
      <c r="Y1167" s="474" t="s">
        <v>309</v>
      </c>
      <c r="Z1167" s="102">
        <v>33994</v>
      </c>
      <c r="AA1167" s="468">
        <f>(Table6[[#This Row],[Paired WTG Generation for loss calculation]]/24)*Table6[[#This Row],[Breakdown Time]]</f>
        <v>5524.0249999999996</v>
      </c>
      <c r="AB1167" s="102"/>
      <c r="AC1167" s="35"/>
      <c r="AD1167" s="35"/>
    </row>
    <row r="1168" spans="1:30">
      <c r="A1168" s="102">
        <f t="shared" si="19"/>
        <v>1167</v>
      </c>
      <c r="B1168" s="468">
        <f>YEAR(Table6[[#This Row],[Date]])+IF(MONTH(Table6[[#This Row],[Date]])&gt;=4,1,0)</f>
        <v>2026</v>
      </c>
      <c r="C1168" s="102">
        <f>YEAR(Table6[[#This Row],[Date]])</f>
        <v>2025</v>
      </c>
      <c r="D1168" s="102" t="s">
        <v>1992</v>
      </c>
      <c r="E1168" s="469">
        <f>Table6[[#This Row],[Date]]-DAY(Table6[[#This Row],[Date]])+1</f>
        <v>45809</v>
      </c>
      <c r="F1168" s="470">
        <v>45821</v>
      </c>
      <c r="G1168" s="35" t="s">
        <v>77</v>
      </c>
      <c r="H1168" s="35" t="str">
        <f>IFERROR(_xlfn.XLOOKUP(Table6[[#This Row],[Affected WTG]],'Basic Data'!$A:$A,'Basic Data'!$B:$B),"")</f>
        <v>TQGXIIPL</v>
      </c>
      <c r="I1168" s="35" t="str">
        <f>IFERROR(_xlfn.XLOOKUP(Table6[[#This Row],[Affected WTG]],'Basic Data'!$A:$A,'Basic Data'!$C:$C),"")</f>
        <v>GEDA</v>
      </c>
      <c r="J1168" s="471">
        <f>IFERROR(_xlfn.XLOOKUP(Table6[[#This Row],[Affected WTG]],'Basic Data'!$A:$A,'Basic Data'!$E:$E),"")</f>
        <v>3.846153846153845E-2</v>
      </c>
      <c r="K1168" s="102">
        <v>6130</v>
      </c>
      <c r="L1168" s="35" t="str">
        <f>IFERROR(_xlfn.XLOOKUP(Table6[[#This Row],[Error Code]],'Basic Data'!$AA:$AA,'Basic Data'!$AB:$AB),"Incorrect Error Code")</f>
        <v>Yaw speed high</v>
      </c>
      <c r="M1168" s="35" t="s">
        <v>292</v>
      </c>
      <c r="N1168" s="475"/>
      <c r="O1168" s="476">
        <v>0.49027777777777776</v>
      </c>
      <c r="P1168" s="476">
        <v>0.49027777777777776</v>
      </c>
      <c r="Q1168" s="477">
        <v>0.49444444444444446</v>
      </c>
      <c r="R1168" s="472">
        <f>IF(Table6[[#This Row],[Work Start TimeStamp]]="","",(Table6[[#This Row],[Work Start TimeStamp]]-Table6[[#This Row],[Fault Start TimeStamp]])*24)</f>
        <v>0</v>
      </c>
      <c r="S1168" s="472">
        <f>(Table6[[#This Row],[Fault Clearance time]]-Table6[[#This Row],[Work Start TimeStamp]])*24</f>
        <v>0.10000000000000098</v>
      </c>
      <c r="T1168" s="472">
        <f>(Table6[[#This Row],[Fault Clearance time]]-Table6[[#This Row],[Fault Start TimeStamp]])*24</f>
        <v>0.10000000000000098</v>
      </c>
      <c r="U1168" s="35" t="s">
        <v>336</v>
      </c>
      <c r="V1168" s="102" t="s">
        <v>293</v>
      </c>
      <c r="W1168" s="478">
        <f>IFERROR(Table6[[#This Row],[Breakdown Time]]*Table6[[#This Row],[Plant Equivalent Weightage]],"")</f>
        <v>3.8461538461538824E-3</v>
      </c>
      <c r="X1168" s="473" t="s">
        <v>294</v>
      </c>
      <c r="Y1168" s="474" t="s">
        <v>310</v>
      </c>
      <c r="Z1168" s="102">
        <v>36104</v>
      </c>
      <c r="AA1168" s="468">
        <f>(Table6[[#This Row],[Paired WTG Generation for loss calculation]]/24)*Table6[[#This Row],[Breakdown Time]]</f>
        <v>150.43333333333479</v>
      </c>
      <c r="AB1168" s="102"/>
      <c r="AC1168" s="35"/>
      <c r="AD1168" s="35"/>
    </row>
    <row r="1169" spans="1:30">
      <c r="A1169" s="102">
        <f t="shared" si="19"/>
        <v>1168</v>
      </c>
      <c r="B1169" s="468">
        <f>YEAR(Table6[[#This Row],[Date]])+IF(MONTH(Table6[[#This Row],[Date]])&gt;=4,1,0)</f>
        <v>2026</v>
      </c>
      <c r="C1169" s="102">
        <f>YEAR(Table6[[#This Row],[Date]])</f>
        <v>2025</v>
      </c>
      <c r="D1169" s="102" t="s">
        <v>1992</v>
      </c>
      <c r="E1169" s="469">
        <f>Table6[[#This Row],[Date]]-DAY(Table6[[#This Row],[Date]])+1</f>
        <v>45809</v>
      </c>
      <c r="F1169" s="470">
        <v>45821</v>
      </c>
      <c r="G1169" s="35" t="s">
        <v>81</v>
      </c>
      <c r="H1169" s="35" t="str">
        <f>IFERROR(_xlfn.XLOOKUP(Table6[[#This Row],[Affected WTG]],'Basic Data'!$A:$A,'Basic Data'!$B:$B),"")</f>
        <v>TQGXIIPL</v>
      </c>
      <c r="I1169" s="35" t="str">
        <f>IFERROR(_xlfn.XLOOKUP(Table6[[#This Row],[Affected WTG]],'Basic Data'!$A:$A,'Basic Data'!$C:$C),"")</f>
        <v>GEDA</v>
      </c>
      <c r="J1169" s="471">
        <f>IFERROR(_xlfn.XLOOKUP(Table6[[#This Row],[Affected WTG]],'Basic Data'!$A:$A,'Basic Data'!$E:$E),"")</f>
        <v>3.846153846153845E-2</v>
      </c>
      <c r="K1169" s="102">
        <v>6605</v>
      </c>
      <c r="L1169" s="35" t="str">
        <f>IFERROR(_xlfn.XLOOKUP(Table6[[#This Row],[Error Code]],'Basic Data'!$AA:$AA,'Basic Data'!$AB:$AB),"Incorrect Error Code")</f>
        <v>Wind.dir. diff. level 2</v>
      </c>
      <c r="M1169" s="35" t="s">
        <v>291</v>
      </c>
      <c r="N1169" s="475"/>
      <c r="O1169" s="476">
        <v>0.50624999999999998</v>
      </c>
      <c r="P1169" s="476">
        <v>0.50624999999999998</v>
      </c>
      <c r="Q1169" s="477">
        <v>0.50763888888888886</v>
      </c>
      <c r="R1169" s="472">
        <f>IF(Table6[[#This Row],[Work Start TimeStamp]]="","",(Table6[[#This Row],[Work Start TimeStamp]]-Table6[[#This Row],[Fault Start TimeStamp]])*24)</f>
        <v>0</v>
      </c>
      <c r="S1169" s="472">
        <f>(Table6[[#This Row],[Fault Clearance time]]-Table6[[#This Row],[Work Start TimeStamp]])*24</f>
        <v>3.3333333333333215E-2</v>
      </c>
      <c r="T1169" s="472">
        <f>(Table6[[#This Row],[Fault Clearance time]]-Table6[[#This Row],[Fault Start TimeStamp]])*24</f>
        <v>3.3333333333333215E-2</v>
      </c>
      <c r="U1169" s="35" t="s">
        <v>1924</v>
      </c>
      <c r="V1169" s="102" t="s">
        <v>293</v>
      </c>
      <c r="W1169" s="478">
        <f>IFERROR(Table6[[#This Row],[Breakdown Time]]*Table6[[#This Row],[Plant Equivalent Weightage]],"")</f>
        <v>1.2820512820512771E-3</v>
      </c>
      <c r="X1169" s="473" t="s">
        <v>294</v>
      </c>
      <c r="Y1169" s="474" t="s">
        <v>321</v>
      </c>
      <c r="Z1169" s="102">
        <v>35207</v>
      </c>
      <c r="AA1169" s="468">
        <f>(Table6[[#This Row],[Paired WTG Generation for loss calculation]]/24)*Table6[[#This Row],[Breakdown Time]]</f>
        <v>48.898611111110938</v>
      </c>
      <c r="AB1169" s="102"/>
      <c r="AC1169" s="35"/>
      <c r="AD1169" s="35"/>
    </row>
    <row r="1170" spans="1:30">
      <c r="A1170" s="102">
        <f t="shared" si="19"/>
        <v>1169</v>
      </c>
      <c r="B1170" s="468">
        <f>YEAR(Table6[[#This Row],[Date]])+IF(MONTH(Table6[[#This Row],[Date]])&gt;=4,1,0)</f>
        <v>2026</v>
      </c>
      <c r="C1170" s="102">
        <f>YEAR(Table6[[#This Row],[Date]])</f>
        <v>2025</v>
      </c>
      <c r="D1170" s="102" t="s">
        <v>1992</v>
      </c>
      <c r="E1170" s="469">
        <f>Table6[[#This Row],[Date]]-DAY(Table6[[#This Row],[Date]])+1</f>
        <v>45809</v>
      </c>
      <c r="F1170" s="470">
        <v>45821</v>
      </c>
      <c r="G1170" s="35" t="s">
        <v>84</v>
      </c>
      <c r="H1170" s="35" t="str">
        <f>IFERROR(_xlfn.XLOOKUP(Table6[[#This Row],[Affected WTG]],'Basic Data'!$A:$A,'Basic Data'!$B:$B),"")</f>
        <v>TQGXIIPL</v>
      </c>
      <c r="I1170" s="35" t="str">
        <f>IFERROR(_xlfn.XLOOKUP(Table6[[#This Row],[Affected WTG]],'Basic Data'!$A:$A,'Basic Data'!$C:$C),"")</f>
        <v>GEDA</v>
      </c>
      <c r="J1170" s="471">
        <f>IFERROR(_xlfn.XLOOKUP(Table6[[#This Row],[Affected WTG]],'Basic Data'!$A:$A,'Basic Data'!$E:$E),"")</f>
        <v>3.846153846153845E-2</v>
      </c>
      <c r="K1170" s="102">
        <v>6130</v>
      </c>
      <c r="L1170" s="35" t="str">
        <f>IFERROR(_xlfn.XLOOKUP(Table6[[#This Row],[Error Code]],'Basic Data'!$AA:$AA,'Basic Data'!$AB:$AB),"Incorrect Error Code")</f>
        <v>Yaw speed high</v>
      </c>
      <c r="M1170" s="35" t="s">
        <v>291</v>
      </c>
      <c r="N1170" s="475"/>
      <c r="O1170" s="476">
        <v>0.63541666666666663</v>
      </c>
      <c r="P1170" s="476">
        <v>0.63541666666666663</v>
      </c>
      <c r="Q1170" s="477">
        <v>0.64027777777777772</v>
      </c>
      <c r="R1170" s="472">
        <f>IF(Table6[[#This Row],[Work Start TimeStamp]]="","",(Table6[[#This Row],[Work Start TimeStamp]]-Table6[[#This Row],[Fault Start TimeStamp]])*24)</f>
        <v>0</v>
      </c>
      <c r="S1170" s="472">
        <f>(Table6[[#This Row],[Fault Clearance time]]-Table6[[#This Row],[Work Start TimeStamp]])*24</f>
        <v>0.11666666666666625</v>
      </c>
      <c r="T1170" s="472">
        <f>(Table6[[#This Row],[Fault Clearance time]]-Table6[[#This Row],[Fault Start TimeStamp]])*24</f>
        <v>0.11666666666666625</v>
      </c>
      <c r="U1170" s="35" t="s">
        <v>1935</v>
      </c>
      <c r="V1170" s="102" t="s">
        <v>293</v>
      </c>
      <c r="W1170" s="478">
        <f>IFERROR(Table6[[#This Row],[Breakdown Time]]*Table6[[#This Row],[Plant Equivalent Weightage]],"")</f>
        <v>4.4871794871794695E-3</v>
      </c>
      <c r="X1170" s="473" t="s">
        <v>294</v>
      </c>
      <c r="Y1170" s="474" t="s">
        <v>327</v>
      </c>
      <c r="Z1170" s="102">
        <v>34595</v>
      </c>
      <c r="AA1170" s="468">
        <f>(Table6[[#This Row],[Paired WTG Generation for loss calculation]]/24)*Table6[[#This Row],[Breakdown Time]]</f>
        <v>168.17013888888829</v>
      </c>
      <c r="AB1170" s="102"/>
      <c r="AC1170" s="35"/>
      <c r="AD1170" s="35"/>
    </row>
    <row r="1171" spans="1:30">
      <c r="A1171" s="102">
        <f t="shared" si="19"/>
        <v>1170</v>
      </c>
      <c r="B1171" s="468">
        <f>YEAR(Table6[[#This Row],[Date]])+IF(MONTH(Table6[[#This Row],[Date]])&gt;=4,1,0)</f>
        <v>2026</v>
      </c>
      <c r="C1171" s="102">
        <f>YEAR(Table6[[#This Row],[Date]])</f>
        <v>2025</v>
      </c>
      <c r="D1171" s="102" t="s">
        <v>1992</v>
      </c>
      <c r="E1171" s="469">
        <f>Table6[[#This Row],[Date]]-DAY(Table6[[#This Row],[Date]])+1</f>
        <v>45809</v>
      </c>
      <c r="F1171" s="470">
        <v>45821</v>
      </c>
      <c r="G1171" s="35" t="s">
        <v>90</v>
      </c>
      <c r="H1171" s="35" t="str">
        <f>IFERROR(_xlfn.XLOOKUP(Table6[[#This Row],[Affected WTG]],'Basic Data'!$A:$A,'Basic Data'!$B:$B),"")</f>
        <v>TQGXIIPL</v>
      </c>
      <c r="I1171" s="35" t="str">
        <f>IFERROR(_xlfn.XLOOKUP(Table6[[#This Row],[Affected WTG]],'Basic Data'!$A:$A,'Basic Data'!$C:$C),"")</f>
        <v>GEDA</v>
      </c>
      <c r="J1171" s="471">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291</v>
      </c>
      <c r="N1171" s="475"/>
      <c r="O1171" s="476">
        <v>9.166666666666666E-2</v>
      </c>
      <c r="P1171" s="476">
        <v>9.166666666666666E-2</v>
      </c>
      <c r="Q1171" s="477">
        <v>0.10208333333333333</v>
      </c>
      <c r="R1171" s="472">
        <f>IF(Table6[[#This Row],[Work Start TimeStamp]]="","",(Table6[[#This Row],[Work Start TimeStamp]]-Table6[[#This Row],[Fault Start TimeStamp]])*24)</f>
        <v>0</v>
      </c>
      <c r="S1171" s="472">
        <f>(Table6[[#This Row],[Fault Clearance time]]-Table6[[#This Row],[Work Start TimeStamp]])*24</f>
        <v>0.25000000000000011</v>
      </c>
      <c r="T1171" s="472">
        <f>(Table6[[#This Row],[Fault Clearance time]]-Table6[[#This Row],[Fault Start TimeStamp]])*24</f>
        <v>0.25000000000000011</v>
      </c>
      <c r="U1171" s="35" t="s">
        <v>1935</v>
      </c>
      <c r="V1171" s="102" t="s">
        <v>293</v>
      </c>
      <c r="W1171" s="478">
        <f>IFERROR(Table6[[#This Row],[Breakdown Time]]*Table6[[#This Row],[Plant Equivalent Weightage]],"")</f>
        <v>9.6153846153846159E-3</v>
      </c>
      <c r="X1171" s="473" t="s">
        <v>294</v>
      </c>
      <c r="Y1171" s="474" t="s">
        <v>339</v>
      </c>
      <c r="Z1171" s="102">
        <v>38130</v>
      </c>
      <c r="AA1171" s="468">
        <f>(Table6[[#This Row],[Paired WTG Generation for loss calculation]]/24)*Table6[[#This Row],[Breakdown Time]]</f>
        <v>397.18750000000017</v>
      </c>
      <c r="AB1171" s="102"/>
      <c r="AC1171" s="35"/>
      <c r="AD1171" s="35"/>
    </row>
    <row r="1172" spans="1:30">
      <c r="A1172" s="102">
        <f t="shared" si="19"/>
        <v>1171</v>
      </c>
      <c r="B1172" s="468">
        <f>YEAR(Table6[[#This Row],[Date]])+IF(MONTH(Table6[[#This Row],[Date]])&gt;=4,1,0)</f>
        <v>2026</v>
      </c>
      <c r="C1172" s="102">
        <f>YEAR(Table6[[#This Row],[Date]])</f>
        <v>2025</v>
      </c>
      <c r="D1172" s="102" t="s">
        <v>1992</v>
      </c>
      <c r="E1172" s="469">
        <f>Table6[[#This Row],[Date]]-DAY(Table6[[#This Row],[Date]])+1</f>
        <v>45809</v>
      </c>
      <c r="F1172" s="470">
        <v>45822</v>
      </c>
      <c r="G1172" s="35" t="s">
        <v>75</v>
      </c>
      <c r="H1172" s="35" t="str">
        <f>IFERROR(_xlfn.XLOOKUP(Table6[[#This Row],[Affected WTG]],'Basic Data'!$A:$A,'Basic Data'!$B:$B),"")</f>
        <v>TQGXIIPL</v>
      </c>
      <c r="I1172" s="35" t="str">
        <f>IFERROR(_xlfn.XLOOKUP(Table6[[#This Row],[Affected WTG]],'Basic Data'!$A:$A,'Basic Data'!$C:$C),"")</f>
        <v>GEDA</v>
      </c>
      <c r="J1172" s="471">
        <f>IFERROR(_xlfn.XLOOKUP(Table6[[#This Row],[Affected WTG]],'Basic Data'!$A:$A,'Basic Data'!$E:$E),"")</f>
        <v>3.846153846153845E-2</v>
      </c>
      <c r="K1172" s="102">
        <v>6130</v>
      </c>
      <c r="L1172" s="35" t="str">
        <f>IFERROR(_xlfn.XLOOKUP(Table6[[#This Row],[Error Code]],'Basic Data'!$AA:$AA,'Basic Data'!$AB:$AB),"Incorrect Error Code")</f>
        <v>Yaw speed high</v>
      </c>
      <c r="M1172" s="35" t="s">
        <v>291</v>
      </c>
      <c r="N1172" s="475"/>
      <c r="O1172" s="476">
        <v>0.72291666666666665</v>
      </c>
      <c r="P1172" s="476">
        <v>0.72291666666666665</v>
      </c>
      <c r="Q1172" s="477">
        <v>0.72499999999999998</v>
      </c>
      <c r="R1172" s="472">
        <f>IF(Table6[[#This Row],[Work Start TimeStamp]]="","",(Table6[[#This Row],[Work Start TimeStamp]]-Table6[[#This Row],[Fault Start TimeStamp]])*24)</f>
        <v>0</v>
      </c>
      <c r="S1172" s="472">
        <f>(Table6[[#This Row],[Fault Clearance time]]-Table6[[#This Row],[Work Start TimeStamp]])*24</f>
        <v>4.9999999999999822E-2</v>
      </c>
      <c r="T1172" s="472">
        <f>(Table6[[#This Row],[Fault Clearance time]]-Table6[[#This Row],[Fault Start TimeStamp]])*24</f>
        <v>4.9999999999999822E-2</v>
      </c>
      <c r="U1172" s="35" t="s">
        <v>1924</v>
      </c>
      <c r="V1172" s="102" t="s">
        <v>293</v>
      </c>
      <c r="W1172" s="478">
        <f>IFERROR(Table6[[#This Row],[Breakdown Time]]*Table6[[#This Row],[Plant Equivalent Weightage]],"")</f>
        <v>1.9230769230769156E-3</v>
      </c>
      <c r="X1172" s="473" t="s">
        <v>294</v>
      </c>
      <c r="Y1172" s="474" t="s">
        <v>318</v>
      </c>
      <c r="Z1172" s="102">
        <v>21920</v>
      </c>
      <c r="AA1172" s="468">
        <f>(Table6[[#This Row],[Paired WTG Generation for loss calculation]]/24)*Table6[[#This Row],[Breakdown Time]]</f>
        <v>45.666666666666508</v>
      </c>
      <c r="AB1172" s="102"/>
      <c r="AC1172" s="35"/>
      <c r="AD1172" s="35"/>
    </row>
    <row r="1173" spans="1:30">
      <c r="A1173" s="102">
        <f t="shared" si="19"/>
        <v>1172</v>
      </c>
      <c r="B1173" s="468">
        <f>YEAR(Table6[[#This Row],[Date]])+IF(MONTH(Table6[[#This Row],[Date]])&gt;=4,1,0)</f>
        <v>2026</v>
      </c>
      <c r="C1173" s="102">
        <f>YEAR(Table6[[#This Row],[Date]])</f>
        <v>2025</v>
      </c>
      <c r="D1173" s="102" t="s">
        <v>1992</v>
      </c>
      <c r="E1173" s="469">
        <f>Table6[[#This Row],[Date]]-DAY(Table6[[#This Row],[Date]])+1</f>
        <v>45809</v>
      </c>
      <c r="F1173" s="470">
        <v>45822</v>
      </c>
      <c r="G1173" s="35" t="s">
        <v>76</v>
      </c>
      <c r="H1173" s="35" t="str">
        <f>IFERROR(_xlfn.XLOOKUP(Table6[[#This Row],[Affected WTG]],'Basic Data'!$A:$A,'Basic Data'!$B:$B),"")</f>
        <v>TQGXIIPL</v>
      </c>
      <c r="I1173" s="35" t="str">
        <f>IFERROR(_xlfn.XLOOKUP(Table6[[#This Row],[Affected WTG]],'Basic Data'!$A:$A,'Basic Data'!$C:$C),"")</f>
        <v>GEDA</v>
      </c>
      <c r="J1173" s="471">
        <f>IFERROR(_xlfn.XLOOKUP(Table6[[#This Row],[Affected WTG]],'Basic Data'!$A:$A,'Basic Data'!$E:$E),"")</f>
        <v>3.846153846153845E-2</v>
      </c>
      <c r="K1173" s="102">
        <v>55</v>
      </c>
      <c r="L1173" s="35" t="str">
        <f>IFERROR(_xlfn.XLOOKUP(Table6[[#This Row],[Error Code]],'Basic Data'!$AA:$AA,'Basic Data'!$AB:$AB),"Incorrect Error Code")</f>
        <v>WTG shut down</v>
      </c>
      <c r="M1173" s="35" t="s">
        <v>291</v>
      </c>
      <c r="N1173" s="475"/>
      <c r="O1173" s="476">
        <v>0.69374999999999998</v>
      </c>
      <c r="P1173" s="476">
        <v>0.69374999999999998</v>
      </c>
      <c r="Q1173" s="477">
        <v>0.81944444444444442</v>
      </c>
      <c r="R1173" s="472">
        <f>IF(Table6[[#This Row],[Work Start TimeStamp]]="","",(Table6[[#This Row],[Work Start TimeStamp]]-Table6[[#This Row],[Fault Start TimeStamp]])*24)</f>
        <v>0</v>
      </c>
      <c r="S1173" s="472">
        <f>(Table6[[#This Row],[Fault Clearance time]]-Table6[[#This Row],[Work Start TimeStamp]])*24</f>
        <v>3.0166666666666666</v>
      </c>
      <c r="T1173" s="472">
        <f>(Table6[[#This Row],[Fault Clearance time]]-Table6[[#This Row],[Fault Start TimeStamp]])*24</f>
        <v>3.0166666666666666</v>
      </c>
      <c r="U1173" s="35" t="s">
        <v>1966</v>
      </c>
      <c r="V1173" s="102" t="s">
        <v>293</v>
      </c>
      <c r="W1173" s="478">
        <f>IFERROR(Table6[[#This Row],[Breakdown Time]]*Table6[[#This Row],[Plant Equivalent Weightage]],"")</f>
        <v>0.11602564102564099</v>
      </c>
      <c r="X1173" s="473" t="s">
        <v>290</v>
      </c>
      <c r="Y1173" s="474" t="s">
        <v>309</v>
      </c>
      <c r="Z1173" s="102">
        <v>17985</v>
      </c>
      <c r="AA1173" s="468">
        <f>(Table6[[#This Row],[Paired WTG Generation for loss calculation]]/24)*Table6[[#This Row],[Breakdown Time]]</f>
        <v>2260.6145833333335</v>
      </c>
      <c r="AB1173" s="102"/>
      <c r="AC1173" s="35"/>
      <c r="AD1173" s="35"/>
    </row>
    <row r="1174" spans="1:30">
      <c r="A1174" s="102">
        <f t="shared" si="19"/>
        <v>1173</v>
      </c>
      <c r="B1174" s="468">
        <f>YEAR(Table6[[#This Row],[Date]])+IF(MONTH(Table6[[#This Row],[Date]])&gt;=4,1,0)</f>
        <v>2026</v>
      </c>
      <c r="C1174" s="102">
        <f>YEAR(Table6[[#This Row],[Date]])</f>
        <v>2025</v>
      </c>
      <c r="D1174" s="102" t="s">
        <v>1992</v>
      </c>
      <c r="E1174" s="469">
        <f>Table6[[#This Row],[Date]]-DAY(Table6[[#This Row],[Date]])+1</f>
        <v>45809</v>
      </c>
      <c r="F1174" s="470">
        <v>45822</v>
      </c>
      <c r="G1174" s="35" t="s">
        <v>81</v>
      </c>
      <c r="H1174" s="35" t="str">
        <f>IFERROR(_xlfn.XLOOKUP(Table6[[#This Row],[Affected WTG]],'Basic Data'!$A:$A,'Basic Data'!$B:$B),"")</f>
        <v>TQGXIIPL</v>
      </c>
      <c r="I1174" s="35" t="str">
        <f>IFERROR(_xlfn.XLOOKUP(Table6[[#This Row],[Affected WTG]],'Basic Data'!$A:$A,'Basic Data'!$C:$C),"")</f>
        <v>GEDA</v>
      </c>
      <c r="J1174" s="471">
        <f>IFERROR(_xlfn.XLOOKUP(Table6[[#This Row],[Affected WTG]],'Basic Data'!$A:$A,'Basic Data'!$E:$E),"")</f>
        <v>3.846153846153845E-2</v>
      </c>
      <c r="K1174" s="102">
        <v>6130</v>
      </c>
      <c r="L1174" s="35" t="str">
        <f>IFERROR(_xlfn.XLOOKUP(Table6[[#This Row],[Error Code]],'Basic Data'!$AA:$AA,'Basic Data'!$AB:$AB),"Incorrect Error Code")</f>
        <v>Yaw speed high</v>
      </c>
      <c r="M1174" s="35" t="s">
        <v>292</v>
      </c>
      <c r="N1174" s="475"/>
      <c r="O1174" s="476">
        <v>0.97777777777777775</v>
      </c>
      <c r="P1174" s="476">
        <v>0.97777777777777775</v>
      </c>
      <c r="Q1174" s="477">
        <v>0.9819444444444444</v>
      </c>
      <c r="R1174" s="472">
        <f>IF(Table6[[#This Row],[Work Start TimeStamp]]="","",(Table6[[#This Row],[Work Start TimeStamp]]-Table6[[#This Row],[Fault Start TimeStamp]])*24)</f>
        <v>0</v>
      </c>
      <c r="S1174" s="472">
        <f>(Table6[[#This Row],[Fault Clearance time]]-Table6[[#This Row],[Work Start TimeStamp]])*24</f>
        <v>9.9999999999999645E-2</v>
      </c>
      <c r="T1174" s="472">
        <f>(Table6[[#This Row],[Fault Clearance time]]-Table6[[#This Row],[Fault Start TimeStamp]])*24</f>
        <v>9.9999999999999645E-2</v>
      </c>
      <c r="U1174" s="35" t="s">
        <v>336</v>
      </c>
      <c r="V1174" s="102" t="s">
        <v>293</v>
      </c>
      <c r="W1174" s="478">
        <f>IFERROR(Table6[[#This Row],[Breakdown Time]]*Table6[[#This Row],[Plant Equivalent Weightage]],"")</f>
        <v>3.8461538461538312E-3</v>
      </c>
      <c r="X1174" s="473" t="s">
        <v>294</v>
      </c>
      <c r="Y1174" s="474" t="s">
        <v>321</v>
      </c>
      <c r="Z1174" s="102">
        <v>14946</v>
      </c>
      <c r="AA1174" s="468">
        <f>(Table6[[#This Row],[Paired WTG Generation for loss calculation]]/24)*Table6[[#This Row],[Breakdown Time]]</f>
        <v>62.274999999999778</v>
      </c>
      <c r="AB1174" s="102"/>
      <c r="AC1174" s="35"/>
      <c r="AD1174" s="35"/>
    </row>
    <row r="1175" spans="1:30">
      <c r="A1175" s="102">
        <f t="shared" si="19"/>
        <v>1174</v>
      </c>
      <c r="B1175" s="468">
        <f>YEAR(Table6[[#This Row],[Date]])+IF(MONTH(Table6[[#This Row],[Date]])&gt;=4,1,0)</f>
        <v>2026</v>
      </c>
      <c r="C1175" s="102">
        <f>YEAR(Table6[[#This Row],[Date]])</f>
        <v>2025</v>
      </c>
      <c r="D1175" s="102" t="s">
        <v>1992</v>
      </c>
      <c r="E1175" s="469">
        <f>Table6[[#This Row],[Date]]-DAY(Table6[[#This Row],[Date]])+1</f>
        <v>45809</v>
      </c>
      <c r="F1175" s="470">
        <v>45822</v>
      </c>
      <c r="G1175" s="35" t="s">
        <v>88</v>
      </c>
      <c r="H1175" s="35" t="str">
        <f>IFERROR(_xlfn.XLOOKUP(Table6[[#This Row],[Affected WTG]],'Basic Data'!$A:$A,'Basic Data'!$B:$B),"")</f>
        <v>TQGXIIPL</v>
      </c>
      <c r="I1175" s="35" t="str">
        <f>IFERROR(_xlfn.XLOOKUP(Table6[[#This Row],[Affected WTG]],'Basic Data'!$A:$A,'Basic Data'!$C:$C),"")</f>
        <v>GEDA</v>
      </c>
      <c r="J1175" s="471">
        <f>IFERROR(_xlfn.XLOOKUP(Table6[[#This Row],[Affected WTG]],'Basic Data'!$A:$A,'Basic Data'!$E:$E),"")</f>
        <v>3.846153846153845E-2</v>
      </c>
      <c r="K1175" s="102">
        <v>55</v>
      </c>
      <c r="L1175" s="35" t="str">
        <f>IFERROR(_xlfn.XLOOKUP(Table6[[#This Row],[Error Code]],'Basic Data'!$AA:$AA,'Basic Data'!$AB:$AB),"Incorrect Error Code")</f>
        <v>WTG shut down</v>
      </c>
      <c r="M1175" s="35" t="s">
        <v>291</v>
      </c>
      <c r="N1175" s="475"/>
      <c r="O1175" s="476">
        <v>0.44374999999999998</v>
      </c>
      <c r="P1175" s="476">
        <v>0.44374999999999998</v>
      </c>
      <c r="Q1175" s="477">
        <v>0.76249999999999996</v>
      </c>
      <c r="R1175" s="472">
        <f>IF(Table6[[#This Row],[Work Start TimeStamp]]="","",(Table6[[#This Row],[Work Start TimeStamp]]-Table6[[#This Row],[Fault Start TimeStamp]])*24)</f>
        <v>0</v>
      </c>
      <c r="S1175" s="472">
        <f>(Table6[[#This Row],[Fault Clearance time]]-Table6[[#This Row],[Work Start TimeStamp]])*24</f>
        <v>7.6499999999999995</v>
      </c>
      <c r="T1175" s="472">
        <f>(Table6[[#This Row],[Fault Clearance time]]-Table6[[#This Row],[Fault Start TimeStamp]])*24</f>
        <v>7.6499999999999995</v>
      </c>
      <c r="U1175" s="35" t="s">
        <v>1967</v>
      </c>
      <c r="V1175" s="102" t="s">
        <v>293</v>
      </c>
      <c r="W1175" s="478">
        <f>IFERROR(Table6[[#This Row],[Breakdown Time]]*Table6[[#This Row],[Plant Equivalent Weightage]],"")</f>
        <v>0.29423076923076913</v>
      </c>
      <c r="X1175" s="473" t="s">
        <v>290</v>
      </c>
      <c r="Y1175" s="474" t="s">
        <v>323</v>
      </c>
      <c r="Z1175" s="102">
        <v>16628</v>
      </c>
      <c r="AA1175" s="468">
        <f>(Table6[[#This Row],[Paired WTG Generation for loss calculation]]/24)*Table6[[#This Row],[Breakdown Time]]</f>
        <v>5300.1750000000002</v>
      </c>
      <c r="AB1175" s="102"/>
      <c r="AC1175" s="35"/>
      <c r="AD1175" s="35"/>
    </row>
    <row r="1176" spans="1:30">
      <c r="A1176" s="102">
        <f t="shared" si="19"/>
        <v>1175</v>
      </c>
      <c r="B1176" s="468">
        <f>YEAR(Table6[[#This Row],[Date]])+IF(MONTH(Table6[[#This Row],[Date]])&gt;=4,1,0)</f>
        <v>2026</v>
      </c>
      <c r="C1176" s="102">
        <f>YEAR(Table6[[#This Row],[Date]])</f>
        <v>2025</v>
      </c>
      <c r="D1176" s="102" t="s">
        <v>1992</v>
      </c>
      <c r="E1176" s="469">
        <f>Table6[[#This Row],[Date]]-DAY(Table6[[#This Row],[Date]])+1</f>
        <v>45809</v>
      </c>
      <c r="F1176" s="470">
        <v>45822</v>
      </c>
      <c r="G1176" s="35" t="s">
        <v>90</v>
      </c>
      <c r="H1176" s="35" t="str">
        <f>IFERROR(_xlfn.XLOOKUP(Table6[[#This Row],[Affected WTG]],'Basic Data'!$A:$A,'Basic Data'!$B:$B),"")</f>
        <v>TQGXIIPL</v>
      </c>
      <c r="I1176" s="35" t="str">
        <f>IFERROR(_xlfn.XLOOKUP(Table6[[#This Row],[Affected WTG]],'Basic Data'!$A:$A,'Basic Data'!$C:$C),"")</f>
        <v>GEDA</v>
      </c>
      <c r="J1176" s="471">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291</v>
      </c>
      <c r="N1176" s="475"/>
      <c r="O1176" s="476">
        <v>0.46111111111111114</v>
      </c>
      <c r="P1176" s="476">
        <v>0.46111111111111114</v>
      </c>
      <c r="Q1176" s="477">
        <v>0.46319444444444446</v>
      </c>
      <c r="R1176" s="472">
        <f>IF(Table6[[#This Row],[Work Start TimeStamp]]="","",(Table6[[#This Row],[Work Start TimeStamp]]-Table6[[#This Row],[Fault Start TimeStamp]])*24)</f>
        <v>0</v>
      </c>
      <c r="S1176" s="472">
        <f>(Table6[[#This Row],[Fault Clearance time]]-Table6[[#This Row],[Work Start TimeStamp]])*24</f>
        <v>4.9999999999999822E-2</v>
      </c>
      <c r="T1176" s="472">
        <f>(Table6[[#This Row],[Fault Clearance time]]-Table6[[#This Row],[Fault Start TimeStamp]])*24</f>
        <v>4.9999999999999822E-2</v>
      </c>
      <c r="U1176" s="35" t="s">
        <v>1924</v>
      </c>
      <c r="V1176" s="102" t="s">
        <v>293</v>
      </c>
      <c r="W1176" s="478">
        <f>IFERROR(Table6[[#This Row],[Breakdown Time]]*Table6[[#This Row],[Plant Equivalent Weightage]],"")</f>
        <v>1.9230769230769156E-3</v>
      </c>
      <c r="X1176" s="473" t="s">
        <v>294</v>
      </c>
      <c r="Y1176" s="474" t="s">
        <v>339</v>
      </c>
      <c r="Z1176" s="102">
        <v>18674</v>
      </c>
      <c r="AA1176" s="468">
        <f>(Table6[[#This Row],[Paired WTG Generation for loss calculation]]/24)*Table6[[#This Row],[Breakdown Time]]</f>
        <v>38.904166666666534</v>
      </c>
      <c r="AB1176" s="102"/>
      <c r="AC1176" s="35"/>
      <c r="AD1176" s="35"/>
    </row>
    <row r="1177" spans="1:30">
      <c r="A1177" s="102">
        <f t="shared" si="19"/>
        <v>1176</v>
      </c>
      <c r="B1177" s="468">
        <f>YEAR(Table6[[#This Row],[Date]])+IF(MONTH(Table6[[#This Row],[Date]])&gt;=4,1,0)</f>
        <v>2026</v>
      </c>
      <c r="C1177" s="102">
        <f>YEAR(Table6[[#This Row],[Date]])</f>
        <v>2025</v>
      </c>
      <c r="D1177" s="102" t="s">
        <v>1992</v>
      </c>
      <c r="E1177" s="469">
        <f>Table6[[#This Row],[Date]]-DAY(Table6[[#This Row],[Date]])+1</f>
        <v>45809</v>
      </c>
      <c r="F1177" s="470">
        <v>45822</v>
      </c>
      <c r="G1177" s="35" t="s">
        <v>93</v>
      </c>
      <c r="H1177" s="35" t="str">
        <f>IFERROR(_xlfn.XLOOKUP(Table6[[#This Row],[Affected WTG]],'Basic Data'!$A:$A,'Basic Data'!$B:$B),"")</f>
        <v>TQGXIIPL</v>
      </c>
      <c r="I1177" s="35" t="str">
        <f>IFERROR(_xlfn.XLOOKUP(Table6[[#This Row],[Affected WTG]],'Basic Data'!$A:$A,'Basic Data'!$C:$C),"")</f>
        <v>GEDA</v>
      </c>
      <c r="J1177" s="471">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291</v>
      </c>
      <c r="N1177" s="475"/>
      <c r="O1177" s="476">
        <v>0.48194444444444445</v>
      </c>
      <c r="P1177" s="476">
        <v>0.48194444444444445</v>
      </c>
      <c r="Q1177" s="477">
        <v>0.48333333333333334</v>
      </c>
      <c r="R1177" s="472">
        <f>IF(Table6[[#This Row],[Work Start TimeStamp]]="","",(Table6[[#This Row],[Work Start TimeStamp]]-Table6[[#This Row],[Fault Start TimeStamp]])*24)</f>
        <v>0</v>
      </c>
      <c r="S1177" s="472">
        <f>(Table6[[#This Row],[Fault Clearance time]]-Table6[[#This Row],[Work Start TimeStamp]])*24</f>
        <v>3.3333333333333215E-2</v>
      </c>
      <c r="T1177" s="472">
        <f>(Table6[[#This Row],[Fault Clearance time]]-Table6[[#This Row],[Fault Start TimeStamp]])*24</f>
        <v>3.3333333333333215E-2</v>
      </c>
      <c r="U1177" s="35" t="s">
        <v>1924</v>
      </c>
      <c r="V1177" s="102" t="s">
        <v>293</v>
      </c>
      <c r="W1177" s="478">
        <f>IFERROR(Table6[[#This Row],[Breakdown Time]]*Table6[[#This Row],[Plant Equivalent Weightage]],"")</f>
        <v>1.2820512820512771E-3</v>
      </c>
      <c r="X1177" s="473" t="s">
        <v>294</v>
      </c>
      <c r="Y1177" s="474" t="s">
        <v>314</v>
      </c>
      <c r="Z1177" s="102">
        <v>16943</v>
      </c>
      <c r="AA1177" s="468">
        <f>(Table6[[#This Row],[Paired WTG Generation for loss calculation]]/24)*Table6[[#This Row],[Breakdown Time]]</f>
        <v>23.531944444444363</v>
      </c>
      <c r="AB1177" s="102"/>
      <c r="AC1177" s="35"/>
      <c r="AD1177" s="35"/>
    </row>
    <row r="1178" spans="1:30">
      <c r="A1178" s="102">
        <f t="shared" si="19"/>
        <v>1177</v>
      </c>
      <c r="B1178" s="468">
        <f>YEAR(Table6[[#This Row],[Date]])+IF(MONTH(Table6[[#This Row],[Date]])&gt;=4,1,0)</f>
        <v>2026</v>
      </c>
      <c r="C1178" s="102">
        <f>YEAR(Table6[[#This Row],[Date]])</f>
        <v>2025</v>
      </c>
      <c r="D1178" s="102" t="s">
        <v>1992</v>
      </c>
      <c r="E1178" s="469">
        <f>Table6[[#This Row],[Date]]-DAY(Table6[[#This Row],[Date]])+1</f>
        <v>45809</v>
      </c>
      <c r="F1178" s="470">
        <v>45822</v>
      </c>
      <c r="G1178" s="35" t="s">
        <v>93</v>
      </c>
      <c r="H1178" s="35" t="str">
        <f>IFERROR(_xlfn.XLOOKUP(Table6[[#This Row],[Affected WTG]],'Basic Data'!$A:$A,'Basic Data'!$B:$B),"")</f>
        <v>TQGXIIPL</v>
      </c>
      <c r="I1178" s="35" t="str">
        <f>IFERROR(_xlfn.XLOOKUP(Table6[[#This Row],[Affected WTG]],'Basic Data'!$A:$A,'Basic Data'!$C:$C),"")</f>
        <v>GEDA</v>
      </c>
      <c r="J1178" s="471">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291</v>
      </c>
      <c r="N1178" s="475"/>
      <c r="O1178" s="476">
        <v>0.84027777777777779</v>
      </c>
      <c r="P1178" s="476">
        <v>0.84027777777777779</v>
      </c>
      <c r="Q1178" s="477">
        <v>0.85277777777777775</v>
      </c>
      <c r="R1178" s="472">
        <f>IF(Table6[[#This Row],[Work Start TimeStamp]]="","",(Table6[[#This Row],[Work Start TimeStamp]]-Table6[[#This Row],[Fault Start TimeStamp]])*24)</f>
        <v>0</v>
      </c>
      <c r="S1178" s="472">
        <f>(Table6[[#This Row],[Fault Clearance time]]-Table6[[#This Row],[Work Start TimeStamp]])*24</f>
        <v>0.29999999999999893</v>
      </c>
      <c r="T1178" s="472">
        <f>(Table6[[#This Row],[Fault Clearance time]]-Table6[[#This Row],[Fault Start TimeStamp]])*24</f>
        <v>0.29999999999999893</v>
      </c>
      <c r="U1178" s="35" t="s">
        <v>1935</v>
      </c>
      <c r="V1178" s="102" t="s">
        <v>293</v>
      </c>
      <c r="W1178" s="478">
        <f>IFERROR(Table6[[#This Row],[Breakdown Time]]*Table6[[#This Row],[Plant Equivalent Weightage]],"")</f>
        <v>1.1538461538461494E-2</v>
      </c>
      <c r="X1178" s="473" t="s">
        <v>294</v>
      </c>
      <c r="Y1178" s="474" t="s">
        <v>314</v>
      </c>
      <c r="Z1178" s="102">
        <v>16943</v>
      </c>
      <c r="AA1178" s="468">
        <f>(Table6[[#This Row],[Paired WTG Generation for loss calculation]]/24)*Table6[[#This Row],[Breakdown Time]]</f>
        <v>211.78749999999926</v>
      </c>
      <c r="AB1178" s="102"/>
      <c r="AC1178" s="35"/>
      <c r="AD1178" s="35"/>
    </row>
    <row r="1179" spans="1:30">
      <c r="A1179" s="102">
        <f t="shared" si="19"/>
        <v>1178</v>
      </c>
      <c r="B1179" s="468">
        <f>YEAR(Table6[[#This Row],[Date]])+IF(MONTH(Table6[[#This Row],[Date]])&gt;=4,1,0)</f>
        <v>2026</v>
      </c>
      <c r="C1179" s="102">
        <f>YEAR(Table6[[#This Row],[Date]])</f>
        <v>2025</v>
      </c>
      <c r="D1179" s="102" t="s">
        <v>1992</v>
      </c>
      <c r="E1179" s="469">
        <f>Table6[[#This Row],[Date]]-DAY(Table6[[#This Row],[Date]])+1</f>
        <v>45809</v>
      </c>
      <c r="F1179" s="470">
        <v>45822</v>
      </c>
      <c r="G1179" s="35" t="s">
        <v>95</v>
      </c>
      <c r="H1179" s="35" t="str">
        <f>IFERROR(_xlfn.XLOOKUP(Table6[[#This Row],[Affected WTG]],'Basic Data'!$A:$A,'Basic Data'!$B:$B),"")</f>
        <v>TQGXIIPL</v>
      </c>
      <c r="I1179" s="35" t="str">
        <f>IFERROR(_xlfn.XLOOKUP(Table6[[#This Row],[Affected WTG]],'Basic Data'!$A:$A,'Basic Data'!$C:$C),"")</f>
        <v>GEDA</v>
      </c>
      <c r="J1179" s="471">
        <f>IFERROR(_xlfn.XLOOKUP(Table6[[#This Row],[Affected WTG]],'Basic Data'!$A:$A,'Basic Data'!$E:$E),"")</f>
        <v>3.846153846153845E-2</v>
      </c>
      <c r="K1179" s="102">
        <v>3500</v>
      </c>
      <c r="L1179" s="35" t="str">
        <f>IFERROR(_xlfn.XLOOKUP(Table6[[#This Row],[Error Code]],'Basic Data'!$AA:$AA,'Basic Data'!$AB:$AB),"Incorrect Error Code")</f>
        <v>Grid loss</v>
      </c>
      <c r="M1179" s="35" t="s">
        <v>298</v>
      </c>
      <c r="N1179" s="475"/>
      <c r="O1179" s="476">
        <v>0.80069444444444449</v>
      </c>
      <c r="P1179" s="476">
        <v>0.80069444444444449</v>
      </c>
      <c r="Q1179" s="477">
        <v>0.83263888888888893</v>
      </c>
      <c r="R1179" s="472">
        <f>IF(Table6[[#This Row],[Work Start TimeStamp]]="","",(Table6[[#This Row],[Work Start TimeStamp]]-Table6[[#This Row],[Fault Start TimeStamp]])*24)</f>
        <v>0</v>
      </c>
      <c r="S1179" s="472">
        <f>(Table6[[#This Row],[Fault Clearance time]]-Table6[[#This Row],[Work Start TimeStamp]])*24</f>
        <v>0.76666666666666661</v>
      </c>
      <c r="T1179" s="472">
        <f>(Table6[[#This Row],[Fault Clearance time]]-Table6[[#This Row],[Fault Start TimeStamp]])*24</f>
        <v>0.76666666666666661</v>
      </c>
      <c r="U1179" s="35" t="s">
        <v>1968</v>
      </c>
      <c r="V1179" s="102" t="s">
        <v>293</v>
      </c>
      <c r="W1179" s="478">
        <f>IFERROR(Table6[[#This Row],[Breakdown Time]]*Table6[[#This Row],[Plant Equivalent Weightage]],"")</f>
        <v>2.9487179487179476E-2</v>
      </c>
      <c r="X1179" s="473" t="s">
        <v>294</v>
      </c>
      <c r="Y1179" s="474" t="s">
        <v>319</v>
      </c>
      <c r="Z1179" s="102">
        <v>17769</v>
      </c>
      <c r="AA1179" s="468">
        <f>(Table6[[#This Row],[Paired WTG Generation for loss calculation]]/24)*Table6[[#This Row],[Breakdown Time]]</f>
        <v>567.62083333333328</v>
      </c>
      <c r="AB1179" s="102"/>
      <c r="AC1179" s="35"/>
      <c r="AD1179" s="35"/>
    </row>
    <row r="1180" spans="1:30">
      <c r="A1180" s="102">
        <f t="shared" si="19"/>
        <v>1179</v>
      </c>
      <c r="B1180" s="468">
        <f>YEAR(Table6[[#This Row],[Date]])+IF(MONTH(Table6[[#This Row],[Date]])&gt;=4,1,0)</f>
        <v>2026</v>
      </c>
      <c r="C1180" s="102">
        <f>YEAR(Table6[[#This Row],[Date]])</f>
        <v>2025</v>
      </c>
      <c r="D1180" s="102" t="s">
        <v>1992</v>
      </c>
      <c r="E1180" s="469">
        <f>Table6[[#This Row],[Date]]-DAY(Table6[[#This Row],[Date]])+1</f>
        <v>45809</v>
      </c>
      <c r="F1180" s="470">
        <v>45822</v>
      </c>
      <c r="G1180" s="35" t="s">
        <v>95</v>
      </c>
      <c r="H1180" s="35" t="str">
        <f>IFERROR(_xlfn.XLOOKUP(Table6[[#This Row],[Affected WTG]],'Basic Data'!$A:$A,'Basic Data'!$B:$B),"")</f>
        <v>TQGXIIPL</v>
      </c>
      <c r="I1180" s="35" t="str">
        <f>IFERROR(_xlfn.XLOOKUP(Table6[[#This Row],[Affected WTG]],'Basic Data'!$A:$A,'Basic Data'!$C:$C),"")</f>
        <v>GEDA</v>
      </c>
      <c r="J1180" s="471">
        <f>IFERROR(_xlfn.XLOOKUP(Table6[[#This Row],[Affected WTG]],'Basic Data'!$A:$A,'Basic Data'!$E:$E),"")</f>
        <v>3.846153846153845E-2</v>
      </c>
      <c r="K1180" s="102">
        <v>3500</v>
      </c>
      <c r="L1180" s="35" t="str">
        <f>IFERROR(_xlfn.XLOOKUP(Table6[[#This Row],[Error Code]],'Basic Data'!$AA:$AA,'Basic Data'!$AB:$AB),"Incorrect Error Code")</f>
        <v>Grid loss</v>
      </c>
      <c r="M1180" s="35" t="s">
        <v>298</v>
      </c>
      <c r="N1180" s="475"/>
      <c r="O1180" s="476">
        <v>0.84027777777777779</v>
      </c>
      <c r="P1180" s="476">
        <v>0.84027777777777779</v>
      </c>
      <c r="Q1180" s="477">
        <v>0.85763888888888884</v>
      </c>
      <c r="R1180" s="472">
        <f>IF(Table6[[#This Row],[Work Start TimeStamp]]="","",(Table6[[#This Row],[Work Start TimeStamp]]-Table6[[#This Row],[Fault Start TimeStamp]])*24)</f>
        <v>0</v>
      </c>
      <c r="S1180" s="472">
        <f>(Table6[[#This Row],[Fault Clearance time]]-Table6[[#This Row],[Work Start TimeStamp]])*24</f>
        <v>0.41666666666666519</v>
      </c>
      <c r="T1180" s="472">
        <f>(Table6[[#This Row],[Fault Clearance time]]-Table6[[#This Row],[Fault Start TimeStamp]])*24</f>
        <v>0.41666666666666519</v>
      </c>
      <c r="U1180" s="35" t="s">
        <v>1969</v>
      </c>
      <c r="V1180" s="102" t="s">
        <v>293</v>
      </c>
      <c r="W1180" s="478">
        <f>IFERROR(Table6[[#This Row],[Breakdown Time]]*Table6[[#This Row],[Plant Equivalent Weightage]],"")</f>
        <v>1.6025641025640965E-2</v>
      </c>
      <c r="X1180" s="473" t="s">
        <v>294</v>
      </c>
      <c r="Y1180" s="474" t="s">
        <v>319</v>
      </c>
      <c r="Z1180" s="102">
        <v>17769</v>
      </c>
      <c r="AA1180" s="468">
        <f>(Table6[[#This Row],[Paired WTG Generation for loss calculation]]/24)*Table6[[#This Row],[Breakdown Time]]</f>
        <v>308.48958333333223</v>
      </c>
      <c r="AB1180" s="102"/>
      <c r="AC1180" s="35"/>
      <c r="AD1180" s="35"/>
    </row>
    <row r="1181" spans="1:30">
      <c r="A1181" s="102">
        <f t="shared" si="19"/>
        <v>1180</v>
      </c>
      <c r="B1181" s="468">
        <f>YEAR(Table6[[#This Row],[Date]])+IF(MONTH(Table6[[#This Row],[Date]])&gt;=4,1,0)</f>
        <v>2026</v>
      </c>
      <c r="C1181" s="102">
        <f>YEAR(Table6[[#This Row],[Date]])</f>
        <v>2025</v>
      </c>
      <c r="D1181" s="102" t="s">
        <v>1992</v>
      </c>
      <c r="E1181" s="469">
        <f>Table6[[#This Row],[Date]]-DAY(Table6[[#This Row],[Date]])+1</f>
        <v>45809</v>
      </c>
      <c r="F1181" s="470">
        <v>45822</v>
      </c>
      <c r="G1181" s="35" t="s">
        <v>80</v>
      </c>
      <c r="H1181" s="35" t="str">
        <f>IFERROR(_xlfn.XLOOKUP(Table6[[#This Row],[Affected WTG]],'Basic Data'!$A:$A,'Basic Data'!$B:$B),"")</f>
        <v>TQGXIIPL</v>
      </c>
      <c r="I1181" s="35" t="str">
        <f>IFERROR(_xlfn.XLOOKUP(Table6[[#This Row],[Affected WTG]],'Basic Data'!$A:$A,'Basic Data'!$C:$C),"")</f>
        <v>GEDA</v>
      </c>
      <c r="J1181" s="471">
        <f>IFERROR(_xlfn.XLOOKUP(Table6[[#This Row],[Affected WTG]],'Basic Data'!$A:$A,'Basic Data'!$E:$E),"")</f>
        <v>3.846153846153845E-2</v>
      </c>
      <c r="K1181" s="102">
        <v>175</v>
      </c>
      <c r="L1181" s="35" t="str">
        <f>IFERROR(_xlfn.XLOOKUP(Table6[[#This Row],[Error Code]],'Basic Data'!$AA:$AA,'Basic Data'!$AB:$AB),"Incorrect Error Code")</f>
        <v>SLC error</v>
      </c>
      <c r="M1181" s="35" t="s">
        <v>291</v>
      </c>
      <c r="N1181" s="475"/>
      <c r="O1181" s="476">
        <v>0.91874999999999996</v>
      </c>
      <c r="P1181" s="476">
        <v>0.91874999999999996</v>
      </c>
      <c r="Q1181" s="477">
        <v>0.92222222222222228</v>
      </c>
      <c r="R1181" s="472">
        <f>IF(Table6[[#This Row],[Work Start TimeStamp]]="","",(Table6[[#This Row],[Work Start TimeStamp]]-Table6[[#This Row],[Fault Start TimeStamp]])*24)</f>
        <v>0</v>
      </c>
      <c r="S1181" s="472">
        <f>(Table6[[#This Row],[Fault Clearance time]]-Table6[[#This Row],[Work Start TimeStamp]])*24</f>
        <v>8.3333333333335702E-2</v>
      </c>
      <c r="T1181" s="472">
        <f>(Table6[[#This Row],[Fault Clearance time]]-Table6[[#This Row],[Fault Start TimeStamp]])*24</f>
        <v>8.3333333333335702E-2</v>
      </c>
      <c r="U1181" s="35" t="s">
        <v>1924</v>
      </c>
      <c r="V1181" s="102" t="s">
        <v>293</v>
      </c>
      <c r="W1181" s="478">
        <f>IFERROR(Table6[[#This Row],[Breakdown Time]]*Table6[[#This Row],[Plant Equivalent Weightage]],"")</f>
        <v>3.2051282051282952E-3</v>
      </c>
      <c r="X1181" s="473" t="s">
        <v>294</v>
      </c>
      <c r="Y1181" s="474" t="s">
        <v>317</v>
      </c>
      <c r="Z1181" s="102">
        <v>19604</v>
      </c>
      <c r="AA1181" s="468">
        <f>(Table6[[#This Row],[Paired WTG Generation for loss calculation]]/24)*Table6[[#This Row],[Breakdown Time]]</f>
        <v>68.069444444446376</v>
      </c>
      <c r="AB1181" s="102"/>
      <c r="AC1181" s="35"/>
      <c r="AD1181" s="35"/>
    </row>
    <row r="1182" spans="1:30">
      <c r="A1182" s="102">
        <f t="shared" si="19"/>
        <v>1181</v>
      </c>
      <c r="B1182" s="468">
        <f>YEAR(Table6[[#This Row],[Date]])+IF(MONTH(Table6[[#This Row],[Date]])&gt;=4,1,0)</f>
        <v>2026</v>
      </c>
      <c r="C1182" s="102">
        <f>YEAR(Table6[[#This Row],[Date]])</f>
        <v>2025</v>
      </c>
      <c r="D1182" s="102" t="s">
        <v>1992</v>
      </c>
      <c r="E1182" s="469">
        <f>Table6[[#This Row],[Date]]-DAY(Table6[[#This Row],[Date]])+1</f>
        <v>45809</v>
      </c>
      <c r="F1182" s="470">
        <v>45822</v>
      </c>
      <c r="G1182" s="35" t="s">
        <v>99</v>
      </c>
      <c r="H1182" s="35" t="str">
        <f>IFERROR(_xlfn.XLOOKUP(Table6[[#This Row],[Affected WTG]],'Basic Data'!$A:$A,'Basic Data'!$B:$B),"")</f>
        <v>TQGXIIPL</v>
      </c>
      <c r="I1182" s="35" t="str">
        <f>IFERROR(_xlfn.XLOOKUP(Table6[[#This Row],[Affected WTG]],'Basic Data'!$A:$A,'Basic Data'!$C:$C),"")</f>
        <v>GEDA</v>
      </c>
      <c r="J1182" s="471">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291</v>
      </c>
      <c r="N1182" s="475"/>
      <c r="O1182" s="476">
        <v>0.84027777777777779</v>
      </c>
      <c r="P1182" s="476">
        <v>0.84027777777777779</v>
      </c>
      <c r="Q1182" s="477">
        <v>0.85416666666666663</v>
      </c>
      <c r="R1182" s="472">
        <f>IF(Table6[[#This Row],[Work Start TimeStamp]]="","",(Table6[[#This Row],[Work Start TimeStamp]]-Table6[[#This Row],[Fault Start TimeStamp]])*24)</f>
        <v>0</v>
      </c>
      <c r="S1182" s="472">
        <f>(Table6[[#This Row],[Fault Clearance time]]-Table6[[#This Row],[Work Start TimeStamp]])*24</f>
        <v>0.33333333333333215</v>
      </c>
      <c r="T1182" s="472">
        <f>(Table6[[#This Row],[Fault Clearance time]]-Table6[[#This Row],[Fault Start TimeStamp]])*24</f>
        <v>0.33333333333333215</v>
      </c>
      <c r="U1182" s="35" t="s">
        <v>1935</v>
      </c>
      <c r="V1182" s="102" t="s">
        <v>293</v>
      </c>
      <c r="W1182" s="478">
        <f>IFERROR(Table6[[#This Row],[Breakdown Time]]*Table6[[#This Row],[Plant Equivalent Weightage]],"")</f>
        <v>1.2820512820512771E-2</v>
      </c>
      <c r="X1182" s="473" t="s">
        <v>294</v>
      </c>
      <c r="Y1182" s="474" t="s">
        <v>315</v>
      </c>
      <c r="Z1182" s="102">
        <v>19047</v>
      </c>
      <c r="AA1182" s="468">
        <f>(Table6[[#This Row],[Paired WTG Generation for loss calculation]]/24)*Table6[[#This Row],[Breakdown Time]]</f>
        <v>264.54166666666572</v>
      </c>
      <c r="AB1182" s="102"/>
      <c r="AC1182" s="35"/>
      <c r="AD1182" s="35"/>
    </row>
    <row r="1183" spans="1:30">
      <c r="A1183" s="102">
        <f t="shared" si="19"/>
        <v>1182</v>
      </c>
      <c r="B1183" s="468">
        <f>YEAR(Table6[[#This Row],[Date]])+IF(MONTH(Table6[[#This Row],[Date]])&gt;=4,1,0)</f>
        <v>2026</v>
      </c>
      <c r="C1183" s="102">
        <f>YEAR(Table6[[#This Row],[Date]])</f>
        <v>2025</v>
      </c>
      <c r="D1183" s="102" t="s">
        <v>1992</v>
      </c>
      <c r="E1183" s="469">
        <f>Table6[[#This Row],[Date]]-DAY(Table6[[#This Row],[Date]])+1</f>
        <v>45809</v>
      </c>
      <c r="F1183" s="470">
        <v>45822</v>
      </c>
      <c r="G1183" s="35" t="s">
        <v>99</v>
      </c>
      <c r="H1183" s="35" t="str">
        <f>IFERROR(_xlfn.XLOOKUP(Table6[[#This Row],[Affected WTG]],'Basic Data'!$A:$A,'Basic Data'!$B:$B),"")</f>
        <v>TQGXIIPL</v>
      </c>
      <c r="I1183" s="35" t="str">
        <f>IFERROR(_xlfn.XLOOKUP(Table6[[#This Row],[Affected WTG]],'Basic Data'!$A:$A,'Basic Data'!$C:$C),"")</f>
        <v>GEDA</v>
      </c>
      <c r="J1183" s="471">
        <f>IFERROR(_xlfn.XLOOKUP(Table6[[#This Row],[Affected WTG]],'Basic Data'!$A:$A,'Basic Data'!$E:$E),"")</f>
        <v>3.846153846153845E-2</v>
      </c>
      <c r="K1183" s="102">
        <v>5510</v>
      </c>
      <c r="L1183" s="35" t="str">
        <f>IFERROR(_xlfn.XLOOKUP(Table6[[#This Row],[Error Code]],'Basic Data'!$AA:$AA,'Basic Data'!$AB:$AB),"Incorrect Error Code")</f>
        <v>Low hydraulic pressure</v>
      </c>
      <c r="M1183" s="35" t="s">
        <v>291</v>
      </c>
      <c r="N1183" s="475"/>
      <c r="O1183" s="476">
        <v>0.85416666666666663</v>
      </c>
      <c r="P1183" s="476">
        <v>0.85416666666666663</v>
      </c>
      <c r="Q1183" s="477">
        <v>0.8618055555555556</v>
      </c>
      <c r="R1183" s="472">
        <f>IF(Table6[[#This Row],[Work Start TimeStamp]]="","",(Table6[[#This Row],[Work Start TimeStamp]]-Table6[[#This Row],[Fault Start TimeStamp]])*24)</f>
        <v>0</v>
      </c>
      <c r="S1183" s="472">
        <f>(Table6[[#This Row],[Fault Clearance time]]-Table6[[#This Row],[Work Start TimeStamp]])*24</f>
        <v>0.18333333333333535</v>
      </c>
      <c r="T1183" s="472">
        <f>(Table6[[#This Row],[Fault Clearance time]]-Table6[[#This Row],[Fault Start TimeStamp]])*24</f>
        <v>0.18333333333333535</v>
      </c>
      <c r="U1183" s="35" t="s">
        <v>1924</v>
      </c>
      <c r="V1183" s="102" t="s">
        <v>293</v>
      </c>
      <c r="W1183" s="478">
        <f>IFERROR(Table6[[#This Row],[Breakdown Time]]*Table6[[#This Row],[Plant Equivalent Weightage]],"")</f>
        <v>7.0512820512821268E-3</v>
      </c>
      <c r="X1183" s="473" t="s">
        <v>294</v>
      </c>
      <c r="Y1183" s="474" t="s">
        <v>315</v>
      </c>
      <c r="Z1183" s="102">
        <v>19047</v>
      </c>
      <c r="AA1183" s="468">
        <f>(Table6[[#This Row],[Paired WTG Generation for loss calculation]]/24)*Table6[[#This Row],[Breakdown Time]]</f>
        <v>145.49791666666826</v>
      </c>
      <c r="AB1183" s="102"/>
      <c r="AC1183" s="35"/>
      <c r="AD1183" s="35"/>
    </row>
    <row r="1184" spans="1:30">
      <c r="A1184" s="102">
        <f t="shared" si="19"/>
        <v>1183</v>
      </c>
      <c r="B1184" s="468">
        <f>YEAR(Table6[[#This Row],[Date]])+IF(MONTH(Table6[[#This Row],[Date]])&gt;=4,1,0)</f>
        <v>2026</v>
      </c>
      <c r="C1184" s="102">
        <f>YEAR(Table6[[#This Row],[Date]])</f>
        <v>2025</v>
      </c>
      <c r="D1184" s="102" t="s">
        <v>1992</v>
      </c>
      <c r="E1184" s="469">
        <f>Table6[[#This Row],[Date]]-DAY(Table6[[#This Row],[Date]])+1</f>
        <v>45809</v>
      </c>
      <c r="F1184" s="470">
        <v>45823</v>
      </c>
      <c r="G1184" s="35" t="s">
        <v>77</v>
      </c>
      <c r="H1184" s="35" t="str">
        <f>IFERROR(_xlfn.XLOOKUP(Table6[[#This Row],[Affected WTG]],'Basic Data'!$A:$A,'Basic Data'!$B:$B),"")</f>
        <v>TQGXIIPL</v>
      </c>
      <c r="I1184" s="35" t="str">
        <f>IFERROR(_xlfn.XLOOKUP(Table6[[#This Row],[Affected WTG]],'Basic Data'!$A:$A,'Basic Data'!$C:$C),"")</f>
        <v>GEDA</v>
      </c>
      <c r="J1184" s="471">
        <f>IFERROR(_xlfn.XLOOKUP(Table6[[#This Row],[Affected WTG]],'Basic Data'!$A:$A,'Basic Data'!$E:$E),"")</f>
        <v>3.846153846153845E-2</v>
      </c>
      <c r="K1184" s="102">
        <v>3110</v>
      </c>
      <c r="L1184" s="35" t="str">
        <f>IFERROR(_xlfn.XLOOKUP(Table6[[#This Row],[Error Code]],'Basic Data'!$AA:$AA,'Basic Data'!$AB:$AB),"Incorrect Error Code")</f>
        <v>Frequency converter error</v>
      </c>
      <c r="M1184" s="35" t="s">
        <v>291</v>
      </c>
      <c r="N1184" s="475"/>
      <c r="O1184" s="476">
        <v>0.47361111111111109</v>
      </c>
      <c r="P1184" s="476">
        <v>0.47361111111111109</v>
      </c>
      <c r="Q1184" s="477">
        <v>0.47499999999999998</v>
      </c>
      <c r="R1184" s="472">
        <f>IF(Table6[[#This Row],[Work Start TimeStamp]]="","",(Table6[[#This Row],[Work Start TimeStamp]]-Table6[[#This Row],[Fault Start TimeStamp]])*24)</f>
        <v>0</v>
      </c>
      <c r="S1184" s="472">
        <f>(Table6[[#This Row],[Fault Clearance time]]-Table6[[#This Row],[Work Start TimeStamp]])*24</f>
        <v>3.3333333333333215E-2</v>
      </c>
      <c r="T1184" s="472">
        <f>(Table6[[#This Row],[Fault Clearance time]]-Table6[[#This Row],[Fault Start TimeStamp]])*24</f>
        <v>3.3333333333333215E-2</v>
      </c>
      <c r="U1184" s="35" t="s">
        <v>1924</v>
      </c>
      <c r="V1184" s="102" t="s">
        <v>293</v>
      </c>
      <c r="W1184" s="478">
        <f>IFERROR(Table6[[#This Row],[Breakdown Time]]*Table6[[#This Row],[Plant Equivalent Weightage]],"")</f>
        <v>1.2820512820512771E-3</v>
      </c>
      <c r="X1184" s="473" t="s">
        <v>294</v>
      </c>
      <c r="Y1184" s="474" t="s">
        <v>310</v>
      </c>
      <c r="Z1184" s="102">
        <v>6199</v>
      </c>
      <c r="AA1184" s="468">
        <f>(Table6[[#This Row],[Paired WTG Generation for loss calculation]]/24)*Table6[[#This Row],[Breakdown Time]]</f>
        <v>8.6097222222221923</v>
      </c>
      <c r="AB1184" s="102"/>
      <c r="AC1184" s="35"/>
      <c r="AD1184" s="35"/>
    </row>
    <row r="1185" spans="1:30">
      <c r="A1185" s="102">
        <f t="shared" si="19"/>
        <v>1184</v>
      </c>
      <c r="B1185" s="468">
        <f>YEAR(Table6[[#This Row],[Date]])+IF(MONTH(Table6[[#This Row],[Date]])&gt;=4,1,0)</f>
        <v>2026</v>
      </c>
      <c r="C1185" s="102">
        <f>YEAR(Table6[[#This Row],[Date]])</f>
        <v>2025</v>
      </c>
      <c r="D1185" s="102" t="s">
        <v>1992</v>
      </c>
      <c r="E1185" s="469">
        <f>Table6[[#This Row],[Date]]-DAY(Table6[[#This Row],[Date]])+1</f>
        <v>45809</v>
      </c>
      <c r="F1185" s="470">
        <v>45823</v>
      </c>
      <c r="G1185" s="35" t="s">
        <v>77</v>
      </c>
      <c r="H1185" s="35" t="str">
        <f>IFERROR(_xlfn.XLOOKUP(Table6[[#This Row],[Affected WTG]],'Basic Data'!$A:$A,'Basic Data'!$B:$B),"")</f>
        <v>TQGXIIPL</v>
      </c>
      <c r="I1185" s="35" t="str">
        <f>IFERROR(_xlfn.XLOOKUP(Table6[[#This Row],[Affected WTG]],'Basic Data'!$A:$A,'Basic Data'!$C:$C),"")</f>
        <v>GEDA</v>
      </c>
      <c r="J1185" s="471">
        <f>IFERROR(_xlfn.XLOOKUP(Table6[[#This Row],[Affected WTG]],'Basic Data'!$A:$A,'Basic Data'!$E:$E),"")</f>
        <v>3.846153846153845E-2</v>
      </c>
      <c r="K1185" s="102">
        <v>3110</v>
      </c>
      <c r="L1185" s="35" t="str">
        <f>IFERROR(_xlfn.XLOOKUP(Table6[[#This Row],[Error Code]],'Basic Data'!$AA:$AA,'Basic Data'!$AB:$AB),"Incorrect Error Code")</f>
        <v>Frequency converter error</v>
      </c>
      <c r="M1185" s="35" t="s">
        <v>291</v>
      </c>
      <c r="N1185" s="475"/>
      <c r="O1185" s="476">
        <v>0.54513888888888884</v>
      </c>
      <c r="P1185" s="476">
        <v>0.54513888888888884</v>
      </c>
      <c r="Q1185" s="477">
        <v>0.54652777777777772</v>
      </c>
      <c r="R1185" s="472">
        <f>IF(Table6[[#This Row],[Work Start TimeStamp]]="","",(Table6[[#This Row],[Work Start TimeStamp]]-Table6[[#This Row],[Fault Start TimeStamp]])*24)</f>
        <v>0</v>
      </c>
      <c r="S1185" s="472">
        <f>(Table6[[#This Row],[Fault Clearance time]]-Table6[[#This Row],[Work Start TimeStamp]])*24</f>
        <v>3.3333333333333215E-2</v>
      </c>
      <c r="T1185" s="472">
        <f>(Table6[[#This Row],[Fault Clearance time]]-Table6[[#This Row],[Fault Start TimeStamp]])*24</f>
        <v>3.3333333333333215E-2</v>
      </c>
      <c r="U1185" s="35" t="s">
        <v>1924</v>
      </c>
      <c r="V1185" s="102" t="s">
        <v>293</v>
      </c>
      <c r="W1185" s="478">
        <f>IFERROR(Table6[[#This Row],[Breakdown Time]]*Table6[[#This Row],[Plant Equivalent Weightage]],"")</f>
        <v>1.2820512820512771E-3</v>
      </c>
      <c r="X1185" s="473" t="s">
        <v>294</v>
      </c>
      <c r="Y1185" s="474" t="s">
        <v>310</v>
      </c>
      <c r="Z1185" s="102">
        <v>6199</v>
      </c>
      <c r="AA1185" s="468">
        <f>(Table6[[#This Row],[Paired WTG Generation for loss calculation]]/24)*Table6[[#This Row],[Breakdown Time]]</f>
        <v>8.6097222222221923</v>
      </c>
      <c r="AB1185" s="102"/>
      <c r="AC1185" s="35"/>
      <c r="AD1185" s="35"/>
    </row>
    <row r="1186" spans="1:30">
      <c r="A1186" s="102">
        <f t="shared" si="19"/>
        <v>1185</v>
      </c>
      <c r="B1186" s="468">
        <f>YEAR(Table6[[#This Row],[Date]])+IF(MONTH(Table6[[#This Row],[Date]])&gt;=4,1,0)</f>
        <v>2026</v>
      </c>
      <c r="C1186" s="102">
        <f>YEAR(Table6[[#This Row],[Date]])</f>
        <v>2025</v>
      </c>
      <c r="D1186" s="102" t="s">
        <v>1992</v>
      </c>
      <c r="E1186" s="469">
        <f>Table6[[#This Row],[Date]]-DAY(Table6[[#This Row],[Date]])+1</f>
        <v>45809</v>
      </c>
      <c r="F1186" s="470">
        <v>45823</v>
      </c>
      <c r="G1186" s="35" t="s">
        <v>87</v>
      </c>
      <c r="H1186" s="35" t="str">
        <f>IFERROR(_xlfn.XLOOKUP(Table6[[#This Row],[Affected WTG]],'Basic Data'!$A:$A,'Basic Data'!$B:$B),"")</f>
        <v>TQGXIIPL</v>
      </c>
      <c r="I1186" s="35" t="str">
        <f>IFERROR(_xlfn.XLOOKUP(Table6[[#This Row],[Affected WTG]],'Basic Data'!$A:$A,'Basic Data'!$C:$C),"")</f>
        <v>GEDA</v>
      </c>
      <c r="J1186" s="471">
        <f>IFERROR(_xlfn.XLOOKUP(Table6[[#This Row],[Affected WTG]],'Basic Data'!$A:$A,'Basic Data'!$E:$E),"")</f>
        <v>3.846153846153845E-2</v>
      </c>
      <c r="K1186" s="102">
        <v>6130</v>
      </c>
      <c r="L1186" s="35" t="str">
        <f>IFERROR(_xlfn.XLOOKUP(Table6[[#This Row],[Error Code]],'Basic Data'!$AA:$AA,'Basic Data'!$AB:$AB),"Incorrect Error Code")</f>
        <v>Yaw speed high</v>
      </c>
      <c r="M1186" s="35" t="s">
        <v>292</v>
      </c>
      <c r="N1186" s="475"/>
      <c r="O1186" s="476">
        <v>0.78819444444444442</v>
      </c>
      <c r="P1186" s="476">
        <v>0.78819444444444442</v>
      </c>
      <c r="Q1186" s="477">
        <v>0.79236111111111107</v>
      </c>
      <c r="R1186" s="472">
        <f>IF(Table6[[#This Row],[Work Start TimeStamp]]="","",(Table6[[#This Row],[Work Start TimeStamp]]-Table6[[#This Row],[Fault Start TimeStamp]])*24)</f>
        <v>0</v>
      </c>
      <c r="S1186" s="472">
        <f>(Table6[[#This Row],[Fault Clearance time]]-Table6[[#This Row],[Work Start TimeStamp]])*24</f>
        <v>9.9999999999999645E-2</v>
      </c>
      <c r="T1186" s="472">
        <f>(Table6[[#This Row],[Fault Clearance time]]-Table6[[#This Row],[Fault Start TimeStamp]])*24</f>
        <v>9.9999999999999645E-2</v>
      </c>
      <c r="U1186" s="35" t="s">
        <v>336</v>
      </c>
      <c r="V1186" s="102" t="s">
        <v>293</v>
      </c>
      <c r="W1186" s="478">
        <f>IFERROR(Table6[[#This Row],[Breakdown Time]]*Table6[[#This Row],[Plant Equivalent Weightage]],"")</f>
        <v>3.8461538461538312E-3</v>
      </c>
      <c r="X1186" s="473" t="s">
        <v>294</v>
      </c>
      <c r="Y1186" s="474" t="s">
        <v>327</v>
      </c>
      <c r="Z1186" s="102">
        <v>6246</v>
      </c>
      <c r="AA1186" s="468">
        <f>(Table6[[#This Row],[Paired WTG Generation for loss calculation]]/24)*Table6[[#This Row],[Breakdown Time]]</f>
        <v>26.024999999999906</v>
      </c>
      <c r="AB1186" s="102"/>
      <c r="AC1186" s="35"/>
      <c r="AD1186" s="35"/>
    </row>
    <row r="1187" spans="1:30">
      <c r="A1187" s="102">
        <f t="shared" si="19"/>
        <v>1186</v>
      </c>
      <c r="B1187" s="468">
        <f>YEAR(Table6[[#This Row],[Date]])+IF(MONTH(Table6[[#This Row],[Date]])&gt;=4,1,0)</f>
        <v>2026</v>
      </c>
      <c r="C1187" s="102">
        <f>YEAR(Table6[[#This Row],[Date]])</f>
        <v>2025</v>
      </c>
      <c r="D1187" s="102" t="s">
        <v>1992</v>
      </c>
      <c r="E1187" s="469">
        <f>Table6[[#This Row],[Date]]-DAY(Table6[[#This Row],[Date]])+1</f>
        <v>45809</v>
      </c>
      <c r="F1187" s="470">
        <v>45823</v>
      </c>
      <c r="G1187" s="35" t="s">
        <v>94</v>
      </c>
      <c r="H1187" s="35" t="str">
        <f>IFERROR(_xlfn.XLOOKUP(Table6[[#This Row],[Affected WTG]],'Basic Data'!$A:$A,'Basic Data'!$B:$B),"")</f>
        <v>TQGXIIPL</v>
      </c>
      <c r="I1187" s="35" t="str">
        <f>IFERROR(_xlfn.XLOOKUP(Table6[[#This Row],[Affected WTG]],'Basic Data'!$A:$A,'Basic Data'!$C:$C),"")</f>
        <v>GEDA</v>
      </c>
      <c r="J1187" s="471">
        <f>IFERROR(_xlfn.XLOOKUP(Table6[[#This Row],[Affected WTG]],'Basic Data'!$A:$A,'Basic Data'!$E:$E),"")</f>
        <v>3.846153846153845E-2</v>
      </c>
      <c r="K1187" s="102">
        <v>3110</v>
      </c>
      <c r="L1187" s="35" t="str">
        <f>IFERROR(_xlfn.XLOOKUP(Table6[[#This Row],[Error Code]],'Basic Data'!$AA:$AA,'Basic Data'!$AB:$AB),"Incorrect Error Code")</f>
        <v>Frequency converter error</v>
      </c>
      <c r="M1187" s="35" t="s">
        <v>291</v>
      </c>
      <c r="N1187" s="475"/>
      <c r="O1187" s="476">
        <v>0.48819444444444443</v>
      </c>
      <c r="P1187" s="476">
        <v>0.48819444444444443</v>
      </c>
      <c r="Q1187" s="477">
        <v>0.48888888888888887</v>
      </c>
      <c r="R1187" s="472">
        <f>IF(Table6[[#This Row],[Work Start TimeStamp]]="","",(Table6[[#This Row],[Work Start TimeStamp]]-Table6[[#This Row],[Fault Start TimeStamp]])*24)</f>
        <v>0</v>
      </c>
      <c r="S1187" s="472">
        <f>(Table6[[#This Row],[Fault Clearance time]]-Table6[[#This Row],[Work Start TimeStamp]])*24</f>
        <v>1.6666666666666607E-2</v>
      </c>
      <c r="T1187" s="472">
        <f>(Table6[[#This Row],[Fault Clearance time]]-Table6[[#This Row],[Fault Start TimeStamp]])*24</f>
        <v>1.6666666666666607E-2</v>
      </c>
      <c r="U1187" s="35" t="s">
        <v>1924</v>
      </c>
      <c r="V1187" s="102" t="s">
        <v>293</v>
      </c>
      <c r="W1187" s="478">
        <f>IFERROR(Table6[[#This Row],[Breakdown Time]]*Table6[[#This Row],[Plant Equivalent Weightage]],"")</f>
        <v>6.4102564102563853E-4</v>
      </c>
      <c r="X1187" s="473" t="s">
        <v>294</v>
      </c>
      <c r="Y1187" s="474" t="s">
        <v>319</v>
      </c>
      <c r="Z1187" s="102">
        <v>6453</v>
      </c>
      <c r="AA1187" s="468">
        <f>(Table6[[#This Row],[Paired WTG Generation for loss calculation]]/24)*Table6[[#This Row],[Breakdown Time]]</f>
        <v>4.4812499999999842</v>
      </c>
      <c r="AB1187" s="102"/>
      <c r="AC1187" s="35"/>
      <c r="AD1187" s="35"/>
    </row>
    <row r="1188" spans="1:30">
      <c r="A1188" s="102">
        <f t="shared" si="19"/>
        <v>1187</v>
      </c>
      <c r="B1188" s="468">
        <f>YEAR(Table6[[#This Row],[Date]])+IF(MONTH(Table6[[#This Row],[Date]])&gt;=4,1,0)</f>
        <v>2026</v>
      </c>
      <c r="C1188" s="102">
        <f>YEAR(Table6[[#This Row],[Date]])</f>
        <v>2025</v>
      </c>
      <c r="D1188" s="102" t="s">
        <v>1992</v>
      </c>
      <c r="E1188" s="469">
        <f>Table6[[#This Row],[Date]]-DAY(Table6[[#This Row],[Date]])+1</f>
        <v>45809</v>
      </c>
      <c r="F1188" s="470">
        <v>45823</v>
      </c>
      <c r="G1188" s="35" t="s">
        <v>94</v>
      </c>
      <c r="H1188" s="35" t="str">
        <f>IFERROR(_xlfn.XLOOKUP(Table6[[#This Row],[Affected WTG]],'Basic Data'!$A:$A,'Basic Data'!$B:$B),"")</f>
        <v>TQGXIIPL</v>
      </c>
      <c r="I1188" s="35" t="str">
        <f>IFERROR(_xlfn.XLOOKUP(Table6[[#This Row],[Affected WTG]],'Basic Data'!$A:$A,'Basic Data'!$C:$C),"")</f>
        <v>GEDA</v>
      </c>
      <c r="J1188" s="471">
        <f>IFERROR(_xlfn.XLOOKUP(Table6[[#This Row],[Affected WTG]],'Basic Data'!$A:$A,'Basic Data'!$E:$E),"")</f>
        <v>3.846153846153845E-2</v>
      </c>
      <c r="K1188" s="102">
        <v>3110</v>
      </c>
      <c r="L1188" s="35" t="str">
        <f>IFERROR(_xlfn.XLOOKUP(Table6[[#This Row],[Error Code]],'Basic Data'!$AA:$AA,'Basic Data'!$AB:$AB),"Incorrect Error Code")</f>
        <v>Frequency converter error</v>
      </c>
      <c r="M1188" s="35" t="s">
        <v>291</v>
      </c>
      <c r="N1188" s="475"/>
      <c r="O1188" s="476">
        <v>0.55972222222222223</v>
      </c>
      <c r="P1188" s="476">
        <v>0.55972222222222223</v>
      </c>
      <c r="Q1188" s="477">
        <v>0.5625</v>
      </c>
      <c r="R1188" s="472">
        <f>IF(Table6[[#This Row],[Work Start TimeStamp]]="","",(Table6[[#This Row],[Work Start TimeStamp]]-Table6[[#This Row],[Fault Start TimeStamp]])*24)</f>
        <v>0</v>
      </c>
      <c r="S1188" s="472">
        <f>(Table6[[#This Row],[Fault Clearance time]]-Table6[[#This Row],[Work Start TimeStamp]])*24</f>
        <v>6.666666666666643E-2</v>
      </c>
      <c r="T1188" s="472">
        <f>(Table6[[#This Row],[Fault Clearance time]]-Table6[[#This Row],[Fault Start TimeStamp]])*24</f>
        <v>6.666666666666643E-2</v>
      </c>
      <c r="U1188" s="35" t="s">
        <v>1924</v>
      </c>
      <c r="V1188" s="102" t="s">
        <v>293</v>
      </c>
      <c r="W1188" s="478">
        <f>IFERROR(Table6[[#This Row],[Breakdown Time]]*Table6[[#This Row],[Plant Equivalent Weightage]],"")</f>
        <v>2.5641025641025541E-3</v>
      </c>
      <c r="X1188" s="473" t="s">
        <v>294</v>
      </c>
      <c r="Y1188" s="474" t="s">
        <v>319</v>
      </c>
      <c r="Z1188" s="102">
        <v>6453</v>
      </c>
      <c r="AA1188" s="468">
        <f>(Table6[[#This Row],[Paired WTG Generation for loss calculation]]/24)*Table6[[#This Row],[Breakdown Time]]</f>
        <v>17.924999999999937</v>
      </c>
      <c r="AB1188" s="102"/>
      <c r="AC1188" s="35"/>
      <c r="AD1188" s="35"/>
    </row>
    <row r="1189" spans="1:30">
      <c r="A1189" s="102">
        <f t="shared" si="19"/>
        <v>1188</v>
      </c>
      <c r="B1189" s="468">
        <f>YEAR(Table6[[#This Row],[Date]])+IF(MONTH(Table6[[#This Row],[Date]])&gt;=4,1,0)</f>
        <v>2026</v>
      </c>
      <c r="C1189" s="102">
        <f>YEAR(Table6[[#This Row],[Date]])</f>
        <v>2025</v>
      </c>
      <c r="D1189" s="102" t="s">
        <v>1992</v>
      </c>
      <c r="E1189" s="469">
        <f>Table6[[#This Row],[Date]]-DAY(Table6[[#This Row],[Date]])+1</f>
        <v>45809</v>
      </c>
      <c r="F1189" s="470">
        <v>45823</v>
      </c>
      <c r="G1189" s="35" t="s">
        <v>95</v>
      </c>
      <c r="H1189" s="35" t="str">
        <f>IFERROR(_xlfn.XLOOKUP(Table6[[#This Row],[Affected WTG]],'Basic Data'!$A:$A,'Basic Data'!$B:$B),"")</f>
        <v>TQGXIIPL</v>
      </c>
      <c r="I1189" s="35" t="str">
        <f>IFERROR(_xlfn.XLOOKUP(Table6[[#This Row],[Affected WTG]],'Basic Data'!$A:$A,'Basic Data'!$C:$C),"")</f>
        <v>GEDA</v>
      </c>
      <c r="J1189" s="471">
        <f>IFERROR(_xlfn.XLOOKUP(Table6[[#This Row],[Affected WTG]],'Basic Data'!$A:$A,'Basic Data'!$E:$E),"")</f>
        <v>3.846153846153845E-2</v>
      </c>
      <c r="K1189" s="102">
        <v>3110</v>
      </c>
      <c r="L1189" s="35" t="str">
        <f>IFERROR(_xlfn.XLOOKUP(Table6[[#This Row],[Error Code]],'Basic Data'!$AA:$AA,'Basic Data'!$AB:$AB),"Incorrect Error Code")</f>
        <v>Frequency converter error</v>
      </c>
      <c r="M1189" s="35" t="s">
        <v>291</v>
      </c>
      <c r="N1189" s="475"/>
      <c r="O1189" s="476">
        <v>0.49236111111111114</v>
      </c>
      <c r="P1189" s="476">
        <v>0.49236111111111114</v>
      </c>
      <c r="Q1189" s="477">
        <v>0.49305555555555558</v>
      </c>
      <c r="R1189" s="472">
        <f>IF(Table6[[#This Row],[Work Start TimeStamp]]="","",(Table6[[#This Row],[Work Start TimeStamp]]-Table6[[#This Row],[Fault Start TimeStamp]])*24)</f>
        <v>0</v>
      </c>
      <c r="S1189" s="472">
        <f>(Table6[[#This Row],[Fault Clearance time]]-Table6[[#This Row],[Work Start TimeStamp]])*24</f>
        <v>1.6666666666666607E-2</v>
      </c>
      <c r="T1189" s="472">
        <f>(Table6[[#This Row],[Fault Clearance time]]-Table6[[#This Row],[Fault Start TimeStamp]])*24</f>
        <v>1.6666666666666607E-2</v>
      </c>
      <c r="U1189" s="35" t="s">
        <v>1924</v>
      </c>
      <c r="V1189" s="102" t="s">
        <v>293</v>
      </c>
      <c r="W1189" s="478">
        <f>IFERROR(Table6[[#This Row],[Breakdown Time]]*Table6[[#This Row],[Plant Equivalent Weightage]],"")</f>
        <v>6.4102564102563853E-4</v>
      </c>
      <c r="X1189" s="473" t="s">
        <v>294</v>
      </c>
      <c r="Y1189" s="474" t="s">
        <v>319</v>
      </c>
      <c r="Z1189" s="102">
        <v>6453</v>
      </c>
      <c r="AA1189" s="468">
        <f>(Table6[[#This Row],[Paired WTG Generation for loss calculation]]/24)*Table6[[#This Row],[Breakdown Time]]</f>
        <v>4.4812499999999842</v>
      </c>
      <c r="AB1189" s="102"/>
      <c r="AC1189" s="35"/>
      <c r="AD1189" s="35"/>
    </row>
    <row r="1190" spans="1:30">
      <c r="A1190" s="102">
        <f t="shared" si="19"/>
        <v>1189</v>
      </c>
      <c r="B1190" s="468">
        <f>YEAR(Table6[[#This Row],[Date]])+IF(MONTH(Table6[[#This Row],[Date]])&gt;=4,1,0)</f>
        <v>2026</v>
      </c>
      <c r="C1190" s="102">
        <f>YEAR(Table6[[#This Row],[Date]])</f>
        <v>2025</v>
      </c>
      <c r="D1190" s="102" t="s">
        <v>1992</v>
      </c>
      <c r="E1190" s="469">
        <f>Table6[[#This Row],[Date]]-DAY(Table6[[#This Row],[Date]])+1</f>
        <v>45809</v>
      </c>
      <c r="F1190" s="470">
        <v>45823</v>
      </c>
      <c r="G1190" s="35" t="s">
        <v>95</v>
      </c>
      <c r="H1190" s="35" t="str">
        <f>IFERROR(_xlfn.XLOOKUP(Table6[[#This Row],[Affected WTG]],'Basic Data'!$A:$A,'Basic Data'!$B:$B),"")</f>
        <v>TQGXIIPL</v>
      </c>
      <c r="I1190" s="35" t="str">
        <f>IFERROR(_xlfn.XLOOKUP(Table6[[#This Row],[Affected WTG]],'Basic Data'!$A:$A,'Basic Data'!$C:$C),"")</f>
        <v>GEDA</v>
      </c>
      <c r="J1190" s="471">
        <f>IFERROR(_xlfn.XLOOKUP(Table6[[#This Row],[Affected WTG]],'Basic Data'!$A:$A,'Basic Data'!$E:$E),"")</f>
        <v>3.846153846153845E-2</v>
      </c>
      <c r="K1190" s="102">
        <v>3110</v>
      </c>
      <c r="L1190" s="35" t="str">
        <f>IFERROR(_xlfn.XLOOKUP(Table6[[#This Row],[Error Code]],'Basic Data'!$AA:$AA,'Basic Data'!$AB:$AB),"Incorrect Error Code")</f>
        <v>Frequency converter error</v>
      </c>
      <c r="M1190" s="35" t="s">
        <v>291</v>
      </c>
      <c r="N1190" s="475"/>
      <c r="O1190" s="476">
        <v>0.56388888888888888</v>
      </c>
      <c r="P1190" s="476">
        <v>0.56388888888888888</v>
      </c>
      <c r="Q1190" s="477">
        <v>0.56736111111111109</v>
      </c>
      <c r="R1190" s="472">
        <f>IF(Table6[[#This Row],[Work Start TimeStamp]]="","",(Table6[[#This Row],[Work Start TimeStamp]]-Table6[[#This Row],[Fault Start TimeStamp]])*24)</f>
        <v>0</v>
      </c>
      <c r="S1190" s="472">
        <f>(Table6[[#This Row],[Fault Clearance time]]-Table6[[#This Row],[Work Start TimeStamp]])*24</f>
        <v>8.3333333333333037E-2</v>
      </c>
      <c r="T1190" s="472">
        <f>(Table6[[#This Row],[Fault Clearance time]]-Table6[[#This Row],[Fault Start TimeStamp]])*24</f>
        <v>8.3333333333333037E-2</v>
      </c>
      <c r="U1190" s="35" t="s">
        <v>1924</v>
      </c>
      <c r="V1190" s="102" t="s">
        <v>293</v>
      </c>
      <c r="W1190" s="478">
        <f>IFERROR(Table6[[#This Row],[Breakdown Time]]*Table6[[#This Row],[Plant Equivalent Weightage]],"")</f>
        <v>3.2051282051281929E-3</v>
      </c>
      <c r="X1190" s="473" t="s">
        <v>294</v>
      </c>
      <c r="Y1190" s="474" t="s">
        <v>319</v>
      </c>
      <c r="Z1190" s="102">
        <v>6453</v>
      </c>
      <c r="AA1190" s="468">
        <f>(Table6[[#This Row],[Paired WTG Generation for loss calculation]]/24)*Table6[[#This Row],[Breakdown Time]]</f>
        <v>22.406249999999922</v>
      </c>
      <c r="AB1190" s="102"/>
      <c r="AC1190" s="35"/>
      <c r="AD1190" s="35"/>
    </row>
    <row r="1191" spans="1:30">
      <c r="A1191" s="102">
        <f t="shared" si="19"/>
        <v>1190</v>
      </c>
      <c r="B1191" s="468">
        <f>YEAR(Table6[[#This Row],[Date]])+IF(MONTH(Table6[[#This Row],[Date]])&gt;=4,1,0)</f>
        <v>2026</v>
      </c>
      <c r="C1191" s="102">
        <f>YEAR(Table6[[#This Row],[Date]])</f>
        <v>2025</v>
      </c>
      <c r="D1191" s="102" t="s">
        <v>1992</v>
      </c>
      <c r="E1191" s="469">
        <f>Table6[[#This Row],[Date]]-DAY(Table6[[#This Row],[Date]])+1</f>
        <v>45809</v>
      </c>
      <c r="F1191" s="470">
        <v>45823</v>
      </c>
      <c r="G1191" s="35" t="s">
        <v>95</v>
      </c>
      <c r="H1191" s="35" t="str">
        <f>IFERROR(_xlfn.XLOOKUP(Table6[[#This Row],[Affected WTG]],'Basic Data'!$A:$A,'Basic Data'!$B:$B),"")</f>
        <v>TQGXIIPL</v>
      </c>
      <c r="I1191" s="35" t="str">
        <f>IFERROR(_xlfn.XLOOKUP(Table6[[#This Row],[Affected WTG]],'Basic Data'!$A:$A,'Basic Data'!$C:$C),"")</f>
        <v>GEDA</v>
      </c>
      <c r="J1191" s="471">
        <f>IFERROR(_xlfn.XLOOKUP(Table6[[#This Row],[Affected WTG]],'Basic Data'!$A:$A,'Basic Data'!$E:$E),"")</f>
        <v>3.846153846153845E-2</v>
      </c>
      <c r="K1191" s="102">
        <v>58</v>
      </c>
      <c r="L1191" s="35" t="str">
        <f>IFERROR(_xlfn.XLOOKUP(Table6[[#This Row],[Error Code]],'Basic Data'!$AA:$AA,'Basic Data'!$AB:$AB),"Incorrect Error Code")</f>
        <v>Wind dir.dev. level 2</v>
      </c>
      <c r="M1191" s="35" t="s">
        <v>291</v>
      </c>
      <c r="N1191" s="475"/>
      <c r="O1191" s="476">
        <v>0.79583333333333328</v>
      </c>
      <c r="P1191" s="476">
        <v>0.79583333333333328</v>
      </c>
      <c r="Q1191" s="477">
        <v>0.79861111111111116</v>
      </c>
      <c r="R1191" s="472">
        <f>IF(Table6[[#This Row],[Work Start TimeStamp]]="","",(Table6[[#This Row],[Work Start TimeStamp]]-Table6[[#This Row],[Fault Start TimeStamp]])*24)</f>
        <v>0</v>
      </c>
      <c r="S1191" s="472">
        <f>(Table6[[#This Row],[Fault Clearance time]]-Table6[[#This Row],[Work Start TimeStamp]])*24</f>
        <v>6.6666666666669094E-2</v>
      </c>
      <c r="T1191" s="472">
        <f>(Table6[[#This Row],[Fault Clearance time]]-Table6[[#This Row],[Fault Start TimeStamp]])*24</f>
        <v>6.6666666666669094E-2</v>
      </c>
      <c r="U1191" s="35" t="s">
        <v>1924</v>
      </c>
      <c r="V1191" s="102" t="s">
        <v>293</v>
      </c>
      <c r="W1191" s="478">
        <f>IFERROR(Table6[[#This Row],[Breakdown Time]]*Table6[[#This Row],[Plant Equivalent Weightage]],"")</f>
        <v>2.5641025641026569E-3</v>
      </c>
      <c r="X1191" s="473" t="s">
        <v>294</v>
      </c>
      <c r="Y1191" s="474" t="s">
        <v>319</v>
      </c>
      <c r="Z1191" s="102">
        <v>6453</v>
      </c>
      <c r="AA1191" s="468">
        <f>(Table6[[#This Row],[Paired WTG Generation for loss calculation]]/24)*Table6[[#This Row],[Breakdown Time]]</f>
        <v>17.925000000000654</v>
      </c>
      <c r="AB1191" s="102"/>
      <c r="AC1191" s="35"/>
      <c r="AD1191" s="35"/>
    </row>
    <row r="1192" spans="1:30">
      <c r="A1192" s="102">
        <f t="shared" si="19"/>
        <v>1191</v>
      </c>
      <c r="B1192" s="468">
        <f>YEAR(Table6[[#This Row],[Date]])+IF(MONTH(Table6[[#This Row],[Date]])&gt;=4,1,0)</f>
        <v>2026</v>
      </c>
      <c r="C1192" s="102">
        <f>YEAR(Table6[[#This Row],[Date]])</f>
        <v>2025</v>
      </c>
      <c r="D1192" s="102" t="s">
        <v>1992</v>
      </c>
      <c r="E1192" s="469">
        <f>Table6[[#This Row],[Date]]-DAY(Table6[[#This Row],[Date]])+1</f>
        <v>45809</v>
      </c>
      <c r="F1192" s="470">
        <v>45824</v>
      </c>
      <c r="G1192" s="35" t="s">
        <v>77</v>
      </c>
      <c r="H1192" s="35" t="str">
        <f>IFERROR(_xlfn.XLOOKUP(Table6[[#This Row],[Affected WTG]],'Basic Data'!$A:$A,'Basic Data'!$B:$B),"")</f>
        <v>TQGXIIPL</v>
      </c>
      <c r="I1192" s="35" t="str">
        <f>IFERROR(_xlfn.XLOOKUP(Table6[[#This Row],[Affected WTG]],'Basic Data'!$A:$A,'Basic Data'!$C:$C),"")</f>
        <v>GEDA</v>
      </c>
      <c r="J1192" s="471">
        <f>IFERROR(_xlfn.XLOOKUP(Table6[[#This Row],[Affected WTG]],'Basic Data'!$A:$A,'Basic Data'!$E:$E),"")</f>
        <v>3.846153846153845E-2</v>
      </c>
      <c r="K1192" s="102">
        <v>152</v>
      </c>
      <c r="L1192" s="35" t="str">
        <f>IFERROR(_xlfn.XLOOKUP(Table6[[#This Row],[Error Code]],'Basic Data'!$AA:$AA,'Basic Data'!$AB:$AB),"Incorrect Error Code")</f>
        <v>SLC app. not in SAFE mode</v>
      </c>
      <c r="M1192" s="35" t="s">
        <v>1956</v>
      </c>
      <c r="N1192" s="475"/>
      <c r="O1192" s="476">
        <v>0.6</v>
      </c>
      <c r="P1192" s="476">
        <v>0.6</v>
      </c>
      <c r="Q1192" s="477">
        <v>0.62638888888888888</v>
      </c>
      <c r="R1192" s="472">
        <f>IF(Table6[[#This Row],[Work Start TimeStamp]]="","",(Table6[[#This Row],[Work Start TimeStamp]]-Table6[[#This Row],[Fault Start TimeStamp]])*24)</f>
        <v>0</v>
      </c>
      <c r="S1192" s="472">
        <f>(Table6[[#This Row],[Fault Clearance time]]-Table6[[#This Row],[Work Start TimeStamp]])*24</f>
        <v>0.63333333333333375</v>
      </c>
      <c r="T1192" s="472">
        <f>(Table6[[#This Row],[Fault Clearance time]]-Table6[[#This Row],[Fault Start TimeStamp]])*24</f>
        <v>0.63333333333333375</v>
      </c>
      <c r="U1192" s="35" t="s">
        <v>1970</v>
      </c>
      <c r="V1192" s="102" t="s">
        <v>293</v>
      </c>
      <c r="W1192" s="478">
        <f>IFERROR(Table6[[#This Row],[Breakdown Time]]*Table6[[#This Row],[Plant Equivalent Weightage]],"")</f>
        <v>2.4358974358974366E-2</v>
      </c>
      <c r="X1192" s="473" t="s">
        <v>294</v>
      </c>
      <c r="Y1192" s="474" t="s">
        <v>310</v>
      </c>
      <c r="Z1192" s="102">
        <v>35642</v>
      </c>
      <c r="AA1192" s="468">
        <f>(Table6[[#This Row],[Paired WTG Generation for loss calculation]]/24)*Table6[[#This Row],[Breakdown Time]]</f>
        <v>940.55277777777837</v>
      </c>
      <c r="AB1192" s="102"/>
      <c r="AC1192" s="35"/>
      <c r="AD1192" s="35"/>
    </row>
    <row r="1193" spans="1:30">
      <c r="A1193" s="102">
        <f t="shared" si="19"/>
        <v>1192</v>
      </c>
      <c r="B1193" s="468">
        <f>YEAR(Table6[[#This Row],[Date]])+IF(MONTH(Table6[[#This Row],[Date]])&gt;=4,1,0)</f>
        <v>2026</v>
      </c>
      <c r="C1193" s="102">
        <f>YEAR(Table6[[#This Row],[Date]])</f>
        <v>2025</v>
      </c>
      <c r="D1193" s="102" t="s">
        <v>1992</v>
      </c>
      <c r="E1193" s="469">
        <f>Table6[[#This Row],[Date]]-DAY(Table6[[#This Row],[Date]])+1</f>
        <v>45809</v>
      </c>
      <c r="F1193" s="470">
        <v>45824</v>
      </c>
      <c r="G1193" s="35" t="s">
        <v>78</v>
      </c>
      <c r="H1193" s="35" t="str">
        <f>IFERROR(_xlfn.XLOOKUP(Table6[[#This Row],[Affected WTG]],'Basic Data'!$A:$A,'Basic Data'!$B:$B),"")</f>
        <v>TQGXIIPL</v>
      </c>
      <c r="I1193" s="35" t="str">
        <f>IFERROR(_xlfn.XLOOKUP(Table6[[#This Row],[Affected WTG]],'Basic Data'!$A:$A,'Basic Data'!$C:$C),"")</f>
        <v>GEDA</v>
      </c>
      <c r="J1193" s="471">
        <f>IFERROR(_xlfn.XLOOKUP(Table6[[#This Row],[Affected WTG]],'Basic Data'!$A:$A,'Basic Data'!$E:$E),"")</f>
        <v>3.846153846153845E-2</v>
      </c>
      <c r="K1193" s="102">
        <v>3110</v>
      </c>
      <c r="L1193" s="35" t="str">
        <f>IFERROR(_xlfn.XLOOKUP(Table6[[#This Row],[Error Code]],'Basic Data'!$AA:$AA,'Basic Data'!$AB:$AB),"Incorrect Error Code")</f>
        <v>Frequency converter error</v>
      </c>
      <c r="M1193" s="35" t="s">
        <v>291</v>
      </c>
      <c r="N1193" s="475"/>
      <c r="O1193" s="476">
        <v>0.98611111111111116</v>
      </c>
      <c r="P1193" s="476">
        <v>0.98611111111111116</v>
      </c>
      <c r="Q1193" s="477">
        <v>0.9916666666666667</v>
      </c>
      <c r="R1193" s="472">
        <f>IF(Table6[[#This Row],[Work Start TimeStamp]]="","",(Table6[[#This Row],[Work Start TimeStamp]]-Table6[[#This Row],[Fault Start TimeStamp]])*24)</f>
        <v>0</v>
      </c>
      <c r="S1193" s="472">
        <f>(Table6[[#This Row],[Fault Clearance time]]-Table6[[#This Row],[Work Start TimeStamp]])*24</f>
        <v>0.13333333333333286</v>
      </c>
      <c r="T1193" s="472">
        <f>(Table6[[#This Row],[Fault Clearance time]]-Table6[[#This Row],[Fault Start TimeStamp]])*24</f>
        <v>0.13333333333333286</v>
      </c>
      <c r="U1193" s="35" t="s">
        <v>1924</v>
      </c>
      <c r="V1193" s="102" t="s">
        <v>293</v>
      </c>
      <c r="W1193" s="478">
        <f>IFERROR(Table6[[#This Row],[Breakdown Time]]*Table6[[#This Row],[Plant Equivalent Weightage]],"")</f>
        <v>5.1282051282051083E-3</v>
      </c>
      <c r="X1193" s="473" t="s">
        <v>294</v>
      </c>
      <c r="Y1193" s="474" t="s">
        <v>333</v>
      </c>
      <c r="Z1193" s="102">
        <v>42568</v>
      </c>
      <c r="AA1193" s="468">
        <f>(Table6[[#This Row],[Paired WTG Generation for loss calculation]]/24)*Table6[[#This Row],[Breakdown Time]]</f>
        <v>236.48888888888806</v>
      </c>
      <c r="AB1193" s="102"/>
      <c r="AC1193" s="35"/>
      <c r="AD1193" s="35"/>
    </row>
    <row r="1194" spans="1:30">
      <c r="A1194" s="102">
        <f t="shared" si="19"/>
        <v>1193</v>
      </c>
      <c r="B1194" s="468">
        <f>YEAR(Table6[[#This Row],[Date]])+IF(MONTH(Table6[[#This Row],[Date]])&gt;=4,1,0)</f>
        <v>2026</v>
      </c>
      <c r="C1194" s="102">
        <f>YEAR(Table6[[#This Row],[Date]])</f>
        <v>2025</v>
      </c>
      <c r="D1194" s="102" t="s">
        <v>1992</v>
      </c>
      <c r="E1194" s="469">
        <f>Table6[[#This Row],[Date]]-DAY(Table6[[#This Row],[Date]])+1</f>
        <v>45809</v>
      </c>
      <c r="F1194" s="470">
        <v>45824</v>
      </c>
      <c r="G1194" s="35" t="s">
        <v>79</v>
      </c>
      <c r="H1194" s="35" t="str">
        <f>IFERROR(_xlfn.XLOOKUP(Table6[[#This Row],[Affected WTG]],'Basic Data'!$A:$A,'Basic Data'!$B:$B),"")</f>
        <v>TQGXIIPL</v>
      </c>
      <c r="I1194" s="35" t="str">
        <f>IFERROR(_xlfn.XLOOKUP(Table6[[#This Row],[Affected WTG]],'Basic Data'!$A:$A,'Basic Data'!$C:$C),"")</f>
        <v>GEDA</v>
      </c>
      <c r="J1194" s="471">
        <f>IFERROR(_xlfn.XLOOKUP(Table6[[#This Row],[Affected WTG]],'Basic Data'!$A:$A,'Basic Data'!$E:$E),"")</f>
        <v>3.846153846153845E-2</v>
      </c>
      <c r="K1194" s="102">
        <v>58</v>
      </c>
      <c r="L1194" s="35" t="str">
        <f>IFERROR(_xlfn.XLOOKUP(Table6[[#This Row],[Error Code]],'Basic Data'!$AA:$AA,'Basic Data'!$AB:$AB),"Incorrect Error Code")</f>
        <v>Wind dir.dev. level 2</v>
      </c>
      <c r="M1194" s="35" t="s">
        <v>292</v>
      </c>
      <c r="N1194" s="475"/>
      <c r="O1194" s="476">
        <v>0.82291666666666663</v>
      </c>
      <c r="P1194" s="476">
        <v>0.82291666666666663</v>
      </c>
      <c r="Q1194" s="477">
        <v>0.82499999999999996</v>
      </c>
      <c r="R1194" s="472">
        <f>IF(Table6[[#This Row],[Work Start TimeStamp]]="","",(Table6[[#This Row],[Work Start TimeStamp]]-Table6[[#This Row],[Fault Start TimeStamp]])*24)</f>
        <v>0</v>
      </c>
      <c r="S1194" s="472">
        <f>(Table6[[#This Row],[Fault Clearance time]]-Table6[[#This Row],[Work Start TimeStamp]])*24</f>
        <v>4.9999999999999822E-2</v>
      </c>
      <c r="T1194" s="472">
        <f>(Table6[[#This Row],[Fault Clearance time]]-Table6[[#This Row],[Fault Start TimeStamp]])*24</f>
        <v>4.9999999999999822E-2</v>
      </c>
      <c r="U1194" s="35" t="s">
        <v>336</v>
      </c>
      <c r="V1194" s="102" t="s">
        <v>293</v>
      </c>
      <c r="W1194" s="478">
        <f>IFERROR(Table6[[#This Row],[Breakdown Time]]*Table6[[#This Row],[Plant Equivalent Weightage]],"")</f>
        <v>1.9230769230769156E-3</v>
      </c>
      <c r="X1194" s="473" t="s">
        <v>294</v>
      </c>
      <c r="Y1194" s="474" t="s">
        <v>325</v>
      </c>
      <c r="Z1194" s="102">
        <v>32444</v>
      </c>
      <c r="AA1194" s="468">
        <f>(Table6[[#This Row],[Paired WTG Generation for loss calculation]]/24)*Table6[[#This Row],[Breakdown Time]]</f>
        <v>67.591666666666427</v>
      </c>
      <c r="AB1194" s="102"/>
      <c r="AC1194" s="35"/>
      <c r="AD1194" s="35"/>
    </row>
    <row r="1195" spans="1:30">
      <c r="A1195" s="102">
        <f t="shared" si="19"/>
        <v>1194</v>
      </c>
      <c r="B1195" s="468">
        <f>YEAR(Table6[[#This Row],[Date]])+IF(MONTH(Table6[[#This Row],[Date]])&gt;=4,1,0)</f>
        <v>2026</v>
      </c>
      <c r="C1195" s="102">
        <f>YEAR(Table6[[#This Row],[Date]])</f>
        <v>2025</v>
      </c>
      <c r="D1195" s="102" t="s">
        <v>1992</v>
      </c>
      <c r="E1195" s="469">
        <f>Table6[[#This Row],[Date]]-DAY(Table6[[#This Row],[Date]])+1</f>
        <v>45809</v>
      </c>
      <c r="F1195" s="470">
        <v>45824</v>
      </c>
      <c r="G1195" s="35" t="s">
        <v>80</v>
      </c>
      <c r="H1195" s="35" t="str">
        <f>IFERROR(_xlfn.XLOOKUP(Table6[[#This Row],[Affected WTG]],'Basic Data'!$A:$A,'Basic Data'!$B:$B),"")</f>
        <v>TQGXIIPL</v>
      </c>
      <c r="I1195" s="35" t="str">
        <f>IFERROR(_xlfn.XLOOKUP(Table6[[#This Row],[Affected WTG]],'Basic Data'!$A:$A,'Basic Data'!$C:$C),"")</f>
        <v>GEDA</v>
      </c>
      <c r="J1195" s="471">
        <f>IFERROR(_xlfn.XLOOKUP(Table6[[#This Row],[Affected WTG]],'Basic Data'!$A:$A,'Basic Data'!$E:$E),"")</f>
        <v>3.846153846153845E-2</v>
      </c>
      <c r="K1195" s="102">
        <v>152</v>
      </c>
      <c r="L1195" s="35" t="str">
        <f>IFERROR(_xlfn.XLOOKUP(Table6[[#This Row],[Error Code]],'Basic Data'!$AA:$AA,'Basic Data'!$AB:$AB),"Incorrect Error Code")</f>
        <v>SLC app. not in SAFE mode</v>
      </c>
      <c r="M1195" s="35" t="s">
        <v>1956</v>
      </c>
      <c r="N1195" s="475"/>
      <c r="O1195" s="476">
        <v>0.6</v>
      </c>
      <c r="P1195" s="476">
        <v>0.6</v>
      </c>
      <c r="Q1195" s="477">
        <v>0.62916666666666665</v>
      </c>
      <c r="R1195" s="472">
        <f>IF(Table6[[#This Row],[Work Start TimeStamp]]="","",(Table6[[#This Row],[Work Start TimeStamp]]-Table6[[#This Row],[Fault Start TimeStamp]])*24)</f>
        <v>0</v>
      </c>
      <c r="S1195" s="472">
        <f>(Table6[[#This Row],[Fault Clearance time]]-Table6[[#This Row],[Work Start TimeStamp]])*24</f>
        <v>0.70000000000000018</v>
      </c>
      <c r="T1195" s="472">
        <f>(Table6[[#This Row],[Fault Clearance time]]-Table6[[#This Row],[Fault Start TimeStamp]])*24</f>
        <v>0.70000000000000018</v>
      </c>
      <c r="U1195" s="35" t="s">
        <v>1970</v>
      </c>
      <c r="V1195" s="102" t="s">
        <v>293</v>
      </c>
      <c r="W1195" s="478">
        <f>IFERROR(Table6[[#This Row],[Breakdown Time]]*Table6[[#This Row],[Plant Equivalent Weightage]],"")</f>
        <v>2.6923076923076921E-2</v>
      </c>
      <c r="X1195" s="473" t="s">
        <v>294</v>
      </c>
      <c r="Y1195" s="474" t="s">
        <v>317</v>
      </c>
      <c r="Z1195" s="102">
        <v>36994</v>
      </c>
      <c r="AA1195" s="468">
        <f>(Table6[[#This Row],[Paired WTG Generation for loss calculation]]/24)*Table6[[#This Row],[Breakdown Time]]</f>
        <v>1078.991666666667</v>
      </c>
      <c r="AB1195" s="102"/>
      <c r="AC1195" s="35"/>
      <c r="AD1195" s="35"/>
    </row>
    <row r="1196" spans="1:30">
      <c r="A1196" s="102">
        <f t="shared" si="19"/>
        <v>1195</v>
      </c>
      <c r="B1196" s="468">
        <f>YEAR(Table6[[#This Row],[Date]])+IF(MONTH(Table6[[#This Row],[Date]])&gt;=4,1,0)</f>
        <v>2026</v>
      </c>
      <c r="C1196" s="102">
        <f>YEAR(Table6[[#This Row],[Date]])</f>
        <v>2025</v>
      </c>
      <c r="D1196" s="102" t="s">
        <v>1992</v>
      </c>
      <c r="E1196" s="469">
        <f>Table6[[#This Row],[Date]]-DAY(Table6[[#This Row],[Date]])+1</f>
        <v>45809</v>
      </c>
      <c r="F1196" s="470">
        <v>45824</v>
      </c>
      <c r="G1196" s="35" t="s">
        <v>85</v>
      </c>
      <c r="H1196" s="35" t="str">
        <f>IFERROR(_xlfn.XLOOKUP(Table6[[#This Row],[Affected WTG]],'Basic Data'!$A:$A,'Basic Data'!$B:$B),"")</f>
        <v>TQGXIIPL</v>
      </c>
      <c r="I1196" s="35" t="str">
        <f>IFERROR(_xlfn.XLOOKUP(Table6[[#This Row],[Affected WTG]],'Basic Data'!$A:$A,'Basic Data'!$C:$C),"")</f>
        <v>GEDA</v>
      </c>
      <c r="J1196" s="471">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295</v>
      </c>
      <c r="N1196" s="475"/>
      <c r="O1196" s="476">
        <v>0.42916666666666664</v>
      </c>
      <c r="P1196" s="476">
        <v>0.42916666666666664</v>
      </c>
      <c r="Q1196" s="477">
        <v>0.99998842592592596</v>
      </c>
      <c r="R1196" s="472">
        <f>IF(Table6[[#This Row],[Work Start TimeStamp]]="","",(Table6[[#This Row],[Work Start TimeStamp]]-Table6[[#This Row],[Fault Start TimeStamp]])*24)</f>
        <v>0</v>
      </c>
      <c r="S1196" s="472">
        <f>(Table6[[#This Row],[Fault Clearance time]]-Table6[[#This Row],[Work Start TimeStamp]])*24</f>
        <v>13.699722222222222</v>
      </c>
      <c r="T1196" s="472">
        <f>(Table6[[#This Row],[Fault Clearance time]]-Table6[[#This Row],[Fault Start TimeStamp]])*24</f>
        <v>13.699722222222222</v>
      </c>
      <c r="U1196" s="35" t="s">
        <v>1971</v>
      </c>
      <c r="V1196" s="102" t="s">
        <v>335</v>
      </c>
      <c r="W1196" s="478">
        <f>IFERROR(Table6[[#This Row],[Breakdown Time]]*Table6[[#This Row],[Plant Equivalent Weightage]],"")</f>
        <v>0.52691239316239302</v>
      </c>
      <c r="X1196" s="473" t="s">
        <v>290</v>
      </c>
      <c r="Y1196" s="474" t="s">
        <v>322</v>
      </c>
      <c r="Z1196" s="102">
        <v>41004</v>
      </c>
      <c r="AA1196" s="468">
        <f>(Table6[[#This Row],[Paired WTG Generation for loss calculation]]/24)*Table6[[#This Row],[Breakdown Time]]</f>
        <v>23405.975416666668</v>
      </c>
      <c r="AB1196" s="102"/>
      <c r="AC1196" s="35"/>
      <c r="AD1196" s="35"/>
    </row>
    <row r="1197" spans="1:30">
      <c r="A1197" s="102">
        <f t="shared" si="19"/>
        <v>1196</v>
      </c>
      <c r="B1197" s="468">
        <f>YEAR(Table6[[#This Row],[Date]])+IF(MONTH(Table6[[#This Row],[Date]])&gt;=4,1,0)</f>
        <v>2026</v>
      </c>
      <c r="C1197" s="102">
        <f>YEAR(Table6[[#This Row],[Date]])</f>
        <v>2025</v>
      </c>
      <c r="D1197" s="102" t="s">
        <v>1992</v>
      </c>
      <c r="E1197" s="469">
        <f>Table6[[#This Row],[Date]]-DAY(Table6[[#This Row],[Date]])+1</f>
        <v>45809</v>
      </c>
      <c r="F1197" s="470">
        <v>45824</v>
      </c>
      <c r="G1197" s="35" t="s">
        <v>87</v>
      </c>
      <c r="H1197" s="35" t="str">
        <f>IFERROR(_xlfn.XLOOKUP(Table6[[#This Row],[Affected WTG]],'Basic Data'!$A:$A,'Basic Data'!$B:$B),"")</f>
        <v>TQGXIIPL</v>
      </c>
      <c r="I1197" s="35" t="str">
        <f>IFERROR(_xlfn.XLOOKUP(Table6[[#This Row],[Affected WTG]],'Basic Data'!$A:$A,'Basic Data'!$C:$C),"")</f>
        <v>GEDA</v>
      </c>
      <c r="J1197" s="471">
        <f>IFERROR(_xlfn.XLOOKUP(Table6[[#This Row],[Affected WTG]],'Basic Data'!$A:$A,'Basic Data'!$E:$E),"")</f>
        <v>3.846153846153845E-2</v>
      </c>
      <c r="K1197" s="102">
        <v>175</v>
      </c>
      <c r="L1197" s="35" t="str">
        <f>IFERROR(_xlfn.XLOOKUP(Table6[[#This Row],[Error Code]],'Basic Data'!$AA:$AA,'Basic Data'!$AB:$AB),"Incorrect Error Code")</f>
        <v>SLC error</v>
      </c>
      <c r="M1197" s="35" t="s">
        <v>291</v>
      </c>
      <c r="N1197" s="475"/>
      <c r="O1197" s="476">
        <v>0.42638888888888887</v>
      </c>
      <c r="P1197" s="476">
        <v>0.42638888888888887</v>
      </c>
      <c r="Q1197" s="477">
        <v>0.43472222222222223</v>
      </c>
      <c r="R1197" s="472">
        <f>IF(Table6[[#This Row],[Work Start TimeStamp]]="","",(Table6[[#This Row],[Work Start TimeStamp]]-Table6[[#This Row],[Fault Start TimeStamp]])*24)</f>
        <v>0</v>
      </c>
      <c r="S1197" s="472">
        <f>(Table6[[#This Row],[Fault Clearance time]]-Table6[[#This Row],[Work Start TimeStamp]])*24</f>
        <v>0.20000000000000062</v>
      </c>
      <c r="T1197" s="472">
        <f>(Table6[[#This Row],[Fault Clearance time]]-Table6[[#This Row],[Fault Start TimeStamp]])*24</f>
        <v>0.20000000000000062</v>
      </c>
      <c r="U1197" s="35" t="s">
        <v>1924</v>
      </c>
      <c r="V1197" s="102" t="s">
        <v>293</v>
      </c>
      <c r="W1197" s="478">
        <f>IFERROR(Table6[[#This Row],[Breakdown Time]]*Table6[[#This Row],[Plant Equivalent Weightage]],"")</f>
        <v>7.6923076923077136E-3</v>
      </c>
      <c r="X1197" s="473" t="s">
        <v>294</v>
      </c>
      <c r="Y1197" s="474" t="s">
        <v>327</v>
      </c>
      <c r="Z1197" s="102">
        <v>9859</v>
      </c>
      <c r="AA1197" s="468">
        <f>(Table6[[#This Row],[Paired WTG Generation for loss calculation]]/24)*Table6[[#This Row],[Breakdown Time]]</f>
        <v>82.158333333333587</v>
      </c>
      <c r="AB1197" s="102"/>
      <c r="AC1197" s="35"/>
      <c r="AD1197" s="35"/>
    </row>
    <row r="1198" spans="1:30">
      <c r="A1198" s="102">
        <f t="shared" si="19"/>
        <v>1197</v>
      </c>
      <c r="B1198" s="468">
        <f>YEAR(Table6[[#This Row],[Date]])+IF(MONTH(Table6[[#This Row],[Date]])&gt;=4,1,0)</f>
        <v>2026</v>
      </c>
      <c r="C1198" s="102">
        <f>YEAR(Table6[[#This Row],[Date]])</f>
        <v>2025</v>
      </c>
      <c r="D1198" s="102" t="s">
        <v>1992</v>
      </c>
      <c r="E1198" s="469">
        <f>Table6[[#This Row],[Date]]-DAY(Table6[[#This Row],[Date]])+1</f>
        <v>45809</v>
      </c>
      <c r="F1198" s="470">
        <v>45824</v>
      </c>
      <c r="G1198" s="35" t="s">
        <v>90</v>
      </c>
      <c r="H1198" s="35" t="str">
        <f>IFERROR(_xlfn.XLOOKUP(Table6[[#This Row],[Affected WTG]],'Basic Data'!$A:$A,'Basic Data'!$B:$B),"")</f>
        <v>TQGXIIPL</v>
      </c>
      <c r="I1198" s="35" t="str">
        <f>IFERROR(_xlfn.XLOOKUP(Table6[[#This Row],[Affected WTG]],'Basic Data'!$A:$A,'Basic Data'!$C:$C),"")</f>
        <v>GEDA</v>
      </c>
      <c r="J1198" s="471">
        <f>IFERROR(_xlfn.XLOOKUP(Table6[[#This Row],[Affected WTG]],'Basic Data'!$A:$A,'Basic Data'!$E:$E),"")</f>
        <v>3.846153846153845E-2</v>
      </c>
      <c r="K1198" s="102">
        <v>4960</v>
      </c>
      <c r="L1198" s="35" t="str">
        <f>IFERROR(_xlfn.XLOOKUP(Table6[[#This Row],[Error Code]],'Basic Data'!$AA:$AA,'Basic Data'!$AB:$AB),"Incorrect Error Code")</f>
        <v>Tower oscillation YF</v>
      </c>
      <c r="M1198" s="35" t="s">
        <v>291</v>
      </c>
      <c r="N1198" s="475"/>
      <c r="O1198" s="476">
        <v>0.9770833333333333</v>
      </c>
      <c r="P1198" s="476">
        <v>0.9770833333333333</v>
      </c>
      <c r="Q1198" s="477">
        <v>0.98888888888888893</v>
      </c>
      <c r="R1198" s="472">
        <f>IF(Table6[[#This Row],[Work Start TimeStamp]]="","",(Table6[[#This Row],[Work Start TimeStamp]]-Table6[[#This Row],[Fault Start TimeStamp]])*24)</f>
        <v>0</v>
      </c>
      <c r="S1198" s="472">
        <f>(Table6[[#This Row],[Fault Clearance time]]-Table6[[#This Row],[Work Start TimeStamp]])*24</f>
        <v>0.28333333333333499</v>
      </c>
      <c r="T1198" s="472">
        <f>(Table6[[#This Row],[Fault Clearance time]]-Table6[[#This Row],[Fault Start TimeStamp]])*24</f>
        <v>0.28333333333333499</v>
      </c>
      <c r="U1198" s="35" t="s">
        <v>1924</v>
      </c>
      <c r="V1198" s="102" t="s">
        <v>293</v>
      </c>
      <c r="W1198" s="478">
        <f>IFERROR(Table6[[#This Row],[Breakdown Time]]*Table6[[#This Row],[Plant Equivalent Weightage]],"")</f>
        <v>1.0897435897435958E-2</v>
      </c>
      <c r="X1198" s="473" t="s">
        <v>294</v>
      </c>
      <c r="Y1198" s="474" t="s">
        <v>339</v>
      </c>
      <c r="Z1198" s="102">
        <v>35130</v>
      </c>
      <c r="AA1198" s="468">
        <f>(Table6[[#This Row],[Paired WTG Generation for loss calculation]]/24)*Table6[[#This Row],[Breakdown Time]]</f>
        <v>414.72916666666907</v>
      </c>
      <c r="AB1198" s="102"/>
      <c r="AC1198" s="35"/>
      <c r="AD1198" s="35"/>
    </row>
    <row r="1199" spans="1:30">
      <c r="A1199" s="102">
        <f t="shared" si="19"/>
        <v>1198</v>
      </c>
      <c r="B1199" s="468">
        <f>YEAR(Table6[[#This Row],[Date]])+IF(MONTH(Table6[[#This Row],[Date]])&gt;=4,1,0)</f>
        <v>2026</v>
      </c>
      <c r="C1199" s="102">
        <f>YEAR(Table6[[#This Row],[Date]])</f>
        <v>2025</v>
      </c>
      <c r="D1199" s="102" t="s">
        <v>1992</v>
      </c>
      <c r="E1199" s="469">
        <f>Table6[[#This Row],[Date]]-DAY(Table6[[#This Row],[Date]])+1</f>
        <v>45809</v>
      </c>
      <c r="F1199" s="470">
        <v>45824</v>
      </c>
      <c r="G1199" s="35" t="s">
        <v>93</v>
      </c>
      <c r="H1199" s="35" t="str">
        <f>IFERROR(_xlfn.XLOOKUP(Table6[[#This Row],[Affected WTG]],'Basic Data'!$A:$A,'Basic Data'!$B:$B),"")</f>
        <v>TQGXIIPL</v>
      </c>
      <c r="I1199" s="35" t="str">
        <f>IFERROR(_xlfn.XLOOKUP(Table6[[#This Row],[Affected WTG]],'Basic Data'!$A:$A,'Basic Data'!$C:$C),"")</f>
        <v>GEDA</v>
      </c>
      <c r="J1199" s="471">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295</v>
      </c>
      <c r="N1199" s="475"/>
      <c r="O1199" s="476">
        <v>0.6</v>
      </c>
      <c r="P1199" s="476">
        <v>0.6</v>
      </c>
      <c r="Q1199" s="477">
        <v>0.67083333333333328</v>
      </c>
      <c r="R1199" s="472">
        <f>IF(Table6[[#This Row],[Work Start TimeStamp]]="","",(Table6[[#This Row],[Work Start TimeStamp]]-Table6[[#This Row],[Fault Start TimeStamp]])*24)</f>
        <v>0</v>
      </c>
      <c r="S1199" s="472">
        <f>(Table6[[#This Row],[Fault Clearance time]]-Table6[[#This Row],[Work Start TimeStamp]])*24</f>
        <v>1.6999999999999993</v>
      </c>
      <c r="T1199" s="472">
        <f>(Table6[[#This Row],[Fault Clearance time]]-Table6[[#This Row],[Fault Start TimeStamp]])*24</f>
        <v>1.6999999999999993</v>
      </c>
      <c r="U1199" s="35" t="s">
        <v>1972</v>
      </c>
      <c r="V1199" s="102" t="s">
        <v>293</v>
      </c>
      <c r="W1199" s="478">
        <f>IFERROR(Table6[[#This Row],[Breakdown Time]]*Table6[[#This Row],[Plant Equivalent Weightage]],"")</f>
        <v>6.5384615384615333E-2</v>
      </c>
      <c r="X1199" s="473" t="s">
        <v>294</v>
      </c>
      <c r="Y1199" s="474" t="s">
        <v>314</v>
      </c>
      <c r="Z1199" s="102">
        <v>35934</v>
      </c>
      <c r="AA1199" s="468">
        <f>(Table6[[#This Row],[Paired WTG Generation for loss calculation]]/24)*Table6[[#This Row],[Breakdown Time]]</f>
        <v>2545.3249999999989</v>
      </c>
      <c r="AB1199" s="102"/>
      <c r="AC1199" s="35"/>
      <c r="AD1199" s="35"/>
    </row>
    <row r="1200" spans="1:30">
      <c r="A1200" s="102">
        <f t="shared" si="19"/>
        <v>1199</v>
      </c>
      <c r="B1200" s="468">
        <f>YEAR(Table6[[#This Row],[Date]])+IF(MONTH(Table6[[#This Row],[Date]])&gt;=4,1,0)</f>
        <v>2026</v>
      </c>
      <c r="C1200" s="102">
        <f>YEAR(Table6[[#This Row],[Date]])</f>
        <v>2025</v>
      </c>
      <c r="D1200" s="102" t="s">
        <v>1992</v>
      </c>
      <c r="E1200" s="469">
        <f>Table6[[#This Row],[Date]]-DAY(Table6[[#This Row],[Date]])+1</f>
        <v>45809</v>
      </c>
      <c r="F1200" s="470">
        <v>45824</v>
      </c>
      <c r="G1200" s="35" t="s">
        <v>93</v>
      </c>
      <c r="H1200" s="35" t="str">
        <f>IFERROR(_xlfn.XLOOKUP(Table6[[#This Row],[Affected WTG]],'Basic Data'!$A:$A,'Basic Data'!$B:$B),"")</f>
        <v>TQGXIIPL</v>
      </c>
      <c r="I1200" s="35" t="str">
        <f>IFERROR(_xlfn.XLOOKUP(Table6[[#This Row],[Affected WTG]],'Basic Data'!$A:$A,'Basic Data'!$C:$C),"")</f>
        <v>GEDA</v>
      </c>
      <c r="J1200" s="471">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291</v>
      </c>
      <c r="N1200" s="475"/>
      <c r="O1200" s="476">
        <v>0.67083333333333328</v>
      </c>
      <c r="P1200" s="476">
        <v>0.67083333333333328</v>
      </c>
      <c r="Q1200" s="477">
        <v>0.71597222222222223</v>
      </c>
      <c r="R1200" s="472">
        <f>IF(Table6[[#This Row],[Work Start TimeStamp]]="","",(Table6[[#This Row],[Work Start TimeStamp]]-Table6[[#This Row],[Fault Start TimeStamp]])*24)</f>
        <v>0</v>
      </c>
      <c r="S1200" s="472">
        <f>(Table6[[#This Row],[Fault Clearance time]]-Table6[[#This Row],[Work Start TimeStamp]])*24</f>
        <v>1.0833333333333348</v>
      </c>
      <c r="T1200" s="472">
        <f>(Table6[[#This Row],[Fault Clearance time]]-Table6[[#This Row],[Fault Start TimeStamp]])*24</f>
        <v>1.0833333333333348</v>
      </c>
      <c r="U1200" s="35" t="s">
        <v>1973</v>
      </c>
      <c r="V1200" s="102" t="s">
        <v>293</v>
      </c>
      <c r="W1200" s="478">
        <f>IFERROR(Table6[[#This Row],[Breakdown Time]]*Table6[[#This Row],[Plant Equivalent Weightage]],"")</f>
        <v>4.1666666666666713E-2</v>
      </c>
      <c r="X1200" s="473" t="s">
        <v>290</v>
      </c>
      <c r="Y1200" s="474" t="s">
        <v>314</v>
      </c>
      <c r="Z1200" s="102">
        <v>35934</v>
      </c>
      <c r="AA1200" s="468">
        <f>(Table6[[#This Row],[Paired WTG Generation for loss calculation]]/24)*Table6[[#This Row],[Breakdown Time]]</f>
        <v>1622.0208333333355</v>
      </c>
      <c r="AB1200" s="102"/>
      <c r="AC1200" s="35"/>
      <c r="AD1200" s="35"/>
    </row>
    <row r="1201" spans="1:30">
      <c r="A1201" s="102">
        <f t="shared" si="19"/>
        <v>1200</v>
      </c>
      <c r="B1201" s="468">
        <f>YEAR(Table6[[#This Row],[Date]])+IF(MONTH(Table6[[#This Row],[Date]])&gt;=4,1,0)</f>
        <v>2026</v>
      </c>
      <c r="C1201" s="102">
        <f>YEAR(Table6[[#This Row],[Date]])</f>
        <v>2025</v>
      </c>
      <c r="D1201" s="102" t="s">
        <v>1992</v>
      </c>
      <c r="E1201" s="469">
        <f>Table6[[#This Row],[Date]]-DAY(Table6[[#This Row],[Date]])+1</f>
        <v>45809</v>
      </c>
      <c r="F1201" s="470">
        <v>45824</v>
      </c>
      <c r="G1201" s="35" t="s">
        <v>96</v>
      </c>
      <c r="H1201" s="35" t="str">
        <f>IFERROR(_xlfn.XLOOKUP(Table6[[#This Row],[Affected WTG]],'Basic Data'!$A:$A,'Basic Data'!$B:$B),"")</f>
        <v>TQGXIIPL</v>
      </c>
      <c r="I1201" s="35" t="str">
        <f>IFERROR(_xlfn.XLOOKUP(Table6[[#This Row],[Affected WTG]],'Basic Data'!$A:$A,'Basic Data'!$C:$C),"")</f>
        <v>GEDA</v>
      </c>
      <c r="J1201" s="471">
        <f>IFERROR(_xlfn.XLOOKUP(Table6[[#This Row],[Affected WTG]],'Basic Data'!$A:$A,'Basic Data'!$E:$E),"")</f>
        <v>3.846153846153845E-2</v>
      </c>
      <c r="K1201" s="102">
        <v>6130</v>
      </c>
      <c r="L1201" s="35" t="str">
        <f>IFERROR(_xlfn.XLOOKUP(Table6[[#This Row],[Error Code]],'Basic Data'!$AA:$AA,'Basic Data'!$AB:$AB),"Incorrect Error Code")</f>
        <v>Yaw speed high</v>
      </c>
      <c r="M1201" s="35" t="s">
        <v>292</v>
      </c>
      <c r="N1201" s="475"/>
      <c r="O1201" s="476">
        <v>0.74861111111111112</v>
      </c>
      <c r="P1201" s="476">
        <v>0.74861111111111112</v>
      </c>
      <c r="Q1201" s="477">
        <v>0.75</v>
      </c>
      <c r="R1201" s="472">
        <f>IF(Table6[[#This Row],[Work Start TimeStamp]]="","",(Table6[[#This Row],[Work Start TimeStamp]]-Table6[[#This Row],[Fault Start TimeStamp]])*24)</f>
        <v>0</v>
      </c>
      <c r="S1201" s="472">
        <f>(Table6[[#This Row],[Fault Clearance time]]-Table6[[#This Row],[Work Start TimeStamp]])*24</f>
        <v>3.3333333333333215E-2</v>
      </c>
      <c r="T1201" s="472">
        <f>(Table6[[#This Row],[Fault Clearance time]]-Table6[[#This Row],[Fault Start TimeStamp]])*24</f>
        <v>3.3333333333333215E-2</v>
      </c>
      <c r="U1201" s="35" t="s">
        <v>336</v>
      </c>
      <c r="V1201" s="102" t="s">
        <v>293</v>
      </c>
      <c r="W1201" s="478">
        <f>IFERROR(Table6[[#This Row],[Breakdown Time]]*Table6[[#This Row],[Plant Equivalent Weightage]],"")</f>
        <v>1.2820512820512771E-3</v>
      </c>
      <c r="X1201" s="473" t="s">
        <v>294</v>
      </c>
      <c r="Y1201" s="474" t="s">
        <v>313</v>
      </c>
      <c r="Z1201" s="102">
        <v>39549</v>
      </c>
      <c r="AA1201" s="468">
        <f>(Table6[[#This Row],[Paired WTG Generation for loss calculation]]/24)*Table6[[#This Row],[Breakdown Time]]</f>
        <v>54.929166666666468</v>
      </c>
      <c r="AB1201" s="102"/>
      <c r="AC1201" s="35"/>
      <c r="AD1201" s="35"/>
    </row>
    <row r="1202" spans="1:30">
      <c r="A1202" s="102">
        <f t="shared" si="19"/>
        <v>1201</v>
      </c>
      <c r="B1202" s="468">
        <f>YEAR(Table6[[#This Row],[Date]])+IF(MONTH(Table6[[#This Row],[Date]])&gt;=4,1,0)</f>
        <v>2026</v>
      </c>
      <c r="C1202" s="102">
        <f>YEAR(Table6[[#This Row],[Date]])</f>
        <v>2025</v>
      </c>
      <c r="D1202" s="102" t="s">
        <v>1992</v>
      </c>
      <c r="E1202" s="469">
        <f>Table6[[#This Row],[Date]]-DAY(Table6[[#This Row],[Date]])+1</f>
        <v>45809</v>
      </c>
      <c r="F1202" s="470">
        <v>45824</v>
      </c>
      <c r="G1202" s="35" t="s">
        <v>96</v>
      </c>
      <c r="H1202" s="35" t="str">
        <f>IFERROR(_xlfn.XLOOKUP(Table6[[#This Row],[Affected WTG]],'Basic Data'!$A:$A,'Basic Data'!$B:$B),"")</f>
        <v>TQGXIIPL</v>
      </c>
      <c r="I1202" s="35" t="str">
        <f>IFERROR(_xlfn.XLOOKUP(Table6[[#This Row],[Affected WTG]],'Basic Data'!$A:$A,'Basic Data'!$C:$C),"")</f>
        <v>GEDA</v>
      </c>
      <c r="J1202" s="471">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292</v>
      </c>
      <c r="N1202" s="475"/>
      <c r="O1202" s="476">
        <v>0.9604166666666667</v>
      </c>
      <c r="P1202" s="476">
        <v>0.9604166666666667</v>
      </c>
      <c r="Q1202" s="477">
        <v>0.96250000000000002</v>
      </c>
      <c r="R1202" s="472">
        <f>IF(Table6[[#This Row],[Work Start TimeStamp]]="","",(Table6[[#This Row],[Work Start TimeStamp]]-Table6[[#This Row],[Fault Start TimeStamp]])*24)</f>
        <v>0</v>
      </c>
      <c r="S1202" s="472">
        <f>(Table6[[#This Row],[Fault Clearance time]]-Table6[[#This Row],[Work Start TimeStamp]])*24</f>
        <v>4.9999999999999822E-2</v>
      </c>
      <c r="T1202" s="472">
        <f>(Table6[[#This Row],[Fault Clearance time]]-Table6[[#This Row],[Fault Start TimeStamp]])*24</f>
        <v>4.9999999999999822E-2</v>
      </c>
      <c r="U1202" s="35" t="s">
        <v>336</v>
      </c>
      <c r="V1202" s="102" t="s">
        <v>293</v>
      </c>
      <c r="W1202" s="478">
        <f>IFERROR(Table6[[#This Row],[Breakdown Time]]*Table6[[#This Row],[Plant Equivalent Weightage]],"")</f>
        <v>1.9230769230769156E-3</v>
      </c>
      <c r="X1202" s="473" t="s">
        <v>294</v>
      </c>
      <c r="Y1202" s="474" t="s">
        <v>313</v>
      </c>
      <c r="Z1202" s="102">
        <v>39549</v>
      </c>
      <c r="AA1202" s="468">
        <f>(Table6[[#This Row],[Paired WTG Generation for loss calculation]]/24)*Table6[[#This Row],[Breakdown Time]]</f>
        <v>82.393749999999713</v>
      </c>
      <c r="AB1202" s="102"/>
      <c r="AC1202" s="35"/>
      <c r="AD1202" s="35"/>
    </row>
    <row r="1203" spans="1:30">
      <c r="A1203" s="102">
        <f t="shared" si="19"/>
        <v>1202</v>
      </c>
      <c r="B1203" s="468">
        <f>YEAR(Table6[[#This Row],[Date]])+IF(MONTH(Table6[[#This Row],[Date]])&gt;=4,1,0)</f>
        <v>2026</v>
      </c>
      <c r="C1203" s="102">
        <f>YEAR(Table6[[#This Row],[Date]])</f>
        <v>2025</v>
      </c>
      <c r="D1203" s="102" t="s">
        <v>1992</v>
      </c>
      <c r="E1203" s="469">
        <f>Table6[[#This Row],[Date]]-DAY(Table6[[#This Row],[Date]])+1</f>
        <v>45809</v>
      </c>
      <c r="F1203" s="470">
        <v>45824</v>
      </c>
      <c r="G1203" s="35" t="s">
        <v>99</v>
      </c>
      <c r="H1203" s="35" t="str">
        <f>IFERROR(_xlfn.XLOOKUP(Table6[[#This Row],[Affected WTG]],'Basic Data'!$A:$A,'Basic Data'!$B:$B),"")</f>
        <v>TQGXIIPL</v>
      </c>
      <c r="I1203" s="35" t="str">
        <f>IFERROR(_xlfn.XLOOKUP(Table6[[#This Row],[Affected WTG]],'Basic Data'!$A:$A,'Basic Data'!$C:$C),"")</f>
        <v>GEDA</v>
      </c>
      <c r="J1203" s="471">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291</v>
      </c>
      <c r="N1203" s="475"/>
      <c r="O1203" s="476">
        <v>0.33958333333333335</v>
      </c>
      <c r="P1203" s="476">
        <v>0.33958333333333335</v>
      </c>
      <c r="Q1203" s="477">
        <v>0.34930555555555554</v>
      </c>
      <c r="R1203" s="472">
        <f>IF(Table6[[#This Row],[Work Start TimeStamp]]="","",(Table6[[#This Row],[Work Start TimeStamp]]-Table6[[#This Row],[Fault Start TimeStamp]])*24)</f>
        <v>0</v>
      </c>
      <c r="S1203" s="472">
        <f>(Table6[[#This Row],[Fault Clearance time]]-Table6[[#This Row],[Work Start TimeStamp]])*24</f>
        <v>0.2333333333333325</v>
      </c>
      <c r="T1203" s="472">
        <f>(Table6[[#This Row],[Fault Clearance time]]-Table6[[#This Row],[Fault Start TimeStamp]])*24</f>
        <v>0.2333333333333325</v>
      </c>
      <c r="U1203" s="35" t="s">
        <v>1858</v>
      </c>
      <c r="V1203" s="102" t="s">
        <v>293</v>
      </c>
      <c r="W1203" s="478">
        <f>IFERROR(Table6[[#This Row],[Breakdown Time]]*Table6[[#This Row],[Plant Equivalent Weightage]],"")</f>
        <v>8.974358974358939E-3</v>
      </c>
      <c r="X1203" s="473" t="s">
        <v>294</v>
      </c>
      <c r="Y1203" s="474" t="s">
        <v>315</v>
      </c>
      <c r="Z1203" s="102">
        <v>39130</v>
      </c>
      <c r="AA1203" s="468">
        <f>(Table6[[#This Row],[Paired WTG Generation for loss calculation]]/24)*Table6[[#This Row],[Breakdown Time]]</f>
        <v>380.43055555555424</v>
      </c>
      <c r="AB1203" s="102"/>
      <c r="AC1203" s="35"/>
      <c r="AD1203" s="35"/>
    </row>
    <row r="1204" spans="1:30">
      <c r="A1204" s="102">
        <f t="shared" si="19"/>
        <v>1203</v>
      </c>
      <c r="B1204" s="468">
        <f>YEAR(Table6[[#This Row],[Date]])+IF(MONTH(Table6[[#This Row],[Date]])&gt;=4,1,0)</f>
        <v>2026</v>
      </c>
      <c r="C1204" s="102">
        <f>YEAR(Table6[[#This Row],[Date]])</f>
        <v>2025</v>
      </c>
      <c r="D1204" s="102" t="s">
        <v>1992</v>
      </c>
      <c r="E1204" s="469">
        <f>Table6[[#This Row],[Date]]-DAY(Table6[[#This Row],[Date]])+1</f>
        <v>45809</v>
      </c>
      <c r="F1204" s="470">
        <v>45825</v>
      </c>
      <c r="G1204" s="35" t="s">
        <v>74</v>
      </c>
      <c r="H1204" s="35" t="str">
        <f>IFERROR(_xlfn.XLOOKUP(Table6[[#This Row],[Affected WTG]],'Basic Data'!$A:$A,'Basic Data'!$B:$B),"")</f>
        <v>TQGXIIPL</v>
      </c>
      <c r="I1204" s="35" t="str">
        <f>IFERROR(_xlfn.XLOOKUP(Table6[[#This Row],[Affected WTG]],'Basic Data'!$A:$A,'Basic Data'!$C:$C),"")</f>
        <v>GEDA</v>
      </c>
      <c r="J1204" s="471">
        <f>IFERROR(_xlfn.XLOOKUP(Table6[[#This Row],[Affected WTG]],'Basic Data'!$A:$A,'Basic Data'!$E:$E),"")</f>
        <v>3.846153846153845E-2</v>
      </c>
      <c r="K1204" s="102">
        <v>3211</v>
      </c>
      <c r="L1204" s="35" t="str">
        <f>IFERROR(_xlfn.XLOOKUP(Table6[[#This Row],[Error Code]],'Basic Data'!$AA:$AA,'Basic Data'!$AB:$AB),"Incorrect Error Code")</f>
        <v>Conv. load shedding (CAN)</v>
      </c>
      <c r="M1204" s="35" t="s">
        <v>291</v>
      </c>
      <c r="N1204" s="475"/>
      <c r="O1204" s="476">
        <v>0.16944444444444445</v>
      </c>
      <c r="P1204" s="476">
        <v>0.16944444444444445</v>
      </c>
      <c r="Q1204" s="477">
        <v>0.17569444444444443</v>
      </c>
      <c r="R1204" s="472">
        <f>IF(Table6[[#This Row],[Work Start TimeStamp]]="","",(Table6[[#This Row],[Work Start TimeStamp]]-Table6[[#This Row],[Fault Start TimeStamp]])*24)</f>
        <v>0</v>
      </c>
      <c r="S1204" s="472">
        <f>(Table6[[#This Row],[Fault Clearance time]]-Table6[[#This Row],[Work Start TimeStamp]])*24</f>
        <v>0.14999999999999947</v>
      </c>
      <c r="T1204" s="472">
        <f>(Table6[[#This Row],[Fault Clearance time]]-Table6[[#This Row],[Fault Start TimeStamp]])*24</f>
        <v>0.14999999999999947</v>
      </c>
      <c r="U1204" s="35" t="s">
        <v>1924</v>
      </c>
      <c r="V1204" s="102" t="s">
        <v>293</v>
      </c>
      <c r="W1204" s="478">
        <f>IFERROR(Table6[[#This Row],[Breakdown Time]]*Table6[[#This Row],[Plant Equivalent Weightage]],"")</f>
        <v>5.769230769230747E-3</v>
      </c>
      <c r="X1204" s="473" t="s">
        <v>294</v>
      </c>
      <c r="Y1204" s="474" t="s">
        <v>321</v>
      </c>
      <c r="Z1204" s="102">
        <v>37582</v>
      </c>
      <c r="AA1204" s="468">
        <f>(Table6[[#This Row],[Paired WTG Generation for loss calculation]]/24)*Table6[[#This Row],[Breakdown Time]]</f>
        <v>234.88749999999916</v>
      </c>
      <c r="AB1204" s="102"/>
      <c r="AC1204" s="35"/>
      <c r="AD1204" s="35"/>
    </row>
    <row r="1205" spans="1:30">
      <c r="A1205" s="102">
        <f t="shared" si="19"/>
        <v>1204</v>
      </c>
      <c r="B1205" s="468">
        <f>YEAR(Table6[[#This Row],[Date]])+IF(MONTH(Table6[[#This Row],[Date]])&gt;=4,1,0)</f>
        <v>2026</v>
      </c>
      <c r="C1205" s="102">
        <f>YEAR(Table6[[#This Row],[Date]])</f>
        <v>2025</v>
      </c>
      <c r="D1205" s="102" t="s">
        <v>1992</v>
      </c>
      <c r="E1205" s="469">
        <f>Table6[[#This Row],[Date]]-DAY(Table6[[#This Row],[Date]])+1</f>
        <v>45809</v>
      </c>
      <c r="F1205" s="470">
        <v>45825</v>
      </c>
      <c r="G1205" s="35" t="s">
        <v>78</v>
      </c>
      <c r="H1205" s="35" t="str">
        <f>IFERROR(_xlfn.XLOOKUP(Table6[[#This Row],[Affected WTG]],'Basic Data'!$A:$A,'Basic Data'!$B:$B),"")</f>
        <v>TQGXIIPL</v>
      </c>
      <c r="I1205" s="35" t="str">
        <f>IFERROR(_xlfn.XLOOKUP(Table6[[#This Row],[Affected WTG]],'Basic Data'!$A:$A,'Basic Data'!$C:$C),"")</f>
        <v>GEDA</v>
      </c>
      <c r="J1205" s="471">
        <f>IFERROR(_xlfn.XLOOKUP(Table6[[#This Row],[Affected WTG]],'Basic Data'!$A:$A,'Basic Data'!$E:$E),"")</f>
        <v>3.846153846153845E-2</v>
      </c>
      <c r="K1205" s="102">
        <v>3211</v>
      </c>
      <c r="L1205" s="35" t="str">
        <f>IFERROR(_xlfn.XLOOKUP(Table6[[#This Row],[Error Code]],'Basic Data'!$AA:$AA,'Basic Data'!$AB:$AB),"Incorrect Error Code")</f>
        <v>Conv. load shedding (CAN)</v>
      </c>
      <c r="M1205" s="35" t="s">
        <v>291</v>
      </c>
      <c r="N1205" s="475"/>
      <c r="O1205" s="476">
        <v>3.125E-2</v>
      </c>
      <c r="P1205" s="476">
        <v>3.125E-2</v>
      </c>
      <c r="Q1205" s="477">
        <v>4.2361111111111113E-2</v>
      </c>
      <c r="R1205" s="472">
        <f>IF(Table6[[#This Row],[Work Start TimeStamp]]="","",(Table6[[#This Row],[Work Start TimeStamp]]-Table6[[#This Row],[Fault Start TimeStamp]])*24)</f>
        <v>0</v>
      </c>
      <c r="S1205" s="472">
        <f>(Table6[[#This Row],[Fault Clearance time]]-Table6[[#This Row],[Work Start TimeStamp]])*24</f>
        <v>0.26666666666666672</v>
      </c>
      <c r="T1205" s="472">
        <f>(Table6[[#This Row],[Fault Clearance time]]-Table6[[#This Row],[Fault Start TimeStamp]])*24</f>
        <v>0.26666666666666672</v>
      </c>
      <c r="U1205" s="35" t="s">
        <v>1924</v>
      </c>
      <c r="V1205" s="102" t="s">
        <v>293</v>
      </c>
      <c r="W1205" s="478">
        <f>IFERROR(Table6[[#This Row],[Breakdown Time]]*Table6[[#This Row],[Plant Equivalent Weightage]],"")</f>
        <v>1.0256410256410255E-2</v>
      </c>
      <c r="X1205" s="473" t="s">
        <v>294</v>
      </c>
      <c r="Y1205" s="474" t="s">
        <v>333</v>
      </c>
      <c r="Z1205" s="102">
        <v>42080</v>
      </c>
      <c r="AA1205" s="468">
        <f>(Table6[[#This Row],[Paired WTG Generation for loss calculation]]/24)*Table6[[#This Row],[Breakdown Time]]</f>
        <v>467.5555555555556</v>
      </c>
      <c r="AB1205" s="102"/>
      <c r="AC1205" s="35"/>
      <c r="AD1205" s="35"/>
    </row>
    <row r="1206" spans="1:30">
      <c r="A1206" s="102">
        <f t="shared" si="19"/>
        <v>1205</v>
      </c>
      <c r="B1206" s="468">
        <f>YEAR(Table6[[#This Row],[Date]])+IF(MONTH(Table6[[#This Row],[Date]])&gt;=4,1,0)</f>
        <v>2026</v>
      </c>
      <c r="C1206" s="102">
        <f>YEAR(Table6[[#This Row],[Date]])</f>
        <v>2025</v>
      </c>
      <c r="D1206" s="102" t="s">
        <v>1992</v>
      </c>
      <c r="E1206" s="469">
        <f>Table6[[#This Row],[Date]]-DAY(Table6[[#This Row],[Date]])+1</f>
        <v>45809</v>
      </c>
      <c r="F1206" s="470">
        <v>45825</v>
      </c>
      <c r="G1206" s="35" t="s">
        <v>78</v>
      </c>
      <c r="H1206" s="35" t="str">
        <f>IFERROR(_xlfn.XLOOKUP(Table6[[#This Row],[Affected WTG]],'Basic Data'!$A:$A,'Basic Data'!$B:$B),"")</f>
        <v>TQGXIIPL</v>
      </c>
      <c r="I1206" s="35" t="str">
        <f>IFERROR(_xlfn.XLOOKUP(Table6[[#This Row],[Affected WTG]],'Basic Data'!$A:$A,'Basic Data'!$C:$C),"")</f>
        <v>GEDA</v>
      </c>
      <c r="J1206" s="471">
        <f>IFERROR(_xlfn.XLOOKUP(Table6[[#This Row],[Affected WTG]],'Basic Data'!$A:$A,'Basic Data'!$E:$E),"")</f>
        <v>3.846153846153845E-2</v>
      </c>
      <c r="K1206" s="102">
        <v>3110</v>
      </c>
      <c r="L1206" s="35" t="str">
        <f>IFERROR(_xlfn.XLOOKUP(Table6[[#This Row],[Error Code]],'Basic Data'!$AA:$AA,'Basic Data'!$AB:$AB),"Incorrect Error Code")</f>
        <v>Frequency converter error</v>
      </c>
      <c r="M1206" s="35" t="s">
        <v>291</v>
      </c>
      <c r="N1206" s="475"/>
      <c r="O1206" s="476">
        <v>7.2916666666666671E-2</v>
      </c>
      <c r="P1206" s="476">
        <v>7.2916666666666671E-2</v>
      </c>
      <c r="Q1206" s="477">
        <v>8.1250000000000003E-2</v>
      </c>
      <c r="R1206" s="472">
        <f>IF(Table6[[#This Row],[Work Start TimeStamp]]="","",(Table6[[#This Row],[Work Start TimeStamp]]-Table6[[#This Row],[Fault Start TimeStamp]])*24)</f>
        <v>0</v>
      </c>
      <c r="S1206" s="472">
        <f>(Table6[[#This Row],[Fault Clearance time]]-Table6[[#This Row],[Work Start TimeStamp]])*24</f>
        <v>0.19999999999999996</v>
      </c>
      <c r="T1206" s="472">
        <f>(Table6[[#This Row],[Fault Clearance time]]-Table6[[#This Row],[Fault Start TimeStamp]])*24</f>
        <v>0.19999999999999996</v>
      </c>
      <c r="U1206" s="35" t="s">
        <v>1924</v>
      </c>
      <c r="V1206" s="102" t="s">
        <v>293</v>
      </c>
      <c r="W1206" s="478">
        <f>IFERROR(Table6[[#This Row],[Breakdown Time]]*Table6[[#This Row],[Plant Equivalent Weightage]],"")</f>
        <v>7.6923076923076884E-3</v>
      </c>
      <c r="X1206" s="473" t="s">
        <v>294</v>
      </c>
      <c r="Y1206" s="474" t="s">
        <v>333</v>
      </c>
      <c r="Z1206" s="102">
        <v>42080</v>
      </c>
      <c r="AA1206" s="468">
        <f>(Table6[[#This Row],[Paired WTG Generation for loss calculation]]/24)*Table6[[#This Row],[Breakdown Time]]</f>
        <v>350.66666666666657</v>
      </c>
      <c r="AB1206" s="102"/>
      <c r="AC1206" s="35"/>
      <c r="AD1206" s="35"/>
    </row>
    <row r="1207" spans="1:30">
      <c r="A1207" s="102">
        <f t="shared" si="19"/>
        <v>1206</v>
      </c>
      <c r="B1207" s="468">
        <f>YEAR(Table6[[#This Row],[Date]])+IF(MONTH(Table6[[#This Row],[Date]])&gt;=4,1,0)</f>
        <v>2026</v>
      </c>
      <c r="C1207" s="102">
        <f>YEAR(Table6[[#This Row],[Date]])</f>
        <v>2025</v>
      </c>
      <c r="D1207" s="102" t="s">
        <v>1992</v>
      </c>
      <c r="E1207" s="469">
        <f>Table6[[#This Row],[Date]]-DAY(Table6[[#This Row],[Date]])+1</f>
        <v>45809</v>
      </c>
      <c r="F1207" s="470">
        <v>45825</v>
      </c>
      <c r="G1207" s="35" t="s">
        <v>78</v>
      </c>
      <c r="H1207" s="35" t="str">
        <f>IFERROR(_xlfn.XLOOKUP(Table6[[#This Row],[Affected WTG]],'Basic Data'!$A:$A,'Basic Data'!$B:$B),"")</f>
        <v>TQGXIIPL</v>
      </c>
      <c r="I1207" s="35" t="str">
        <f>IFERROR(_xlfn.XLOOKUP(Table6[[#This Row],[Affected WTG]],'Basic Data'!$A:$A,'Basic Data'!$C:$C),"")</f>
        <v>GEDA</v>
      </c>
      <c r="J1207" s="471">
        <f>IFERROR(_xlfn.XLOOKUP(Table6[[#This Row],[Affected WTG]],'Basic Data'!$A:$A,'Basic Data'!$E:$E),"")</f>
        <v>3.846153846153845E-2</v>
      </c>
      <c r="K1207" s="102">
        <v>3211</v>
      </c>
      <c r="L1207" s="35" t="str">
        <f>IFERROR(_xlfn.XLOOKUP(Table6[[#This Row],[Error Code]],'Basic Data'!$AA:$AA,'Basic Data'!$AB:$AB),"Incorrect Error Code")</f>
        <v>Conv. load shedding (CAN)</v>
      </c>
      <c r="M1207" s="35" t="s">
        <v>291</v>
      </c>
      <c r="N1207" s="475"/>
      <c r="O1207" s="476">
        <v>0.19513888888888889</v>
      </c>
      <c r="P1207" s="476">
        <v>0.19513888888888889</v>
      </c>
      <c r="Q1207" s="477">
        <v>0.19791666666666666</v>
      </c>
      <c r="R1207" s="472">
        <f>IF(Table6[[#This Row],[Work Start TimeStamp]]="","",(Table6[[#This Row],[Work Start TimeStamp]]-Table6[[#This Row],[Fault Start TimeStamp]])*24)</f>
        <v>0</v>
      </c>
      <c r="S1207" s="472">
        <f>(Table6[[#This Row],[Fault Clearance time]]-Table6[[#This Row],[Work Start TimeStamp]])*24</f>
        <v>6.666666666666643E-2</v>
      </c>
      <c r="T1207" s="472">
        <f>(Table6[[#This Row],[Fault Clearance time]]-Table6[[#This Row],[Fault Start TimeStamp]])*24</f>
        <v>6.666666666666643E-2</v>
      </c>
      <c r="U1207" s="35" t="s">
        <v>1924</v>
      </c>
      <c r="V1207" s="102" t="s">
        <v>293</v>
      </c>
      <c r="W1207" s="478">
        <f>IFERROR(Table6[[#This Row],[Breakdown Time]]*Table6[[#This Row],[Plant Equivalent Weightage]],"")</f>
        <v>2.5641025641025541E-3</v>
      </c>
      <c r="X1207" s="473" t="s">
        <v>294</v>
      </c>
      <c r="Y1207" s="474" t="s">
        <v>333</v>
      </c>
      <c r="Z1207" s="102">
        <v>42080</v>
      </c>
      <c r="AA1207" s="468">
        <f>(Table6[[#This Row],[Paired WTG Generation for loss calculation]]/24)*Table6[[#This Row],[Breakdown Time]]</f>
        <v>116.88888888888847</v>
      </c>
      <c r="AB1207" s="102"/>
      <c r="AC1207" s="35"/>
      <c r="AD1207" s="35"/>
    </row>
    <row r="1208" spans="1:30">
      <c r="A1208" s="102">
        <f t="shared" si="19"/>
        <v>1207</v>
      </c>
      <c r="B1208" s="468">
        <f>YEAR(Table6[[#This Row],[Date]])+IF(MONTH(Table6[[#This Row],[Date]])&gt;=4,1,0)</f>
        <v>2026</v>
      </c>
      <c r="C1208" s="102">
        <f>YEAR(Table6[[#This Row],[Date]])</f>
        <v>2025</v>
      </c>
      <c r="D1208" s="102" t="s">
        <v>1992</v>
      </c>
      <c r="E1208" s="469">
        <f>Table6[[#This Row],[Date]]-DAY(Table6[[#This Row],[Date]])+1</f>
        <v>45809</v>
      </c>
      <c r="F1208" s="470">
        <v>45825</v>
      </c>
      <c r="G1208" s="35" t="s">
        <v>84</v>
      </c>
      <c r="H1208" s="35" t="str">
        <f>IFERROR(_xlfn.XLOOKUP(Table6[[#This Row],[Affected WTG]],'Basic Data'!$A:$A,'Basic Data'!$B:$B),"")</f>
        <v>TQGXIIPL</v>
      </c>
      <c r="I1208" s="35" t="str">
        <f>IFERROR(_xlfn.XLOOKUP(Table6[[#This Row],[Affected WTG]],'Basic Data'!$A:$A,'Basic Data'!$C:$C),"")</f>
        <v>GEDA</v>
      </c>
      <c r="J1208" s="471">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291</v>
      </c>
      <c r="N1208" s="475"/>
      <c r="O1208" s="476">
        <v>0.12291666666666666</v>
      </c>
      <c r="P1208" s="476">
        <v>0.12291666666666666</v>
      </c>
      <c r="Q1208" s="477">
        <v>0.13402777777777777</v>
      </c>
      <c r="R1208" s="472">
        <f>IF(Table6[[#This Row],[Work Start TimeStamp]]="","",(Table6[[#This Row],[Work Start TimeStamp]]-Table6[[#This Row],[Fault Start TimeStamp]])*24)</f>
        <v>0</v>
      </c>
      <c r="S1208" s="472">
        <f>(Table6[[#This Row],[Fault Clearance time]]-Table6[[#This Row],[Work Start TimeStamp]])*24</f>
        <v>0.26666666666666672</v>
      </c>
      <c r="T1208" s="472">
        <f>(Table6[[#This Row],[Fault Clearance time]]-Table6[[#This Row],[Fault Start TimeStamp]])*24</f>
        <v>0.26666666666666672</v>
      </c>
      <c r="U1208" s="35" t="s">
        <v>1924</v>
      </c>
      <c r="V1208" s="102" t="s">
        <v>293</v>
      </c>
      <c r="W1208" s="478">
        <f>IFERROR(Table6[[#This Row],[Breakdown Time]]*Table6[[#This Row],[Plant Equivalent Weightage]],"")</f>
        <v>1.0256410256410255E-2</v>
      </c>
      <c r="X1208" s="473" t="s">
        <v>294</v>
      </c>
      <c r="Y1208" s="474" t="s">
        <v>326</v>
      </c>
      <c r="Z1208" s="102">
        <v>37389</v>
      </c>
      <c r="AA1208" s="468">
        <f>(Table6[[#This Row],[Paired WTG Generation for loss calculation]]/24)*Table6[[#This Row],[Breakdown Time]]</f>
        <v>415.43333333333339</v>
      </c>
      <c r="AB1208" s="102"/>
      <c r="AC1208" s="35"/>
      <c r="AD1208" s="35"/>
    </row>
    <row r="1209" spans="1:30">
      <c r="A1209" s="102">
        <f t="shared" si="19"/>
        <v>1208</v>
      </c>
      <c r="B1209" s="468">
        <f>YEAR(Table6[[#This Row],[Date]])+IF(MONTH(Table6[[#This Row],[Date]])&gt;=4,1,0)</f>
        <v>2026</v>
      </c>
      <c r="C1209" s="102">
        <f>YEAR(Table6[[#This Row],[Date]])</f>
        <v>2025</v>
      </c>
      <c r="D1209" s="102" t="s">
        <v>1992</v>
      </c>
      <c r="E1209" s="469">
        <f>Table6[[#This Row],[Date]]-DAY(Table6[[#This Row],[Date]])+1</f>
        <v>45809</v>
      </c>
      <c r="F1209" s="470">
        <v>45825</v>
      </c>
      <c r="G1209" s="35" t="s">
        <v>85</v>
      </c>
      <c r="H1209" s="35" t="str">
        <f>IFERROR(_xlfn.XLOOKUP(Table6[[#This Row],[Affected WTG]],'Basic Data'!$A:$A,'Basic Data'!$B:$B),"")</f>
        <v>TQGXIIPL</v>
      </c>
      <c r="I1209" s="35" t="str">
        <f>IFERROR(_xlfn.XLOOKUP(Table6[[#This Row],[Affected WTG]],'Basic Data'!$A:$A,'Basic Data'!$C:$C),"")</f>
        <v>GEDA</v>
      </c>
      <c r="J1209" s="471">
        <f>IFERROR(_xlfn.XLOOKUP(Table6[[#This Row],[Affected WTG]],'Basic Data'!$A:$A,'Basic Data'!$E:$E),"")</f>
        <v>3.846153846153845E-2</v>
      </c>
      <c r="K1209" s="102">
        <v>55</v>
      </c>
      <c r="L1209" s="35" t="str">
        <f>IFERROR(_xlfn.XLOOKUP(Table6[[#This Row],[Error Code]],'Basic Data'!$AA:$AA,'Basic Data'!$AB:$AB),"Incorrect Error Code")</f>
        <v>WTG shut down</v>
      </c>
      <c r="M1209" s="35" t="s">
        <v>295</v>
      </c>
      <c r="N1209" s="475"/>
      <c r="O1209" s="476">
        <v>0</v>
      </c>
      <c r="P1209" s="476">
        <v>0</v>
      </c>
      <c r="Q1209" s="477">
        <v>0.99998842592592596</v>
      </c>
      <c r="R1209" s="472">
        <f>IF(Table6[[#This Row],[Work Start TimeStamp]]="","",(Table6[[#This Row],[Work Start TimeStamp]]-Table6[[#This Row],[Fault Start TimeStamp]])*24)</f>
        <v>0</v>
      </c>
      <c r="S1209" s="472">
        <f>(Table6[[#This Row],[Fault Clearance time]]-Table6[[#This Row],[Work Start TimeStamp]])*24</f>
        <v>23.999722222222225</v>
      </c>
      <c r="T1209" s="472">
        <f>(Table6[[#This Row],[Fault Clearance time]]-Table6[[#This Row],[Fault Start TimeStamp]])*24</f>
        <v>23.999722222222225</v>
      </c>
      <c r="U1209" s="35" t="s">
        <v>1978</v>
      </c>
      <c r="V1209" s="102" t="s">
        <v>335</v>
      </c>
      <c r="W1209" s="478">
        <f>IFERROR(Table6[[#This Row],[Breakdown Time]]*Table6[[#This Row],[Plant Equivalent Weightage]],"")</f>
        <v>0.9230662393162391</v>
      </c>
      <c r="X1209" s="473" t="s">
        <v>290</v>
      </c>
      <c r="Y1209" s="474" t="s">
        <v>322</v>
      </c>
      <c r="Z1209" s="102">
        <v>38123</v>
      </c>
      <c r="AA1209" s="468">
        <f>(Table6[[#This Row],[Paired WTG Generation for loss calculation]]/24)*Table6[[#This Row],[Breakdown Time]]</f>
        <v>38122.558761574073</v>
      </c>
      <c r="AB1209" s="102"/>
      <c r="AC1209" s="35"/>
      <c r="AD1209" s="35"/>
    </row>
    <row r="1210" spans="1:30">
      <c r="A1210" s="102">
        <f t="shared" si="19"/>
        <v>1209</v>
      </c>
      <c r="B1210" s="468">
        <f>YEAR(Table6[[#This Row],[Date]])+IF(MONTH(Table6[[#This Row],[Date]])&gt;=4,1,0)</f>
        <v>2026</v>
      </c>
      <c r="C1210" s="102">
        <f>YEAR(Table6[[#This Row],[Date]])</f>
        <v>2025</v>
      </c>
      <c r="D1210" s="102" t="s">
        <v>1992</v>
      </c>
      <c r="E1210" s="469">
        <f>Table6[[#This Row],[Date]]-DAY(Table6[[#This Row],[Date]])+1</f>
        <v>45809</v>
      </c>
      <c r="F1210" s="470">
        <v>45825</v>
      </c>
      <c r="G1210" s="35" t="s">
        <v>90</v>
      </c>
      <c r="H1210" s="35" t="str">
        <f>IFERROR(_xlfn.XLOOKUP(Table6[[#This Row],[Affected WTG]],'Basic Data'!$A:$A,'Basic Data'!$B:$B),"")</f>
        <v>TQGXIIPL</v>
      </c>
      <c r="I1210" s="35" t="str">
        <f>IFERROR(_xlfn.XLOOKUP(Table6[[#This Row],[Affected WTG]],'Basic Data'!$A:$A,'Basic Data'!$C:$C),"")</f>
        <v>GEDA</v>
      </c>
      <c r="J1210" s="471">
        <f>IFERROR(_xlfn.XLOOKUP(Table6[[#This Row],[Affected WTG]],'Basic Data'!$A:$A,'Basic Data'!$E:$E),"")</f>
        <v>3.846153846153845E-2</v>
      </c>
      <c r="K1210" s="102">
        <v>3211</v>
      </c>
      <c r="L1210" s="35" t="str">
        <f>IFERROR(_xlfn.XLOOKUP(Table6[[#This Row],[Error Code]],'Basic Data'!$AA:$AA,'Basic Data'!$AB:$AB),"Incorrect Error Code")</f>
        <v>Conv. load shedding (CAN)</v>
      </c>
      <c r="M1210" s="35" t="s">
        <v>291</v>
      </c>
      <c r="N1210" s="475"/>
      <c r="O1210" s="476">
        <v>4.5138888888888888E-2</v>
      </c>
      <c r="P1210" s="476">
        <v>4.5138888888888888E-2</v>
      </c>
      <c r="Q1210" s="477">
        <v>5.6944444444444443E-2</v>
      </c>
      <c r="R1210" s="472">
        <f>IF(Table6[[#This Row],[Work Start TimeStamp]]="","",(Table6[[#This Row],[Work Start TimeStamp]]-Table6[[#This Row],[Fault Start TimeStamp]])*24)</f>
        <v>0</v>
      </c>
      <c r="S1210" s="472">
        <f>(Table6[[#This Row],[Fault Clearance time]]-Table6[[#This Row],[Work Start TimeStamp]])*24</f>
        <v>0.28333333333333333</v>
      </c>
      <c r="T1210" s="472">
        <f>(Table6[[#This Row],[Fault Clearance time]]-Table6[[#This Row],[Fault Start TimeStamp]])*24</f>
        <v>0.28333333333333333</v>
      </c>
      <c r="U1210" s="35" t="s">
        <v>1924</v>
      </c>
      <c r="V1210" s="102" t="s">
        <v>293</v>
      </c>
      <c r="W1210" s="478">
        <f>IFERROR(Table6[[#This Row],[Breakdown Time]]*Table6[[#This Row],[Plant Equivalent Weightage]],"")</f>
        <v>1.0897435897435893E-2</v>
      </c>
      <c r="X1210" s="473" t="s">
        <v>294</v>
      </c>
      <c r="Y1210" s="474" t="s">
        <v>339</v>
      </c>
      <c r="Z1210" s="102">
        <v>38185</v>
      </c>
      <c r="AA1210" s="468">
        <f>(Table6[[#This Row],[Paired WTG Generation for loss calculation]]/24)*Table6[[#This Row],[Breakdown Time]]</f>
        <v>450.79513888888891</v>
      </c>
      <c r="AB1210" s="102"/>
      <c r="AC1210" s="35"/>
      <c r="AD1210" s="35"/>
    </row>
    <row r="1211" spans="1:30">
      <c r="A1211" s="102">
        <f t="shared" si="19"/>
        <v>1210</v>
      </c>
      <c r="B1211" s="468">
        <f>YEAR(Table6[[#This Row],[Date]])+IF(MONTH(Table6[[#This Row],[Date]])&gt;=4,1,0)</f>
        <v>2026</v>
      </c>
      <c r="C1211" s="102">
        <f>YEAR(Table6[[#This Row],[Date]])</f>
        <v>2025</v>
      </c>
      <c r="D1211" s="102" t="s">
        <v>1992</v>
      </c>
      <c r="E1211" s="469">
        <f>Table6[[#This Row],[Date]]-DAY(Table6[[#This Row],[Date]])+1</f>
        <v>45809</v>
      </c>
      <c r="F1211" s="470">
        <v>45825</v>
      </c>
      <c r="G1211" s="35" t="s">
        <v>90</v>
      </c>
      <c r="H1211" s="35" t="str">
        <f>IFERROR(_xlfn.XLOOKUP(Table6[[#This Row],[Affected WTG]],'Basic Data'!$A:$A,'Basic Data'!$B:$B),"")</f>
        <v>TQGXIIPL</v>
      </c>
      <c r="I1211" s="35" t="str">
        <f>IFERROR(_xlfn.XLOOKUP(Table6[[#This Row],[Affected WTG]],'Basic Data'!$A:$A,'Basic Data'!$C:$C),"")</f>
        <v>GEDA</v>
      </c>
      <c r="J1211" s="471">
        <f>IFERROR(_xlfn.XLOOKUP(Table6[[#This Row],[Affected WTG]],'Basic Data'!$A:$A,'Basic Data'!$E:$E),"")</f>
        <v>3.846153846153845E-2</v>
      </c>
      <c r="K1211" s="102">
        <v>3110</v>
      </c>
      <c r="L1211" s="35" t="str">
        <f>IFERROR(_xlfn.XLOOKUP(Table6[[#This Row],[Error Code]],'Basic Data'!$AA:$AA,'Basic Data'!$AB:$AB),"Incorrect Error Code")</f>
        <v>Frequency converter error</v>
      </c>
      <c r="M1211" s="35" t="s">
        <v>291</v>
      </c>
      <c r="N1211" s="475"/>
      <c r="O1211" s="476">
        <v>0.1701388888888889</v>
      </c>
      <c r="P1211" s="476">
        <v>0.1701388888888889</v>
      </c>
      <c r="Q1211" s="477">
        <v>0.18124999999999999</v>
      </c>
      <c r="R1211" s="472">
        <f>IF(Table6[[#This Row],[Work Start TimeStamp]]="","",(Table6[[#This Row],[Work Start TimeStamp]]-Table6[[#This Row],[Fault Start TimeStamp]])*24)</f>
        <v>0</v>
      </c>
      <c r="S1211" s="472">
        <f>(Table6[[#This Row],[Fault Clearance time]]-Table6[[#This Row],[Work Start TimeStamp]])*24</f>
        <v>0.26666666666666639</v>
      </c>
      <c r="T1211" s="472">
        <f>(Table6[[#This Row],[Fault Clearance time]]-Table6[[#This Row],[Fault Start TimeStamp]])*24</f>
        <v>0.26666666666666639</v>
      </c>
      <c r="U1211" s="35" t="s">
        <v>1924</v>
      </c>
      <c r="V1211" s="102" t="s">
        <v>293</v>
      </c>
      <c r="W1211" s="478">
        <f>IFERROR(Table6[[#This Row],[Breakdown Time]]*Table6[[#This Row],[Plant Equivalent Weightage]],"")</f>
        <v>1.0256410256410243E-2</v>
      </c>
      <c r="X1211" s="473" t="s">
        <v>294</v>
      </c>
      <c r="Y1211" s="474" t="s">
        <v>339</v>
      </c>
      <c r="Z1211" s="102">
        <v>38185</v>
      </c>
      <c r="AA1211" s="468">
        <f>(Table6[[#This Row],[Paired WTG Generation for loss calculation]]/24)*Table6[[#This Row],[Breakdown Time]]</f>
        <v>424.27777777777737</v>
      </c>
      <c r="AB1211" s="102"/>
      <c r="AC1211" s="35"/>
      <c r="AD1211" s="35"/>
    </row>
    <row r="1212" spans="1:30">
      <c r="A1212" s="102">
        <f t="shared" si="19"/>
        <v>1211</v>
      </c>
      <c r="B1212" s="468">
        <f>YEAR(Table6[[#This Row],[Date]])+IF(MONTH(Table6[[#This Row],[Date]])&gt;=4,1,0)</f>
        <v>2026</v>
      </c>
      <c r="C1212" s="102">
        <f>YEAR(Table6[[#This Row],[Date]])</f>
        <v>2025</v>
      </c>
      <c r="D1212" s="102" t="s">
        <v>1992</v>
      </c>
      <c r="E1212" s="469">
        <f>Table6[[#This Row],[Date]]-DAY(Table6[[#This Row],[Date]])+1</f>
        <v>45809</v>
      </c>
      <c r="F1212" s="470">
        <v>45825</v>
      </c>
      <c r="G1212" s="35" t="s">
        <v>96</v>
      </c>
      <c r="H1212" s="35" t="str">
        <f>IFERROR(_xlfn.XLOOKUP(Table6[[#This Row],[Affected WTG]],'Basic Data'!$A:$A,'Basic Data'!$B:$B),"")</f>
        <v>TQGXIIPL</v>
      </c>
      <c r="I1212" s="35" t="str">
        <f>IFERROR(_xlfn.XLOOKUP(Table6[[#This Row],[Affected WTG]],'Basic Data'!$A:$A,'Basic Data'!$C:$C),"")</f>
        <v>GEDA</v>
      </c>
      <c r="J1212" s="471">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291</v>
      </c>
      <c r="N1212" s="475"/>
      <c r="O1212" s="476">
        <v>0.28819444444444442</v>
      </c>
      <c r="P1212" s="476">
        <v>0.28819444444444442</v>
      </c>
      <c r="Q1212" s="477">
        <v>0.29097222222222224</v>
      </c>
      <c r="R1212" s="472">
        <f>IF(Table6[[#This Row],[Work Start TimeStamp]]="","",(Table6[[#This Row],[Work Start TimeStamp]]-Table6[[#This Row],[Fault Start TimeStamp]])*24)</f>
        <v>0</v>
      </c>
      <c r="S1212" s="472">
        <f>(Table6[[#This Row],[Fault Clearance time]]-Table6[[#This Row],[Work Start TimeStamp]])*24</f>
        <v>6.6666666666667762E-2</v>
      </c>
      <c r="T1212" s="472">
        <f>(Table6[[#This Row],[Fault Clearance time]]-Table6[[#This Row],[Fault Start TimeStamp]])*24</f>
        <v>6.6666666666667762E-2</v>
      </c>
      <c r="U1212" s="35" t="s">
        <v>1924</v>
      </c>
      <c r="V1212" s="102" t="s">
        <v>293</v>
      </c>
      <c r="W1212" s="478">
        <f>IFERROR(Table6[[#This Row],[Breakdown Time]]*Table6[[#This Row],[Plant Equivalent Weightage]],"")</f>
        <v>2.5641025641026053E-3</v>
      </c>
      <c r="X1212" s="473" t="s">
        <v>294</v>
      </c>
      <c r="Y1212" s="474" t="s">
        <v>313</v>
      </c>
      <c r="Z1212" s="102">
        <v>36162</v>
      </c>
      <c r="AA1212" s="468">
        <f>(Table6[[#This Row],[Paired WTG Generation for loss calculation]]/24)*Table6[[#This Row],[Breakdown Time]]</f>
        <v>100.45000000000165</v>
      </c>
      <c r="AB1212" s="102"/>
      <c r="AC1212" s="35"/>
      <c r="AD1212" s="35"/>
    </row>
    <row r="1213" spans="1:30">
      <c r="A1213" s="102">
        <f t="shared" si="19"/>
        <v>1212</v>
      </c>
      <c r="B1213" s="468">
        <f>YEAR(Table6[[#This Row],[Date]])+IF(MONTH(Table6[[#This Row],[Date]])&gt;=4,1,0)</f>
        <v>2026</v>
      </c>
      <c r="C1213" s="102">
        <f>YEAR(Table6[[#This Row],[Date]])</f>
        <v>2025</v>
      </c>
      <c r="D1213" s="102" t="s">
        <v>1992</v>
      </c>
      <c r="E1213" s="469">
        <f>Table6[[#This Row],[Date]]-DAY(Table6[[#This Row],[Date]])+1</f>
        <v>45809</v>
      </c>
      <c r="F1213" s="470">
        <v>45825</v>
      </c>
      <c r="G1213" s="35" t="s">
        <v>98</v>
      </c>
      <c r="H1213" s="35" t="str">
        <f>IFERROR(_xlfn.XLOOKUP(Table6[[#This Row],[Affected WTG]],'Basic Data'!$A:$A,'Basic Data'!$B:$B),"")</f>
        <v>TQGXIIPL</v>
      </c>
      <c r="I1213" s="35" t="str">
        <f>IFERROR(_xlfn.XLOOKUP(Table6[[#This Row],[Affected WTG]],'Basic Data'!$A:$A,'Basic Data'!$C:$C),"")</f>
        <v>GEDA</v>
      </c>
      <c r="J1213" s="471">
        <f>IFERROR(_xlfn.XLOOKUP(Table6[[#This Row],[Affected WTG]],'Basic Data'!$A:$A,'Basic Data'!$E:$E),"")</f>
        <v>3.846153846153845E-2</v>
      </c>
      <c r="K1213" s="102">
        <v>3211</v>
      </c>
      <c r="L1213" s="35" t="str">
        <f>IFERROR(_xlfn.XLOOKUP(Table6[[#This Row],[Error Code]],'Basic Data'!$AA:$AA,'Basic Data'!$AB:$AB),"Incorrect Error Code")</f>
        <v>Conv. load shedding (CAN)</v>
      </c>
      <c r="M1213" s="35" t="s">
        <v>291</v>
      </c>
      <c r="N1213" s="475"/>
      <c r="O1213" s="476">
        <v>1.5277777777777777E-2</v>
      </c>
      <c r="P1213" s="476">
        <v>1.5277777777777777E-2</v>
      </c>
      <c r="Q1213" s="477">
        <v>2.9861111111111113E-2</v>
      </c>
      <c r="R1213" s="472">
        <f>IF(Table6[[#This Row],[Work Start TimeStamp]]="","",(Table6[[#This Row],[Work Start TimeStamp]]-Table6[[#This Row],[Fault Start TimeStamp]])*24)</f>
        <v>0</v>
      </c>
      <c r="S1213" s="472">
        <f>(Table6[[#This Row],[Fault Clearance time]]-Table6[[#This Row],[Work Start TimeStamp]])*24</f>
        <v>0.35000000000000003</v>
      </c>
      <c r="T1213" s="472">
        <f>(Table6[[#This Row],[Fault Clearance time]]-Table6[[#This Row],[Fault Start TimeStamp]])*24</f>
        <v>0.35000000000000003</v>
      </c>
      <c r="U1213" s="35" t="s">
        <v>1924</v>
      </c>
      <c r="V1213" s="102" t="s">
        <v>293</v>
      </c>
      <c r="W1213" s="478">
        <f>IFERROR(Table6[[#This Row],[Breakdown Time]]*Table6[[#This Row],[Plant Equivalent Weightage]],"")</f>
        <v>1.3461538461538459E-2</v>
      </c>
      <c r="X1213" s="473" t="s">
        <v>294</v>
      </c>
      <c r="Y1213" s="474" t="s">
        <v>315</v>
      </c>
      <c r="Z1213" s="102">
        <v>37729</v>
      </c>
      <c r="AA1213" s="468">
        <f>(Table6[[#This Row],[Paired WTG Generation for loss calculation]]/24)*Table6[[#This Row],[Breakdown Time]]</f>
        <v>550.21458333333339</v>
      </c>
      <c r="AB1213" s="102"/>
      <c r="AC1213" s="35"/>
      <c r="AD1213" s="35"/>
    </row>
    <row r="1214" spans="1:30">
      <c r="A1214" s="102">
        <f t="shared" si="19"/>
        <v>1213</v>
      </c>
      <c r="B1214" s="468">
        <f>YEAR(Table6[[#This Row],[Date]])+IF(MONTH(Table6[[#This Row],[Date]])&gt;=4,1,0)</f>
        <v>2026</v>
      </c>
      <c r="C1214" s="102">
        <f>YEAR(Table6[[#This Row],[Date]])</f>
        <v>2025</v>
      </c>
      <c r="D1214" s="102" t="s">
        <v>1992</v>
      </c>
      <c r="E1214" s="469">
        <f>Table6[[#This Row],[Date]]-DAY(Table6[[#This Row],[Date]])+1</f>
        <v>45809</v>
      </c>
      <c r="F1214" s="470">
        <v>45825</v>
      </c>
      <c r="G1214" s="35" t="s">
        <v>98</v>
      </c>
      <c r="H1214" s="35" t="str">
        <f>IFERROR(_xlfn.XLOOKUP(Table6[[#This Row],[Affected WTG]],'Basic Data'!$A:$A,'Basic Data'!$B:$B),"")</f>
        <v>TQGXIIPL</v>
      </c>
      <c r="I1214" s="35" t="str">
        <f>IFERROR(_xlfn.XLOOKUP(Table6[[#This Row],[Affected WTG]],'Basic Data'!$A:$A,'Basic Data'!$C:$C),"")</f>
        <v>GEDA</v>
      </c>
      <c r="J1214" s="471">
        <f>IFERROR(_xlfn.XLOOKUP(Table6[[#This Row],[Affected WTG]],'Basic Data'!$A:$A,'Basic Data'!$E:$E),"")</f>
        <v>3.846153846153845E-2</v>
      </c>
      <c r="K1214" s="102">
        <v>3211</v>
      </c>
      <c r="L1214" s="35" t="str">
        <f>IFERROR(_xlfn.XLOOKUP(Table6[[#This Row],[Error Code]],'Basic Data'!$AA:$AA,'Basic Data'!$AB:$AB),"Incorrect Error Code")</f>
        <v>Conv. load shedding (CAN)</v>
      </c>
      <c r="M1214" s="35" t="s">
        <v>291</v>
      </c>
      <c r="N1214" s="475"/>
      <c r="O1214" s="476">
        <v>8.8888888888888892E-2</v>
      </c>
      <c r="P1214" s="476">
        <v>8.8888888888888892E-2</v>
      </c>
      <c r="Q1214" s="477">
        <v>9.6527777777777782E-2</v>
      </c>
      <c r="R1214" s="472">
        <f>IF(Table6[[#This Row],[Work Start TimeStamp]]="","",(Table6[[#This Row],[Work Start TimeStamp]]-Table6[[#This Row],[Fault Start TimeStamp]])*24)</f>
        <v>0</v>
      </c>
      <c r="S1214" s="472">
        <f>(Table6[[#This Row],[Fault Clearance time]]-Table6[[#This Row],[Work Start TimeStamp]])*24</f>
        <v>0.18333333333333335</v>
      </c>
      <c r="T1214" s="472">
        <f>(Table6[[#This Row],[Fault Clearance time]]-Table6[[#This Row],[Fault Start TimeStamp]])*24</f>
        <v>0.18333333333333335</v>
      </c>
      <c r="U1214" s="35" t="s">
        <v>1924</v>
      </c>
      <c r="V1214" s="102" t="s">
        <v>293</v>
      </c>
      <c r="W1214" s="478">
        <f>IFERROR(Table6[[#This Row],[Breakdown Time]]*Table6[[#This Row],[Plant Equivalent Weightage]],"")</f>
        <v>7.0512820512820496E-3</v>
      </c>
      <c r="X1214" s="473" t="s">
        <v>294</v>
      </c>
      <c r="Y1214" s="474" t="s">
        <v>315</v>
      </c>
      <c r="Z1214" s="102">
        <v>37729</v>
      </c>
      <c r="AA1214" s="468">
        <f>(Table6[[#This Row],[Paired WTG Generation for loss calculation]]/24)*Table6[[#This Row],[Breakdown Time]]</f>
        <v>288.20763888888894</v>
      </c>
      <c r="AB1214" s="102"/>
      <c r="AC1214" s="35"/>
      <c r="AD1214" s="35"/>
    </row>
    <row r="1215" spans="1:30">
      <c r="A1215" s="102">
        <f t="shared" si="19"/>
        <v>1214</v>
      </c>
      <c r="B1215" s="468">
        <f>YEAR(Table6[[#This Row],[Date]])+IF(MONTH(Table6[[#This Row],[Date]])&gt;=4,1,0)</f>
        <v>2026</v>
      </c>
      <c r="C1215" s="102">
        <f>YEAR(Table6[[#This Row],[Date]])</f>
        <v>2025</v>
      </c>
      <c r="D1215" s="102" t="s">
        <v>1992</v>
      </c>
      <c r="E1215" s="469">
        <f>Table6[[#This Row],[Date]]-DAY(Table6[[#This Row],[Date]])+1</f>
        <v>45809</v>
      </c>
      <c r="F1215" s="470">
        <v>45826</v>
      </c>
      <c r="G1215" s="35" t="s">
        <v>76</v>
      </c>
      <c r="H1215" s="35" t="str">
        <f>IFERROR(_xlfn.XLOOKUP(Table6[[#This Row],[Affected WTG]],'Basic Data'!$A:$A,'Basic Data'!$B:$B),"")</f>
        <v>TQGXIIPL</v>
      </c>
      <c r="I1215" s="35" t="str">
        <f>IFERROR(_xlfn.XLOOKUP(Table6[[#This Row],[Affected WTG]],'Basic Data'!$A:$A,'Basic Data'!$C:$C),"")</f>
        <v>GEDA</v>
      </c>
      <c r="J1215" s="471">
        <f>IFERROR(_xlfn.XLOOKUP(Table6[[#This Row],[Affected WTG]],'Basic Data'!$A:$A,'Basic Data'!$E:$E),"")</f>
        <v>3.846153846153845E-2</v>
      </c>
      <c r="K1215" s="102">
        <v>520</v>
      </c>
      <c r="L1215" s="35" t="str">
        <f>IFERROR(_xlfn.XLOOKUP(Table6[[#This Row],[Error Code]],'Basic Data'!$AA:$AA,'Basic Data'!$AB:$AB),"Incorrect Error Code")</f>
        <v>Overload axis 1</v>
      </c>
      <c r="M1215" s="35" t="s">
        <v>291</v>
      </c>
      <c r="N1215" s="475"/>
      <c r="O1215" s="476">
        <v>3.8194444444444448E-2</v>
      </c>
      <c r="P1215" s="476">
        <v>3.8194444444444448E-2</v>
      </c>
      <c r="Q1215" s="477">
        <v>4.4444444444444446E-2</v>
      </c>
      <c r="R1215" s="472">
        <f>IF(Table6[[#This Row],[Work Start TimeStamp]]="","",(Table6[[#This Row],[Work Start TimeStamp]]-Table6[[#This Row],[Fault Start TimeStamp]])*24)</f>
        <v>0</v>
      </c>
      <c r="S1215" s="472">
        <f>(Table6[[#This Row],[Fault Clearance time]]-Table6[[#This Row],[Work Start TimeStamp]])*24</f>
        <v>0.14999999999999997</v>
      </c>
      <c r="T1215" s="472">
        <f>(Table6[[#This Row],[Fault Clearance time]]-Table6[[#This Row],[Fault Start TimeStamp]])*24</f>
        <v>0.14999999999999997</v>
      </c>
      <c r="U1215" s="35" t="s">
        <v>1924</v>
      </c>
      <c r="V1215" s="102" t="s">
        <v>293</v>
      </c>
      <c r="W1215" s="478">
        <f>IFERROR(Table6[[#This Row],[Breakdown Time]]*Table6[[#This Row],[Plant Equivalent Weightage]],"")</f>
        <v>5.7692307692307661E-3</v>
      </c>
      <c r="X1215" s="473" t="s">
        <v>294</v>
      </c>
      <c r="Y1215" s="474" t="s">
        <v>309</v>
      </c>
      <c r="Z1215" s="102">
        <v>43011</v>
      </c>
      <c r="AA1215" s="468">
        <f>(Table6[[#This Row],[Paired WTG Generation for loss calculation]]/24)*Table6[[#This Row],[Breakdown Time]]</f>
        <v>268.81874999999997</v>
      </c>
      <c r="AB1215" s="102"/>
      <c r="AC1215" s="35"/>
      <c r="AD1215" s="35"/>
    </row>
    <row r="1216" spans="1:30">
      <c r="A1216" s="102">
        <f t="shared" si="19"/>
        <v>1215</v>
      </c>
      <c r="B1216" s="468">
        <f>YEAR(Table6[[#This Row],[Date]])+IF(MONTH(Table6[[#This Row],[Date]])&gt;=4,1,0)</f>
        <v>2026</v>
      </c>
      <c r="C1216" s="102">
        <f>YEAR(Table6[[#This Row],[Date]])</f>
        <v>2025</v>
      </c>
      <c r="D1216" s="102" t="s">
        <v>1992</v>
      </c>
      <c r="E1216" s="469">
        <f>Table6[[#This Row],[Date]]-DAY(Table6[[#This Row],[Date]])+1</f>
        <v>45809</v>
      </c>
      <c r="F1216" s="470">
        <v>45826</v>
      </c>
      <c r="G1216" s="35" t="s">
        <v>81</v>
      </c>
      <c r="H1216" s="35" t="str">
        <f>IFERROR(_xlfn.XLOOKUP(Table6[[#This Row],[Affected WTG]],'Basic Data'!$A:$A,'Basic Data'!$B:$B),"")</f>
        <v>TQGXIIPL</v>
      </c>
      <c r="I1216" s="35" t="str">
        <f>IFERROR(_xlfn.XLOOKUP(Table6[[#This Row],[Affected WTG]],'Basic Data'!$A:$A,'Basic Data'!$C:$C),"")</f>
        <v>GEDA</v>
      </c>
      <c r="J1216" s="471">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291</v>
      </c>
      <c r="N1216" s="475"/>
      <c r="O1216" s="476">
        <v>0.77708333333333335</v>
      </c>
      <c r="P1216" s="476">
        <v>0.77708333333333335</v>
      </c>
      <c r="Q1216" s="477">
        <v>0.81458333333333333</v>
      </c>
      <c r="R1216" s="472">
        <f>IF(Table6[[#This Row],[Work Start TimeStamp]]="","",(Table6[[#This Row],[Work Start TimeStamp]]-Table6[[#This Row],[Fault Start TimeStamp]])*24)</f>
        <v>0</v>
      </c>
      <c r="S1216" s="472">
        <f>(Table6[[#This Row],[Fault Clearance time]]-Table6[[#This Row],[Work Start TimeStamp]])*24</f>
        <v>0.89999999999999947</v>
      </c>
      <c r="T1216" s="472">
        <f>(Table6[[#This Row],[Fault Clearance time]]-Table6[[#This Row],[Fault Start TimeStamp]])*24</f>
        <v>0.89999999999999947</v>
      </c>
      <c r="U1216" s="35" t="s">
        <v>1979</v>
      </c>
      <c r="V1216" s="102" t="s">
        <v>293</v>
      </c>
      <c r="W1216" s="478">
        <f>IFERROR(Table6[[#This Row],[Breakdown Time]]*Table6[[#This Row],[Plant Equivalent Weightage]],"")</f>
        <v>3.4615384615384583E-2</v>
      </c>
      <c r="X1216" s="473" t="s">
        <v>294</v>
      </c>
      <c r="Y1216" s="474" t="s">
        <v>321</v>
      </c>
      <c r="Z1216" s="102">
        <v>46495</v>
      </c>
      <c r="AA1216" s="468">
        <f>(Table6[[#This Row],[Paired WTG Generation for loss calculation]]/24)*Table6[[#This Row],[Breakdown Time]]</f>
        <v>1743.5624999999991</v>
      </c>
      <c r="AB1216" s="102"/>
      <c r="AC1216" s="35"/>
      <c r="AD1216" s="35"/>
    </row>
    <row r="1217" spans="1:30">
      <c r="A1217" s="102">
        <f t="shared" si="19"/>
        <v>1216</v>
      </c>
      <c r="B1217" s="468">
        <f>YEAR(Table6[[#This Row],[Date]])+IF(MONTH(Table6[[#This Row],[Date]])&gt;=4,1,0)</f>
        <v>2026</v>
      </c>
      <c r="C1217" s="102">
        <f>YEAR(Table6[[#This Row],[Date]])</f>
        <v>2025</v>
      </c>
      <c r="D1217" s="102" t="s">
        <v>1992</v>
      </c>
      <c r="E1217" s="469">
        <f>Table6[[#This Row],[Date]]-DAY(Table6[[#This Row],[Date]])+1</f>
        <v>45809</v>
      </c>
      <c r="F1217" s="470">
        <v>45826</v>
      </c>
      <c r="G1217" s="35" t="s">
        <v>81</v>
      </c>
      <c r="H1217" s="35" t="str">
        <f>IFERROR(_xlfn.XLOOKUP(Table6[[#This Row],[Affected WTG]],'Basic Data'!$A:$A,'Basic Data'!$B:$B),"")</f>
        <v>TQGXIIPL</v>
      </c>
      <c r="I1217" s="35" t="str">
        <f>IFERROR(_xlfn.XLOOKUP(Table6[[#This Row],[Affected WTG]],'Basic Data'!$A:$A,'Basic Data'!$C:$C),"")</f>
        <v>GEDA</v>
      </c>
      <c r="J1217" s="471">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291</v>
      </c>
      <c r="N1217" s="475"/>
      <c r="O1217" s="476">
        <v>0.87777777777777777</v>
      </c>
      <c r="P1217" s="476">
        <v>0.90972222222222221</v>
      </c>
      <c r="Q1217" s="477">
        <v>0.97777777777777775</v>
      </c>
      <c r="R1217" s="472">
        <f>IF(Table6[[#This Row],[Work Start TimeStamp]]="","",(Table6[[#This Row],[Work Start TimeStamp]]-Table6[[#This Row],[Fault Start TimeStamp]])*24)</f>
        <v>0.76666666666666661</v>
      </c>
      <c r="S1217" s="472">
        <f>(Table6[[#This Row],[Fault Clearance time]]-Table6[[#This Row],[Work Start TimeStamp]])*24</f>
        <v>1.6333333333333329</v>
      </c>
      <c r="T1217" s="472">
        <f>(Table6[[#This Row],[Fault Clearance time]]-Table6[[#This Row],[Fault Start TimeStamp]])*24</f>
        <v>2.3999999999999995</v>
      </c>
      <c r="U1217" s="35" t="s">
        <v>1980</v>
      </c>
      <c r="V1217" s="102" t="s">
        <v>293</v>
      </c>
      <c r="W1217" s="478">
        <f>IFERROR(Table6[[#This Row],[Breakdown Time]]*Table6[[#This Row],[Plant Equivalent Weightage]],"")</f>
        <v>9.2307692307692257E-2</v>
      </c>
      <c r="X1217" s="473" t="s">
        <v>290</v>
      </c>
      <c r="Y1217" s="474" t="s">
        <v>321</v>
      </c>
      <c r="Z1217" s="102">
        <v>46495</v>
      </c>
      <c r="AA1217" s="468">
        <f>(Table6[[#This Row],[Paired WTG Generation for loss calculation]]/24)*Table6[[#This Row],[Breakdown Time]]</f>
        <v>4649.4999999999991</v>
      </c>
      <c r="AB1217" s="102"/>
      <c r="AC1217" s="35"/>
      <c r="AD1217" s="35"/>
    </row>
    <row r="1218" spans="1:30">
      <c r="A1218" s="102">
        <f t="shared" si="19"/>
        <v>1217</v>
      </c>
      <c r="B1218" s="468">
        <f>YEAR(Table6[[#This Row],[Date]])+IF(MONTH(Table6[[#This Row],[Date]])&gt;=4,1,0)</f>
        <v>2026</v>
      </c>
      <c r="C1218" s="102">
        <f>YEAR(Table6[[#This Row],[Date]])</f>
        <v>2025</v>
      </c>
      <c r="D1218" s="102" t="s">
        <v>1992</v>
      </c>
      <c r="E1218" s="469">
        <f>Table6[[#This Row],[Date]]-DAY(Table6[[#This Row],[Date]])+1</f>
        <v>45809</v>
      </c>
      <c r="F1218" s="470">
        <v>45826</v>
      </c>
      <c r="G1218" s="35" t="s">
        <v>85</v>
      </c>
      <c r="H1218" s="35" t="str">
        <f>IFERROR(_xlfn.XLOOKUP(Table6[[#This Row],[Affected WTG]],'Basic Data'!$A:$A,'Basic Data'!$B:$B),"")</f>
        <v>TQGXIIPL</v>
      </c>
      <c r="I1218" s="35" t="str">
        <f>IFERROR(_xlfn.XLOOKUP(Table6[[#This Row],[Affected WTG]],'Basic Data'!$A:$A,'Basic Data'!$C:$C),"")</f>
        <v>GEDA</v>
      </c>
      <c r="J1218" s="471">
        <f>IFERROR(_xlfn.XLOOKUP(Table6[[#This Row],[Affected WTG]],'Basic Data'!$A:$A,'Basic Data'!$E:$E),"")</f>
        <v>3.846153846153845E-2</v>
      </c>
      <c r="K1218" s="102">
        <v>55</v>
      </c>
      <c r="L1218" s="35" t="str">
        <f>IFERROR(_xlfn.XLOOKUP(Table6[[#This Row],[Error Code]],'Basic Data'!$AA:$AA,'Basic Data'!$AB:$AB),"Incorrect Error Code")</f>
        <v>WTG shut down</v>
      </c>
      <c r="M1218" s="35" t="s">
        <v>295</v>
      </c>
      <c r="N1218" s="475"/>
      <c r="O1218" s="476">
        <v>0</v>
      </c>
      <c r="P1218" s="476">
        <v>0</v>
      </c>
      <c r="Q1218" s="477">
        <v>0.99998842592592596</v>
      </c>
      <c r="R1218" s="472">
        <f>IF(Table6[[#This Row],[Work Start TimeStamp]]="","",(Table6[[#This Row],[Work Start TimeStamp]]-Table6[[#This Row],[Fault Start TimeStamp]])*24)</f>
        <v>0</v>
      </c>
      <c r="S1218" s="472">
        <f>(Table6[[#This Row],[Fault Clearance time]]-Table6[[#This Row],[Work Start TimeStamp]])*24</f>
        <v>23.999722222222225</v>
      </c>
      <c r="T1218" s="472">
        <f>(Table6[[#This Row],[Fault Clearance time]]-Table6[[#This Row],[Fault Start TimeStamp]])*24</f>
        <v>23.999722222222225</v>
      </c>
      <c r="U1218" s="35" t="s">
        <v>2011</v>
      </c>
      <c r="V1218" s="102" t="s">
        <v>335</v>
      </c>
      <c r="W1218" s="478">
        <f>IFERROR(Table6[[#This Row],[Breakdown Time]]*Table6[[#This Row],[Plant Equivalent Weightage]],"")</f>
        <v>0.9230662393162391</v>
      </c>
      <c r="X1218" s="473" t="s">
        <v>523</v>
      </c>
      <c r="Y1218" s="474" t="s">
        <v>322</v>
      </c>
      <c r="Z1218" s="102">
        <v>45291</v>
      </c>
      <c r="AA1218" s="468">
        <f>(Table6[[#This Row],[Paired WTG Generation for loss calculation]]/24)*Table6[[#This Row],[Breakdown Time]]</f>
        <v>45290.475798611114</v>
      </c>
      <c r="AB1218" s="102"/>
      <c r="AC1218" s="35"/>
      <c r="AD1218" s="35"/>
    </row>
    <row r="1219" spans="1:30">
      <c r="A1219" s="102">
        <f t="shared" si="19"/>
        <v>1218</v>
      </c>
      <c r="B1219" s="468">
        <f>YEAR(Table6[[#This Row],[Date]])+IF(MONTH(Table6[[#This Row],[Date]])&gt;=4,1,0)</f>
        <v>2026</v>
      </c>
      <c r="C1219" s="102">
        <f>YEAR(Table6[[#This Row],[Date]])</f>
        <v>2025</v>
      </c>
      <c r="D1219" s="102" t="s">
        <v>1992</v>
      </c>
      <c r="E1219" s="469">
        <f>Table6[[#This Row],[Date]]-DAY(Table6[[#This Row],[Date]])+1</f>
        <v>45809</v>
      </c>
      <c r="F1219" s="470">
        <v>45826</v>
      </c>
      <c r="G1219" s="35" t="s">
        <v>96</v>
      </c>
      <c r="H1219" s="35" t="str">
        <f>IFERROR(_xlfn.XLOOKUP(Table6[[#This Row],[Affected WTG]],'Basic Data'!$A:$A,'Basic Data'!$B:$B),"")</f>
        <v>TQGXIIPL</v>
      </c>
      <c r="I1219" s="35" t="str">
        <f>IFERROR(_xlfn.XLOOKUP(Table6[[#This Row],[Affected WTG]],'Basic Data'!$A:$A,'Basic Data'!$C:$C),"")</f>
        <v>GEDA</v>
      </c>
      <c r="J1219" s="471">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291</v>
      </c>
      <c r="N1219" s="475"/>
      <c r="O1219" s="476">
        <v>0.31597222222222221</v>
      </c>
      <c r="P1219" s="476">
        <v>0.31597222222222221</v>
      </c>
      <c r="Q1219" s="477">
        <v>0.31666666666666665</v>
      </c>
      <c r="R1219" s="472">
        <f>IF(Table6[[#This Row],[Work Start TimeStamp]]="","",(Table6[[#This Row],[Work Start TimeStamp]]-Table6[[#This Row],[Fault Start TimeStamp]])*24)</f>
        <v>0</v>
      </c>
      <c r="S1219" s="472">
        <f>(Table6[[#This Row],[Fault Clearance time]]-Table6[[#This Row],[Work Start TimeStamp]])*24</f>
        <v>1.6666666666666607E-2</v>
      </c>
      <c r="T1219" s="472">
        <f>(Table6[[#This Row],[Fault Clearance time]]-Table6[[#This Row],[Fault Start TimeStamp]])*24</f>
        <v>1.6666666666666607E-2</v>
      </c>
      <c r="U1219" s="35" t="s">
        <v>1924</v>
      </c>
      <c r="V1219" s="102" t="s">
        <v>293</v>
      </c>
      <c r="W1219" s="478">
        <f>IFERROR(Table6[[#This Row],[Breakdown Time]]*Table6[[#This Row],[Plant Equivalent Weightage]],"")</f>
        <v>6.4102564102563853E-4</v>
      </c>
      <c r="X1219" s="473" t="s">
        <v>294</v>
      </c>
      <c r="Y1219" s="474" t="s">
        <v>313</v>
      </c>
      <c r="Z1219" s="102">
        <v>44761</v>
      </c>
      <c r="AA1219" s="468">
        <f>(Table6[[#This Row],[Paired WTG Generation for loss calculation]]/24)*Table6[[#This Row],[Breakdown Time]]</f>
        <v>31.084027777777667</v>
      </c>
      <c r="AB1219" s="102"/>
      <c r="AC1219" s="35"/>
      <c r="AD1219" s="35"/>
    </row>
    <row r="1220" spans="1:30">
      <c r="A1220" s="102">
        <f t="shared" si="19"/>
        <v>1219</v>
      </c>
      <c r="B1220" s="468">
        <f>YEAR(Table6[[#This Row],[Date]])+IF(MONTH(Table6[[#This Row],[Date]])&gt;=4,1,0)</f>
        <v>2026</v>
      </c>
      <c r="C1220" s="102">
        <f>YEAR(Table6[[#This Row],[Date]])</f>
        <v>2025</v>
      </c>
      <c r="D1220" s="102" t="s">
        <v>1992</v>
      </c>
      <c r="E1220" s="469">
        <f>Table6[[#This Row],[Date]]-DAY(Table6[[#This Row],[Date]])+1</f>
        <v>45809</v>
      </c>
      <c r="F1220" s="470">
        <v>45827</v>
      </c>
      <c r="G1220" s="35" t="s">
        <v>74</v>
      </c>
      <c r="H1220" s="35" t="str">
        <f>IFERROR(_xlfn.XLOOKUP(Table6[[#This Row],[Affected WTG]],'Basic Data'!$A:$A,'Basic Data'!$B:$B),"")</f>
        <v>TQGXIIPL</v>
      </c>
      <c r="I1220" s="35" t="str">
        <f>IFERROR(_xlfn.XLOOKUP(Table6[[#This Row],[Affected WTG]],'Basic Data'!$A:$A,'Basic Data'!$C:$C),"")</f>
        <v>GEDA</v>
      </c>
      <c r="J1220" s="471">
        <f>IFERROR(_xlfn.XLOOKUP(Table6[[#This Row],[Affected WTG]],'Basic Data'!$A:$A,'Basic Data'!$E:$E),"")</f>
        <v>3.846153846153845E-2</v>
      </c>
      <c r="K1220" s="102">
        <v>6130</v>
      </c>
      <c r="L1220" s="35" t="str">
        <f>IFERROR(_xlfn.XLOOKUP(Table6[[#This Row],[Error Code]],'Basic Data'!$AA:$AA,'Basic Data'!$AB:$AB),"Incorrect Error Code")</f>
        <v>Yaw speed high</v>
      </c>
      <c r="M1220" s="35" t="s">
        <v>291</v>
      </c>
      <c r="N1220" s="475"/>
      <c r="O1220" s="476">
        <v>0.43472222222222223</v>
      </c>
      <c r="P1220" s="476">
        <v>0.43472222222222223</v>
      </c>
      <c r="Q1220" s="477">
        <v>0.43680555555555556</v>
      </c>
      <c r="R1220" s="472">
        <f>IF(Table6[[#This Row],[Work Start TimeStamp]]="","",(Table6[[#This Row],[Work Start TimeStamp]]-Table6[[#This Row],[Fault Start TimeStamp]])*24)</f>
        <v>0</v>
      </c>
      <c r="S1220" s="472">
        <f>(Table6[[#This Row],[Fault Clearance time]]-Table6[[#This Row],[Work Start TimeStamp]])*24</f>
        <v>4.9999999999999822E-2</v>
      </c>
      <c r="T1220" s="472">
        <f>(Table6[[#This Row],[Fault Clearance time]]-Table6[[#This Row],[Fault Start TimeStamp]])*24</f>
        <v>4.9999999999999822E-2</v>
      </c>
      <c r="U1220" s="35" t="s">
        <v>1924</v>
      </c>
      <c r="V1220" s="102" t="s">
        <v>293</v>
      </c>
      <c r="W1220" s="478">
        <f>IFERROR(Table6[[#This Row],[Breakdown Time]]*Table6[[#This Row],[Plant Equivalent Weightage]],"")</f>
        <v>1.9230769230769156E-3</v>
      </c>
      <c r="X1220" s="473" t="s">
        <v>294</v>
      </c>
      <c r="Y1220" s="474" t="s">
        <v>321</v>
      </c>
      <c r="Z1220" s="102">
        <v>61863</v>
      </c>
      <c r="AA1220" s="468">
        <f>(Table6[[#This Row],[Paired WTG Generation for loss calculation]]/24)*Table6[[#This Row],[Breakdown Time]]</f>
        <v>128.88124999999954</v>
      </c>
      <c r="AB1220" s="102"/>
      <c r="AC1220" s="35"/>
      <c r="AD1220" s="35"/>
    </row>
    <row r="1221" spans="1:30">
      <c r="A1221" s="102">
        <f t="shared" si="19"/>
        <v>1220</v>
      </c>
      <c r="B1221" s="468">
        <f>YEAR(Table6[[#This Row],[Date]])+IF(MONTH(Table6[[#This Row],[Date]])&gt;=4,1,0)</f>
        <v>2026</v>
      </c>
      <c r="C1221" s="102">
        <f>YEAR(Table6[[#This Row],[Date]])</f>
        <v>2025</v>
      </c>
      <c r="D1221" s="102" t="s">
        <v>1992</v>
      </c>
      <c r="E1221" s="469">
        <f>Table6[[#This Row],[Date]]-DAY(Table6[[#This Row],[Date]])+1</f>
        <v>45809</v>
      </c>
      <c r="F1221" s="470">
        <v>45827</v>
      </c>
      <c r="G1221" s="35" t="s">
        <v>78</v>
      </c>
      <c r="H1221" s="35" t="str">
        <f>IFERROR(_xlfn.XLOOKUP(Table6[[#This Row],[Affected WTG]],'Basic Data'!$A:$A,'Basic Data'!$B:$B),"")</f>
        <v>TQGXIIPL</v>
      </c>
      <c r="I1221" s="35" t="str">
        <f>IFERROR(_xlfn.XLOOKUP(Table6[[#This Row],[Affected WTG]],'Basic Data'!$A:$A,'Basic Data'!$C:$C),"")</f>
        <v>GEDA</v>
      </c>
      <c r="J1221" s="471">
        <f>IFERROR(_xlfn.XLOOKUP(Table6[[#This Row],[Affected WTG]],'Basic Data'!$A:$A,'Basic Data'!$E:$E),"")</f>
        <v>3.846153846153845E-2</v>
      </c>
      <c r="K1221" s="102">
        <v>3110</v>
      </c>
      <c r="L1221" s="35" t="str">
        <f>IFERROR(_xlfn.XLOOKUP(Table6[[#This Row],[Error Code]],'Basic Data'!$AA:$AA,'Basic Data'!$AB:$AB),"Incorrect Error Code")</f>
        <v>Frequency converter error</v>
      </c>
      <c r="M1221" s="35" t="s">
        <v>291</v>
      </c>
      <c r="N1221" s="475"/>
      <c r="O1221" s="476">
        <v>0.10972222222222222</v>
      </c>
      <c r="P1221" s="476">
        <v>0.10972222222222222</v>
      </c>
      <c r="Q1221" s="477">
        <v>0.11736111111111111</v>
      </c>
      <c r="R1221" s="472">
        <f>IF(Table6[[#This Row],[Work Start TimeStamp]]="","",(Table6[[#This Row],[Work Start TimeStamp]]-Table6[[#This Row],[Fault Start TimeStamp]])*24)</f>
        <v>0</v>
      </c>
      <c r="S1221" s="472">
        <f>(Table6[[#This Row],[Fault Clearance time]]-Table6[[#This Row],[Work Start TimeStamp]])*24</f>
        <v>0.18333333333333335</v>
      </c>
      <c r="T1221" s="472">
        <f>(Table6[[#This Row],[Fault Clearance time]]-Table6[[#This Row],[Fault Start TimeStamp]])*24</f>
        <v>0.18333333333333335</v>
      </c>
      <c r="U1221" s="35" t="s">
        <v>1981</v>
      </c>
      <c r="V1221" s="102" t="s">
        <v>293</v>
      </c>
      <c r="W1221" s="478">
        <f>IFERROR(Table6[[#This Row],[Breakdown Time]]*Table6[[#This Row],[Plant Equivalent Weightage]],"")</f>
        <v>7.0512820512820496E-3</v>
      </c>
      <c r="X1221" s="473" t="s">
        <v>294</v>
      </c>
      <c r="Y1221" s="474" t="s">
        <v>333</v>
      </c>
      <c r="Z1221" s="102">
        <v>61807</v>
      </c>
      <c r="AA1221" s="468">
        <f>(Table6[[#This Row],[Paired WTG Generation for loss calculation]]/24)*Table6[[#This Row],[Breakdown Time]]</f>
        <v>472.13680555555555</v>
      </c>
      <c r="AB1221" s="102"/>
      <c r="AC1221" s="35"/>
      <c r="AD1221" s="35"/>
    </row>
    <row r="1222" spans="1:30">
      <c r="A1222" s="102">
        <f t="shared" si="19"/>
        <v>1221</v>
      </c>
      <c r="B1222" s="468">
        <f>YEAR(Table6[[#This Row],[Date]])+IF(MONTH(Table6[[#This Row],[Date]])&gt;=4,1,0)</f>
        <v>2026</v>
      </c>
      <c r="C1222" s="102">
        <f>YEAR(Table6[[#This Row],[Date]])</f>
        <v>2025</v>
      </c>
      <c r="D1222" s="102" t="s">
        <v>1992</v>
      </c>
      <c r="E1222" s="469">
        <f>Table6[[#This Row],[Date]]-DAY(Table6[[#This Row],[Date]])+1</f>
        <v>45809</v>
      </c>
      <c r="F1222" s="470">
        <v>45827</v>
      </c>
      <c r="G1222" s="35" t="s">
        <v>78</v>
      </c>
      <c r="H1222" s="35" t="str">
        <f>IFERROR(_xlfn.XLOOKUP(Table6[[#This Row],[Affected WTG]],'Basic Data'!$A:$A,'Basic Data'!$B:$B),"")</f>
        <v>TQGXIIPL</v>
      </c>
      <c r="I1222" s="35" t="str">
        <f>IFERROR(_xlfn.XLOOKUP(Table6[[#This Row],[Affected WTG]],'Basic Data'!$A:$A,'Basic Data'!$C:$C),"")</f>
        <v>GEDA</v>
      </c>
      <c r="J1222" s="471">
        <f>IFERROR(_xlfn.XLOOKUP(Table6[[#This Row],[Affected WTG]],'Basic Data'!$A:$A,'Basic Data'!$E:$E),"")</f>
        <v>3.846153846153845E-2</v>
      </c>
      <c r="K1222" s="102">
        <v>3110</v>
      </c>
      <c r="L1222" s="35" t="str">
        <f>IFERROR(_xlfn.XLOOKUP(Table6[[#This Row],[Error Code]],'Basic Data'!$AA:$AA,'Basic Data'!$AB:$AB),"Incorrect Error Code")</f>
        <v>Frequency converter error</v>
      </c>
      <c r="M1222" s="35" t="s">
        <v>291</v>
      </c>
      <c r="N1222" s="475"/>
      <c r="O1222" s="476">
        <v>0.14930555555555555</v>
      </c>
      <c r="P1222" s="476">
        <v>0.14930555555555555</v>
      </c>
      <c r="Q1222" s="477">
        <v>0.15277777777777779</v>
      </c>
      <c r="R1222" s="472">
        <f>IF(Table6[[#This Row],[Work Start TimeStamp]]="","",(Table6[[#This Row],[Work Start TimeStamp]]-Table6[[#This Row],[Fault Start TimeStamp]])*24)</f>
        <v>0</v>
      </c>
      <c r="S1222" s="472">
        <f>(Table6[[#This Row],[Fault Clearance time]]-Table6[[#This Row],[Work Start TimeStamp]])*24</f>
        <v>8.3333333333333703E-2</v>
      </c>
      <c r="T1222" s="472">
        <f>(Table6[[#This Row],[Fault Clearance time]]-Table6[[#This Row],[Fault Start TimeStamp]])*24</f>
        <v>8.3333333333333703E-2</v>
      </c>
      <c r="U1222" s="35" t="s">
        <v>1982</v>
      </c>
      <c r="V1222" s="102" t="s">
        <v>293</v>
      </c>
      <c r="W1222" s="478">
        <f>IFERROR(Table6[[#This Row],[Breakdown Time]]*Table6[[#This Row],[Plant Equivalent Weightage]],"")</f>
        <v>3.2051282051282185E-3</v>
      </c>
      <c r="X1222" s="473" t="s">
        <v>294</v>
      </c>
      <c r="Y1222" s="474" t="s">
        <v>333</v>
      </c>
      <c r="Z1222" s="102">
        <v>61807</v>
      </c>
      <c r="AA1222" s="468">
        <f>(Table6[[#This Row],[Paired WTG Generation for loss calculation]]/24)*Table6[[#This Row],[Breakdown Time]]</f>
        <v>214.60763888888982</v>
      </c>
      <c r="AB1222" s="102"/>
      <c r="AC1222" s="35"/>
      <c r="AD1222" s="35"/>
    </row>
    <row r="1223" spans="1:30">
      <c r="A1223" s="102">
        <f t="shared" si="19"/>
        <v>1222</v>
      </c>
      <c r="B1223" s="468">
        <f>YEAR(Table6[[#This Row],[Date]])+IF(MONTH(Table6[[#This Row],[Date]])&gt;=4,1,0)</f>
        <v>2026</v>
      </c>
      <c r="C1223" s="102">
        <f>YEAR(Table6[[#This Row],[Date]])</f>
        <v>2025</v>
      </c>
      <c r="D1223" s="102" t="s">
        <v>1992</v>
      </c>
      <c r="E1223" s="469">
        <f>Table6[[#This Row],[Date]]-DAY(Table6[[#This Row],[Date]])+1</f>
        <v>45809</v>
      </c>
      <c r="F1223" s="470">
        <v>45827</v>
      </c>
      <c r="G1223" s="35" t="s">
        <v>78</v>
      </c>
      <c r="H1223" s="35" t="str">
        <f>IFERROR(_xlfn.XLOOKUP(Table6[[#This Row],[Affected WTG]],'Basic Data'!$A:$A,'Basic Data'!$B:$B),"")</f>
        <v>TQGXIIPL</v>
      </c>
      <c r="I1223" s="35" t="str">
        <f>IFERROR(_xlfn.XLOOKUP(Table6[[#This Row],[Affected WTG]],'Basic Data'!$A:$A,'Basic Data'!$C:$C),"")</f>
        <v>GEDA</v>
      </c>
      <c r="J1223" s="471">
        <f>IFERROR(_xlfn.XLOOKUP(Table6[[#This Row],[Affected WTG]],'Basic Data'!$A:$A,'Basic Data'!$E:$E),"")</f>
        <v>3.846153846153845E-2</v>
      </c>
      <c r="K1223" s="102">
        <v>3110</v>
      </c>
      <c r="L1223" s="35" t="str">
        <f>IFERROR(_xlfn.XLOOKUP(Table6[[#This Row],[Error Code]],'Basic Data'!$AA:$AA,'Basic Data'!$AB:$AB),"Incorrect Error Code")</f>
        <v>Frequency converter error</v>
      </c>
      <c r="M1223" s="35" t="s">
        <v>291</v>
      </c>
      <c r="N1223" s="475"/>
      <c r="O1223" s="476">
        <v>0.19722222222222222</v>
      </c>
      <c r="P1223" s="476">
        <v>0.19722222222222222</v>
      </c>
      <c r="Q1223" s="477">
        <v>0.2</v>
      </c>
      <c r="R1223" s="472">
        <f>IF(Table6[[#This Row],[Work Start TimeStamp]]="","",(Table6[[#This Row],[Work Start TimeStamp]]-Table6[[#This Row],[Fault Start TimeStamp]])*24)</f>
        <v>0</v>
      </c>
      <c r="S1223" s="472">
        <f>(Table6[[#This Row],[Fault Clearance time]]-Table6[[#This Row],[Work Start TimeStamp]])*24</f>
        <v>6.6666666666667096E-2</v>
      </c>
      <c r="T1223" s="472">
        <f>(Table6[[#This Row],[Fault Clearance time]]-Table6[[#This Row],[Fault Start TimeStamp]])*24</f>
        <v>6.6666666666667096E-2</v>
      </c>
      <c r="U1223" s="35" t="s">
        <v>1983</v>
      </c>
      <c r="V1223" s="102" t="s">
        <v>293</v>
      </c>
      <c r="W1223" s="478">
        <f>IFERROR(Table6[[#This Row],[Breakdown Time]]*Table6[[#This Row],[Plant Equivalent Weightage]],"")</f>
        <v>2.5641025641025797E-3</v>
      </c>
      <c r="X1223" s="473" t="s">
        <v>294</v>
      </c>
      <c r="Y1223" s="474" t="s">
        <v>333</v>
      </c>
      <c r="Z1223" s="102">
        <v>61807</v>
      </c>
      <c r="AA1223" s="468">
        <f>(Table6[[#This Row],[Paired WTG Generation for loss calculation]]/24)*Table6[[#This Row],[Breakdown Time]]</f>
        <v>171.68611111111221</v>
      </c>
      <c r="AB1223" s="102"/>
      <c r="AC1223" s="35"/>
      <c r="AD1223" s="35"/>
    </row>
    <row r="1224" spans="1:30">
      <c r="A1224" s="102">
        <f t="shared" si="19"/>
        <v>1223</v>
      </c>
      <c r="B1224" s="468">
        <f>YEAR(Table6[[#This Row],[Date]])+IF(MONTH(Table6[[#This Row],[Date]])&gt;=4,1,0)</f>
        <v>2026</v>
      </c>
      <c r="C1224" s="102">
        <f>YEAR(Table6[[#This Row],[Date]])</f>
        <v>2025</v>
      </c>
      <c r="D1224" s="102" t="s">
        <v>1992</v>
      </c>
      <c r="E1224" s="469">
        <f>Table6[[#This Row],[Date]]-DAY(Table6[[#This Row],[Date]])+1</f>
        <v>45809</v>
      </c>
      <c r="F1224" s="470">
        <v>45827</v>
      </c>
      <c r="G1224" s="35" t="s">
        <v>78</v>
      </c>
      <c r="H1224" s="35" t="str">
        <f>IFERROR(_xlfn.XLOOKUP(Table6[[#This Row],[Affected WTG]],'Basic Data'!$A:$A,'Basic Data'!$B:$B),"")</f>
        <v>TQGXIIPL</v>
      </c>
      <c r="I1224" s="35" t="str">
        <f>IFERROR(_xlfn.XLOOKUP(Table6[[#This Row],[Affected WTG]],'Basic Data'!$A:$A,'Basic Data'!$C:$C),"")</f>
        <v>GEDA</v>
      </c>
      <c r="J1224" s="471">
        <f>IFERROR(_xlfn.XLOOKUP(Table6[[#This Row],[Affected WTG]],'Basic Data'!$A:$A,'Basic Data'!$E:$E),"")</f>
        <v>3.846153846153845E-2</v>
      </c>
      <c r="K1224" s="102">
        <v>3110</v>
      </c>
      <c r="L1224" s="35" t="str">
        <f>IFERROR(_xlfn.XLOOKUP(Table6[[#This Row],[Error Code]],'Basic Data'!$AA:$AA,'Basic Data'!$AB:$AB),"Incorrect Error Code")</f>
        <v>Frequency converter error</v>
      </c>
      <c r="M1224" s="35" t="s">
        <v>291</v>
      </c>
      <c r="N1224" s="475"/>
      <c r="O1224" s="476">
        <v>0.25416666666666665</v>
      </c>
      <c r="P1224" s="476">
        <v>0.25416666666666665</v>
      </c>
      <c r="Q1224" s="477">
        <v>0.25763888888888886</v>
      </c>
      <c r="R1224" s="472">
        <f>IF(Table6[[#This Row],[Work Start TimeStamp]]="","",(Table6[[#This Row],[Work Start TimeStamp]]-Table6[[#This Row],[Fault Start TimeStamp]])*24)</f>
        <v>0</v>
      </c>
      <c r="S1224" s="472">
        <f>(Table6[[#This Row],[Fault Clearance time]]-Table6[[#This Row],[Work Start TimeStamp]])*24</f>
        <v>8.3333333333333037E-2</v>
      </c>
      <c r="T1224" s="472">
        <f>(Table6[[#This Row],[Fault Clearance time]]-Table6[[#This Row],[Fault Start TimeStamp]])*24</f>
        <v>8.3333333333333037E-2</v>
      </c>
      <c r="U1224" s="35" t="s">
        <v>1984</v>
      </c>
      <c r="V1224" s="102" t="s">
        <v>293</v>
      </c>
      <c r="W1224" s="478">
        <f>IFERROR(Table6[[#This Row],[Breakdown Time]]*Table6[[#This Row],[Plant Equivalent Weightage]],"")</f>
        <v>3.2051282051281929E-3</v>
      </c>
      <c r="X1224" s="473" t="s">
        <v>294</v>
      </c>
      <c r="Y1224" s="474" t="s">
        <v>333</v>
      </c>
      <c r="Z1224" s="102">
        <v>61807</v>
      </c>
      <c r="AA1224" s="468">
        <f>(Table6[[#This Row],[Paired WTG Generation for loss calculation]]/24)*Table6[[#This Row],[Breakdown Time]]</f>
        <v>214.60763888888812</v>
      </c>
      <c r="AB1224" s="102"/>
      <c r="AC1224" s="35"/>
      <c r="AD1224" s="35"/>
    </row>
    <row r="1225" spans="1:30">
      <c r="A1225" s="102">
        <f t="shared" si="19"/>
        <v>1224</v>
      </c>
      <c r="B1225" s="468">
        <f>YEAR(Table6[[#This Row],[Date]])+IF(MONTH(Table6[[#This Row],[Date]])&gt;=4,1,0)</f>
        <v>2026</v>
      </c>
      <c r="C1225" s="102">
        <f>YEAR(Table6[[#This Row],[Date]])</f>
        <v>2025</v>
      </c>
      <c r="D1225" s="102" t="s">
        <v>1992</v>
      </c>
      <c r="E1225" s="469">
        <f>Table6[[#This Row],[Date]]-DAY(Table6[[#This Row],[Date]])+1</f>
        <v>45809</v>
      </c>
      <c r="F1225" s="470">
        <v>45827</v>
      </c>
      <c r="G1225" s="35" t="s">
        <v>78</v>
      </c>
      <c r="H1225" s="35" t="str">
        <f>IFERROR(_xlfn.XLOOKUP(Table6[[#This Row],[Affected WTG]],'Basic Data'!$A:$A,'Basic Data'!$B:$B),"")</f>
        <v>TQGXIIPL</v>
      </c>
      <c r="I1225" s="35" t="str">
        <f>IFERROR(_xlfn.XLOOKUP(Table6[[#This Row],[Affected WTG]],'Basic Data'!$A:$A,'Basic Data'!$C:$C),"")</f>
        <v>GEDA</v>
      </c>
      <c r="J1225" s="471">
        <f>IFERROR(_xlfn.XLOOKUP(Table6[[#This Row],[Affected WTG]],'Basic Data'!$A:$A,'Basic Data'!$E:$E),"")</f>
        <v>3.846153846153845E-2</v>
      </c>
      <c r="K1225" s="102">
        <v>3110</v>
      </c>
      <c r="L1225" s="35" t="str">
        <f>IFERROR(_xlfn.XLOOKUP(Table6[[#This Row],[Error Code]],'Basic Data'!$AA:$AA,'Basic Data'!$AB:$AB),"Incorrect Error Code")</f>
        <v>Frequency converter error</v>
      </c>
      <c r="M1225" s="35" t="s">
        <v>291</v>
      </c>
      <c r="N1225" s="475"/>
      <c r="O1225" s="476">
        <v>0.56874999999999998</v>
      </c>
      <c r="P1225" s="476">
        <v>0.56874999999999998</v>
      </c>
      <c r="Q1225" s="477">
        <v>0.5708333333333333</v>
      </c>
      <c r="R1225" s="472">
        <f>IF(Table6[[#This Row],[Work Start TimeStamp]]="","",(Table6[[#This Row],[Work Start TimeStamp]]-Table6[[#This Row],[Fault Start TimeStamp]])*24)</f>
        <v>0</v>
      </c>
      <c r="S1225" s="472">
        <f>(Table6[[#This Row],[Fault Clearance time]]-Table6[[#This Row],[Work Start TimeStamp]])*24</f>
        <v>4.9999999999999822E-2</v>
      </c>
      <c r="T1225" s="472">
        <f>(Table6[[#This Row],[Fault Clearance time]]-Table6[[#This Row],[Fault Start TimeStamp]])*24</f>
        <v>4.9999999999999822E-2</v>
      </c>
      <c r="U1225" s="35" t="s">
        <v>1984</v>
      </c>
      <c r="V1225" s="102" t="s">
        <v>293</v>
      </c>
      <c r="W1225" s="478">
        <f>IFERROR(Table6[[#This Row],[Breakdown Time]]*Table6[[#This Row],[Plant Equivalent Weightage]],"")</f>
        <v>1.9230769230769156E-3</v>
      </c>
      <c r="X1225" s="473" t="s">
        <v>294</v>
      </c>
      <c r="Y1225" s="474" t="s">
        <v>333</v>
      </c>
      <c r="Z1225" s="102">
        <v>61807</v>
      </c>
      <c r="AA1225" s="468">
        <f>(Table6[[#This Row],[Paired WTG Generation for loss calculation]]/24)*Table6[[#This Row],[Breakdown Time]]</f>
        <v>128.76458333333287</v>
      </c>
      <c r="AB1225" s="102"/>
      <c r="AC1225" s="35"/>
      <c r="AD1225" s="35"/>
    </row>
    <row r="1226" spans="1:30">
      <c r="A1226" s="102">
        <f t="shared" si="19"/>
        <v>1225</v>
      </c>
      <c r="B1226" s="468">
        <f>YEAR(Table6[[#This Row],[Date]])+IF(MONTH(Table6[[#This Row],[Date]])&gt;=4,1,0)</f>
        <v>2026</v>
      </c>
      <c r="C1226" s="102">
        <f>YEAR(Table6[[#This Row],[Date]])</f>
        <v>2025</v>
      </c>
      <c r="D1226" s="102" t="s">
        <v>1992</v>
      </c>
      <c r="E1226" s="469">
        <f>Table6[[#This Row],[Date]]-DAY(Table6[[#This Row],[Date]])+1</f>
        <v>45809</v>
      </c>
      <c r="F1226" s="470">
        <v>45827</v>
      </c>
      <c r="G1226" s="35" t="s">
        <v>81</v>
      </c>
      <c r="H1226" s="35" t="str">
        <f>IFERROR(_xlfn.XLOOKUP(Table6[[#This Row],[Affected WTG]],'Basic Data'!$A:$A,'Basic Data'!$B:$B),"")</f>
        <v>TQGXIIPL</v>
      </c>
      <c r="I1226" s="35" t="str">
        <f>IFERROR(_xlfn.XLOOKUP(Table6[[#This Row],[Affected WTG]],'Basic Data'!$A:$A,'Basic Data'!$C:$C),"")</f>
        <v>GEDA</v>
      </c>
      <c r="J1226" s="471">
        <f>IFERROR(_xlfn.XLOOKUP(Table6[[#This Row],[Affected WTG]],'Basic Data'!$A:$A,'Basic Data'!$E:$E),"")</f>
        <v>3.846153846153845E-2</v>
      </c>
      <c r="K1226" s="102">
        <v>665</v>
      </c>
      <c r="L1226" s="35" t="str">
        <f>IFERROR(_xlfn.XLOOKUP(Table6[[#This Row],[Error Code]],'Basic Data'!$AA:$AA,'Basic Data'!$AB:$AB),"Incorrect Error Code")</f>
        <v>Pitch error</v>
      </c>
      <c r="M1226" s="35" t="s">
        <v>291</v>
      </c>
      <c r="N1226" s="475"/>
      <c r="O1226" s="476">
        <v>0.70208333333333328</v>
      </c>
      <c r="P1226" s="476">
        <v>0.70208333333333328</v>
      </c>
      <c r="Q1226" s="477">
        <v>0.70763888888888893</v>
      </c>
      <c r="R1226" s="472">
        <f>IF(Table6[[#This Row],[Work Start TimeStamp]]="","",(Table6[[#This Row],[Work Start TimeStamp]]-Table6[[#This Row],[Fault Start TimeStamp]])*24)</f>
        <v>0</v>
      </c>
      <c r="S1226" s="472">
        <f>(Table6[[#This Row],[Fault Clearance time]]-Table6[[#This Row],[Work Start TimeStamp]])*24</f>
        <v>0.13333333333333552</v>
      </c>
      <c r="T1226" s="472">
        <f>(Table6[[#This Row],[Fault Clearance time]]-Table6[[#This Row],[Fault Start TimeStamp]])*24</f>
        <v>0.13333333333333552</v>
      </c>
      <c r="U1226" s="35" t="s">
        <v>1924</v>
      </c>
      <c r="V1226" s="102" t="s">
        <v>293</v>
      </c>
      <c r="W1226" s="478">
        <f>IFERROR(Table6[[#This Row],[Breakdown Time]]*Table6[[#This Row],[Plant Equivalent Weightage]],"")</f>
        <v>5.1282051282052106E-3</v>
      </c>
      <c r="X1226" s="473" t="s">
        <v>294</v>
      </c>
      <c r="Y1226" s="474" t="s">
        <v>321</v>
      </c>
      <c r="Z1226" s="102">
        <v>61863</v>
      </c>
      <c r="AA1226" s="468">
        <f>(Table6[[#This Row],[Paired WTG Generation for loss calculation]]/24)*Table6[[#This Row],[Breakdown Time]]</f>
        <v>343.68333333333896</v>
      </c>
      <c r="AB1226" s="102"/>
      <c r="AC1226" s="35"/>
      <c r="AD1226" s="35"/>
    </row>
    <row r="1227" spans="1:30">
      <c r="A1227" s="102">
        <f t="shared" si="19"/>
        <v>1226</v>
      </c>
      <c r="B1227" s="468">
        <f>YEAR(Table6[[#This Row],[Date]])+IF(MONTH(Table6[[#This Row],[Date]])&gt;=4,1,0)</f>
        <v>2026</v>
      </c>
      <c r="C1227" s="102">
        <f>YEAR(Table6[[#This Row],[Date]])</f>
        <v>2025</v>
      </c>
      <c r="D1227" s="102" t="s">
        <v>1992</v>
      </c>
      <c r="E1227" s="469">
        <f>Table6[[#This Row],[Date]]-DAY(Table6[[#This Row],[Date]])+1</f>
        <v>45809</v>
      </c>
      <c r="F1227" s="470">
        <v>45827</v>
      </c>
      <c r="G1227" s="35" t="s">
        <v>81</v>
      </c>
      <c r="H1227" s="35" t="str">
        <f>IFERROR(_xlfn.XLOOKUP(Table6[[#This Row],[Affected WTG]],'Basic Data'!$A:$A,'Basic Data'!$B:$B),"")</f>
        <v>TQGXIIPL</v>
      </c>
      <c r="I1227" s="35" t="str">
        <f>IFERROR(_xlfn.XLOOKUP(Table6[[#This Row],[Affected WTG]],'Basic Data'!$A:$A,'Basic Data'!$C:$C),"")</f>
        <v>GEDA</v>
      </c>
      <c r="J1227" s="471">
        <f>IFERROR(_xlfn.XLOOKUP(Table6[[#This Row],[Affected WTG]],'Basic Data'!$A:$A,'Basic Data'!$E:$E),"")</f>
        <v>3.846153846153845E-2</v>
      </c>
      <c r="K1227" s="102">
        <v>665</v>
      </c>
      <c r="L1227" s="35" t="str">
        <f>IFERROR(_xlfn.XLOOKUP(Table6[[#This Row],[Error Code]],'Basic Data'!$AA:$AA,'Basic Data'!$AB:$AB),"Incorrect Error Code")</f>
        <v>Pitch error</v>
      </c>
      <c r="M1227" s="35" t="s">
        <v>291</v>
      </c>
      <c r="N1227" s="475"/>
      <c r="O1227" s="476">
        <v>0.88194444444444442</v>
      </c>
      <c r="P1227" s="476">
        <v>0.88194444444444442</v>
      </c>
      <c r="Q1227" s="477">
        <v>0.89236111111111116</v>
      </c>
      <c r="R1227" s="472">
        <f>IF(Table6[[#This Row],[Work Start TimeStamp]]="","",(Table6[[#This Row],[Work Start TimeStamp]]-Table6[[#This Row],[Fault Start TimeStamp]])*24)</f>
        <v>0</v>
      </c>
      <c r="S1227" s="472">
        <f>(Table6[[#This Row],[Fault Clearance time]]-Table6[[#This Row],[Work Start TimeStamp]])*24</f>
        <v>0.25000000000000178</v>
      </c>
      <c r="T1227" s="472">
        <f>(Table6[[#This Row],[Fault Clearance time]]-Table6[[#This Row],[Fault Start TimeStamp]])*24</f>
        <v>0.25000000000000178</v>
      </c>
      <c r="U1227" s="35" t="s">
        <v>1924</v>
      </c>
      <c r="V1227" s="102" t="s">
        <v>293</v>
      </c>
      <c r="W1227" s="478">
        <f>IFERROR(Table6[[#This Row],[Breakdown Time]]*Table6[[#This Row],[Plant Equivalent Weightage]],"")</f>
        <v>9.6153846153846801E-3</v>
      </c>
      <c r="X1227" s="473" t="s">
        <v>294</v>
      </c>
      <c r="Y1227" s="474" t="s">
        <v>321</v>
      </c>
      <c r="Z1227" s="102">
        <v>61863</v>
      </c>
      <c r="AA1227" s="468">
        <f>(Table6[[#This Row],[Paired WTG Generation for loss calculation]]/24)*Table6[[#This Row],[Breakdown Time]]</f>
        <v>644.40625000000455</v>
      </c>
      <c r="AB1227" s="102"/>
      <c r="AC1227" s="35"/>
      <c r="AD1227" s="35"/>
    </row>
    <row r="1228" spans="1:30">
      <c r="A1228" s="102">
        <f t="shared" si="19"/>
        <v>1227</v>
      </c>
      <c r="B1228" s="468">
        <f>YEAR(Table6[[#This Row],[Date]])+IF(MONTH(Table6[[#This Row],[Date]])&gt;=4,1,0)</f>
        <v>2026</v>
      </c>
      <c r="C1228" s="102">
        <f>YEAR(Table6[[#This Row],[Date]])</f>
        <v>2025</v>
      </c>
      <c r="D1228" s="102" t="s">
        <v>1992</v>
      </c>
      <c r="E1228" s="469">
        <f>Table6[[#This Row],[Date]]-DAY(Table6[[#This Row],[Date]])+1</f>
        <v>45809</v>
      </c>
      <c r="F1228" s="470">
        <v>45827</v>
      </c>
      <c r="G1228" s="35" t="s">
        <v>85</v>
      </c>
      <c r="H1228" s="35" t="str">
        <f>IFERROR(_xlfn.XLOOKUP(Table6[[#This Row],[Affected WTG]],'Basic Data'!$A:$A,'Basic Data'!$B:$B),"")</f>
        <v>TQGXIIPL</v>
      </c>
      <c r="I1228" s="35" t="str">
        <f>IFERROR(_xlfn.XLOOKUP(Table6[[#This Row],[Affected WTG]],'Basic Data'!$A:$A,'Basic Data'!$C:$C),"")</f>
        <v>GEDA</v>
      </c>
      <c r="J1228" s="471">
        <f>IFERROR(_xlfn.XLOOKUP(Table6[[#This Row],[Affected WTG]],'Basic Data'!$A:$A,'Basic Data'!$E:$E),"")</f>
        <v>3.846153846153845E-2</v>
      </c>
      <c r="K1228" s="102">
        <v>55</v>
      </c>
      <c r="L1228" s="35" t="str">
        <f>IFERROR(_xlfn.XLOOKUP(Table6[[#This Row],[Error Code]],'Basic Data'!$AA:$AA,'Basic Data'!$AB:$AB),"Incorrect Error Code")</f>
        <v>WTG shut down</v>
      </c>
      <c r="M1228" s="35" t="s">
        <v>295</v>
      </c>
      <c r="N1228" s="475"/>
      <c r="O1228" s="476">
        <v>0</v>
      </c>
      <c r="P1228" s="476">
        <v>0</v>
      </c>
      <c r="Q1228" s="477">
        <v>0.99998842592592596</v>
      </c>
      <c r="R1228" s="472">
        <f>IF(Table6[[#This Row],[Work Start TimeStamp]]="","",(Table6[[#This Row],[Work Start TimeStamp]]-Table6[[#This Row],[Fault Start TimeStamp]])*24)</f>
        <v>0</v>
      </c>
      <c r="S1228" s="472">
        <f>(Table6[[#This Row],[Fault Clearance time]]-Table6[[#This Row],[Work Start TimeStamp]])*24</f>
        <v>23.999722222222225</v>
      </c>
      <c r="T1228" s="472">
        <f>(Table6[[#This Row],[Fault Clearance time]]-Table6[[#This Row],[Fault Start TimeStamp]])*24</f>
        <v>23.999722222222225</v>
      </c>
      <c r="U1228" s="35" t="s">
        <v>2011</v>
      </c>
      <c r="V1228" s="102" t="s">
        <v>335</v>
      </c>
      <c r="W1228" s="478">
        <f>IFERROR(Table6[[#This Row],[Breakdown Time]]*Table6[[#This Row],[Plant Equivalent Weightage]],"")</f>
        <v>0.9230662393162391</v>
      </c>
      <c r="X1228" s="473" t="s">
        <v>523</v>
      </c>
      <c r="Y1228" s="474" t="s">
        <v>322</v>
      </c>
      <c r="Z1228" s="102">
        <v>62218</v>
      </c>
      <c r="AA1228" s="468">
        <f>(Table6[[#This Row],[Paired WTG Generation for loss calculation]]/24)*Table6[[#This Row],[Breakdown Time]]</f>
        <v>62217.27988425926</v>
      </c>
      <c r="AB1228" s="102"/>
      <c r="AC1228" s="35"/>
      <c r="AD1228" s="35"/>
    </row>
    <row r="1229" spans="1:30">
      <c r="A1229" s="102">
        <f t="shared" si="19"/>
        <v>1228</v>
      </c>
      <c r="B1229" s="468">
        <f>YEAR(Table6[[#This Row],[Date]])+IF(MONTH(Table6[[#This Row],[Date]])&gt;=4,1,0)</f>
        <v>2026</v>
      </c>
      <c r="C1229" s="102">
        <f>YEAR(Table6[[#This Row],[Date]])</f>
        <v>2025</v>
      </c>
      <c r="D1229" s="102" t="s">
        <v>1992</v>
      </c>
      <c r="E1229" s="469">
        <f>Table6[[#This Row],[Date]]-DAY(Table6[[#This Row],[Date]])+1</f>
        <v>45809</v>
      </c>
      <c r="F1229" s="470">
        <v>45827</v>
      </c>
      <c r="G1229" s="35" t="s">
        <v>90</v>
      </c>
      <c r="H1229" s="35" t="str">
        <f>IFERROR(_xlfn.XLOOKUP(Table6[[#This Row],[Affected WTG]],'Basic Data'!$A:$A,'Basic Data'!$B:$B),"")</f>
        <v>TQGXIIPL</v>
      </c>
      <c r="I1229" s="35" t="str">
        <f>IFERROR(_xlfn.XLOOKUP(Table6[[#This Row],[Affected WTG]],'Basic Data'!$A:$A,'Basic Data'!$C:$C),"")</f>
        <v>GEDA</v>
      </c>
      <c r="J1229" s="471">
        <f>IFERROR(_xlfn.XLOOKUP(Table6[[#This Row],[Affected WTG]],'Basic Data'!$A:$A,'Basic Data'!$E:$E),"")</f>
        <v>3.846153846153845E-2</v>
      </c>
      <c r="K1229" s="102">
        <v>3110</v>
      </c>
      <c r="L1229" s="35" t="str">
        <f>IFERROR(_xlfn.XLOOKUP(Table6[[#This Row],[Error Code]],'Basic Data'!$AA:$AA,'Basic Data'!$AB:$AB),"Incorrect Error Code")</f>
        <v>Frequency converter error</v>
      </c>
      <c r="M1229" s="35" t="s">
        <v>291</v>
      </c>
      <c r="N1229" s="475"/>
      <c r="O1229" s="476">
        <v>8.3333333333333332E-3</v>
      </c>
      <c r="P1229" s="476">
        <v>8.3333333333333332E-3</v>
      </c>
      <c r="Q1229" s="477">
        <v>1.5277777777777777E-2</v>
      </c>
      <c r="R1229" s="472">
        <f>IF(Table6[[#This Row],[Work Start TimeStamp]]="","",(Table6[[#This Row],[Work Start TimeStamp]]-Table6[[#This Row],[Fault Start TimeStamp]])*24)</f>
        <v>0</v>
      </c>
      <c r="S1229" s="472">
        <f>(Table6[[#This Row],[Fault Clearance time]]-Table6[[#This Row],[Work Start TimeStamp]])*24</f>
        <v>0.16666666666666666</v>
      </c>
      <c r="T1229" s="472">
        <f>(Table6[[#This Row],[Fault Clearance time]]-Table6[[#This Row],[Fault Start TimeStamp]])*24</f>
        <v>0.16666666666666666</v>
      </c>
      <c r="U1229" s="35" t="s">
        <v>1983</v>
      </c>
      <c r="V1229" s="102" t="s">
        <v>293</v>
      </c>
      <c r="W1229" s="478">
        <f>IFERROR(Table6[[#This Row],[Breakdown Time]]*Table6[[#This Row],[Plant Equivalent Weightage]],"")</f>
        <v>6.4102564102564083E-3</v>
      </c>
      <c r="X1229" s="473" t="s">
        <v>294</v>
      </c>
      <c r="Y1229" s="474" t="s">
        <v>339</v>
      </c>
      <c r="Z1229" s="102">
        <v>61067</v>
      </c>
      <c r="AA1229" s="468">
        <f>(Table6[[#This Row],[Paired WTG Generation for loss calculation]]/24)*Table6[[#This Row],[Breakdown Time]]</f>
        <v>424.07638888888891</v>
      </c>
      <c r="AB1229" s="102"/>
      <c r="AC1229" s="35"/>
      <c r="AD1229" s="35"/>
    </row>
    <row r="1230" spans="1:30">
      <c r="A1230" s="102">
        <f t="shared" ref="A1230:A1293" si="20">A1229+1</f>
        <v>1229</v>
      </c>
      <c r="B1230" s="468">
        <f>YEAR(Table6[[#This Row],[Date]])+IF(MONTH(Table6[[#This Row],[Date]])&gt;=4,1,0)</f>
        <v>2026</v>
      </c>
      <c r="C1230" s="102">
        <f>YEAR(Table6[[#This Row],[Date]])</f>
        <v>2025</v>
      </c>
      <c r="D1230" s="102" t="s">
        <v>1992</v>
      </c>
      <c r="E1230" s="469">
        <f>Table6[[#This Row],[Date]]-DAY(Table6[[#This Row],[Date]])+1</f>
        <v>45809</v>
      </c>
      <c r="F1230" s="470">
        <v>45827</v>
      </c>
      <c r="G1230" s="35" t="s">
        <v>90</v>
      </c>
      <c r="H1230" s="35" t="str">
        <f>IFERROR(_xlfn.XLOOKUP(Table6[[#This Row],[Affected WTG]],'Basic Data'!$A:$A,'Basic Data'!$B:$B),"")</f>
        <v>TQGXIIPL</v>
      </c>
      <c r="I1230" s="35" t="str">
        <f>IFERROR(_xlfn.XLOOKUP(Table6[[#This Row],[Affected WTG]],'Basic Data'!$A:$A,'Basic Data'!$C:$C),"")</f>
        <v>GEDA</v>
      </c>
      <c r="J1230" s="471">
        <f>IFERROR(_xlfn.XLOOKUP(Table6[[#This Row],[Affected WTG]],'Basic Data'!$A:$A,'Basic Data'!$E:$E),"")</f>
        <v>3.846153846153845E-2</v>
      </c>
      <c r="K1230" s="102">
        <v>3110</v>
      </c>
      <c r="L1230" s="35" t="str">
        <f>IFERROR(_xlfn.XLOOKUP(Table6[[#This Row],[Error Code]],'Basic Data'!$AA:$AA,'Basic Data'!$AB:$AB),"Incorrect Error Code")</f>
        <v>Frequency converter error</v>
      </c>
      <c r="M1230" s="35" t="s">
        <v>291</v>
      </c>
      <c r="N1230" s="475"/>
      <c r="O1230" s="476">
        <v>0.10486111111111111</v>
      </c>
      <c r="P1230" s="476">
        <v>0.10486111111111111</v>
      </c>
      <c r="Q1230" s="477">
        <v>0.11874999999999999</v>
      </c>
      <c r="R1230" s="472">
        <f>IF(Table6[[#This Row],[Work Start TimeStamp]]="","",(Table6[[#This Row],[Work Start TimeStamp]]-Table6[[#This Row],[Fault Start TimeStamp]])*24)</f>
        <v>0</v>
      </c>
      <c r="S1230" s="472">
        <f>(Table6[[#This Row],[Fault Clearance time]]-Table6[[#This Row],[Work Start TimeStamp]])*24</f>
        <v>0.33333333333333315</v>
      </c>
      <c r="T1230" s="472">
        <f>(Table6[[#This Row],[Fault Clearance time]]-Table6[[#This Row],[Fault Start TimeStamp]])*24</f>
        <v>0.33333333333333315</v>
      </c>
      <c r="U1230" s="35" t="s">
        <v>1985</v>
      </c>
      <c r="V1230" s="102" t="s">
        <v>293</v>
      </c>
      <c r="W1230" s="478">
        <f>IFERROR(Table6[[#This Row],[Breakdown Time]]*Table6[[#This Row],[Plant Equivalent Weightage]],"")</f>
        <v>1.282051282051281E-2</v>
      </c>
      <c r="X1230" s="473" t="s">
        <v>294</v>
      </c>
      <c r="Y1230" s="474" t="s">
        <v>339</v>
      </c>
      <c r="Z1230" s="102">
        <v>61067</v>
      </c>
      <c r="AA1230" s="468">
        <f>(Table6[[#This Row],[Paired WTG Generation for loss calculation]]/24)*Table6[[#This Row],[Breakdown Time]]</f>
        <v>848.15277777777737</v>
      </c>
      <c r="AB1230" s="102"/>
      <c r="AC1230" s="35"/>
      <c r="AD1230" s="35"/>
    </row>
    <row r="1231" spans="1:30">
      <c r="A1231" s="102">
        <f t="shared" si="20"/>
        <v>1230</v>
      </c>
      <c r="B1231" s="468">
        <f>YEAR(Table6[[#This Row],[Date]])+IF(MONTH(Table6[[#This Row],[Date]])&gt;=4,1,0)</f>
        <v>2026</v>
      </c>
      <c r="C1231" s="102">
        <f>YEAR(Table6[[#This Row],[Date]])</f>
        <v>2025</v>
      </c>
      <c r="D1231" s="102" t="s">
        <v>1992</v>
      </c>
      <c r="E1231" s="469">
        <f>Table6[[#This Row],[Date]]-DAY(Table6[[#This Row],[Date]])+1</f>
        <v>45809</v>
      </c>
      <c r="F1231" s="470">
        <v>45827</v>
      </c>
      <c r="G1231" s="35" t="s">
        <v>90</v>
      </c>
      <c r="H1231" s="35" t="str">
        <f>IFERROR(_xlfn.XLOOKUP(Table6[[#This Row],[Affected WTG]],'Basic Data'!$A:$A,'Basic Data'!$B:$B),"")</f>
        <v>TQGXIIPL</v>
      </c>
      <c r="I1231" s="35" t="str">
        <f>IFERROR(_xlfn.XLOOKUP(Table6[[#This Row],[Affected WTG]],'Basic Data'!$A:$A,'Basic Data'!$C:$C),"")</f>
        <v>GEDA</v>
      </c>
      <c r="J1231" s="471">
        <f>IFERROR(_xlfn.XLOOKUP(Table6[[#This Row],[Affected WTG]],'Basic Data'!$A:$A,'Basic Data'!$E:$E),"")</f>
        <v>3.846153846153845E-2</v>
      </c>
      <c r="K1231" s="102">
        <v>3110</v>
      </c>
      <c r="L1231" s="35" t="str">
        <f>IFERROR(_xlfn.XLOOKUP(Table6[[#This Row],[Error Code]],'Basic Data'!$AA:$AA,'Basic Data'!$AB:$AB),"Incorrect Error Code")</f>
        <v>Frequency converter error</v>
      </c>
      <c r="M1231" s="35" t="s">
        <v>291</v>
      </c>
      <c r="N1231" s="475"/>
      <c r="O1231" s="476">
        <v>0.15555555555555556</v>
      </c>
      <c r="P1231" s="476">
        <v>0.15555555555555556</v>
      </c>
      <c r="Q1231" s="477">
        <v>0.15833333333333333</v>
      </c>
      <c r="R1231" s="472">
        <f>IF(Table6[[#This Row],[Work Start TimeStamp]]="","",(Table6[[#This Row],[Work Start TimeStamp]]-Table6[[#This Row],[Fault Start TimeStamp]])*24)</f>
        <v>0</v>
      </c>
      <c r="S1231" s="472">
        <f>(Table6[[#This Row],[Fault Clearance time]]-Table6[[#This Row],[Work Start TimeStamp]])*24</f>
        <v>6.666666666666643E-2</v>
      </c>
      <c r="T1231" s="472">
        <f>(Table6[[#This Row],[Fault Clearance time]]-Table6[[#This Row],[Fault Start TimeStamp]])*24</f>
        <v>6.666666666666643E-2</v>
      </c>
      <c r="U1231" s="35" t="s">
        <v>1985</v>
      </c>
      <c r="V1231" s="102" t="s">
        <v>293</v>
      </c>
      <c r="W1231" s="478">
        <f>IFERROR(Table6[[#This Row],[Breakdown Time]]*Table6[[#This Row],[Plant Equivalent Weightage]],"")</f>
        <v>2.5641025641025541E-3</v>
      </c>
      <c r="X1231" s="473" t="s">
        <v>294</v>
      </c>
      <c r="Y1231" s="474" t="s">
        <v>339</v>
      </c>
      <c r="Z1231" s="102">
        <v>61067</v>
      </c>
      <c r="AA1231" s="468">
        <f>(Table6[[#This Row],[Paired WTG Generation for loss calculation]]/24)*Table6[[#This Row],[Breakdown Time]]</f>
        <v>169.63055555555496</v>
      </c>
      <c r="AB1231" s="102"/>
      <c r="AC1231" s="35"/>
      <c r="AD1231" s="35"/>
    </row>
    <row r="1232" spans="1:30">
      <c r="A1232" s="102">
        <f t="shared" si="20"/>
        <v>1231</v>
      </c>
      <c r="B1232" s="468">
        <f>YEAR(Table6[[#This Row],[Date]])+IF(MONTH(Table6[[#This Row],[Date]])&gt;=4,1,0)</f>
        <v>2026</v>
      </c>
      <c r="C1232" s="102">
        <f>YEAR(Table6[[#This Row],[Date]])</f>
        <v>2025</v>
      </c>
      <c r="D1232" s="102" t="s">
        <v>1992</v>
      </c>
      <c r="E1232" s="469">
        <f>Table6[[#This Row],[Date]]-DAY(Table6[[#This Row],[Date]])+1</f>
        <v>45809</v>
      </c>
      <c r="F1232" s="470">
        <v>45827</v>
      </c>
      <c r="G1232" s="35" t="s">
        <v>90</v>
      </c>
      <c r="H1232" s="35" t="str">
        <f>IFERROR(_xlfn.XLOOKUP(Table6[[#This Row],[Affected WTG]],'Basic Data'!$A:$A,'Basic Data'!$B:$B),"")</f>
        <v>TQGXIIPL</v>
      </c>
      <c r="I1232" s="35" t="str">
        <f>IFERROR(_xlfn.XLOOKUP(Table6[[#This Row],[Affected WTG]],'Basic Data'!$A:$A,'Basic Data'!$C:$C),"")</f>
        <v>GEDA</v>
      </c>
      <c r="J1232" s="471">
        <f>IFERROR(_xlfn.XLOOKUP(Table6[[#This Row],[Affected WTG]],'Basic Data'!$A:$A,'Basic Data'!$E:$E),"")</f>
        <v>3.846153846153845E-2</v>
      </c>
      <c r="K1232" s="102">
        <v>3110</v>
      </c>
      <c r="L1232" s="35" t="str">
        <f>IFERROR(_xlfn.XLOOKUP(Table6[[#This Row],[Error Code]],'Basic Data'!$AA:$AA,'Basic Data'!$AB:$AB),"Incorrect Error Code")</f>
        <v>Frequency converter error</v>
      </c>
      <c r="M1232" s="35" t="s">
        <v>291</v>
      </c>
      <c r="N1232" s="475"/>
      <c r="O1232" s="476">
        <v>0.18263888888888888</v>
      </c>
      <c r="P1232" s="476">
        <v>0.18263888888888888</v>
      </c>
      <c r="Q1232" s="477">
        <v>0.18472222222222223</v>
      </c>
      <c r="R1232" s="472">
        <f>IF(Table6[[#This Row],[Work Start TimeStamp]]="","",(Table6[[#This Row],[Work Start TimeStamp]]-Table6[[#This Row],[Fault Start TimeStamp]])*24)</f>
        <v>0</v>
      </c>
      <c r="S1232" s="472">
        <f>(Table6[[#This Row],[Fault Clearance time]]-Table6[[#This Row],[Work Start TimeStamp]])*24</f>
        <v>5.0000000000000488E-2</v>
      </c>
      <c r="T1232" s="472">
        <f>(Table6[[#This Row],[Fault Clearance time]]-Table6[[#This Row],[Fault Start TimeStamp]])*24</f>
        <v>5.0000000000000488E-2</v>
      </c>
      <c r="U1232" s="35" t="s">
        <v>1986</v>
      </c>
      <c r="V1232" s="102" t="s">
        <v>293</v>
      </c>
      <c r="W1232" s="478">
        <f>IFERROR(Table6[[#This Row],[Breakdown Time]]*Table6[[#This Row],[Plant Equivalent Weightage]],"")</f>
        <v>1.9230769230769412E-3</v>
      </c>
      <c r="X1232" s="473" t="s">
        <v>294</v>
      </c>
      <c r="Y1232" s="474" t="s">
        <v>339</v>
      </c>
      <c r="Z1232" s="102">
        <v>61067</v>
      </c>
      <c r="AA1232" s="468">
        <f>(Table6[[#This Row],[Paired WTG Generation for loss calculation]]/24)*Table6[[#This Row],[Breakdown Time]]</f>
        <v>127.22291666666791</v>
      </c>
      <c r="AB1232" s="102"/>
      <c r="AC1232" s="35"/>
      <c r="AD1232" s="35"/>
    </row>
    <row r="1233" spans="1:30">
      <c r="A1233" s="102">
        <f t="shared" si="20"/>
        <v>1232</v>
      </c>
      <c r="B1233" s="468">
        <f>YEAR(Table6[[#This Row],[Date]])+IF(MONTH(Table6[[#This Row],[Date]])&gt;=4,1,0)</f>
        <v>2026</v>
      </c>
      <c r="C1233" s="102">
        <f>YEAR(Table6[[#This Row],[Date]])</f>
        <v>2025</v>
      </c>
      <c r="D1233" s="102" t="s">
        <v>1992</v>
      </c>
      <c r="E1233" s="469">
        <f>Table6[[#This Row],[Date]]-DAY(Table6[[#This Row],[Date]])+1</f>
        <v>45809</v>
      </c>
      <c r="F1233" s="470">
        <v>45827</v>
      </c>
      <c r="G1233" s="35" t="s">
        <v>90</v>
      </c>
      <c r="H1233" s="35" t="str">
        <f>IFERROR(_xlfn.XLOOKUP(Table6[[#This Row],[Affected WTG]],'Basic Data'!$A:$A,'Basic Data'!$B:$B),"")</f>
        <v>TQGXIIPL</v>
      </c>
      <c r="I1233" s="35" t="str">
        <f>IFERROR(_xlfn.XLOOKUP(Table6[[#This Row],[Affected WTG]],'Basic Data'!$A:$A,'Basic Data'!$C:$C),"")</f>
        <v>GEDA</v>
      </c>
      <c r="J1233" s="471">
        <f>IFERROR(_xlfn.XLOOKUP(Table6[[#This Row],[Affected WTG]],'Basic Data'!$A:$A,'Basic Data'!$E:$E),"")</f>
        <v>3.846153846153845E-2</v>
      </c>
      <c r="K1233" s="102">
        <v>3110</v>
      </c>
      <c r="L1233" s="35" t="str">
        <f>IFERROR(_xlfn.XLOOKUP(Table6[[#This Row],[Error Code]],'Basic Data'!$AA:$AA,'Basic Data'!$AB:$AB),"Incorrect Error Code")</f>
        <v>Frequency converter error</v>
      </c>
      <c r="M1233" s="35" t="s">
        <v>291</v>
      </c>
      <c r="N1233" s="475"/>
      <c r="O1233" s="476">
        <v>0.24236111111111111</v>
      </c>
      <c r="P1233" s="476">
        <v>0.24236111111111111</v>
      </c>
      <c r="Q1233" s="477">
        <v>0.24444444444444444</v>
      </c>
      <c r="R1233" s="472">
        <f>IF(Table6[[#This Row],[Work Start TimeStamp]]="","",(Table6[[#This Row],[Work Start TimeStamp]]-Table6[[#This Row],[Fault Start TimeStamp]])*24)</f>
        <v>0</v>
      </c>
      <c r="S1233" s="472">
        <f>(Table6[[#This Row],[Fault Clearance time]]-Table6[[#This Row],[Work Start TimeStamp]])*24</f>
        <v>4.9999999999999822E-2</v>
      </c>
      <c r="T1233" s="472">
        <f>(Table6[[#This Row],[Fault Clearance time]]-Table6[[#This Row],[Fault Start TimeStamp]])*24</f>
        <v>4.9999999999999822E-2</v>
      </c>
      <c r="U1233" s="35" t="s">
        <v>1982</v>
      </c>
      <c r="V1233" s="102" t="s">
        <v>293</v>
      </c>
      <c r="W1233" s="478">
        <f>IFERROR(Table6[[#This Row],[Breakdown Time]]*Table6[[#This Row],[Plant Equivalent Weightage]],"")</f>
        <v>1.9230769230769156E-3</v>
      </c>
      <c r="X1233" s="473" t="s">
        <v>294</v>
      </c>
      <c r="Y1233" s="474" t="s">
        <v>339</v>
      </c>
      <c r="Z1233" s="102">
        <v>61067</v>
      </c>
      <c r="AA1233" s="468">
        <f>(Table6[[#This Row],[Paired WTG Generation for loss calculation]]/24)*Table6[[#This Row],[Breakdown Time]]</f>
        <v>127.22291666666622</v>
      </c>
      <c r="AB1233" s="102"/>
      <c r="AC1233" s="35"/>
      <c r="AD1233" s="35"/>
    </row>
    <row r="1234" spans="1:30">
      <c r="A1234" s="102">
        <f t="shared" si="20"/>
        <v>1233</v>
      </c>
      <c r="B1234" s="468">
        <f>YEAR(Table6[[#This Row],[Date]])+IF(MONTH(Table6[[#This Row],[Date]])&gt;=4,1,0)</f>
        <v>2026</v>
      </c>
      <c r="C1234" s="102">
        <f>YEAR(Table6[[#This Row],[Date]])</f>
        <v>2025</v>
      </c>
      <c r="D1234" s="102" t="s">
        <v>1992</v>
      </c>
      <c r="E1234" s="469">
        <f>Table6[[#This Row],[Date]]-DAY(Table6[[#This Row],[Date]])+1</f>
        <v>45809</v>
      </c>
      <c r="F1234" s="470">
        <v>45827</v>
      </c>
      <c r="G1234" s="35" t="s">
        <v>90</v>
      </c>
      <c r="H1234" s="35" t="str">
        <f>IFERROR(_xlfn.XLOOKUP(Table6[[#This Row],[Affected WTG]],'Basic Data'!$A:$A,'Basic Data'!$B:$B),"")</f>
        <v>TQGXIIPL</v>
      </c>
      <c r="I1234" s="35" t="str">
        <f>IFERROR(_xlfn.XLOOKUP(Table6[[#This Row],[Affected WTG]],'Basic Data'!$A:$A,'Basic Data'!$C:$C),"")</f>
        <v>GEDA</v>
      </c>
      <c r="J1234" s="471">
        <f>IFERROR(_xlfn.XLOOKUP(Table6[[#This Row],[Affected WTG]],'Basic Data'!$A:$A,'Basic Data'!$E:$E),"")</f>
        <v>3.846153846153845E-2</v>
      </c>
      <c r="K1234" s="102">
        <v>3110</v>
      </c>
      <c r="L1234" s="35" t="str">
        <f>IFERROR(_xlfn.XLOOKUP(Table6[[#This Row],[Error Code]],'Basic Data'!$AA:$AA,'Basic Data'!$AB:$AB),"Incorrect Error Code")</f>
        <v>Frequency converter error</v>
      </c>
      <c r="M1234" s="35" t="s">
        <v>291</v>
      </c>
      <c r="N1234" s="475"/>
      <c r="O1234" s="476">
        <v>0.26527777777777778</v>
      </c>
      <c r="P1234" s="476">
        <v>0.26527777777777778</v>
      </c>
      <c r="Q1234" s="477">
        <v>0.2673611111111111</v>
      </c>
      <c r="R1234" s="472">
        <f>IF(Table6[[#This Row],[Work Start TimeStamp]]="","",(Table6[[#This Row],[Work Start TimeStamp]]-Table6[[#This Row],[Fault Start TimeStamp]])*24)</f>
        <v>0</v>
      </c>
      <c r="S1234" s="472">
        <f>(Table6[[#This Row],[Fault Clearance time]]-Table6[[#This Row],[Work Start TimeStamp]])*24</f>
        <v>4.9999999999999822E-2</v>
      </c>
      <c r="T1234" s="472">
        <f>(Table6[[#This Row],[Fault Clearance time]]-Table6[[#This Row],[Fault Start TimeStamp]])*24</f>
        <v>4.9999999999999822E-2</v>
      </c>
      <c r="U1234" s="35" t="s">
        <v>1983</v>
      </c>
      <c r="V1234" s="102" t="s">
        <v>293</v>
      </c>
      <c r="W1234" s="478">
        <f>IFERROR(Table6[[#This Row],[Breakdown Time]]*Table6[[#This Row],[Plant Equivalent Weightage]],"")</f>
        <v>1.9230769230769156E-3</v>
      </c>
      <c r="X1234" s="473" t="s">
        <v>294</v>
      </c>
      <c r="Y1234" s="474" t="s">
        <v>339</v>
      </c>
      <c r="Z1234" s="102">
        <v>61067</v>
      </c>
      <c r="AA1234" s="468">
        <f>(Table6[[#This Row],[Paired WTG Generation for loss calculation]]/24)*Table6[[#This Row],[Breakdown Time]]</f>
        <v>127.22291666666622</v>
      </c>
      <c r="AB1234" s="102"/>
      <c r="AC1234" s="35"/>
      <c r="AD1234" s="35"/>
    </row>
    <row r="1235" spans="1:30">
      <c r="A1235" s="102">
        <f t="shared" si="20"/>
        <v>1234</v>
      </c>
      <c r="B1235" s="468">
        <f>YEAR(Table6[[#This Row],[Date]])+IF(MONTH(Table6[[#This Row],[Date]])&gt;=4,1,0)</f>
        <v>2026</v>
      </c>
      <c r="C1235" s="102">
        <f>YEAR(Table6[[#This Row],[Date]])</f>
        <v>2025</v>
      </c>
      <c r="D1235" s="102" t="s">
        <v>1992</v>
      </c>
      <c r="E1235" s="469">
        <f>Table6[[#This Row],[Date]]-DAY(Table6[[#This Row],[Date]])+1</f>
        <v>45809</v>
      </c>
      <c r="F1235" s="470">
        <v>45827</v>
      </c>
      <c r="G1235" s="35" t="s">
        <v>90</v>
      </c>
      <c r="H1235" s="35" t="str">
        <f>IFERROR(_xlfn.XLOOKUP(Table6[[#This Row],[Affected WTG]],'Basic Data'!$A:$A,'Basic Data'!$B:$B),"")</f>
        <v>TQGXIIPL</v>
      </c>
      <c r="I1235" s="35" t="str">
        <f>IFERROR(_xlfn.XLOOKUP(Table6[[#This Row],[Affected WTG]],'Basic Data'!$A:$A,'Basic Data'!$C:$C),"")</f>
        <v>GEDA</v>
      </c>
      <c r="J1235" s="471">
        <f>IFERROR(_xlfn.XLOOKUP(Table6[[#This Row],[Affected WTG]],'Basic Data'!$A:$A,'Basic Data'!$E:$E),"")</f>
        <v>3.846153846153845E-2</v>
      </c>
      <c r="K1235" s="102">
        <v>3110</v>
      </c>
      <c r="L1235" s="35" t="str">
        <f>IFERROR(_xlfn.XLOOKUP(Table6[[#This Row],[Error Code]],'Basic Data'!$AA:$AA,'Basic Data'!$AB:$AB),"Incorrect Error Code")</f>
        <v>Frequency converter error</v>
      </c>
      <c r="M1235" s="35" t="s">
        <v>291</v>
      </c>
      <c r="N1235" s="475"/>
      <c r="O1235" s="476">
        <v>0.53611111111111109</v>
      </c>
      <c r="P1235" s="476">
        <v>0.53611111111111109</v>
      </c>
      <c r="Q1235" s="477">
        <v>0.53819444444444442</v>
      </c>
      <c r="R1235" s="472">
        <f>IF(Table6[[#This Row],[Work Start TimeStamp]]="","",(Table6[[#This Row],[Work Start TimeStamp]]-Table6[[#This Row],[Fault Start TimeStamp]])*24)</f>
        <v>0</v>
      </c>
      <c r="S1235" s="472">
        <f>(Table6[[#This Row],[Fault Clearance time]]-Table6[[#This Row],[Work Start TimeStamp]])*24</f>
        <v>4.9999999999999822E-2</v>
      </c>
      <c r="T1235" s="472">
        <f>(Table6[[#This Row],[Fault Clearance time]]-Table6[[#This Row],[Fault Start TimeStamp]])*24</f>
        <v>4.9999999999999822E-2</v>
      </c>
      <c r="U1235" s="35" t="s">
        <v>1986</v>
      </c>
      <c r="V1235" s="102" t="s">
        <v>293</v>
      </c>
      <c r="W1235" s="478">
        <f>IFERROR(Table6[[#This Row],[Breakdown Time]]*Table6[[#This Row],[Plant Equivalent Weightage]],"")</f>
        <v>1.9230769230769156E-3</v>
      </c>
      <c r="X1235" s="473" t="s">
        <v>294</v>
      </c>
      <c r="Y1235" s="474" t="s">
        <v>339</v>
      </c>
      <c r="Z1235" s="102">
        <v>61067</v>
      </c>
      <c r="AA1235" s="468">
        <f>(Table6[[#This Row],[Paired WTG Generation for loss calculation]]/24)*Table6[[#This Row],[Breakdown Time]]</f>
        <v>127.22291666666622</v>
      </c>
      <c r="AB1235" s="102"/>
      <c r="AC1235" s="35"/>
      <c r="AD1235" s="35"/>
    </row>
    <row r="1236" spans="1:30">
      <c r="A1236" s="102">
        <f t="shared" si="20"/>
        <v>1235</v>
      </c>
      <c r="B1236" s="468">
        <f>YEAR(Table6[[#This Row],[Date]])+IF(MONTH(Table6[[#This Row],[Date]])&gt;=4,1,0)</f>
        <v>2026</v>
      </c>
      <c r="C1236" s="102">
        <f>YEAR(Table6[[#This Row],[Date]])</f>
        <v>2025</v>
      </c>
      <c r="D1236" s="102" t="s">
        <v>1992</v>
      </c>
      <c r="E1236" s="469">
        <f>Table6[[#This Row],[Date]]-DAY(Table6[[#This Row],[Date]])+1</f>
        <v>45809</v>
      </c>
      <c r="F1236" s="470">
        <v>45827</v>
      </c>
      <c r="G1236" s="35" t="s">
        <v>90</v>
      </c>
      <c r="H1236" s="35" t="str">
        <f>IFERROR(_xlfn.XLOOKUP(Table6[[#This Row],[Affected WTG]],'Basic Data'!$A:$A,'Basic Data'!$B:$B),"")</f>
        <v>TQGXIIPL</v>
      </c>
      <c r="I1236" s="35" t="str">
        <f>IFERROR(_xlfn.XLOOKUP(Table6[[#This Row],[Affected WTG]],'Basic Data'!$A:$A,'Basic Data'!$C:$C),"")</f>
        <v>GEDA</v>
      </c>
      <c r="J1236" s="471">
        <f>IFERROR(_xlfn.XLOOKUP(Table6[[#This Row],[Affected WTG]],'Basic Data'!$A:$A,'Basic Data'!$E:$E),"")</f>
        <v>3.846153846153845E-2</v>
      </c>
      <c r="K1236" s="102">
        <v>3110</v>
      </c>
      <c r="L1236" s="35" t="str">
        <f>IFERROR(_xlfn.XLOOKUP(Table6[[#This Row],[Error Code]],'Basic Data'!$AA:$AA,'Basic Data'!$AB:$AB),"Incorrect Error Code")</f>
        <v>Frequency converter error</v>
      </c>
      <c r="M1236" s="35" t="s">
        <v>291</v>
      </c>
      <c r="N1236" s="475"/>
      <c r="O1236" s="476">
        <v>0.55625000000000002</v>
      </c>
      <c r="P1236" s="476">
        <v>0.55625000000000002</v>
      </c>
      <c r="Q1236" s="477">
        <v>0.55902777777777779</v>
      </c>
      <c r="R1236" s="472">
        <f>IF(Table6[[#This Row],[Work Start TimeStamp]]="","",(Table6[[#This Row],[Work Start TimeStamp]]-Table6[[#This Row],[Fault Start TimeStamp]])*24)</f>
        <v>0</v>
      </c>
      <c r="S1236" s="472">
        <f>(Table6[[#This Row],[Fault Clearance time]]-Table6[[#This Row],[Work Start TimeStamp]])*24</f>
        <v>6.666666666666643E-2</v>
      </c>
      <c r="T1236" s="472">
        <f>(Table6[[#This Row],[Fault Clearance time]]-Table6[[#This Row],[Fault Start TimeStamp]])*24</f>
        <v>6.666666666666643E-2</v>
      </c>
      <c r="U1236" s="35" t="s">
        <v>1987</v>
      </c>
      <c r="V1236" s="102" t="s">
        <v>293</v>
      </c>
      <c r="W1236" s="478">
        <f>IFERROR(Table6[[#This Row],[Breakdown Time]]*Table6[[#This Row],[Plant Equivalent Weightage]],"")</f>
        <v>2.5641025641025541E-3</v>
      </c>
      <c r="X1236" s="473" t="s">
        <v>294</v>
      </c>
      <c r="Y1236" s="474" t="s">
        <v>339</v>
      </c>
      <c r="Z1236" s="102">
        <v>61067</v>
      </c>
      <c r="AA1236" s="468">
        <f>(Table6[[#This Row],[Paired WTG Generation for loss calculation]]/24)*Table6[[#This Row],[Breakdown Time]]</f>
        <v>169.63055555555496</v>
      </c>
      <c r="AB1236" s="102"/>
      <c r="AC1236" s="35"/>
      <c r="AD1236" s="35"/>
    </row>
    <row r="1237" spans="1:30">
      <c r="A1237" s="102">
        <f t="shared" si="20"/>
        <v>1236</v>
      </c>
      <c r="B1237" s="468">
        <f>YEAR(Table6[[#This Row],[Date]])+IF(MONTH(Table6[[#This Row],[Date]])&gt;=4,1,0)</f>
        <v>2026</v>
      </c>
      <c r="C1237" s="102">
        <f>YEAR(Table6[[#This Row],[Date]])</f>
        <v>2025</v>
      </c>
      <c r="D1237" s="102" t="s">
        <v>1992</v>
      </c>
      <c r="E1237" s="469">
        <f>Table6[[#This Row],[Date]]-DAY(Table6[[#This Row],[Date]])+1</f>
        <v>45809</v>
      </c>
      <c r="F1237" s="470">
        <v>45827</v>
      </c>
      <c r="G1237" s="35" t="s">
        <v>90</v>
      </c>
      <c r="H1237" s="35" t="str">
        <f>IFERROR(_xlfn.XLOOKUP(Table6[[#This Row],[Affected WTG]],'Basic Data'!$A:$A,'Basic Data'!$B:$B),"")</f>
        <v>TQGXIIPL</v>
      </c>
      <c r="I1237" s="35" t="str">
        <f>IFERROR(_xlfn.XLOOKUP(Table6[[#This Row],[Affected WTG]],'Basic Data'!$A:$A,'Basic Data'!$C:$C),"")</f>
        <v>GEDA</v>
      </c>
      <c r="J1237" s="471">
        <f>IFERROR(_xlfn.XLOOKUP(Table6[[#This Row],[Affected WTG]],'Basic Data'!$A:$A,'Basic Data'!$E:$E),"")</f>
        <v>3.846153846153845E-2</v>
      </c>
      <c r="K1237" s="102">
        <v>3110</v>
      </c>
      <c r="L1237" s="35" t="str">
        <f>IFERROR(_xlfn.XLOOKUP(Table6[[#This Row],[Error Code]],'Basic Data'!$AA:$AA,'Basic Data'!$AB:$AB),"Incorrect Error Code")</f>
        <v>Frequency converter error</v>
      </c>
      <c r="M1237" s="35" t="s">
        <v>291</v>
      </c>
      <c r="N1237" s="475"/>
      <c r="O1237" s="476">
        <v>0.57986111111111116</v>
      </c>
      <c r="P1237" s="476">
        <v>0.57986111111111116</v>
      </c>
      <c r="Q1237" s="477">
        <v>0.58194444444444449</v>
      </c>
      <c r="R1237" s="472">
        <f>IF(Table6[[#This Row],[Work Start TimeStamp]]="","",(Table6[[#This Row],[Work Start TimeStamp]]-Table6[[#This Row],[Fault Start TimeStamp]])*24)</f>
        <v>0</v>
      </c>
      <c r="S1237" s="472">
        <f>(Table6[[#This Row],[Fault Clearance time]]-Table6[[#This Row],[Work Start TimeStamp]])*24</f>
        <v>4.9999999999999822E-2</v>
      </c>
      <c r="T1237" s="472">
        <f>(Table6[[#This Row],[Fault Clearance time]]-Table6[[#This Row],[Fault Start TimeStamp]])*24</f>
        <v>4.9999999999999822E-2</v>
      </c>
      <c r="U1237" s="35" t="s">
        <v>1986</v>
      </c>
      <c r="V1237" s="102" t="s">
        <v>293</v>
      </c>
      <c r="W1237" s="478">
        <f>IFERROR(Table6[[#This Row],[Breakdown Time]]*Table6[[#This Row],[Plant Equivalent Weightage]],"")</f>
        <v>1.9230769230769156E-3</v>
      </c>
      <c r="X1237" s="473" t="s">
        <v>294</v>
      </c>
      <c r="Y1237" s="474" t="s">
        <v>339</v>
      </c>
      <c r="Z1237" s="102">
        <v>61067</v>
      </c>
      <c r="AA1237" s="468">
        <f>(Table6[[#This Row],[Paired WTG Generation for loss calculation]]/24)*Table6[[#This Row],[Breakdown Time]]</f>
        <v>127.22291666666622</v>
      </c>
      <c r="AB1237" s="102"/>
      <c r="AC1237" s="35"/>
      <c r="AD1237" s="35"/>
    </row>
    <row r="1238" spans="1:30">
      <c r="A1238" s="102">
        <f t="shared" si="20"/>
        <v>1237</v>
      </c>
      <c r="B1238" s="468">
        <f>YEAR(Table6[[#This Row],[Date]])+IF(MONTH(Table6[[#This Row],[Date]])&gt;=4,1,0)</f>
        <v>2026</v>
      </c>
      <c r="C1238" s="102">
        <f>YEAR(Table6[[#This Row],[Date]])</f>
        <v>2025</v>
      </c>
      <c r="D1238" s="102" t="s">
        <v>1992</v>
      </c>
      <c r="E1238" s="469">
        <f>Table6[[#This Row],[Date]]-DAY(Table6[[#This Row],[Date]])+1</f>
        <v>45809</v>
      </c>
      <c r="F1238" s="470">
        <v>45827</v>
      </c>
      <c r="G1238" s="35" t="s">
        <v>93</v>
      </c>
      <c r="H1238" s="35" t="str">
        <f>IFERROR(_xlfn.XLOOKUP(Table6[[#This Row],[Affected WTG]],'Basic Data'!$A:$A,'Basic Data'!$B:$B),"")</f>
        <v>TQGXIIPL</v>
      </c>
      <c r="I1238" s="35" t="str">
        <f>IFERROR(_xlfn.XLOOKUP(Table6[[#This Row],[Affected WTG]],'Basic Data'!$A:$A,'Basic Data'!$C:$C),"")</f>
        <v>GEDA</v>
      </c>
      <c r="J1238" s="471">
        <f>IFERROR(_xlfn.XLOOKUP(Table6[[#This Row],[Affected WTG]],'Basic Data'!$A:$A,'Basic Data'!$E:$E),"")</f>
        <v>3.846153846153845E-2</v>
      </c>
      <c r="K1238" s="102">
        <v>6130</v>
      </c>
      <c r="L1238" s="35" t="str">
        <f>IFERROR(_xlfn.XLOOKUP(Table6[[#This Row],[Error Code]],'Basic Data'!$AA:$AA,'Basic Data'!$AB:$AB),"Incorrect Error Code")</f>
        <v>Yaw speed high</v>
      </c>
      <c r="M1238" s="35" t="s">
        <v>291</v>
      </c>
      <c r="N1238" s="475"/>
      <c r="O1238" s="476">
        <v>0.58888888888888891</v>
      </c>
      <c r="P1238" s="476">
        <v>0.58888888888888891</v>
      </c>
      <c r="Q1238" s="477">
        <v>0.59166666666666667</v>
      </c>
      <c r="R1238" s="472">
        <f>IF(Table6[[#This Row],[Work Start TimeStamp]]="","",(Table6[[#This Row],[Work Start TimeStamp]]-Table6[[#This Row],[Fault Start TimeStamp]])*24)</f>
        <v>0</v>
      </c>
      <c r="S1238" s="472">
        <f>(Table6[[#This Row],[Fault Clearance time]]-Table6[[#This Row],[Work Start TimeStamp]])*24</f>
        <v>6.666666666666643E-2</v>
      </c>
      <c r="T1238" s="472">
        <f>(Table6[[#This Row],[Fault Clearance time]]-Table6[[#This Row],[Fault Start TimeStamp]])*24</f>
        <v>6.666666666666643E-2</v>
      </c>
      <c r="U1238" s="35" t="s">
        <v>1924</v>
      </c>
      <c r="V1238" s="102" t="s">
        <v>293</v>
      </c>
      <c r="W1238" s="478">
        <f>IFERROR(Table6[[#This Row],[Breakdown Time]]*Table6[[#This Row],[Plant Equivalent Weightage]],"")</f>
        <v>2.5641025641025541E-3</v>
      </c>
      <c r="X1238" s="473" t="s">
        <v>294</v>
      </c>
      <c r="Y1238" s="474" t="s">
        <v>314</v>
      </c>
      <c r="Z1238" s="102">
        <v>63198</v>
      </c>
      <c r="AA1238" s="468">
        <f>(Table6[[#This Row],[Paired WTG Generation for loss calculation]]/24)*Table6[[#This Row],[Breakdown Time]]</f>
        <v>175.54999999999939</v>
      </c>
      <c r="AB1238" s="102"/>
      <c r="AC1238" s="35"/>
      <c r="AD1238" s="35"/>
    </row>
    <row r="1239" spans="1:30">
      <c r="A1239" s="102">
        <f t="shared" si="20"/>
        <v>1238</v>
      </c>
      <c r="B1239" s="468">
        <f>YEAR(Table6[[#This Row],[Date]])+IF(MONTH(Table6[[#This Row],[Date]])&gt;=4,1,0)</f>
        <v>2026</v>
      </c>
      <c r="C1239" s="102">
        <f>YEAR(Table6[[#This Row],[Date]])</f>
        <v>2025</v>
      </c>
      <c r="D1239" s="102" t="s">
        <v>1992</v>
      </c>
      <c r="E1239" s="469">
        <f>Table6[[#This Row],[Date]]-DAY(Table6[[#This Row],[Date]])+1</f>
        <v>45809</v>
      </c>
      <c r="F1239" s="470">
        <v>45827</v>
      </c>
      <c r="G1239" s="35" t="s">
        <v>98</v>
      </c>
      <c r="H1239" s="35" t="str">
        <f>IFERROR(_xlfn.XLOOKUP(Table6[[#This Row],[Affected WTG]],'Basic Data'!$A:$A,'Basic Data'!$B:$B),"")</f>
        <v>TQGXIIPL</v>
      </c>
      <c r="I1239" s="35" t="str">
        <f>IFERROR(_xlfn.XLOOKUP(Table6[[#This Row],[Affected WTG]],'Basic Data'!$A:$A,'Basic Data'!$C:$C),"")</f>
        <v>GEDA</v>
      </c>
      <c r="J1239" s="471">
        <f>IFERROR(_xlfn.XLOOKUP(Table6[[#This Row],[Affected WTG]],'Basic Data'!$A:$A,'Basic Data'!$E:$E),"")</f>
        <v>3.846153846153845E-2</v>
      </c>
      <c r="K1239" s="102">
        <v>3110</v>
      </c>
      <c r="L1239" s="35" t="str">
        <f>IFERROR(_xlfn.XLOOKUP(Table6[[#This Row],[Error Code]],'Basic Data'!$AA:$AA,'Basic Data'!$AB:$AB),"Incorrect Error Code")</f>
        <v>Frequency converter error</v>
      </c>
      <c r="M1239" s="35" t="s">
        <v>291</v>
      </c>
      <c r="N1239" s="475"/>
      <c r="O1239" s="476">
        <v>0.16458333333333333</v>
      </c>
      <c r="P1239" s="476">
        <v>0.16458333333333333</v>
      </c>
      <c r="Q1239" s="477">
        <v>0.16875000000000001</v>
      </c>
      <c r="R1239" s="472">
        <f>IF(Table6[[#This Row],[Work Start TimeStamp]]="","",(Table6[[#This Row],[Work Start TimeStamp]]-Table6[[#This Row],[Fault Start TimeStamp]])*24)</f>
        <v>0</v>
      </c>
      <c r="S1239" s="472">
        <f>(Table6[[#This Row],[Fault Clearance time]]-Table6[[#This Row],[Work Start TimeStamp]])*24</f>
        <v>0.10000000000000031</v>
      </c>
      <c r="T1239" s="472">
        <f>(Table6[[#This Row],[Fault Clearance time]]-Table6[[#This Row],[Fault Start TimeStamp]])*24</f>
        <v>0.10000000000000031</v>
      </c>
      <c r="U1239" s="35" t="s">
        <v>1924</v>
      </c>
      <c r="V1239" s="102" t="s">
        <v>293</v>
      </c>
      <c r="W1239" s="478">
        <f>IFERROR(Table6[[#This Row],[Breakdown Time]]*Table6[[#This Row],[Plant Equivalent Weightage]],"")</f>
        <v>3.8461538461538568E-3</v>
      </c>
      <c r="X1239" s="473" t="s">
        <v>294</v>
      </c>
      <c r="Y1239" s="474" t="s">
        <v>315</v>
      </c>
      <c r="Z1239" s="102">
        <v>60392</v>
      </c>
      <c r="AA1239" s="468">
        <f>(Table6[[#This Row],[Paired WTG Generation for loss calculation]]/24)*Table6[[#This Row],[Breakdown Time]]</f>
        <v>251.63333333333412</v>
      </c>
      <c r="AB1239" s="102"/>
      <c r="AC1239" s="35"/>
      <c r="AD1239" s="35"/>
    </row>
    <row r="1240" spans="1:30">
      <c r="A1240" s="102">
        <f t="shared" si="20"/>
        <v>1239</v>
      </c>
      <c r="B1240" s="468">
        <f>YEAR(Table6[[#This Row],[Date]])+IF(MONTH(Table6[[#This Row],[Date]])&gt;=4,1,0)</f>
        <v>2026</v>
      </c>
      <c r="C1240" s="102">
        <f>YEAR(Table6[[#This Row],[Date]])</f>
        <v>2025</v>
      </c>
      <c r="D1240" s="102" t="s">
        <v>1992</v>
      </c>
      <c r="E1240" s="469">
        <f>Table6[[#This Row],[Date]]-DAY(Table6[[#This Row],[Date]])+1</f>
        <v>45809</v>
      </c>
      <c r="F1240" s="470">
        <v>45828</v>
      </c>
      <c r="G1240" s="35" t="s">
        <v>75</v>
      </c>
      <c r="H1240" s="35" t="str">
        <f>IFERROR(_xlfn.XLOOKUP(Table6[[#This Row],[Affected WTG]],'Basic Data'!$A:$A,'Basic Data'!$B:$B),"")</f>
        <v>TQGXIIPL</v>
      </c>
      <c r="I1240" s="35" t="str">
        <f>IFERROR(_xlfn.XLOOKUP(Table6[[#This Row],[Affected WTG]],'Basic Data'!$A:$A,'Basic Data'!$C:$C),"")</f>
        <v>GEDA</v>
      </c>
      <c r="J1240" s="471">
        <f>IFERROR(_xlfn.XLOOKUP(Table6[[#This Row],[Affected WTG]],'Basic Data'!$A:$A,'Basic Data'!$E:$E),"")</f>
        <v>3.846153846153845E-2</v>
      </c>
      <c r="K1240" s="102">
        <v>4960</v>
      </c>
      <c r="L1240" s="35" t="str">
        <f>IFERROR(_xlfn.XLOOKUP(Table6[[#This Row],[Error Code]],'Basic Data'!$AA:$AA,'Basic Data'!$AB:$AB),"Incorrect Error Code")</f>
        <v>Tower oscillation YF</v>
      </c>
      <c r="M1240" s="35" t="s">
        <v>291</v>
      </c>
      <c r="N1240" s="475"/>
      <c r="O1240" s="476">
        <v>0.51249999999999996</v>
      </c>
      <c r="P1240" s="476">
        <v>0.51249999999999996</v>
      </c>
      <c r="Q1240" s="477">
        <v>0.51527777777777772</v>
      </c>
      <c r="R1240" s="472">
        <f>IF(Table6[[#This Row],[Work Start TimeStamp]]="","",(Table6[[#This Row],[Work Start TimeStamp]]-Table6[[#This Row],[Fault Start TimeStamp]])*24)</f>
        <v>0</v>
      </c>
      <c r="S1240" s="472">
        <f>(Table6[[#This Row],[Fault Clearance time]]-Table6[[#This Row],[Work Start TimeStamp]])*24</f>
        <v>6.666666666666643E-2</v>
      </c>
      <c r="T1240" s="472">
        <f>(Table6[[#This Row],[Fault Clearance time]]-Table6[[#This Row],[Fault Start TimeStamp]])*24</f>
        <v>6.666666666666643E-2</v>
      </c>
      <c r="U1240" s="35" t="s">
        <v>1924</v>
      </c>
      <c r="V1240" s="102" t="s">
        <v>293</v>
      </c>
      <c r="W1240" s="478">
        <f>IFERROR(Table6[[#This Row],[Breakdown Time]]*Table6[[#This Row],[Plant Equivalent Weightage]],"")</f>
        <v>2.5641025641025541E-3</v>
      </c>
      <c r="X1240" s="473" t="s">
        <v>294</v>
      </c>
      <c r="Y1240" s="474" t="s">
        <v>318</v>
      </c>
      <c r="Z1240" s="102">
        <v>54458</v>
      </c>
      <c r="AA1240" s="468">
        <f>(Table6[[#This Row],[Paired WTG Generation for loss calculation]]/24)*Table6[[#This Row],[Breakdown Time]]</f>
        <v>151.2722222222217</v>
      </c>
      <c r="AB1240" s="102"/>
      <c r="AC1240" s="35"/>
      <c r="AD1240" s="35"/>
    </row>
    <row r="1241" spans="1:30">
      <c r="A1241" s="102">
        <f t="shared" si="20"/>
        <v>1240</v>
      </c>
      <c r="B1241" s="468">
        <f>YEAR(Table6[[#This Row],[Date]])+IF(MONTH(Table6[[#This Row],[Date]])&gt;=4,1,0)</f>
        <v>2026</v>
      </c>
      <c r="C1241" s="102">
        <f>YEAR(Table6[[#This Row],[Date]])</f>
        <v>2025</v>
      </c>
      <c r="D1241" s="102" t="s">
        <v>1992</v>
      </c>
      <c r="E1241" s="469">
        <f>Table6[[#This Row],[Date]]-DAY(Table6[[#This Row],[Date]])+1</f>
        <v>45809</v>
      </c>
      <c r="F1241" s="470">
        <v>45828</v>
      </c>
      <c r="G1241" s="35" t="s">
        <v>76</v>
      </c>
      <c r="H1241" s="35" t="str">
        <f>IFERROR(_xlfn.XLOOKUP(Table6[[#This Row],[Affected WTG]],'Basic Data'!$A:$A,'Basic Data'!$B:$B),"")</f>
        <v>TQGXIIPL</v>
      </c>
      <c r="I1241" s="35" t="str">
        <f>IFERROR(_xlfn.XLOOKUP(Table6[[#This Row],[Affected WTG]],'Basic Data'!$A:$A,'Basic Data'!$C:$C),"")</f>
        <v>GEDA</v>
      </c>
      <c r="J1241" s="471">
        <f>IFERROR(_xlfn.XLOOKUP(Table6[[#This Row],[Affected WTG]],'Basic Data'!$A:$A,'Basic Data'!$E:$E),"")</f>
        <v>3.846153846153845E-2</v>
      </c>
      <c r="K1241" s="102">
        <v>520</v>
      </c>
      <c r="L1241" s="35" t="str">
        <f>IFERROR(_xlfn.XLOOKUP(Table6[[#This Row],[Error Code]],'Basic Data'!$AA:$AA,'Basic Data'!$AB:$AB),"Incorrect Error Code")</f>
        <v>Overload axis 1</v>
      </c>
      <c r="M1241" s="35" t="s">
        <v>291</v>
      </c>
      <c r="N1241" s="475"/>
      <c r="O1241" s="476">
        <v>0.12986111111111112</v>
      </c>
      <c r="P1241" s="476">
        <v>0.12986111111111112</v>
      </c>
      <c r="Q1241" s="477">
        <v>0.1423611111111111</v>
      </c>
      <c r="R1241" s="472">
        <f>IF(Table6[[#This Row],[Work Start TimeStamp]]="","",(Table6[[#This Row],[Work Start TimeStamp]]-Table6[[#This Row],[Fault Start TimeStamp]])*24)</f>
        <v>0</v>
      </c>
      <c r="S1241" s="472">
        <f>(Table6[[#This Row],[Fault Clearance time]]-Table6[[#This Row],[Work Start TimeStamp]])*24</f>
        <v>0.2999999999999996</v>
      </c>
      <c r="T1241" s="472">
        <f>(Table6[[#This Row],[Fault Clearance time]]-Table6[[#This Row],[Fault Start TimeStamp]])*24</f>
        <v>0.2999999999999996</v>
      </c>
      <c r="U1241" s="35" t="s">
        <v>1924</v>
      </c>
      <c r="V1241" s="102" t="s">
        <v>293</v>
      </c>
      <c r="W1241" s="478">
        <f>IFERROR(Table6[[#This Row],[Breakdown Time]]*Table6[[#This Row],[Plant Equivalent Weightage]],"")</f>
        <v>1.153846153846152E-2</v>
      </c>
      <c r="X1241" s="473" t="s">
        <v>294</v>
      </c>
      <c r="Y1241" s="474" t="s">
        <v>309</v>
      </c>
      <c r="Z1241" s="102">
        <v>55200</v>
      </c>
      <c r="AA1241" s="468">
        <f>(Table6[[#This Row],[Paired WTG Generation for loss calculation]]/24)*Table6[[#This Row],[Breakdown Time]]</f>
        <v>689.99999999999909</v>
      </c>
      <c r="AB1241" s="102"/>
      <c r="AC1241" s="35"/>
      <c r="AD1241" s="35"/>
    </row>
    <row r="1242" spans="1:30">
      <c r="A1242" s="102">
        <f t="shared" si="20"/>
        <v>1241</v>
      </c>
      <c r="B1242" s="468">
        <f>YEAR(Table6[[#This Row],[Date]])+IF(MONTH(Table6[[#This Row],[Date]])&gt;=4,1,0)</f>
        <v>2026</v>
      </c>
      <c r="C1242" s="102">
        <f>YEAR(Table6[[#This Row],[Date]])</f>
        <v>2025</v>
      </c>
      <c r="D1242" s="102" t="s">
        <v>1992</v>
      </c>
      <c r="E1242" s="469">
        <f>Table6[[#This Row],[Date]]-DAY(Table6[[#This Row],[Date]])+1</f>
        <v>45809</v>
      </c>
      <c r="F1242" s="470">
        <v>45828</v>
      </c>
      <c r="G1242" s="35" t="s">
        <v>77</v>
      </c>
      <c r="H1242" s="35" t="str">
        <f>IFERROR(_xlfn.XLOOKUP(Table6[[#This Row],[Affected WTG]],'Basic Data'!$A:$A,'Basic Data'!$B:$B),"")</f>
        <v>TQGXIIPL</v>
      </c>
      <c r="I1242" s="35" t="str">
        <f>IFERROR(_xlfn.XLOOKUP(Table6[[#This Row],[Affected WTG]],'Basic Data'!$A:$A,'Basic Data'!$C:$C),"")</f>
        <v>GEDA</v>
      </c>
      <c r="J1242" s="471">
        <f>IFERROR(_xlfn.XLOOKUP(Table6[[#This Row],[Affected WTG]],'Basic Data'!$A:$A,'Basic Data'!$E:$E),"")</f>
        <v>3.846153846153845E-2</v>
      </c>
      <c r="K1242" s="102">
        <v>6130</v>
      </c>
      <c r="L1242" s="35" t="str">
        <f>IFERROR(_xlfn.XLOOKUP(Table6[[#This Row],[Error Code]],'Basic Data'!$AA:$AA,'Basic Data'!$AB:$AB),"Incorrect Error Code")</f>
        <v>Yaw speed high</v>
      </c>
      <c r="M1242" s="35" t="s">
        <v>292</v>
      </c>
      <c r="N1242" s="475"/>
      <c r="O1242" s="476">
        <v>0.43958333333333333</v>
      </c>
      <c r="P1242" s="476">
        <v>0.43958333333333333</v>
      </c>
      <c r="Q1242" s="477">
        <v>0.44027777777777777</v>
      </c>
      <c r="R1242" s="472">
        <f>IF(Table6[[#This Row],[Work Start TimeStamp]]="","",(Table6[[#This Row],[Work Start TimeStamp]]-Table6[[#This Row],[Fault Start TimeStamp]])*24)</f>
        <v>0</v>
      </c>
      <c r="S1242" s="472">
        <f>(Table6[[#This Row],[Fault Clearance time]]-Table6[[#This Row],[Work Start TimeStamp]])*24</f>
        <v>1.6666666666666607E-2</v>
      </c>
      <c r="T1242" s="472">
        <f>(Table6[[#This Row],[Fault Clearance time]]-Table6[[#This Row],[Fault Start TimeStamp]])*24</f>
        <v>1.6666666666666607E-2</v>
      </c>
      <c r="U1242" s="35" t="s">
        <v>336</v>
      </c>
      <c r="V1242" s="102" t="s">
        <v>293</v>
      </c>
      <c r="W1242" s="478">
        <f>IFERROR(Table6[[#This Row],[Breakdown Time]]*Table6[[#This Row],[Plant Equivalent Weightage]],"")</f>
        <v>6.4102564102563853E-4</v>
      </c>
      <c r="X1242" s="473" t="s">
        <v>294</v>
      </c>
      <c r="Y1242" s="474" t="s">
        <v>310</v>
      </c>
      <c r="Z1242" s="102">
        <v>26899</v>
      </c>
      <c r="AA1242" s="468">
        <f>(Table6[[#This Row],[Paired WTG Generation for loss calculation]]/24)*Table6[[#This Row],[Breakdown Time]]</f>
        <v>18.679861111111045</v>
      </c>
      <c r="AB1242" s="102"/>
      <c r="AC1242" s="35"/>
      <c r="AD1242" s="35"/>
    </row>
    <row r="1243" spans="1:30">
      <c r="A1243" s="102">
        <f t="shared" si="20"/>
        <v>1242</v>
      </c>
      <c r="B1243" s="468">
        <f>YEAR(Table6[[#This Row],[Date]])+IF(MONTH(Table6[[#This Row],[Date]])&gt;=4,1,0)</f>
        <v>2026</v>
      </c>
      <c r="C1243" s="102">
        <f>YEAR(Table6[[#This Row],[Date]])</f>
        <v>2025</v>
      </c>
      <c r="D1243" s="102" t="s">
        <v>1992</v>
      </c>
      <c r="E1243" s="469">
        <f>Table6[[#This Row],[Date]]-DAY(Table6[[#This Row],[Date]])+1</f>
        <v>45809</v>
      </c>
      <c r="F1243" s="470">
        <v>45828</v>
      </c>
      <c r="G1243" s="35" t="s">
        <v>77</v>
      </c>
      <c r="H1243" s="35" t="str">
        <f>IFERROR(_xlfn.XLOOKUP(Table6[[#This Row],[Affected WTG]],'Basic Data'!$A:$A,'Basic Data'!$B:$B),"")</f>
        <v>TQGXIIPL</v>
      </c>
      <c r="I1243" s="35" t="str">
        <f>IFERROR(_xlfn.XLOOKUP(Table6[[#This Row],[Affected WTG]],'Basic Data'!$A:$A,'Basic Data'!$C:$C),"")</f>
        <v>GEDA</v>
      </c>
      <c r="J1243" s="471">
        <f>IFERROR(_xlfn.XLOOKUP(Table6[[#This Row],[Affected WTG]],'Basic Data'!$A:$A,'Basic Data'!$E:$E),"")</f>
        <v>3.846153846153845E-2</v>
      </c>
      <c r="K1243" s="102">
        <v>152</v>
      </c>
      <c r="L1243" s="35" t="str">
        <f>IFERROR(_xlfn.XLOOKUP(Table6[[#This Row],[Error Code]],'Basic Data'!$AA:$AA,'Basic Data'!$AB:$AB),"Incorrect Error Code")</f>
        <v>SLC app. not in SAFE mode</v>
      </c>
      <c r="M1243" s="35" t="s">
        <v>291</v>
      </c>
      <c r="N1243" s="475"/>
      <c r="O1243" s="476">
        <v>0.82638888888888884</v>
      </c>
      <c r="P1243" s="476">
        <v>0.82638888888888884</v>
      </c>
      <c r="Q1243" s="477">
        <v>0.85972222222222228</v>
      </c>
      <c r="R1243" s="472">
        <f>IF(Table6[[#This Row],[Work Start TimeStamp]]="","",(Table6[[#This Row],[Work Start TimeStamp]]-Table6[[#This Row],[Fault Start TimeStamp]])*24)</f>
        <v>0</v>
      </c>
      <c r="S1243" s="472">
        <f>(Table6[[#This Row],[Fault Clearance time]]-Table6[[#This Row],[Work Start TimeStamp]])*24</f>
        <v>0.80000000000000249</v>
      </c>
      <c r="T1243" s="472">
        <f>(Table6[[#This Row],[Fault Clearance time]]-Table6[[#This Row],[Fault Start TimeStamp]])*24</f>
        <v>0.80000000000000249</v>
      </c>
      <c r="U1243" s="35" t="s">
        <v>1997</v>
      </c>
      <c r="V1243" s="102" t="s">
        <v>293</v>
      </c>
      <c r="W1243" s="478">
        <f>IFERROR(Table6[[#This Row],[Breakdown Time]]*Table6[[#This Row],[Plant Equivalent Weightage]],"")</f>
        <v>3.0769230769230854E-2</v>
      </c>
      <c r="X1243" s="473" t="s">
        <v>294</v>
      </c>
      <c r="Y1243" s="474" t="s">
        <v>310</v>
      </c>
      <c r="Z1243" s="102">
        <v>26899</v>
      </c>
      <c r="AA1243" s="468">
        <f>(Table6[[#This Row],[Paired WTG Generation for loss calculation]]/24)*Table6[[#This Row],[Breakdown Time]]</f>
        <v>896.63333333333617</v>
      </c>
      <c r="AB1243" s="102"/>
      <c r="AC1243" s="35"/>
      <c r="AD1243" s="35"/>
    </row>
    <row r="1244" spans="1:30">
      <c r="A1244" s="102">
        <f t="shared" si="20"/>
        <v>1243</v>
      </c>
      <c r="B1244" s="468">
        <f>YEAR(Table6[[#This Row],[Date]])+IF(MONTH(Table6[[#This Row],[Date]])&gt;=4,1,0)</f>
        <v>2026</v>
      </c>
      <c r="C1244" s="102">
        <f>YEAR(Table6[[#This Row],[Date]])</f>
        <v>2025</v>
      </c>
      <c r="D1244" s="102" t="s">
        <v>1992</v>
      </c>
      <c r="E1244" s="469">
        <f>Table6[[#This Row],[Date]]-DAY(Table6[[#This Row],[Date]])+1</f>
        <v>45809</v>
      </c>
      <c r="F1244" s="470">
        <v>45828</v>
      </c>
      <c r="G1244" s="35" t="s">
        <v>77</v>
      </c>
      <c r="H1244" s="35" t="str">
        <f>IFERROR(_xlfn.XLOOKUP(Table6[[#This Row],[Affected WTG]],'Basic Data'!$A:$A,'Basic Data'!$B:$B),"")</f>
        <v>TQGXIIPL</v>
      </c>
      <c r="I1244" s="35" t="str">
        <f>IFERROR(_xlfn.XLOOKUP(Table6[[#This Row],[Affected WTG]],'Basic Data'!$A:$A,'Basic Data'!$C:$C),"")</f>
        <v>GEDA</v>
      </c>
      <c r="J1244" s="471">
        <f>IFERROR(_xlfn.XLOOKUP(Table6[[#This Row],[Affected WTG]],'Basic Data'!$A:$A,'Basic Data'!$E:$E),"")</f>
        <v>3.846153846153845E-2</v>
      </c>
      <c r="K1244" s="102">
        <v>6130</v>
      </c>
      <c r="L1244" s="35" t="str">
        <f>IFERROR(_xlfn.XLOOKUP(Table6[[#This Row],[Error Code]],'Basic Data'!$AA:$AA,'Basic Data'!$AB:$AB),"Incorrect Error Code")</f>
        <v>Yaw speed high</v>
      </c>
      <c r="M1244" s="35" t="s">
        <v>292</v>
      </c>
      <c r="N1244" s="475"/>
      <c r="O1244" s="476">
        <v>0.98611111111111116</v>
      </c>
      <c r="P1244" s="476">
        <v>0.98611111111111116</v>
      </c>
      <c r="Q1244" s="477">
        <v>0.99097222222222225</v>
      </c>
      <c r="R1244" s="472">
        <f>IF(Table6[[#This Row],[Work Start TimeStamp]]="","",(Table6[[#This Row],[Work Start TimeStamp]]-Table6[[#This Row],[Fault Start TimeStamp]])*24)</f>
        <v>0</v>
      </c>
      <c r="S1244" s="472">
        <f>(Table6[[#This Row],[Fault Clearance time]]-Table6[[#This Row],[Work Start TimeStamp]])*24</f>
        <v>0.11666666666666625</v>
      </c>
      <c r="T1244" s="472">
        <f>(Table6[[#This Row],[Fault Clearance time]]-Table6[[#This Row],[Fault Start TimeStamp]])*24</f>
        <v>0.11666666666666625</v>
      </c>
      <c r="U1244" s="35" t="s">
        <v>336</v>
      </c>
      <c r="V1244" s="102" t="s">
        <v>293</v>
      </c>
      <c r="W1244" s="478">
        <f>IFERROR(Table6[[#This Row],[Breakdown Time]]*Table6[[#This Row],[Plant Equivalent Weightage]],"")</f>
        <v>4.4871794871794695E-3</v>
      </c>
      <c r="X1244" s="473" t="s">
        <v>294</v>
      </c>
      <c r="Y1244" s="474" t="s">
        <v>310</v>
      </c>
      <c r="Z1244" s="102">
        <v>26899</v>
      </c>
      <c r="AA1244" s="468">
        <f>(Table6[[#This Row],[Paired WTG Generation for loss calculation]]/24)*Table6[[#This Row],[Breakdown Time]]</f>
        <v>130.75902777777733</v>
      </c>
      <c r="AB1244" s="102"/>
      <c r="AC1244" s="35"/>
      <c r="AD1244" s="35"/>
    </row>
    <row r="1245" spans="1:30">
      <c r="A1245" s="102">
        <f t="shared" si="20"/>
        <v>1244</v>
      </c>
      <c r="B1245" s="468">
        <f>YEAR(Table6[[#This Row],[Date]])+IF(MONTH(Table6[[#This Row],[Date]])&gt;=4,1,0)</f>
        <v>2026</v>
      </c>
      <c r="C1245" s="102">
        <f>YEAR(Table6[[#This Row],[Date]])</f>
        <v>2025</v>
      </c>
      <c r="D1245" s="102" t="s">
        <v>1992</v>
      </c>
      <c r="E1245" s="469">
        <f>Table6[[#This Row],[Date]]-DAY(Table6[[#This Row],[Date]])+1</f>
        <v>45809</v>
      </c>
      <c r="F1245" s="470">
        <v>45828</v>
      </c>
      <c r="G1245" s="35" t="s">
        <v>79</v>
      </c>
      <c r="H1245" s="35" t="str">
        <f>IFERROR(_xlfn.XLOOKUP(Table6[[#This Row],[Affected WTG]],'Basic Data'!$A:$A,'Basic Data'!$B:$B),"")</f>
        <v>TQGXIIPL</v>
      </c>
      <c r="I1245" s="35" t="str">
        <f>IFERROR(_xlfn.XLOOKUP(Table6[[#This Row],[Affected WTG]],'Basic Data'!$A:$A,'Basic Data'!$C:$C),"")</f>
        <v>GEDA</v>
      </c>
      <c r="J1245" s="471">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291</v>
      </c>
      <c r="N1245" s="475"/>
      <c r="O1245" s="476">
        <v>0.82638888888888884</v>
      </c>
      <c r="P1245" s="476">
        <v>0.82638888888888884</v>
      </c>
      <c r="Q1245" s="477">
        <v>0.85833333333333328</v>
      </c>
      <c r="R1245" s="472">
        <f>IF(Table6[[#This Row],[Work Start TimeStamp]]="","",(Table6[[#This Row],[Work Start TimeStamp]]-Table6[[#This Row],[Fault Start TimeStamp]])*24)</f>
        <v>0</v>
      </c>
      <c r="S1245" s="472">
        <f>(Table6[[#This Row],[Fault Clearance time]]-Table6[[#This Row],[Work Start TimeStamp]])*24</f>
        <v>0.76666666666666661</v>
      </c>
      <c r="T1245" s="472">
        <f>(Table6[[#This Row],[Fault Clearance time]]-Table6[[#This Row],[Fault Start TimeStamp]])*24</f>
        <v>0.76666666666666661</v>
      </c>
      <c r="U1245" s="35" t="s">
        <v>1998</v>
      </c>
      <c r="V1245" s="102" t="s">
        <v>293</v>
      </c>
      <c r="W1245" s="478">
        <f>IFERROR(Table6[[#This Row],[Breakdown Time]]*Table6[[#This Row],[Plant Equivalent Weightage]],"")</f>
        <v>2.9487179487179476E-2</v>
      </c>
      <c r="X1245" s="473" t="s">
        <v>294</v>
      </c>
      <c r="Y1245" s="474" t="s">
        <v>325</v>
      </c>
      <c r="Z1245" s="102">
        <v>26386</v>
      </c>
      <c r="AA1245" s="468">
        <f>(Table6[[#This Row],[Paired WTG Generation for loss calculation]]/24)*Table6[[#This Row],[Breakdown Time]]</f>
        <v>842.88611111111106</v>
      </c>
      <c r="AB1245" s="102"/>
      <c r="AC1245" s="35"/>
      <c r="AD1245" s="35"/>
    </row>
    <row r="1246" spans="1:30">
      <c r="A1246" s="102">
        <f t="shared" si="20"/>
        <v>1245</v>
      </c>
      <c r="B1246" s="468">
        <f>YEAR(Table6[[#This Row],[Date]])+IF(MONTH(Table6[[#This Row],[Date]])&gt;=4,1,0)</f>
        <v>2026</v>
      </c>
      <c r="C1246" s="102">
        <f>YEAR(Table6[[#This Row],[Date]])</f>
        <v>2025</v>
      </c>
      <c r="D1246" s="102" t="s">
        <v>1992</v>
      </c>
      <c r="E1246" s="469">
        <f>Table6[[#This Row],[Date]]-DAY(Table6[[#This Row],[Date]])+1</f>
        <v>45809</v>
      </c>
      <c r="F1246" s="470">
        <v>45828</v>
      </c>
      <c r="G1246" s="35" t="s">
        <v>80</v>
      </c>
      <c r="H1246" s="35" t="str">
        <f>IFERROR(_xlfn.XLOOKUP(Table6[[#This Row],[Affected WTG]],'Basic Data'!$A:$A,'Basic Data'!$B:$B),"")</f>
        <v>TQGXIIPL</v>
      </c>
      <c r="I1246" s="35" t="str">
        <f>IFERROR(_xlfn.XLOOKUP(Table6[[#This Row],[Affected WTG]],'Basic Data'!$A:$A,'Basic Data'!$C:$C),"")</f>
        <v>GEDA</v>
      </c>
      <c r="J1246" s="471">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291</v>
      </c>
      <c r="N1246" s="475"/>
      <c r="O1246" s="476">
        <v>0.50486111111111109</v>
      </c>
      <c r="P1246" s="476">
        <v>0.50486111111111109</v>
      </c>
      <c r="Q1246" s="477">
        <v>0.50902777777777775</v>
      </c>
      <c r="R1246" s="472">
        <f>IF(Table6[[#This Row],[Work Start TimeStamp]]="","",(Table6[[#This Row],[Work Start TimeStamp]]-Table6[[#This Row],[Fault Start TimeStamp]])*24)</f>
        <v>0</v>
      </c>
      <c r="S1246" s="472">
        <f>(Table6[[#This Row],[Fault Clearance time]]-Table6[[#This Row],[Work Start TimeStamp]])*24</f>
        <v>9.9999999999999645E-2</v>
      </c>
      <c r="T1246" s="472">
        <f>(Table6[[#This Row],[Fault Clearance time]]-Table6[[#This Row],[Fault Start TimeStamp]])*24</f>
        <v>9.9999999999999645E-2</v>
      </c>
      <c r="U1246" s="35" t="s">
        <v>1924</v>
      </c>
      <c r="V1246" s="102" t="s">
        <v>293</v>
      </c>
      <c r="W1246" s="478">
        <f>IFERROR(Table6[[#This Row],[Breakdown Time]]*Table6[[#This Row],[Plant Equivalent Weightage]],"")</f>
        <v>3.8461538461538312E-3</v>
      </c>
      <c r="X1246" s="473" t="s">
        <v>294</v>
      </c>
      <c r="Y1246" s="474" t="s">
        <v>317</v>
      </c>
      <c r="Z1246" s="102">
        <v>28462</v>
      </c>
      <c r="AA1246" s="468">
        <f>(Table6[[#This Row],[Paired WTG Generation for loss calculation]]/24)*Table6[[#This Row],[Breakdown Time]]</f>
        <v>118.59166666666626</v>
      </c>
      <c r="AB1246" s="102"/>
      <c r="AC1246" s="35"/>
      <c r="AD1246" s="35"/>
    </row>
    <row r="1247" spans="1:30">
      <c r="A1247" s="102">
        <f t="shared" si="20"/>
        <v>1246</v>
      </c>
      <c r="B1247" s="468">
        <f>YEAR(Table6[[#This Row],[Date]])+IF(MONTH(Table6[[#This Row],[Date]])&gt;=4,1,0)</f>
        <v>2026</v>
      </c>
      <c r="C1247" s="102">
        <f>YEAR(Table6[[#This Row],[Date]])</f>
        <v>2025</v>
      </c>
      <c r="D1247" s="102" t="s">
        <v>1992</v>
      </c>
      <c r="E1247" s="469">
        <f>Table6[[#This Row],[Date]]-DAY(Table6[[#This Row],[Date]])+1</f>
        <v>45809</v>
      </c>
      <c r="F1247" s="470">
        <v>45828</v>
      </c>
      <c r="G1247" s="35" t="s">
        <v>81</v>
      </c>
      <c r="H1247" s="35" t="str">
        <f>IFERROR(_xlfn.XLOOKUP(Table6[[#This Row],[Affected WTG]],'Basic Data'!$A:$A,'Basic Data'!$B:$B),"")</f>
        <v>TQGXIIPL</v>
      </c>
      <c r="I1247" s="35" t="str">
        <f>IFERROR(_xlfn.XLOOKUP(Table6[[#This Row],[Affected WTG]],'Basic Data'!$A:$A,'Basic Data'!$C:$C),"")</f>
        <v>GEDA</v>
      </c>
      <c r="J1247" s="471">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291</v>
      </c>
      <c r="N1247" s="475"/>
      <c r="O1247" s="476">
        <v>3.6805555555555557E-2</v>
      </c>
      <c r="P1247" s="476">
        <v>3.6805555555555557E-2</v>
      </c>
      <c r="Q1247" s="477">
        <v>3.888888888888889E-2</v>
      </c>
      <c r="R1247" s="472">
        <f>IF(Table6[[#This Row],[Work Start TimeStamp]]="","",(Table6[[#This Row],[Work Start TimeStamp]]-Table6[[#This Row],[Fault Start TimeStamp]])*24)</f>
        <v>0</v>
      </c>
      <c r="S1247" s="472">
        <f>(Table6[[#This Row],[Fault Clearance time]]-Table6[[#This Row],[Work Start TimeStamp]])*24</f>
        <v>4.9999999999999989E-2</v>
      </c>
      <c r="T1247" s="472">
        <f>(Table6[[#This Row],[Fault Clearance time]]-Table6[[#This Row],[Fault Start TimeStamp]])*24</f>
        <v>4.9999999999999989E-2</v>
      </c>
      <c r="U1247" s="35" t="s">
        <v>1924</v>
      </c>
      <c r="V1247" s="102" t="s">
        <v>293</v>
      </c>
      <c r="W1247" s="478">
        <f>IFERROR(Table6[[#This Row],[Breakdown Time]]*Table6[[#This Row],[Plant Equivalent Weightage]],"")</f>
        <v>1.9230769230769221E-3</v>
      </c>
      <c r="X1247" s="473" t="s">
        <v>294</v>
      </c>
      <c r="Y1247" s="474" t="s">
        <v>321</v>
      </c>
      <c r="Z1247" s="102">
        <v>26295</v>
      </c>
      <c r="AA1247" s="468">
        <f>(Table6[[#This Row],[Paired WTG Generation for loss calculation]]/24)*Table6[[#This Row],[Breakdown Time]]</f>
        <v>54.781249999999986</v>
      </c>
      <c r="AB1247" s="102"/>
      <c r="AC1247" s="35"/>
      <c r="AD1247" s="35"/>
    </row>
    <row r="1248" spans="1:30">
      <c r="A1248" s="102">
        <f t="shared" si="20"/>
        <v>1247</v>
      </c>
      <c r="B1248" s="468">
        <f>YEAR(Table6[[#This Row],[Date]])+IF(MONTH(Table6[[#This Row],[Date]])&gt;=4,1,0)</f>
        <v>2026</v>
      </c>
      <c r="C1248" s="102">
        <f>YEAR(Table6[[#This Row],[Date]])</f>
        <v>2025</v>
      </c>
      <c r="D1248" s="102" t="s">
        <v>1992</v>
      </c>
      <c r="E1248" s="469">
        <f>Table6[[#This Row],[Date]]-DAY(Table6[[#This Row],[Date]])+1</f>
        <v>45809</v>
      </c>
      <c r="F1248" s="470">
        <v>45828</v>
      </c>
      <c r="G1248" s="35" t="s">
        <v>81</v>
      </c>
      <c r="H1248" s="35" t="str">
        <f>IFERROR(_xlfn.XLOOKUP(Table6[[#This Row],[Affected WTG]],'Basic Data'!$A:$A,'Basic Data'!$B:$B),"")</f>
        <v>TQGXIIPL</v>
      </c>
      <c r="I1248" s="35" t="str">
        <f>IFERROR(_xlfn.XLOOKUP(Table6[[#This Row],[Affected WTG]],'Basic Data'!$A:$A,'Basic Data'!$C:$C),"")</f>
        <v>GEDA</v>
      </c>
      <c r="J1248" s="471">
        <f>IFERROR(_xlfn.XLOOKUP(Table6[[#This Row],[Affected WTG]],'Basic Data'!$A:$A,'Basic Data'!$E:$E),"")</f>
        <v>3.846153846153845E-2</v>
      </c>
      <c r="K1248" s="102">
        <v>55</v>
      </c>
      <c r="L1248" s="35" t="str">
        <f>IFERROR(_xlfn.XLOOKUP(Table6[[#This Row],[Error Code]],'Basic Data'!$AA:$AA,'Basic Data'!$AB:$AB),"Incorrect Error Code")</f>
        <v>WTG shut down</v>
      </c>
      <c r="M1248" s="35" t="s">
        <v>291</v>
      </c>
      <c r="N1248" s="475"/>
      <c r="O1248" s="476">
        <v>0.1076388888888889</v>
      </c>
      <c r="P1248" s="476">
        <v>0.1076388888888889</v>
      </c>
      <c r="Q1248" s="477">
        <v>0.21458333333333332</v>
      </c>
      <c r="R1248" s="472">
        <f>IF(Table6[[#This Row],[Work Start TimeStamp]]="","",(Table6[[#This Row],[Work Start TimeStamp]]-Table6[[#This Row],[Fault Start TimeStamp]])*24)</f>
        <v>0</v>
      </c>
      <c r="S1248" s="472">
        <f>(Table6[[#This Row],[Fault Clearance time]]-Table6[[#This Row],[Work Start TimeStamp]])*24</f>
        <v>2.5666666666666664</v>
      </c>
      <c r="T1248" s="472">
        <f>(Table6[[#This Row],[Fault Clearance time]]-Table6[[#This Row],[Fault Start TimeStamp]])*24</f>
        <v>2.5666666666666664</v>
      </c>
      <c r="U1248" s="35" t="s">
        <v>1999</v>
      </c>
      <c r="V1248" s="102" t="s">
        <v>293</v>
      </c>
      <c r="W1248" s="478">
        <f>IFERROR(Table6[[#This Row],[Breakdown Time]]*Table6[[#This Row],[Plant Equivalent Weightage]],"")</f>
        <v>9.8717948717948673E-2</v>
      </c>
      <c r="X1248" s="473" t="s">
        <v>290</v>
      </c>
      <c r="Y1248" s="474" t="s">
        <v>321</v>
      </c>
      <c r="Z1248" s="102">
        <v>26295</v>
      </c>
      <c r="AA1248" s="468">
        <f>(Table6[[#This Row],[Paired WTG Generation for loss calculation]]/24)*Table6[[#This Row],[Breakdown Time]]</f>
        <v>2812.1041666666665</v>
      </c>
      <c r="AB1248" s="102"/>
      <c r="AC1248" s="35"/>
      <c r="AD1248" s="35"/>
    </row>
    <row r="1249" spans="1:30">
      <c r="A1249" s="102">
        <f t="shared" si="20"/>
        <v>1248</v>
      </c>
      <c r="B1249" s="468">
        <f>YEAR(Table6[[#This Row],[Date]])+IF(MONTH(Table6[[#This Row],[Date]])&gt;=4,1,0)</f>
        <v>2026</v>
      </c>
      <c r="C1249" s="102">
        <f>YEAR(Table6[[#This Row],[Date]])</f>
        <v>2025</v>
      </c>
      <c r="D1249" s="102" t="s">
        <v>1992</v>
      </c>
      <c r="E1249" s="469">
        <f>Table6[[#This Row],[Date]]-DAY(Table6[[#This Row],[Date]])+1</f>
        <v>45809</v>
      </c>
      <c r="F1249" s="470">
        <v>45828</v>
      </c>
      <c r="G1249" s="35" t="s">
        <v>81</v>
      </c>
      <c r="H1249" s="35" t="str">
        <f>IFERROR(_xlfn.XLOOKUP(Table6[[#This Row],[Affected WTG]],'Basic Data'!$A:$A,'Basic Data'!$B:$B),"")</f>
        <v>TQGXIIPL</v>
      </c>
      <c r="I1249" s="35" t="str">
        <f>IFERROR(_xlfn.XLOOKUP(Table6[[#This Row],[Affected WTG]],'Basic Data'!$A:$A,'Basic Data'!$C:$C),"")</f>
        <v>GEDA</v>
      </c>
      <c r="J1249" s="471">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291</v>
      </c>
      <c r="N1249" s="475"/>
      <c r="O1249" s="476">
        <v>0.40416666666666667</v>
      </c>
      <c r="P1249" s="476">
        <v>0.40416666666666667</v>
      </c>
      <c r="Q1249" s="477">
        <v>0.40902777777777777</v>
      </c>
      <c r="R1249" s="472">
        <f>IF(Table6[[#This Row],[Work Start TimeStamp]]="","",(Table6[[#This Row],[Work Start TimeStamp]]-Table6[[#This Row],[Fault Start TimeStamp]])*24)</f>
        <v>0</v>
      </c>
      <c r="S1249" s="472">
        <f>(Table6[[#This Row],[Fault Clearance time]]-Table6[[#This Row],[Work Start TimeStamp]])*24</f>
        <v>0.11666666666666625</v>
      </c>
      <c r="T1249" s="472">
        <f>(Table6[[#This Row],[Fault Clearance time]]-Table6[[#This Row],[Fault Start TimeStamp]])*24</f>
        <v>0.11666666666666625</v>
      </c>
      <c r="U1249" s="35" t="s">
        <v>1924</v>
      </c>
      <c r="V1249" s="102" t="s">
        <v>293</v>
      </c>
      <c r="W1249" s="478">
        <f>IFERROR(Table6[[#This Row],[Breakdown Time]]*Table6[[#This Row],[Plant Equivalent Weightage]],"")</f>
        <v>4.4871794871794695E-3</v>
      </c>
      <c r="X1249" s="473" t="s">
        <v>294</v>
      </c>
      <c r="Y1249" s="474" t="s">
        <v>321</v>
      </c>
      <c r="Z1249" s="102">
        <v>26295</v>
      </c>
      <c r="AA1249" s="468">
        <f>(Table6[[#This Row],[Paired WTG Generation for loss calculation]]/24)*Table6[[#This Row],[Breakdown Time]]</f>
        <v>127.82291666666622</v>
      </c>
      <c r="AB1249" s="102"/>
      <c r="AC1249" s="35"/>
      <c r="AD1249" s="35"/>
    </row>
    <row r="1250" spans="1:30">
      <c r="A1250" s="102">
        <f t="shared" si="20"/>
        <v>1249</v>
      </c>
      <c r="B1250" s="468">
        <f>YEAR(Table6[[#This Row],[Date]])+IF(MONTH(Table6[[#This Row],[Date]])&gt;=4,1,0)</f>
        <v>2026</v>
      </c>
      <c r="C1250" s="102">
        <f>YEAR(Table6[[#This Row],[Date]])</f>
        <v>2025</v>
      </c>
      <c r="D1250" s="102" t="s">
        <v>1992</v>
      </c>
      <c r="E1250" s="469">
        <f>Table6[[#This Row],[Date]]-DAY(Table6[[#This Row],[Date]])+1</f>
        <v>45809</v>
      </c>
      <c r="F1250" s="470">
        <v>45828</v>
      </c>
      <c r="G1250" s="35" t="s">
        <v>81</v>
      </c>
      <c r="H1250" s="35" t="str">
        <f>IFERROR(_xlfn.XLOOKUP(Table6[[#This Row],[Affected WTG]],'Basic Data'!$A:$A,'Basic Data'!$B:$B),"")</f>
        <v>TQGXIIPL</v>
      </c>
      <c r="I1250" s="35" t="str">
        <f>IFERROR(_xlfn.XLOOKUP(Table6[[#This Row],[Affected WTG]],'Basic Data'!$A:$A,'Basic Data'!$C:$C),"")</f>
        <v>GEDA</v>
      </c>
      <c r="J1250" s="471">
        <f>IFERROR(_xlfn.XLOOKUP(Table6[[#This Row],[Affected WTG]],'Basic Data'!$A:$A,'Basic Data'!$E:$E),"")</f>
        <v>3.846153846153845E-2</v>
      </c>
      <c r="K1250" s="102">
        <v>665</v>
      </c>
      <c r="L1250" s="35" t="str">
        <f>IFERROR(_xlfn.XLOOKUP(Table6[[#This Row],[Error Code]],'Basic Data'!$AA:$AA,'Basic Data'!$AB:$AB),"Incorrect Error Code")</f>
        <v>Pitch error</v>
      </c>
      <c r="M1250" s="35" t="s">
        <v>291</v>
      </c>
      <c r="N1250" s="475"/>
      <c r="O1250" s="476">
        <v>0.93194444444444446</v>
      </c>
      <c r="P1250" s="476">
        <v>0.93194444444444446</v>
      </c>
      <c r="Q1250" s="477">
        <v>0.9375</v>
      </c>
      <c r="R1250" s="472">
        <f>IF(Table6[[#This Row],[Work Start TimeStamp]]="","",(Table6[[#This Row],[Work Start TimeStamp]]-Table6[[#This Row],[Fault Start TimeStamp]])*24)</f>
        <v>0</v>
      </c>
      <c r="S1250" s="472">
        <f>(Table6[[#This Row],[Fault Clearance time]]-Table6[[#This Row],[Work Start TimeStamp]])*24</f>
        <v>0.13333333333333286</v>
      </c>
      <c r="T1250" s="472">
        <f>(Table6[[#This Row],[Fault Clearance time]]-Table6[[#This Row],[Fault Start TimeStamp]])*24</f>
        <v>0.13333333333333286</v>
      </c>
      <c r="U1250" s="35" t="s">
        <v>1924</v>
      </c>
      <c r="V1250" s="102" t="s">
        <v>293</v>
      </c>
      <c r="W1250" s="478">
        <f>IFERROR(Table6[[#This Row],[Breakdown Time]]*Table6[[#This Row],[Plant Equivalent Weightage]],"")</f>
        <v>5.1282051282051083E-3</v>
      </c>
      <c r="X1250" s="473" t="s">
        <v>294</v>
      </c>
      <c r="Y1250" s="474" t="s">
        <v>321</v>
      </c>
      <c r="Z1250" s="102">
        <v>26295</v>
      </c>
      <c r="AA1250" s="468">
        <f>(Table6[[#This Row],[Paired WTG Generation for loss calculation]]/24)*Table6[[#This Row],[Breakdown Time]]</f>
        <v>146.0833333333328</v>
      </c>
      <c r="AB1250" s="102"/>
      <c r="AC1250" s="35"/>
      <c r="AD1250" s="35"/>
    </row>
    <row r="1251" spans="1:30">
      <c r="A1251" s="102">
        <f t="shared" si="20"/>
        <v>1250</v>
      </c>
      <c r="B1251" s="468">
        <f>YEAR(Table6[[#This Row],[Date]])+IF(MONTH(Table6[[#This Row],[Date]])&gt;=4,1,0)</f>
        <v>2026</v>
      </c>
      <c r="C1251" s="102">
        <f>YEAR(Table6[[#This Row],[Date]])</f>
        <v>2025</v>
      </c>
      <c r="D1251" s="102" t="s">
        <v>1992</v>
      </c>
      <c r="E1251" s="469">
        <f>Table6[[#This Row],[Date]]-DAY(Table6[[#This Row],[Date]])+1</f>
        <v>45809</v>
      </c>
      <c r="F1251" s="470">
        <v>45828</v>
      </c>
      <c r="G1251" s="35" t="s">
        <v>81</v>
      </c>
      <c r="H1251" s="35" t="str">
        <f>IFERROR(_xlfn.XLOOKUP(Table6[[#This Row],[Affected WTG]],'Basic Data'!$A:$A,'Basic Data'!$B:$B),"")</f>
        <v>TQGXIIPL</v>
      </c>
      <c r="I1251" s="35" t="str">
        <f>IFERROR(_xlfn.XLOOKUP(Table6[[#This Row],[Affected WTG]],'Basic Data'!$A:$A,'Basic Data'!$C:$C),"")</f>
        <v>GEDA</v>
      </c>
      <c r="J1251" s="471">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291</v>
      </c>
      <c r="N1251" s="475"/>
      <c r="O1251" s="476">
        <v>0.96388888888888891</v>
      </c>
      <c r="P1251" s="476">
        <v>0.96388888888888891</v>
      </c>
      <c r="Q1251" s="477">
        <v>0.97013888888888888</v>
      </c>
      <c r="R1251" s="472">
        <f>IF(Table6[[#This Row],[Work Start TimeStamp]]="","",(Table6[[#This Row],[Work Start TimeStamp]]-Table6[[#This Row],[Fault Start TimeStamp]])*24)</f>
        <v>0</v>
      </c>
      <c r="S1251" s="472">
        <f>(Table6[[#This Row],[Fault Clearance time]]-Table6[[#This Row],[Work Start TimeStamp]])*24</f>
        <v>0.14999999999999947</v>
      </c>
      <c r="T1251" s="472">
        <f>(Table6[[#This Row],[Fault Clearance time]]-Table6[[#This Row],[Fault Start TimeStamp]])*24</f>
        <v>0.14999999999999947</v>
      </c>
      <c r="U1251" s="35" t="s">
        <v>1924</v>
      </c>
      <c r="V1251" s="102" t="s">
        <v>293</v>
      </c>
      <c r="W1251" s="478">
        <f>IFERROR(Table6[[#This Row],[Breakdown Time]]*Table6[[#This Row],[Plant Equivalent Weightage]],"")</f>
        <v>5.769230769230747E-3</v>
      </c>
      <c r="X1251" s="473" t="s">
        <v>294</v>
      </c>
      <c r="Y1251" s="474" t="s">
        <v>321</v>
      </c>
      <c r="Z1251" s="102">
        <v>26295</v>
      </c>
      <c r="AA1251" s="468">
        <f>(Table6[[#This Row],[Paired WTG Generation for loss calculation]]/24)*Table6[[#This Row],[Breakdown Time]]</f>
        <v>164.3437499999994</v>
      </c>
      <c r="AB1251" s="102"/>
      <c r="AC1251" s="35"/>
      <c r="AD1251" s="35"/>
    </row>
    <row r="1252" spans="1:30">
      <c r="A1252" s="102">
        <f t="shared" si="20"/>
        <v>1251</v>
      </c>
      <c r="B1252" s="468">
        <f>YEAR(Table6[[#This Row],[Date]])+IF(MONTH(Table6[[#This Row],[Date]])&gt;=4,1,0)</f>
        <v>2026</v>
      </c>
      <c r="C1252" s="102">
        <f>YEAR(Table6[[#This Row],[Date]])</f>
        <v>2025</v>
      </c>
      <c r="D1252" s="102" t="s">
        <v>1992</v>
      </c>
      <c r="E1252" s="469">
        <f>Table6[[#This Row],[Date]]-DAY(Table6[[#This Row],[Date]])+1</f>
        <v>45809</v>
      </c>
      <c r="F1252" s="470">
        <v>45828</v>
      </c>
      <c r="G1252" s="35" t="s">
        <v>83</v>
      </c>
      <c r="H1252" s="35" t="str">
        <f>IFERROR(_xlfn.XLOOKUP(Table6[[#This Row],[Affected WTG]],'Basic Data'!$A:$A,'Basic Data'!$B:$B),"")</f>
        <v>TQGXIIPL</v>
      </c>
      <c r="I1252" s="35" t="str">
        <f>IFERROR(_xlfn.XLOOKUP(Table6[[#This Row],[Affected WTG]],'Basic Data'!$A:$A,'Basic Data'!$C:$C),"")</f>
        <v>GEDA</v>
      </c>
      <c r="J1252" s="471">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292</v>
      </c>
      <c r="N1252" s="475"/>
      <c r="O1252" s="476">
        <v>0.6479166666666667</v>
      </c>
      <c r="P1252" s="476">
        <v>0.6479166666666667</v>
      </c>
      <c r="Q1252" s="477">
        <v>0.64861111111111114</v>
      </c>
      <c r="R1252" s="472">
        <f>IF(Table6[[#This Row],[Work Start TimeStamp]]="","",(Table6[[#This Row],[Work Start TimeStamp]]-Table6[[#This Row],[Fault Start TimeStamp]])*24)</f>
        <v>0</v>
      </c>
      <c r="S1252" s="472">
        <f>(Table6[[#This Row],[Fault Clearance time]]-Table6[[#This Row],[Work Start TimeStamp]])*24</f>
        <v>1.6666666666666607E-2</v>
      </c>
      <c r="T1252" s="472">
        <f>(Table6[[#This Row],[Fault Clearance time]]-Table6[[#This Row],[Fault Start TimeStamp]])*24</f>
        <v>1.6666666666666607E-2</v>
      </c>
      <c r="U1252" s="35" t="s">
        <v>336</v>
      </c>
      <c r="V1252" s="102" t="s">
        <v>293</v>
      </c>
      <c r="W1252" s="478">
        <f>IFERROR(Table6[[#This Row],[Breakdown Time]]*Table6[[#This Row],[Plant Equivalent Weightage]],"")</f>
        <v>6.4102564102563853E-4</v>
      </c>
      <c r="X1252" s="473" t="s">
        <v>294</v>
      </c>
      <c r="Y1252" s="474" t="s">
        <v>312</v>
      </c>
      <c r="Z1252" s="102">
        <v>48939</v>
      </c>
      <c r="AA1252" s="468">
        <f>(Table6[[#This Row],[Paired WTG Generation for loss calculation]]/24)*Table6[[#This Row],[Breakdown Time]]</f>
        <v>33.985416666666545</v>
      </c>
      <c r="AB1252" s="102"/>
      <c r="AC1252" s="35"/>
      <c r="AD1252" s="35"/>
    </row>
    <row r="1253" spans="1:30">
      <c r="A1253" s="102">
        <f t="shared" si="20"/>
        <v>1252</v>
      </c>
      <c r="B1253" s="468">
        <f>YEAR(Table6[[#This Row],[Date]])+IF(MONTH(Table6[[#This Row],[Date]])&gt;=4,1,0)</f>
        <v>2026</v>
      </c>
      <c r="C1253" s="102">
        <f>YEAR(Table6[[#This Row],[Date]])</f>
        <v>2025</v>
      </c>
      <c r="D1253" s="102" t="s">
        <v>1992</v>
      </c>
      <c r="E1253" s="469">
        <f>Table6[[#This Row],[Date]]-DAY(Table6[[#This Row],[Date]])+1</f>
        <v>45809</v>
      </c>
      <c r="F1253" s="470">
        <v>45828</v>
      </c>
      <c r="G1253" s="35" t="s">
        <v>85</v>
      </c>
      <c r="H1253" s="35" t="str">
        <f>IFERROR(_xlfn.XLOOKUP(Table6[[#This Row],[Affected WTG]],'Basic Data'!$A:$A,'Basic Data'!$B:$B),"")</f>
        <v>TQGXIIPL</v>
      </c>
      <c r="I1253" s="35" t="str">
        <f>IFERROR(_xlfn.XLOOKUP(Table6[[#This Row],[Affected WTG]],'Basic Data'!$A:$A,'Basic Data'!$C:$C),"")</f>
        <v>GEDA</v>
      </c>
      <c r="J1253" s="471">
        <f>IFERROR(_xlfn.XLOOKUP(Table6[[#This Row],[Affected WTG]],'Basic Data'!$A:$A,'Basic Data'!$E:$E),"")</f>
        <v>3.846153846153845E-2</v>
      </c>
      <c r="K1253" s="102">
        <v>55</v>
      </c>
      <c r="L1253" s="35" t="str">
        <f>IFERROR(_xlfn.XLOOKUP(Table6[[#This Row],[Error Code]],'Basic Data'!$AA:$AA,'Basic Data'!$AB:$AB),"Incorrect Error Code")</f>
        <v>WTG shut down</v>
      </c>
      <c r="M1253" s="35" t="s">
        <v>295</v>
      </c>
      <c r="N1253" s="475"/>
      <c r="O1253" s="476">
        <v>0</v>
      </c>
      <c r="P1253" s="476">
        <v>0</v>
      </c>
      <c r="Q1253" s="477">
        <v>0.99998842592592596</v>
      </c>
      <c r="R1253" s="472">
        <f>IF(Table6[[#This Row],[Work Start TimeStamp]]="","",(Table6[[#This Row],[Work Start TimeStamp]]-Table6[[#This Row],[Fault Start TimeStamp]])*24)</f>
        <v>0</v>
      </c>
      <c r="S1253" s="472">
        <f>(Table6[[#This Row],[Fault Clearance time]]-Table6[[#This Row],[Work Start TimeStamp]])*24</f>
        <v>23.999722222222225</v>
      </c>
      <c r="T1253" s="472">
        <f>(Table6[[#This Row],[Fault Clearance time]]-Table6[[#This Row],[Fault Start TimeStamp]])*24</f>
        <v>23.999722222222225</v>
      </c>
      <c r="U1253" s="35" t="s">
        <v>2011</v>
      </c>
      <c r="V1253" s="102" t="s">
        <v>335</v>
      </c>
      <c r="W1253" s="478">
        <f>IFERROR(Table6[[#This Row],[Breakdown Time]]*Table6[[#This Row],[Plant Equivalent Weightage]],"")</f>
        <v>0.9230662393162391</v>
      </c>
      <c r="X1253" s="473" t="s">
        <v>523</v>
      </c>
      <c r="Y1253" s="474" t="s">
        <v>322</v>
      </c>
      <c r="Z1253" s="102">
        <v>53088</v>
      </c>
      <c r="AA1253" s="468">
        <f>(Table6[[#This Row],[Paired WTG Generation for loss calculation]]/24)*Table6[[#This Row],[Breakdown Time]]</f>
        <v>53087.385555555564</v>
      </c>
      <c r="AB1253" s="102"/>
      <c r="AC1253" s="35"/>
      <c r="AD1253" s="35"/>
    </row>
    <row r="1254" spans="1:30">
      <c r="A1254" s="102">
        <f t="shared" si="20"/>
        <v>1253</v>
      </c>
      <c r="B1254" s="468">
        <f>YEAR(Table6[[#This Row],[Date]])+IF(MONTH(Table6[[#This Row],[Date]])&gt;=4,1,0)</f>
        <v>2026</v>
      </c>
      <c r="C1254" s="102">
        <f>YEAR(Table6[[#This Row],[Date]])</f>
        <v>2025</v>
      </c>
      <c r="D1254" s="102" t="s">
        <v>1992</v>
      </c>
      <c r="E1254" s="469">
        <f>Table6[[#This Row],[Date]]-DAY(Table6[[#This Row],[Date]])+1</f>
        <v>45809</v>
      </c>
      <c r="F1254" s="470">
        <v>45828</v>
      </c>
      <c r="G1254" s="35" t="s">
        <v>91</v>
      </c>
      <c r="H1254" s="35" t="str">
        <f>IFERROR(_xlfn.XLOOKUP(Table6[[#This Row],[Affected WTG]],'Basic Data'!$A:$A,'Basic Data'!$B:$B),"")</f>
        <v>TQGXIIPL</v>
      </c>
      <c r="I1254" s="35" t="str">
        <f>IFERROR(_xlfn.XLOOKUP(Table6[[#This Row],[Affected WTG]],'Basic Data'!$A:$A,'Basic Data'!$C:$C),"")</f>
        <v>GEDA</v>
      </c>
      <c r="J1254" s="471">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291</v>
      </c>
      <c r="N1254" s="475"/>
      <c r="O1254" s="476">
        <v>0.82638888888888884</v>
      </c>
      <c r="P1254" s="476">
        <v>0.82638888888888884</v>
      </c>
      <c r="Q1254" s="477">
        <v>0.85624999999999996</v>
      </c>
      <c r="R1254" s="472">
        <f>IF(Table6[[#This Row],[Work Start TimeStamp]]="","",(Table6[[#This Row],[Work Start TimeStamp]]-Table6[[#This Row],[Fault Start TimeStamp]])*24)</f>
        <v>0</v>
      </c>
      <c r="S1254" s="472">
        <f>(Table6[[#This Row],[Fault Clearance time]]-Table6[[#This Row],[Work Start TimeStamp]])*24</f>
        <v>0.71666666666666679</v>
      </c>
      <c r="T1254" s="472">
        <f>(Table6[[#This Row],[Fault Clearance time]]-Table6[[#This Row],[Fault Start TimeStamp]])*24</f>
        <v>0.71666666666666679</v>
      </c>
      <c r="U1254" s="35" t="s">
        <v>1998</v>
      </c>
      <c r="V1254" s="102" t="s">
        <v>293</v>
      </c>
      <c r="W1254" s="478">
        <f>IFERROR(Table6[[#This Row],[Breakdown Time]]*Table6[[#This Row],[Plant Equivalent Weightage]],"")</f>
        <v>2.756410256410256E-2</v>
      </c>
      <c r="X1254" s="473" t="s">
        <v>294</v>
      </c>
      <c r="Y1254" s="474" t="s">
        <v>319</v>
      </c>
      <c r="Z1254" s="102">
        <v>25348</v>
      </c>
      <c r="AA1254" s="468">
        <f>(Table6[[#This Row],[Paired WTG Generation for loss calculation]]/24)*Table6[[#This Row],[Breakdown Time]]</f>
        <v>756.91944444444459</v>
      </c>
      <c r="AB1254" s="102"/>
      <c r="AC1254" s="35"/>
      <c r="AD1254" s="35"/>
    </row>
    <row r="1255" spans="1:30">
      <c r="A1255" s="102">
        <f t="shared" si="20"/>
        <v>1254</v>
      </c>
      <c r="B1255" s="468">
        <f>YEAR(Table6[[#This Row],[Date]])+IF(MONTH(Table6[[#This Row],[Date]])&gt;=4,1,0)</f>
        <v>2026</v>
      </c>
      <c r="C1255" s="102">
        <f>YEAR(Table6[[#This Row],[Date]])</f>
        <v>2025</v>
      </c>
      <c r="D1255" s="102" t="s">
        <v>1992</v>
      </c>
      <c r="E1255" s="469">
        <f>Table6[[#This Row],[Date]]-DAY(Table6[[#This Row],[Date]])+1</f>
        <v>45809</v>
      </c>
      <c r="F1255" s="470">
        <v>45828</v>
      </c>
      <c r="G1255" s="35" t="s">
        <v>92</v>
      </c>
      <c r="H1255" s="35" t="str">
        <f>IFERROR(_xlfn.XLOOKUP(Table6[[#This Row],[Affected WTG]],'Basic Data'!$A:$A,'Basic Data'!$B:$B),"")</f>
        <v>TQGXIIPL</v>
      </c>
      <c r="I1255" s="35" t="str">
        <f>IFERROR(_xlfn.XLOOKUP(Table6[[#This Row],[Affected WTG]],'Basic Data'!$A:$A,'Basic Data'!$C:$C),"")</f>
        <v>GEDA</v>
      </c>
      <c r="J1255" s="471">
        <f>IFERROR(_xlfn.XLOOKUP(Table6[[#This Row],[Affected WTG]],'Basic Data'!$A:$A,'Basic Data'!$E:$E),"")</f>
        <v>3.846153846153845E-2</v>
      </c>
      <c r="K1255" s="102">
        <v>665</v>
      </c>
      <c r="L1255" s="35" t="str">
        <f>IFERROR(_xlfn.XLOOKUP(Table6[[#This Row],[Error Code]],'Basic Data'!$AA:$AA,'Basic Data'!$AB:$AB),"Incorrect Error Code")</f>
        <v>Pitch error</v>
      </c>
      <c r="M1255" s="35" t="s">
        <v>291</v>
      </c>
      <c r="N1255" s="475"/>
      <c r="O1255" s="476">
        <v>0.82638888888888884</v>
      </c>
      <c r="P1255" s="476">
        <v>0.89166666666666672</v>
      </c>
      <c r="Q1255" s="477">
        <v>0.95416666666666672</v>
      </c>
      <c r="R1255" s="472">
        <f>IF(Table6[[#This Row],[Work Start TimeStamp]]="","",(Table6[[#This Row],[Work Start TimeStamp]]-Table6[[#This Row],[Fault Start TimeStamp]])*24)</f>
        <v>1.5666666666666691</v>
      </c>
      <c r="S1255" s="472">
        <f>(Table6[[#This Row],[Fault Clearance time]]-Table6[[#This Row],[Work Start TimeStamp]])*24</f>
        <v>1.5</v>
      </c>
      <c r="T1255" s="472">
        <f>(Table6[[#This Row],[Fault Clearance time]]-Table6[[#This Row],[Fault Start TimeStamp]])*24</f>
        <v>3.0666666666666691</v>
      </c>
      <c r="U1255" s="35" t="s">
        <v>2000</v>
      </c>
      <c r="V1255" s="102" t="s">
        <v>293</v>
      </c>
      <c r="W1255" s="478">
        <f>IFERROR(Table6[[#This Row],[Breakdown Time]]*Table6[[#This Row],[Plant Equivalent Weightage]],"")</f>
        <v>0.117948717948718</v>
      </c>
      <c r="X1255" s="473" t="s">
        <v>290</v>
      </c>
      <c r="Y1255" s="474" t="s">
        <v>310</v>
      </c>
      <c r="Z1255" s="102">
        <v>26899</v>
      </c>
      <c r="AA1255" s="468">
        <f>(Table6[[#This Row],[Paired WTG Generation for loss calculation]]/24)*Table6[[#This Row],[Breakdown Time]]</f>
        <v>3437.0944444444476</v>
      </c>
      <c r="AB1255" s="102"/>
      <c r="AC1255" s="35"/>
      <c r="AD1255" s="35"/>
    </row>
    <row r="1256" spans="1:30">
      <c r="A1256" s="102">
        <f t="shared" si="20"/>
        <v>1255</v>
      </c>
      <c r="B1256" s="468">
        <f>YEAR(Table6[[#This Row],[Date]])+IF(MONTH(Table6[[#This Row],[Date]])&gt;=4,1,0)</f>
        <v>2026</v>
      </c>
      <c r="C1256" s="102">
        <f>YEAR(Table6[[#This Row],[Date]])</f>
        <v>2025</v>
      </c>
      <c r="D1256" s="102" t="s">
        <v>1992</v>
      </c>
      <c r="E1256" s="469">
        <f>Table6[[#This Row],[Date]]-DAY(Table6[[#This Row],[Date]])+1</f>
        <v>45809</v>
      </c>
      <c r="F1256" s="470">
        <v>45828</v>
      </c>
      <c r="G1256" s="35" t="s">
        <v>94</v>
      </c>
      <c r="H1256" s="35" t="str">
        <f>IFERROR(_xlfn.XLOOKUP(Table6[[#This Row],[Affected WTG]],'Basic Data'!$A:$A,'Basic Data'!$B:$B),"")</f>
        <v>TQGXIIPL</v>
      </c>
      <c r="I1256" s="35" t="str">
        <f>IFERROR(_xlfn.XLOOKUP(Table6[[#This Row],[Affected WTG]],'Basic Data'!$A:$A,'Basic Data'!$C:$C),"")</f>
        <v>GEDA</v>
      </c>
      <c r="J1256" s="471">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291</v>
      </c>
      <c r="N1256" s="475"/>
      <c r="O1256" s="476">
        <v>0.82638888888888884</v>
      </c>
      <c r="P1256" s="476">
        <v>0.82638888888888884</v>
      </c>
      <c r="Q1256" s="477">
        <v>0.88472222222222219</v>
      </c>
      <c r="R1256" s="472">
        <f>IF(Table6[[#This Row],[Work Start TimeStamp]]="","",(Table6[[#This Row],[Work Start TimeStamp]]-Table6[[#This Row],[Fault Start TimeStamp]])*24)</f>
        <v>0</v>
      </c>
      <c r="S1256" s="472">
        <f>(Table6[[#This Row],[Fault Clearance time]]-Table6[[#This Row],[Work Start TimeStamp]])*24</f>
        <v>1.4000000000000004</v>
      </c>
      <c r="T1256" s="472">
        <f>(Table6[[#This Row],[Fault Clearance time]]-Table6[[#This Row],[Fault Start TimeStamp]])*24</f>
        <v>1.4000000000000004</v>
      </c>
      <c r="U1256" s="35" t="s">
        <v>1998</v>
      </c>
      <c r="V1256" s="102" t="s">
        <v>293</v>
      </c>
      <c r="W1256" s="478">
        <f>IFERROR(Table6[[#This Row],[Breakdown Time]]*Table6[[#This Row],[Plant Equivalent Weightage]],"")</f>
        <v>5.3846153846153842E-2</v>
      </c>
      <c r="X1256" s="473" t="s">
        <v>294</v>
      </c>
      <c r="Y1256" s="474" t="s">
        <v>319</v>
      </c>
      <c r="Z1256" s="102">
        <v>25348</v>
      </c>
      <c r="AA1256" s="468">
        <f>(Table6[[#This Row],[Paired WTG Generation for loss calculation]]/24)*Table6[[#This Row],[Breakdown Time]]</f>
        <v>1478.6333333333339</v>
      </c>
      <c r="AB1256" s="102"/>
      <c r="AC1256" s="35"/>
      <c r="AD1256" s="35"/>
    </row>
    <row r="1257" spans="1:30">
      <c r="A1257" s="102">
        <f t="shared" si="20"/>
        <v>1256</v>
      </c>
      <c r="B1257" s="468">
        <f>YEAR(Table6[[#This Row],[Date]])+IF(MONTH(Table6[[#This Row],[Date]])&gt;=4,1,0)</f>
        <v>2026</v>
      </c>
      <c r="C1257" s="102">
        <f>YEAR(Table6[[#This Row],[Date]])</f>
        <v>2025</v>
      </c>
      <c r="D1257" s="102" t="s">
        <v>1992</v>
      </c>
      <c r="E1257" s="469">
        <f>Table6[[#This Row],[Date]]-DAY(Table6[[#This Row],[Date]])+1</f>
        <v>45809</v>
      </c>
      <c r="F1257" s="470">
        <v>45828</v>
      </c>
      <c r="G1257" s="35" t="s">
        <v>96</v>
      </c>
      <c r="H1257" s="35" t="str">
        <f>IFERROR(_xlfn.XLOOKUP(Table6[[#This Row],[Affected WTG]],'Basic Data'!$A:$A,'Basic Data'!$B:$B),"")</f>
        <v>TQGXIIPL</v>
      </c>
      <c r="I1257" s="35" t="str">
        <f>IFERROR(_xlfn.XLOOKUP(Table6[[#This Row],[Affected WTG]],'Basic Data'!$A:$A,'Basic Data'!$C:$C),"")</f>
        <v>GEDA</v>
      </c>
      <c r="J1257" s="471">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291</v>
      </c>
      <c r="N1257" s="475"/>
      <c r="O1257" s="476">
        <v>5.8333333333333334E-2</v>
      </c>
      <c r="P1257" s="476">
        <v>5.8333333333333334E-2</v>
      </c>
      <c r="Q1257" s="477">
        <v>5.9722222222222225E-2</v>
      </c>
      <c r="R1257" s="472">
        <f>IF(Table6[[#This Row],[Work Start TimeStamp]]="","",(Table6[[#This Row],[Work Start TimeStamp]]-Table6[[#This Row],[Fault Start TimeStamp]])*24)</f>
        <v>0</v>
      </c>
      <c r="S1257" s="472">
        <f>(Table6[[#This Row],[Fault Clearance time]]-Table6[[#This Row],[Work Start TimeStamp]])*24</f>
        <v>3.3333333333333381E-2</v>
      </c>
      <c r="T1257" s="472">
        <f>(Table6[[#This Row],[Fault Clearance time]]-Table6[[#This Row],[Fault Start TimeStamp]])*24</f>
        <v>3.3333333333333381E-2</v>
      </c>
      <c r="U1257" s="35" t="s">
        <v>1924</v>
      </c>
      <c r="V1257" s="102" t="s">
        <v>293</v>
      </c>
      <c r="W1257" s="478">
        <f>IFERROR(Table6[[#This Row],[Breakdown Time]]*Table6[[#This Row],[Plant Equivalent Weightage]],"")</f>
        <v>1.2820512820512836E-3</v>
      </c>
      <c r="X1257" s="473" t="s">
        <v>294</v>
      </c>
      <c r="Y1257" s="474" t="s">
        <v>313</v>
      </c>
      <c r="Z1257" s="102">
        <v>52720</v>
      </c>
      <c r="AA1257" s="468">
        <f>(Table6[[#This Row],[Paired WTG Generation for loss calculation]]/24)*Table6[[#This Row],[Breakdown Time]]</f>
        <v>73.222222222222328</v>
      </c>
      <c r="AB1257" s="102"/>
      <c r="AC1257" s="35"/>
      <c r="AD1257" s="35"/>
    </row>
    <row r="1258" spans="1:30">
      <c r="A1258" s="102">
        <f t="shared" si="20"/>
        <v>1257</v>
      </c>
      <c r="B1258" s="468">
        <f>YEAR(Table6[[#This Row],[Date]])+IF(MONTH(Table6[[#This Row],[Date]])&gt;=4,1,0)</f>
        <v>2026</v>
      </c>
      <c r="C1258" s="102">
        <f>YEAR(Table6[[#This Row],[Date]])</f>
        <v>2025</v>
      </c>
      <c r="D1258" s="102" t="s">
        <v>1992</v>
      </c>
      <c r="E1258" s="469">
        <f>Table6[[#This Row],[Date]]-DAY(Table6[[#This Row],[Date]])+1</f>
        <v>45809</v>
      </c>
      <c r="F1258" s="470">
        <v>45828</v>
      </c>
      <c r="G1258" s="35" t="s">
        <v>96</v>
      </c>
      <c r="H1258" s="35" t="str">
        <f>IFERROR(_xlfn.XLOOKUP(Table6[[#This Row],[Affected WTG]],'Basic Data'!$A:$A,'Basic Data'!$B:$B),"")</f>
        <v>TQGXIIPL</v>
      </c>
      <c r="I1258" s="35" t="str">
        <f>IFERROR(_xlfn.XLOOKUP(Table6[[#This Row],[Affected WTG]],'Basic Data'!$A:$A,'Basic Data'!$C:$C),"")</f>
        <v>GEDA</v>
      </c>
      <c r="J1258" s="471">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291</v>
      </c>
      <c r="N1258" s="475"/>
      <c r="O1258" s="476">
        <v>7.6388888888888895E-2</v>
      </c>
      <c r="P1258" s="476">
        <v>7.6388888888888895E-2</v>
      </c>
      <c r="Q1258" s="477">
        <v>8.611111111111111E-2</v>
      </c>
      <c r="R1258" s="472">
        <f>IF(Table6[[#This Row],[Work Start TimeStamp]]="","",(Table6[[#This Row],[Work Start TimeStamp]]-Table6[[#This Row],[Fault Start TimeStamp]])*24)</f>
        <v>0</v>
      </c>
      <c r="S1258" s="472">
        <f>(Table6[[#This Row],[Fault Clearance time]]-Table6[[#This Row],[Work Start TimeStamp]])*24</f>
        <v>0.23333333333333317</v>
      </c>
      <c r="T1258" s="472">
        <f>(Table6[[#This Row],[Fault Clearance time]]-Table6[[#This Row],[Fault Start TimeStamp]])*24</f>
        <v>0.23333333333333317</v>
      </c>
      <c r="U1258" s="35" t="s">
        <v>2001</v>
      </c>
      <c r="V1258" s="102" t="s">
        <v>293</v>
      </c>
      <c r="W1258" s="478">
        <f>IFERROR(Table6[[#This Row],[Breakdown Time]]*Table6[[#This Row],[Plant Equivalent Weightage]],"")</f>
        <v>8.974358974358965E-3</v>
      </c>
      <c r="X1258" s="473" t="s">
        <v>294</v>
      </c>
      <c r="Y1258" s="474" t="s">
        <v>313</v>
      </c>
      <c r="Z1258" s="102">
        <v>52720</v>
      </c>
      <c r="AA1258" s="468">
        <f>(Table6[[#This Row],[Paired WTG Generation for loss calculation]]/24)*Table6[[#This Row],[Breakdown Time]]</f>
        <v>512.5555555555552</v>
      </c>
      <c r="AB1258" s="102"/>
      <c r="AC1258" s="35"/>
      <c r="AD1258" s="35"/>
    </row>
    <row r="1259" spans="1:30">
      <c r="A1259" s="102">
        <f t="shared" si="20"/>
        <v>1258</v>
      </c>
      <c r="B1259" s="468">
        <f>YEAR(Table6[[#This Row],[Date]])+IF(MONTH(Table6[[#This Row],[Date]])&gt;=4,1,0)</f>
        <v>2026</v>
      </c>
      <c r="C1259" s="102">
        <f>YEAR(Table6[[#This Row],[Date]])</f>
        <v>2025</v>
      </c>
      <c r="D1259" s="102" t="s">
        <v>1992</v>
      </c>
      <c r="E1259" s="469">
        <f>Table6[[#This Row],[Date]]-DAY(Table6[[#This Row],[Date]])+1</f>
        <v>45809</v>
      </c>
      <c r="F1259" s="470">
        <v>45828</v>
      </c>
      <c r="G1259" s="35" t="s">
        <v>99</v>
      </c>
      <c r="H1259" s="35" t="str">
        <f>IFERROR(_xlfn.XLOOKUP(Table6[[#This Row],[Affected WTG]],'Basic Data'!$A:$A,'Basic Data'!$B:$B),"")</f>
        <v>TQGXIIPL</v>
      </c>
      <c r="I1259" s="35" t="str">
        <f>IFERROR(_xlfn.XLOOKUP(Table6[[#This Row],[Affected WTG]],'Basic Data'!$A:$A,'Basic Data'!$C:$C),"")</f>
        <v>GEDA</v>
      </c>
      <c r="J1259" s="471">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291</v>
      </c>
      <c r="N1259" s="475"/>
      <c r="O1259" s="476">
        <v>0.87569444444444444</v>
      </c>
      <c r="P1259" s="476">
        <v>0.87569444444444444</v>
      </c>
      <c r="Q1259" s="477">
        <v>0.92222222222222228</v>
      </c>
      <c r="R1259" s="472">
        <f>IF(Table6[[#This Row],[Work Start TimeStamp]]="","",(Table6[[#This Row],[Work Start TimeStamp]]-Table6[[#This Row],[Fault Start TimeStamp]])*24)</f>
        <v>0</v>
      </c>
      <c r="S1259" s="472">
        <f>(Table6[[#This Row],[Fault Clearance time]]-Table6[[#This Row],[Work Start TimeStamp]])*24</f>
        <v>1.116666666666668</v>
      </c>
      <c r="T1259" s="472">
        <f>(Table6[[#This Row],[Fault Clearance time]]-Table6[[#This Row],[Fault Start TimeStamp]])*24</f>
        <v>1.116666666666668</v>
      </c>
      <c r="U1259" s="35" t="s">
        <v>1998</v>
      </c>
      <c r="V1259" s="102" t="s">
        <v>293</v>
      </c>
      <c r="W1259" s="478">
        <f>IFERROR(Table6[[#This Row],[Breakdown Time]]*Table6[[#This Row],[Plant Equivalent Weightage]],"")</f>
        <v>4.294871794871799E-2</v>
      </c>
      <c r="X1259" s="473" t="s">
        <v>294</v>
      </c>
      <c r="Y1259" s="474" t="s">
        <v>315</v>
      </c>
      <c r="Z1259" s="102">
        <v>53793</v>
      </c>
      <c r="AA1259" s="468">
        <f>(Table6[[#This Row],[Paired WTG Generation for loss calculation]]/24)*Table6[[#This Row],[Breakdown Time]]</f>
        <v>2502.8687500000033</v>
      </c>
      <c r="AB1259" s="102"/>
      <c r="AC1259" s="35"/>
      <c r="AD1259" s="35"/>
    </row>
    <row r="1260" spans="1:30">
      <c r="A1260" s="102">
        <f t="shared" si="20"/>
        <v>1259</v>
      </c>
      <c r="B1260" s="468">
        <f>YEAR(Table6[[#This Row],[Date]])+IF(MONTH(Table6[[#This Row],[Date]])&gt;=4,1,0)</f>
        <v>2026</v>
      </c>
      <c r="C1260" s="102">
        <f>YEAR(Table6[[#This Row],[Date]])</f>
        <v>2025</v>
      </c>
      <c r="D1260" s="102" t="s">
        <v>1992</v>
      </c>
      <c r="E1260" s="469">
        <f>Table6[[#This Row],[Date]]-DAY(Table6[[#This Row],[Date]])+1</f>
        <v>45809</v>
      </c>
      <c r="F1260" s="470">
        <v>45829</v>
      </c>
      <c r="G1260" s="35" t="s">
        <v>77</v>
      </c>
      <c r="H1260" s="35" t="str">
        <f>IFERROR(_xlfn.XLOOKUP(Table6[[#This Row],[Affected WTG]],'Basic Data'!$A:$A,'Basic Data'!$B:$B),"")</f>
        <v>TQGXIIPL</v>
      </c>
      <c r="I1260" s="35" t="str">
        <f>IFERROR(_xlfn.XLOOKUP(Table6[[#This Row],[Affected WTG]],'Basic Data'!$A:$A,'Basic Data'!$C:$C),"")</f>
        <v>GEDA</v>
      </c>
      <c r="J1260" s="471">
        <f>IFERROR(_xlfn.XLOOKUP(Table6[[#This Row],[Affected WTG]],'Basic Data'!$A:$A,'Basic Data'!$E:$E),"")</f>
        <v>3.846153846153845E-2</v>
      </c>
      <c r="K1260" s="102">
        <v>6130</v>
      </c>
      <c r="L1260" s="35" t="str">
        <f>IFERROR(_xlfn.XLOOKUP(Table6[[#This Row],[Error Code]],'Basic Data'!$AA:$AA,'Basic Data'!$AB:$AB),"Incorrect Error Code")</f>
        <v>Yaw speed high</v>
      </c>
      <c r="M1260" s="35" t="s">
        <v>292</v>
      </c>
      <c r="N1260" s="475"/>
      <c r="O1260" s="476">
        <v>0.20694444444444443</v>
      </c>
      <c r="P1260" s="476">
        <v>0.20694444444444443</v>
      </c>
      <c r="Q1260" s="477">
        <v>0.2076388888888889</v>
      </c>
      <c r="R1260" s="472">
        <f>IF(Table6[[#This Row],[Work Start TimeStamp]]="","",(Table6[[#This Row],[Work Start TimeStamp]]-Table6[[#This Row],[Fault Start TimeStamp]])*24)</f>
        <v>0</v>
      </c>
      <c r="S1260" s="472">
        <f>(Table6[[#This Row],[Fault Clearance time]]-Table6[[#This Row],[Work Start TimeStamp]])*24</f>
        <v>1.6666666666667274E-2</v>
      </c>
      <c r="T1260" s="472">
        <f>(Table6[[#This Row],[Fault Clearance time]]-Table6[[#This Row],[Fault Start TimeStamp]])*24</f>
        <v>1.6666666666667274E-2</v>
      </c>
      <c r="U1260" s="35" t="s">
        <v>336</v>
      </c>
      <c r="V1260" s="102" t="s">
        <v>293</v>
      </c>
      <c r="W1260" s="478">
        <f>IFERROR(Table6[[#This Row],[Breakdown Time]]*Table6[[#This Row],[Plant Equivalent Weightage]],"")</f>
        <v>6.4102564102566423E-4</v>
      </c>
      <c r="X1260" s="473" t="s">
        <v>294</v>
      </c>
      <c r="Y1260" s="474" t="s">
        <v>310</v>
      </c>
      <c r="Z1260" s="102">
        <v>48182</v>
      </c>
      <c r="AA1260" s="468">
        <f>(Table6[[#This Row],[Paired WTG Generation for loss calculation]]/24)*Table6[[#This Row],[Breakdown Time]]</f>
        <v>33.459722222223441</v>
      </c>
      <c r="AB1260" s="102"/>
      <c r="AC1260" s="35"/>
      <c r="AD1260" s="35"/>
    </row>
    <row r="1261" spans="1:30">
      <c r="A1261" s="102">
        <f t="shared" si="20"/>
        <v>1260</v>
      </c>
      <c r="B1261" s="468">
        <f>YEAR(Table6[[#This Row],[Date]])+IF(MONTH(Table6[[#This Row],[Date]])&gt;=4,1,0)</f>
        <v>2026</v>
      </c>
      <c r="C1261" s="102">
        <f>YEAR(Table6[[#This Row],[Date]])</f>
        <v>2025</v>
      </c>
      <c r="D1261" s="102" t="s">
        <v>1992</v>
      </c>
      <c r="E1261" s="469">
        <f>Table6[[#This Row],[Date]]-DAY(Table6[[#This Row],[Date]])+1</f>
        <v>45809</v>
      </c>
      <c r="F1261" s="470">
        <v>45829</v>
      </c>
      <c r="G1261" s="35" t="s">
        <v>77</v>
      </c>
      <c r="H1261" s="35" t="str">
        <f>IFERROR(_xlfn.XLOOKUP(Table6[[#This Row],[Affected WTG]],'Basic Data'!$A:$A,'Basic Data'!$B:$B),"")</f>
        <v>TQGXIIPL</v>
      </c>
      <c r="I1261" s="35" t="str">
        <f>IFERROR(_xlfn.XLOOKUP(Table6[[#This Row],[Affected WTG]],'Basic Data'!$A:$A,'Basic Data'!$C:$C),"")</f>
        <v>GEDA</v>
      </c>
      <c r="J1261" s="471">
        <f>IFERROR(_xlfn.XLOOKUP(Table6[[#This Row],[Affected WTG]],'Basic Data'!$A:$A,'Basic Data'!$E:$E),"")</f>
        <v>3.846153846153845E-2</v>
      </c>
      <c r="K1261" s="102">
        <v>6130</v>
      </c>
      <c r="L1261" s="35" t="str">
        <f>IFERROR(_xlfn.XLOOKUP(Table6[[#This Row],[Error Code]],'Basic Data'!$AA:$AA,'Basic Data'!$AB:$AB),"Incorrect Error Code")</f>
        <v>Yaw speed high</v>
      </c>
      <c r="M1261" s="35" t="s">
        <v>292</v>
      </c>
      <c r="N1261" s="475"/>
      <c r="O1261" s="476">
        <v>0.24097222222222223</v>
      </c>
      <c r="P1261" s="476">
        <v>0.24097222222222223</v>
      </c>
      <c r="Q1261" s="477">
        <v>0.24305555555555555</v>
      </c>
      <c r="R1261" s="472">
        <f>IF(Table6[[#This Row],[Work Start TimeStamp]]="","",(Table6[[#This Row],[Work Start TimeStamp]]-Table6[[#This Row],[Fault Start TimeStamp]])*24)</f>
        <v>0</v>
      </c>
      <c r="S1261" s="472">
        <f>(Table6[[#This Row],[Fault Clearance time]]-Table6[[#This Row],[Work Start TimeStamp]])*24</f>
        <v>4.9999999999999822E-2</v>
      </c>
      <c r="T1261" s="472">
        <f>(Table6[[#This Row],[Fault Clearance time]]-Table6[[#This Row],[Fault Start TimeStamp]])*24</f>
        <v>4.9999999999999822E-2</v>
      </c>
      <c r="U1261" s="35" t="s">
        <v>336</v>
      </c>
      <c r="V1261" s="102" t="s">
        <v>293</v>
      </c>
      <c r="W1261" s="478">
        <f>IFERROR(Table6[[#This Row],[Breakdown Time]]*Table6[[#This Row],[Plant Equivalent Weightage]],"")</f>
        <v>1.9230769230769156E-3</v>
      </c>
      <c r="X1261" s="473" t="s">
        <v>294</v>
      </c>
      <c r="Y1261" s="474" t="s">
        <v>310</v>
      </c>
      <c r="Z1261" s="102">
        <v>48182</v>
      </c>
      <c r="AA1261" s="468">
        <f>(Table6[[#This Row],[Paired WTG Generation for loss calculation]]/24)*Table6[[#This Row],[Breakdown Time]]</f>
        <v>100.37916666666631</v>
      </c>
      <c r="AB1261" s="102"/>
      <c r="AC1261" s="35"/>
      <c r="AD1261" s="35"/>
    </row>
    <row r="1262" spans="1:30">
      <c r="A1262" s="102">
        <f t="shared" si="20"/>
        <v>1261</v>
      </c>
      <c r="B1262" s="468">
        <f>YEAR(Table6[[#This Row],[Date]])+IF(MONTH(Table6[[#This Row],[Date]])&gt;=4,1,0)</f>
        <v>2026</v>
      </c>
      <c r="C1262" s="102">
        <f>YEAR(Table6[[#This Row],[Date]])</f>
        <v>2025</v>
      </c>
      <c r="D1262" s="102" t="s">
        <v>1992</v>
      </c>
      <c r="E1262" s="469">
        <f>Table6[[#This Row],[Date]]-DAY(Table6[[#This Row],[Date]])+1</f>
        <v>45809</v>
      </c>
      <c r="F1262" s="470">
        <v>45829</v>
      </c>
      <c r="G1262" s="35" t="s">
        <v>77</v>
      </c>
      <c r="H1262" s="35" t="str">
        <f>IFERROR(_xlfn.XLOOKUP(Table6[[#This Row],[Affected WTG]],'Basic Data'!$A:$A,'Basic Data'!$B:$B),"")</f>
        <v>TQGXIIPL</v>
      </c>
      <c r="I1262" s="35" t="str">
        <f>IFERROR(_xlfn.XLOOKUP(Table6[[#This Row],[Affected WTG]],'Basic Data'!$A:$A,'Basic Data'!$C:$C),"")</f>
        <v>GEDA</v>
      </c>
      <c r="J1262" s="471">
        <f>IFERROR(_xlfn.XLOOKUP(Table6[[#This Row],[Affected WTG]],'Basic Data'!$A:$A,'Basic Data'!$E:$E),"")</f>
        <v>3.846153846153845E-2</v>
      </c>
      <c r="K1262" s="102">
        <v>6130</v>
      </c>
      <c r="L1262" s="35" t="str">
        <f>IFERROR(_xlfn.XLOOKUP(Table6[[#This Row],[Error Code]],'Basic Data'!$AA:$AA,'Basic Data'!$AB:$AB),"Incorrect Error Code")</f>
        <v>Yaw speed high</v>
      </c>
      <c r="M1262" s="35" t="s">
        <v>292</v>
      </c>
      <c r="N1262" s="475"/>
      <c r="O1262" s="476">
        <v>0.49305555555555558</v>
      </c>
      <c r="P1262" s="476">
        <v>0.49305555555555558</v>
      </c>
      <c r="Q1262" s="477">
        <v>0.49444444444444446</v>
      </c>
      <c r="R1262" s="472">
        <f>IF(Table6[[#This Row],[Work Start TimeStamp]]="","",(Table6[[#This Row],[Work Start TimeStamp]]-Table6[[#This Row],[Fault Start TimeStamp]])*24)</f>
        <v>0</v>
      </c>
      <c r="S1262" s="472">
        <f>(Table6[[#This Row],[Fault Clearance time]]-Table6[[#This Row],[Work Start TimeStamp]])*24</f>
        <v>3.3333333333333215E-2</v>
      </c>
      <c r="T1262" s="472">
        <f>(Table6[[#This Row],[Fault Clearance time]]-Table6[[#This Row],[Fault Start TimeStamp]])*24</f>
        <v>3.3333333333333215E-2</v>
      </c>
      <c r="U1262" s="35" t="s">
        <v>336</v>
      </c>
      <c r="V1262" s="102" t="s">
        <v>293</v>
      </c>
      <c r="W1262" s="478">
        <f>IFERROR(Table6[[#This Row],[Breakdown Time]]*Table6[[#This Row],[Plant Equivalent Weightage]],"")</f>
        <v>1.2820512820512771E-3</v>
      </c>
      <c r="X1262" s="473" t="s">
        <v>294</v>
      </c>
      <c r="Y1262" s="474" t="s">
        <v>310</v>
      </c>
      <c r="Z1262" s="102">
        <v>48182</v>
      </c>
      <c r="AA1262" s="468">
        <f>(Table6[[#This Row],[Paired WTG Generation for loss calculation]]/24)*Table6[[#This Row],[Breakdown Time]]</f>
        <v>66.91944444444421</v>
      </c>
      <c r="AB1262" s="102"/>
      <c r="AC1262" s="35"/>
      <c r="AD1262" s="35"/>
    </row>
    <row r="1263" spans="1:30">
      <c r="A1263" s="102">
        <f t="shared" si="20"/>
        <v>1262</v>
      </c>
      <c r="B1263" s="468">
        <f>YEAR(Table6[[#This Row],[Date]])+IF(MONTH(Table6[[#This Row],[Date]])&gt;=4,1,0)</f>
        <v>2026</v>
      </c>
      <c r="C1263" s="102">
        <f>YEAR(Table6[[#This Row],[Date]])</f>
        <v>2025</v>
      </c>
      <c r="D1263" s="102" t="s">
        <v>1992</v>
      </c>
      <c r="E1263" s="469">
        <f>Table6[[#This Row],[Date]]-DAY(Table6[[#This Row],[Date]])+1</f>
        <v>45809</v>
      </c>
      <c r="F1263" s="470">
        <v>45829</v>
      </c>
      <c r="G1263" s="35" t="s">
        <v>77</v>
      </c>
      <c r="H1263" s="35" t="str">
        <f>IFERROR(_xlfn.XLOOKUP(Table6[[#This Row],[Affected WTG]],'Basic Data'!$A:$A,'Basic Data'!$B:$B),"")</f>
        <v>TQGXIIPL</v>
      </c>
      <c r="I1263" s="35" t="str">
        <f>IFERROR(_xlfn.XLOOKUP(Table6[[#This Row],[Affected WTG]],'Basic Data'!$A:$A,'Basic Data'!$C:$C),"")</f>
        <v>GEDA</v>
      </c>
      <c r="J1263" s="471">
        <f>IFERROR(_xlfn.XLOOKUP(Table6[[#This Row],[Affected WTG]],'Basic Data'!$A:$A,'Basic Data'!$E:$E),"")</f>
        <v>3.846153846153845E-2</v>
      </c>
      <c r="K1263" s="102">
        <v>6130</v>
      </c>
      <c r="L1263" s="35" t="str">
        <f>IFERROR(_xlfn.XLOOKUP(Table6[[#This Row],[Error Code]],'Basic Data'!$AA:$AA,'Basic Data'!$AB:$AB),"Incorrect Error Code")</f>
        <v>Yaw speed high</v>
      </c>
      <c r="M1263" s="35" t="s">
        <v>292</v>
      </c>
      <c r="N1263" s="475"/>
      <c r="O1263" s="476">
        <v>0.68819444444444444</v>
      </c>
      <c r="P1263" s="476">
        <v>0.68819444444444444</v>
      </c>
      <c r="Q1263" s="477">
        <v>0.68958333333333333</v>
      </c>
      <c r="R1263" s="472">
        <f>IF(Table6[[#This Row],[Work Start TimeStamp]]="","",(Table6[[#This Row],[Work Start TimeStamp]]-Table6[[#This Row],[Fault Start TimeStamp]])*24)</f>
        <v>0</v>
      </c>
      <c r="S1263" s="472">
        <f>(Table6[[#This Row],[Fault Clearance time]]-Table6[[#This Row],[Work Start TimeStamp]])*24</f>
        <v>3.3333333333333215E-2</v>
      </c>
      <c r="T1263" s="472">
        <f>(Table6[[#This Row],[Fault Clearance time]]-Table6[[#This Row],[Fault Start TimeStamp]])*24</f>
        <v>3.3333333333333215E-2</v>
      </c>
      <c r="U1263" s="35" t="s">
        <v>336</v>
      </c>
      <c r="V1263" s="102" t="s">
        <v>293</v>
      </c>
      <c r="W1263" s="478">
        <f>IFERROR(Table6[[#This Row],[Breakdown Time]]*Table6[[#This Row],[Plant Equivalent Weightage]],"")</f>
        <v>1.2820512820512771E-3</v>
      </c>
      <c r="X1263" s="473" t="s">
        <v>294</v>
      </c>
      <c r="Y1263" s="474" t="s">
        <v>310</v>
      </c>
      <c r="Z1263" s="102">
        <v>48182</v>
      </c>
      <c r="AA1263" s="468">
        <f>(Table6[[#This Row],[Paired WTG Generation for loss calculation]]/24)*Table6[[#This Row],[Breakdown Time]]</f>
        <v>66.91944444444421</v>
      </c>
      <c r="AB1263" s="102"/>
      <c r="AC1263" s="35"/>
      <c r="AD1263" s="35"/>
    </row>
    <row r="1264" spans="1:30">
      <c r="A1264" s="102">
        <f t="shared" si="20"/>
        <v>1263</v>
      </c>
      <c r="B1264" s="468">
        <f>YEAR(Table6[[#This Row],[Date]])+IF(MONTH(Table6[[#This Row],[Date]])&gt;=4,1,0)</f>
        <v>2026</v>
      </c>
      <c r="C1264" s="102">
        <f>YEAR(Table6[[#This Row],[Date]])</f>
        <v>2025</v>
      </c>
      <c r="D1264" s="102" t="s">
        <v>1992</v>
      </c>
      <c r="E1264" s="469">
        <f>Table6[[#This Row],[Date]]-DAY(Table6[[#This Row],[Date]])+1</f>
        <v>45809</v>
      </c>
      <c r="F1264" s="470">
        <v>45829</v>
      </c>
      <c r="G1264" s="35" t="s">
        <v>78</v>
      </c>
      <c r="H1264" s="35" t="str">
        <f>IFERROR(_xlfn.XLOOKUP(Table6[[#This Row],[Affected WTG]],'Basic Data'!$A:$A,'Basic Data'!$B:$B),"")</f>
        <v>TQGXIIPL</v>
      </c>
      <c r="I1264" s="35" t="str">
        <f>IFERROR(_xlfn.XLOOKUP(Table6[[#This Row],[Affected WTG]],'Basic Data'!$A:$A,'Basic Data'!$C:$C),"")</f>
        <v>GEDA</v>
      </c>
      <c r="J1264" s="471">
        <f>IFERROR(_xlfn.XLOOKUP(Table6[[#This Row],[Affected WTG]],'Basic Data'!$A:$A,'Basic Data'!$E:$E),"")</f>
        <v>3.846153846153845E-2</v>
      </c>
      <c r="K1264" s="102">
        <v>175</v>
      </c>
      <c r="L1264" s="35" t="str">
        <f>IFERROR(_xlfn.XLOOKUP(Table6[[#This Row],[Error Code]],'Basic Data'!$AA:$AA,'Basic Data'!$AB:$AB),"Incorrect Error Code")</f>
        <v>SLC error</v>
      </c>
      <c r="M1264" s="35" t="s">
        <v>291</v>
      </c>
      <c r="N1264" s="475"/>
      <c r="O1264" s="476">
        <v>0.5</v>
      </c>
      <c r="P1264" s="476">
        <v>0.5</v>
      </c>
      <c r="Q1264" s="477">
        <v>0.50138888888888888</v>
      </c>
      <c r="R1264" s="472">
        <f>IF(Table6[[#This Row],[Work Start TimeStamp]]="","",(Table6[[#This Row],[Work Start TimeStamp]]-Table6[[#This Row],[Fault Start TimeStamp]])*24)</f>
        <v>0</v>
      </c>
      <c r="S1264" s="472">
        <f>(Table6[[#This Row],[Fault Clearance time]]-Table6[[#This Row],[Work Start TimeStamp]])*24</f>
        <v>3.3333333333333215E-2</v>
      </c>
      <c r="T1264" s="472">
        <f>(Table6[[#This Row],[Fault Clearance time]]-Table6[[#This Row],[Fault Start TimeStamp]])*24</f>
        <v>3.3333333333333215E-2</v>
      </c>
      <c r="U1264" s="35" t="s">
        <v>1924</v>
      </c>
      <c r="V1264" s="102" t="s">
        <v>293</v>
      </c>
      <c r="W1264" s="478">
        <f>IFERROR(Table6[[#This Row],[Breakdown Time]]*Table6[[#This Row],[Plant Equivalent Weightage]],"")</f>
        <v>1.2820512820512771E-3</v>
      </c>
      <c r="X1264" s="473" t="s">
        <v>294</v>
      </c>
      <c r="Y1264" s="474" t="s">
        <v>333</v>
      </c>
      <c r="Z1264" s="102">
        <v>52214</v>
      </c>
      <c r="AA1264" s="468">
        <f>(Table6[[#This Row],[Paired WTG Generation for loss calculation]]/24)*Table6[[#This Row],[Breakdown Time]]</f>
        <v>72.51944444444419</v>
      </c>
      <c r="AB1264" s="102"/>
      <c r="AC1264" s="35"/>
      <c r="AD1264" s="35"/>
    </row>
    <row r="1265" spans="1:30">
      <c r="A1265" s="102">
        <f t="shared" si="20"/>
        <v>1264</v>
      </c>
      <c r="B1265" s="468">
        <f>YEAR(Table6[[#This Row],[Date]])+IF(MONTH(Table6[[#This Row],[Date]])&gt;=4,1,0)</f>
        <v>2026</v>
      </c>
      <c r="C1265" s="102">
        <f>YEAR(Table6[[#This Row],[Date]])</f>
        <v>2025</v>
      </c>
      <c r="D1265" s="102" t="s">
        <v>1992</v>
      </c>
      <c r="E1265" s="469">
        <f>Table6[[#This Row],[Date]]-DAY(Table6[[#This Row],[Date]])+1</f>
        <v>45809</v>
      </c>
      <c r="F1265" s="470">
        <v>45829</v>
      </c>
      <c r="G1265" s="35" t="s">
        <v>80</v>
      </c>
      <c r="H1265" s="35" t="str">
        <f>IFERROR(_xlfn.XLOOKUP(Table6[[#This Row],[Affected WTG]],'Basic Data'!$A:$A,'Basic Data'!$B:$B),"")</f>
        <v>TQGXIIPL</v>
      </c>
      <c r="I1265" s="35" t="str">
        <f>IFERROR(_xlfn.XLOOKUP(Table6[[#This Row],[Affected WTG]],'Basic Data'!$A:$A,'Basic Data'!$C:$C),"")</f>
        <v>GEDA</v>
      </c>
      <c r="J1265" s="471">
        <f>IFERROR(_xlfn.XLOOKUP(Table6[[#This Row],[Affected WTG]],'Basic Data'!$A:$A,'Basic Data'!$E:$E),"")</f>
        <v>3.846153846153845E-2</v>
      </c>
      <c r="K1265" s="102">
        <v>4970</v>
      </c>
      <c r="L1265" s="35" t="str">
        <f>IFERROR(_xlfn.XLOOKUP(Table6[[#This Row],[Error Code]],'Basic Data'!$AA:$AA,'Basic Data'!$AB:$AB),"Incorrect Error Code")</f>
        <v>Tower oscillation XF</v>
      </c>
      <c r="M1265" s="35" t="s">
        <v>291</v>
      </c>
      <c r="N1265" s="475"/>
      <c r="O1265" s="476">
        <v>0.24097222222222223</v>
      </c>
      <c r="P1265" s="476">
        <v>0.24097222222222223</v>
      </c>
      <c r="Q1265" s="477">
        <v>0.25208333333333333</v>
      </c>
      <c r="R1265" s="472">
        <f>IF(Table6[[#This Row],[Work Start TimeStamp]]="","",(Table6[[#This Row],[Work Start TimeStamp]]-Table6[[#This Row],[Fault Start TimeStamp]])*24)</f>
        <v>0</v>
      </c>
      <c r="S1265" s="472">
        <f>(Table6[[#This Row],[Fault Clearance time]]-Table6[[#This Row],[Work Start TimeStamp]])*24</f>
        <v>0.26666666666666639</v>
      </c>
      <c r="T1265" s="472">
        <f>(Table6[[#This Row],[Fault Clearance time]]-Table6[[#This Row],[Fault Start TimeStamp]])*24</f>
        <v>0.26666666666666639</v>
      </c>
      <c r="U1265" s="35" t="s">
        <v>1924</v>
      </c>
      <c r="V1265" s="102" t="s">
        <v>293</v>
      </c>
      <c r="W1265" s="478">
        <f>IFERROR(Table6[[#This Row],[Breakdown Time]]*Table6[[#This Row],[Plant Equivalent Weightage]],"")</f>
        <v>1.0256410256410243E-2</v>
      </c>
      <c r="X1265" s="473" t="s">
        <v>294</v>
      </c>
      <c r="Y1265" s="474" t="s">
        <v>317</v>
      </c>
      <c r="Z1265" s="102">
        <v>46630</v>
      </c>
      <c r="AA1265" s="468">
        <f>(Table6[[#This Row],[Paired WTG Generation for loss calculation]]/24)*Table6[[#This Row],[Breakdown Time]]</f>
        <v>518.11111111111063</v>
      </c>
      <c r="AB1265" s="102"/>
      <c r="AC1265" s="35"/>
      <c r="AD1265" s="35"/>
    </row>
    <row r="1266" spans="1:30">
      <c r="A1266" s="102">
        <f t="shared" si="20"/>
        <v>1265</v>
      </c>
      <c r="B1266" s="468">
        <f>YEAR(Table6[[#This Row],[Date]])+IF(MONTH(Table6[[#This Row],[Date]])&gt;=4,1,0)</f>
        <v>2026</v>
      </c>
      <c r="C1266" s="102">
        <f>YEAR(Table6[[#This Row],[Date]])</f>
        <v>2025</v>
      </c>
      <c r="D1266" s="102" t="s">
        <v>1992</v>
      </c>
      <c r="E1266" s="469">
        <f>Table6[[#This Row],[Date]]-DAY(Table6[[#This Row],[Date]])+1</f>
        <v>45809</v>
      </c>
      <c r="F1266" s="470">
        <v>45829</v>
      </c>
      <c r="G1266" s="35" t="s">
        <v>81</v>
      </c>
      <c r="H1266" s="35" t="str">
        <f>IFERROR(_xlfn.XLOOKUP(Table6[[#This Row],[Affected WTG]],'Basic Data'!$A:$A,'Basic Data'!$B:$B),"")</f>
        <v>TQGXIIPL</v>
      </c>
      <c r="I1266" s="35" t="str">
        <f>IFERROR(_xlfn.XLOOKUP(Table6[[#This Row],[Affected WTG]],'Basic Data'!$A:$A,'Basic Data'!$C:$C),"")</f>
        <v>GEDA</v>
      </c>
      <c r="J1266" s="471">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291</v>
      </c>
      <c r="N1266" s="475"/>
      <c r="O1266" s="476">
        <v>0.98472222222222228</v>
      </c>
      <c r="P1266" s="476">
        <v>0.98472222222222228</v>
      </c>
      <c r="Q1266" s="477">
        <v>0.99097222222222225</v>
      </c>
      <c r="R1266" s="472">
        <f>IF(Table6[[#This Row],[Work Start TimeStamp]]="","",(Table6[[#This Row],[Work Start TimeStamp]]-Table6[[#This Row],[Fault Start TimeStamp]])*24)</f>
        <v>0</v>
      </c>
      <c r="S1266" s="472">
        <f>(Table6[[#This Row],[Fault Clearance time]]-Table6[[#This Row],[Work Start TimeStamp]])*24</f>
        <v>0.14999999999999947</v>
      </c>
      <c r="T1266" s="472">
        <f>(Table6[[#This Row],[Fault Clearance time]]-Table6[[#This Row],[Fault Start TimeStamp]])*24</f>
        <v>0.14999999999999947</v>
      </c>
      <c r="U1266" s="35" t="s">
        <v>1924</v>
      </c>
      <c r="V1266" s="102" t="s">
        <v>293</v>
      </c>
      <c r="W1266" s="478">
        <f>IFERROR(Table6[[#This Row],[Breakdown Time]]*Table6[[#This Row],[Plant Equivalent Weightage]],"")</f>
        <v>5.769230769230747E-3</v>
      </c>
      <c r="X1266" s="473" t="s">
        <v>294</v>
      </c>
      <c r="Y1266" s="474" t="s">
        <v>321</v>
      </c>
      <c r="Z1266" s="102">
        <v>52790</v>
      </c>
      <c r="AA1266" s="468">
        <f>(Table6[[#This Row],[Paired WTG Generation for loss calculation]]/24)*Table6[[#This Row],[Breakdown Time]]</f>
        <v>329.93749999999886</v>
      </c>
      <c r="AB1266" s="102"/>
      <c r="AC1266" s="35"/>
      <c r="AD1266" s="35"/>
    </row>
    <row r="1267" spans="1:30">
      <c r="A1267" s="102">
        <f t="shared" si="20"/>
        <v>1266</v>
      </c>
      <c r="B1267" s="468">
        <f>YEAR(Table6[[#This Row],[Date]])+IF(MONTH(Table6[[#This Row],[Date]])&gt;=4,1,0)</f>
        <v>2026</v>
      </c>
      <c r="C1267" s="102">
        <f>YEAR(Table6[[#This Row],[Date]])</f>
        <v>2025</v>
      </c>
      <c r="D1267" s="102" t="s">
        <v>1992</v>
      </c>
      <c r="E1267" s="469">
        <f>Table6[[#This Row],[Date]]-DAY(Table6[[#This Row],[Date]])+1</f>
        <v>45809</v>
      </c>
      <c r="F1267" s="470">
        <v>45829</v>
      </c>
      <c r="G1267" s="35" t="s">
        <v>82</v>
      </c>
      <c r="H1267" s="35" t="str">
        <f>IFERROR(_xlfn.XLOOKUP(Table6[[#This Row],[Affected WTG]],'Basic Data'!$A:$A,'Basic Data'!$B:$B),"")</f>
        <v>TQGXIIPL</v>
      </c>
      <c r="I1267" s="35" t="str">
        <f>IFERROR(_xlfn.XLOOKUP(Table6[[#This Row],[Affected WTG]],'Basic Data'!$A:$A,'Basic Data'!$C:$C),"")</f>
        <v>GEDA</v>
      </c>
      <c r="J1267" s="471">
        <f>IFERROR(_xlfn.XLOOKUP(Table6[[#This Row],[Affected WTG]],'Basic Data'!$A:$A,'Basic Data'!$E:$E),"")</f>
        <v>3.846153846153845E-2</v>
      </c>
      <c r="K1267" s="102">
        <v>4970</v>
      </c>
      <c r="L1267" s="35" t="str">
        <f>IFERROR(_xlfn.XLOOKUP(Table6[[#This Row],[Error Code]],'Basic Data'!$AA:$AA,'Basic Data'!$AB:$AB),"Incorrect Error Code")</f>
        <v>Tower oscillation XF</v>
      </c>
      <c r="M1267" s="35" t="s">
        <v>291</v>
      </c>
      <c r="N1267" s="475"/>
      <c r="O1267" s="476">
        <v>0.62569444444444444</v>
      </c>
      <c r="P1267" s="476">
        <v>0.62569444444444444</v>
      </c>
      <c r="Q1267" s="477">
        <v>0.62986111111111109</v>
      </c>
      <c r="R1267" s="472">
        <f>IF(Table6[[#This Row],[Work Start TimeStamp]]="","",(Table6[[#This Row],[Work Start TimeStamp]]-Table6[[#This Row],[Fault Start TimeStamp]])*24)</f>
        <v>0</v>
      </c>
      <c r="S1267" s="472">
        <f>(Table6[[#This Row],[Fault Clearance time]]-Table6[[#This Row],[Work Start TimeStamp]])*24</f>
        <v>9.9999999999999645E-2</v>
      </c>
      <c r="T1267" s="472">
        <f>(Table6[[#This Row],[Fault Clearance time]]-Table6[[#This Row],[Fault Start TimeStamp]])*24</f>
        <v>9.9999999999999645E-2</v>
      </c>
      <c r="U1267" s="35" t="s">
        <v>1924</v>
      </c>
      <c r="V1267" s="102" t="s">
        <v>293</v>
      </c>
      <c r="W1267" s="478">
        <f>IFERROR(Table6[[#This Row],[Breakdown Time]]*Table6[[#This Row],[Plant Equivalent Weightage]],"")</f>
        <v>3.8461538461538312E-3</v>
      </c>
      <c r="X1267" s="473" t="s">
        <v>294</v>
      </c>
      <c r="Y1267" s="474" t="s">
        <v>332</v>
      </c>
      <c r="Z1267" s="102">
        <v>49894</v>
      </c>
      <c r="AA1267" s="468">
        <f>(Table6[[#This Row],[Paired WTG Generation for loss calculation]]/24)*Table6[[#This Row],[Breakdown Time]]</f>
        <v>207.89166666666591</v>
      </c>
      <c r="AB1267" s="102"/>
      <c r="AC1267" s="35"/>
      <c r="AD1267" s="35"/>
    </row>
    <row r="1268" spans="1:30">
      <c r="A1268" s="102">
        <f t="shared" si="20"/>
        <v>1267</v>
      </c>
      <c r="B1268" s="468">
        <f>YEAR(Table6[[#This Row],[Date]])+IF(MONTH(Table6[[#This Row],[Date]])&gt;=4,1,0)</f>
        <v>2026</v>
      </c>
      <c r="C1268" s="102">
        <f>YEAR(Table6[[#This Row],[Date]])</f>
        <v>2025</v>
      </c>
      <c r="D1268" s="102" t="s">
        <v>1992</v>
      </c>
      <c r="E1268" s="469">
        <f>Table6[[#This Row],[Date]]-DAY(Table6[[#This Row],[Date]])+1</f>
        <v>45809</v>
      </c>
      <c r="F1268" s="470">
        <v>45829</v>
      </c>
      <c r="G1268" s="35" t="s">
        <v>84</v>
      </c>
      <c r="H1268" s="35" t="str">
        <f>IFERROR(_xlfn.XLOOKUP(Table6[[#This Row],[Affected WTG]],'Basic Data'!$A:$A,'Basic Data'!$B:$B),"")</f>
        <v>TQGXIIPL</v>
      </c>
      <c r="I1268" s="35" t="str">
        <f>IFERROR(_xlfn.XLOOKUP(Table6[[#This Row],[Affected WTG]],'Basic Data'!$A:$A,'Basic Data'!$C:$C),"")</f>
        <v>GEDA</v>
      </c>
      <c r="J1268" s="471">
        <f>IFERROR(_xlfn.XLOOKUP(Table6[[#This Row],[Affected WTG]],'Basic Data'!$A:$A,'Basic Data'!$E:$E),"")</f>
        <v>3.846153846153845E-2</v>
      </c>
      <c r="K1268" s="102">
        <v>4970</v>
      </c>
      <c r="L1268" s="35" t="str">
        <f>IFERROR(_xlfn.XLOOKUP(Table6[[#This Row],[Error Code]],'Basic Data'!$AA:$AA,'Basic Data'!$AB:$AB),"Incorrect Error Code")</f>
        <v>Tower oscillation XF</v>
      </c>
      <c r="M1268" s="35" t="s">
        <v>291</v>
      </c>
      <c r="N1268" s="475"/>
      <c r="O1268" s="476">
        <v>0.92708333333333337</v>
      </c>
      <c r="P1268" s="476">
        <v>0.92708333333333337</v>
      </c>
      <c r="Q1268" s="477">
        <v>0.93194444444444446</v>
      </c>
      <c r="R1268" s="472">
        <f>IF(Table6[[#This Row],[Work Start TimeStamp]]="","",(Table6[[#This Row],[Work Start TimeStamp]]-Table6[[#This Row],[Fault Start TimeStamp]])*24)</f>
        <v>0</v>
      </c>
      <c r="S1268" s="472">
        <f>(Table6[[#This Row],[Fault Clearance time]]-Table6[[#This Row],[Work Start TimeStamp]])*24</f>
        <v>0.11666666666666625</v>
      </c>
      <c r="T1268" s="472">
        <f>(Table6[[#This Row],[Fault Clearance time]]-Table6[[#This Row],[Fault Start TimeStamp]])*24</f>
        <v>0.11666666666666625</v>
      </c>
      <c r="U1268" s="35" t="s">
        <v>1924</v>
      </c>
      <c r="V1268" s="102" t="s">
        <v>293</v>
      </c>
      <c r="W1268" s="478">
        <f>IFERROR(Table6[[#This Row],[Breakdown Time]]*Table6[[#This Row],[Plant Equivalent Weightage]],"")</f>
        <v>4.4871794871794695E-3</v>
      </c>
      <c r="X1268" s="473" t="s">
        <v>294</v>
      </c>
      <c r="Y1268" s="474" t="s">
        <v>326</v>
      </c>
      <c r="Z1268" s="102">
        <v>49448</v>
      </c>
      <c r="AA1268" s="468">
        <f>(Table6[[#This Row],[Paired WTG Generation for loss calculation]]/24)*Table6[[#This Row],[Breakdown Time]]</f>
        <v>240.37222222222138</v>
      </c>
      <c r="AB1268" s="102"/>
      <c r="AC1268" s="35"/>
      <c r="AD1268" s="35"/>
    </row>
    <row r="1269" spans="1:30">
      <c r="A1269" s="102">
        <f t="shared" si="20"/>
        <v>1268</v>
      </c>
      <c r="B1269" s="468">
        <f>YEAR(Table6[[#This Row],[Date]])+IF(MONTH(Table6[[#This Row],[Date]])&gt;=4,1,0)</f>
        <v>2026</v>
      </c>
      <c r="C1269" s="102">
        <f>YEAR(Table6[[#This Row],[Date]])</f>
        <v>2025</v>
      </c>
      <c r="D1269" s="102" t="s">
        <v>1992</v>
      </c>
      <c r="E1269" s="469">
        <f>Table6[[#This Row],[Date]]-DAY(Table6[[#This Row],[Date]])+1</f>
        <v>45809</v>
      </c>
      <c r="F1269" s="470">
        <v>45829</v>
      </c>
      <c r="G1269" s="35" t="s">
        <v>85</v>
      </c>
      <c r="H1269" s="35" t="str">
        <f>IFERROR(_xlfn.XLOOKUP(Table6[[#This Row],[Affected WTG]],'Basic Data'!$A:$A,'Basic Data'!$B:$B),"")</f>
        <v>TQGXIIPL</v>
      </c>
      <c r="I1269" s="35" t="str">
        <f>IFERROR(_xlfn.XLOOKUP(Table6[[#This Row],[Affected WTG]],'Basic Data'!$A:$A,'Basic Data'!$C:$C),"")</f>
        <v>GEDA</v>
      </c>
      <c r="J1269" s="471">
        <f>IFERROR(_xlfn.XLOOKUP(Table6[[#This Row],[Affected WTG]],'Basic Data'!$A:$A,'Basic Data'!$E:$E),"")</f>
        <v>3.846153846153845E-2</v>
      </c>
      <c r="K1269" s="102">
        <v>55</v>
      </c>
      <c r="L1269" s="35" t="str">
        <f>IFERROR(_xlfn.XLOOKUP(Table6[[#This Row],[Error Code]],'Basic Data'!$AA:$AA,'Basic Data'!$AB:$AB),"Incorrect Error Code")</f>
        <v>WTG shut down</v>
      </c>
      <c r="M1269" s="35" t="s">
        <v>295</v>
      </c>
      <c r="N1269" s="475"/>
      <c r="O1269" s="476">
        <v>0</v>
      </c>
      <c r="P1269" s="476">
        <v>0</v>
      </c>
      <c r="Q1269" s="477">
        <v>0.99998842592592596</v>
      </c>
      <c r="R1269" s="472">
        <f>IF(Table6[[#This Row],[Work Start TimeStamp]]="","",(Table6[[#This Row],[Work Start TimeStamp]]-Table6[[#This Row],[Fault Start TimeStamp]])*24)</f>
        <v>0</v>
      </c>
      <c r="S1269" s="472">
        <f>(Table6[[#This Row],[Fault Clearance time]]-Table6[[#This Row],[Work Start TimeStamp]])*24</f>
        <v>23.999722222222225</v>
      </c>
      <c r="T1269" s="472">
        <f>(Table6[[#This Row],[Fault Clearance time]]-Table6[[#This Row],[Fault Start TimeStamp]])*24</f>
        <v>23.999722222222225</v>
      </c>
      <c r="U1269" s="35" t="s">
        <v>2011</v>
      </c>
      <c r="V1269" s="102" t="s">
        <v>335</v>
      </c>
      <c r="W1269" s="478">
        <f>IFERROR(Table6[[#This Row],[Breakdown Time]]*Table6[[#This Row],[Plant Equivalent Weightage]],"")</f>
        <v>0.9230662393162391</v>
      </c>
      <c r="X1269" s="473" t="s">
        <v>523</v>
      </c>
      <c r="Y1269" s="474" t="s">
        <v>322</v>
      </c>
      <c r="Z1269" s="102">
        <v>48944</v>
      </c>
      <c r="AA1269" s="468">
        <f>(Table6[[#This Row],[Paired WTG Generation for loss calculation]]/24)*Table6[[#This Row],[Breakdown Time]]</f>
        <v>48943.433518518519</v>
      </c>
      <c r="AB1269" s="102"/>
      <c r="AC1269" s="35"/>
      <c r="AD1269" s="35"/>
    </row>
    <row r="1270" spans="1:30">
      <c r="A1270" s="102">
        <f t="shared" si="20"/>
        <v>1269</v>
      </c>
      <c r="B1270" s="468">
        <f>YEAR(Table6[[#This Row],[Date]])+IF(MONTH(Table6[[#This Row],[Date]])&gt;=4,1,0)</f>
        <v>2026</v>
      </c>
      <c r="C1270" s="102">
        <f>YEAR(Table6[[#This Row],[Date]])</f>
        <v>2025</v>
      </c>
      <c r="D1270" s="102" t="s">
        <v>1992</v>
      </c>
      <c r="E1270" s="469">
        <f>Table6[[#This Row],[Date]]-DAY(Table6[[#This Row],[Date]])+1</f>
        <v>45809</v>
      </c>
      <c r="F1270" s="470">
        <v>45829</v>
      </c>
      <c r="G1270" s="35" t="s">
        <v>88</v>
      </c>
      <c r="H1270" s="35" t="str">
        <f>IFERROR(_xlfn.XLOOKUP(Table6[[#This Row],[Affected WTG]],'Basic Data'!$A:$A,'Basic Data'!$B:$B),"")</f>
        <v>TQGXIIPL</v>
      </c>
      <c r="I1270" s="35" t="str">
        <f>IFERROR(_xlfn.XLOOKUP(Table6[[#This Row],[Affected WTG]],'Basic Data'!$A:$A,'Basic Data'!$C:$C),"")</f>
        <v>GEDA</v>
      </c>
      <c r="J1270" s="471">
        <f>IFERROR(_xlfn.XLOOKUP(Table6[[#This Row],[Affected WTG]],'Basic Data'!$A:$A,'Basic Data'!$E:$E),"")</f>
        <v>3.846153846153845E-2</v>
      </c>
      <c r="K1270" s="102">
        <v>55</v>
      </c>
      <c r="L1270" s="35" t="str">
        <f>IFERROR(_xlfn.XLOOKUP(Table6[[#This Row],[Error Code]],'Basic Data'!$AA:$AA,'Basic Data'!$AB:$AB),"Incorrect Error Code")</f>
        <v>WTG shut down</v>
      </c>
      <c r="M1270" s="35" t="s">
        <v>291</v>
      </c>
      <c r="N1270" s="475"/>
      <c r="O1270" s="476">
        <v>0.47916666666666669</v>
      </c>
      <c r="P1270" s="476">
        <v>0.47916666666666669</v>
      </c>
      <c r="Q1270" s="477">
        <v>0.5131944444444444</v>
      </c>
      <c r="R1270" s="472">
        <f>IF(Table6[[#This Row],[Work Start TimeStamp]]="","",(Table6[[#This Row],[Work Start TimeStamp]]-Table6[[#This Row],[Fault Start TimeStamp]])*24)</f>
        <v>0</v>
      </c>
      <c r="S1270" s="472">
        <f>(Table6[[#This Row],[Fault Clearance time]]-Table6[[#This Row],[Work Start TimeStamp]])*24</f>
        <v>0.8166666666666651</v>
      </c>
      <c r="T1270" s="472">
        <f>(Table6[[#This Row],[Fault Clearance time]]-Table6[[#This Row],[Fault Start TimeStamp]])*24</f>
        <v>0.8166666666666651</v>
      </c>
      <c r="U1270" s="35" t="s">
        <v>2002</v>
      </c>
      <c r="V1270" s="102" t="s">
        <v>293</v>
      </c>
      <c r="W1270" s="478">
        <f>IFERROR(Table6[[#This Row],[Breakdown Time]]*Table6[[#This Row],[Plant Equivalent Weightage]],"")</f>
        <v>3.141025641025634E-2</v>
      </c>
      <c r="X1270" s="473" t="s">
        <v>290</v>
      </c>
      <c r="Y1270" s="474" t="s">
        <v>323</v>
      </c>
      <c r="Z1270" s="102">
        <v>50278</v>
      </c>
      <c r="AA1270" s="468">
        <f>(Table6[[#This Row],[Paired WTG Generation for loss calculation]]/24)*Table6[[#This Row],[Breakdown Time]]</f>
        <v>1710.8486111111076</v>
      </c>
      <c r="AB1270" s="102"/>
      <c r="AC1270" s="35"/>
      <c r="AD1270" s="35"/>
    </row>
    <row r="1271" spans="1:30">
      <c r="A1271" s="102">
        <f t="shared" si="20"/>
        <v>1270</v>
      </c>
      <c r="B1271" s="468">
        <f>YEAR(Table6[[#This Row],[Date]])+IF(MONTH(Table6[[#This Row],[Date]])&gt;=4,1,0)</f>
        <v>2026</v>
      </c>
      <c r="C1271" s="102">
        <f>YEAR(Table6[[#This Row],[Date]])</f>
        <v>2025</v>
      </c>
      <c r="D1271" s="102" t="s">
        <v>1992</v>
      </c>
      <c r="E1271" s="469">
        <f>Table6[[#This Row],[Date]]-DAY(Table6[[#This Row],[Date]])+1</f>
        <v>45809</v>
      </c>
      <c r="F1271" s="470">
        <v>45829</v>
      </c>
      <c r="G1271" s="35" t="s">
        <v>93</v>
      </c>
      <c r="H1271" s="35" t="str">
        <f>IFERROR(_xlfn.XLOOKUP(Table6[[#This Row],[Affected WTG]],'Basic Data'!$A:$A,'Basic Data'!$B:$B),"")</f>
        <v>TQGXIIPL</v>
      </c>
      <c r="I1271" s="35" t="str">
        <f>IFERROR(_xlfn.XLOOKUP(Table6[[#This Row],[Affected WTG]],'Basic Data'!$A:$A,'Basic Data'!$C:$C),"")</f>
        <v>GEDA</v>
      </c>
      <c r="J1271" s="471">
        <f>IFERROR(_xlfn.XLOOKUP(Table6[[#This Row],[Affected WTG]],'Basic Data'!$A:$A,'Basic Data'!$E:$E),"")</f>
        <v>3.846153846153845E-2</v>
      </c>
      <c r="K1271" s="102">
        <v>55</v>
      </c>
      <c r="L1271" s="35" t="str">
        <f>IFERROR(_xlfn.XLOOKUP(Table6[[#This Row],[Error Code]],'Basic Data'!$AA:$AA,'Basic Data'!$AB:$AB),"Incorrect Error Code")</f>
        <v>WTG shut down</v>
      </c>
      <c r="M1271" s="35" t="s">
        <v>291</v>
      </c>
      <c r="N1271" s="475"/>
      <c r="O1271" s="476">
        <v>0.47638888888888886</v>
      </c>
      <c r="P1271" s="476">
        <v>0.47638888888888886</v>
      </c>
      <c r="Q1271" s="477">
        <v>0.51527777777777772</v>
      </c>
      <c r="R1271" s="472">
        <f>IF(Table6[[#This Row],[Work Start TimeStamp]]="","",(Table6[[#This Row],[Work Start TimeStamp]]-Table6[[#This Row],[Fault Start TimeStamp]])*24)</f>
        <v>0</v>
      </c>
      <c r="S1271" s="472">
        <f>(Table6[[#This Row],[Fault Clearance time]]-Table6[[#This Row],[Work Start TimeStamp]])*24</f>
        <v>0.93333333333333268</v>
      </c>
      <c r="T1271" s="472">
        <f>(Table6[[#This Row],[Fault Clearance time]]-Table6[[#This Row],[Fault Start TimeStamp]])*24</f>
        <v>0.93333333333333268</v>
      </c>
      <c r="U1271" s="35" t="s">
        <v>2002</v>
      </c>
      <c r="V1271" s="102" t="s">
        <v>293</v>
      </c>
      <c r="W1271" s="478">
        <f>IFERROR(Table6[[#This Row],[Breakdown Time]]*Table6[[#This Row],[Plant Equivalent Weightage]],"")</f>
        <v>3.589743589743586E-2</v>
      </c>
      <c r="X1271" s="473" t="s">
        <v>290</v>
      </c>
      <c r="Y1271" s="474" t="s">
        <v>314</v>
      </c>
      <c r="Z1271" s="102">
        <v>50597</v>
      </c>
      <c r="AA1271" s="468">
        <f>(Table6[[#This Row],[Paired WTG Generation for loss calculation]]/24)*Table6[[#This Row],[Breakdown Time]]</f>
        <v>1967.6611111111099</v>
      </c>
      <c r="AB1271" s="102"/>
      <c r="AC1271" s="35"/>
      <c r="AD1271" s="35"/>
    </row>
    <row r="1272" spans="1:30" ht="15" customHeight="1">
      <c r="A1272" s="102">
        <f t="shared" si="20"/>
        <v>1271</v>
      </c>
      <c r="B1272" s="468">
        <f>YEAR(Table6[[#This Row],[Date]])+IF(MONTH(Table6[[#This Row],[Date]])&gt;=4,1,0)</f>
        <v>2026</v>
      </c>
      <c r="C1272" s="102">
        <f>YEAR(Table6[[#This Row],[Date]])</f>
        <v>2025</v>
      </c>
      <c r="D1272" s="102" t="s">
        <v>1992</v>
      </c>
      <c r="E1272" s="469">
        <f>Table6[[#This Row],[Date]]-DAY(Table6[[#This Row],[Date]])+1</f>
        <v>45809</v>
      </c>
      <c r="F1272" s="470">
        <v>45829</v>
      </c>
      <c r="G1272" s="35" t="s">
        <v>96</v>
      </c>
      <c r="H1272" s="35" t="str">
        <f>IFERROR(_xlfn.XLOOKUP(Table6[[#This Row],[Affected WTG]],'Basic Data'!$A:$A,'Basic Data'!$B:$B),"")</f>
        <v>TQGXIIPL</v>
      </c>
      <c r="I1272" s="35" t="str">
        <f>IFERROR(_xlfn.XLOOKUP(Table6[[#This Row],[Affected WTG]],'Basic Data'!$A:$A,'Basic Data'!$C:$C),"")</f>
        <v>GEDA</v>
      </c>
      <c r="J1272" s="471">
        <f>IFERROR(_xlfn.XLOOKUP(Table6[[#This Row],[Affected WTG]],'Basic Data'!$A:$A,'Basic Data'!$E:$E),"")</f>
        <v>3.846153846153845E-2</v>
      </c>
      <c r="K1272" s="102">
        <v>55</v>
      </c>
      <c r="L1272" s="35" t="str">
        <f>IFERROR(_xlfn.XLOOKUP(Table6[[#This Row],[Error Code]],'Basic Data'!$AA:$AA,'Basic Data'!$AB:$AB),"Incorrect Error Code")</f>
        <v>WTG shut down</v>
      </c>
      <c r="M1272" s="35" t="s">
        <v>291</v>
      </c>
      <c r="N1272" s="475"/>
      <c r="O1272" s="476">
        <v>0.5444444444444444</v>
      </c>
      <c r="P1272" s="476">
        <v>0.5444444444444444</v>
      </c>
      <c r="Q1272" s="477">
        <v>0.56805555555555554</v>
      </c>
      <c r="R1272" s="472">
        <f>IF(Table6[[#This Row],[Work Start TimeStamp]]="","",(Table6[[#This Row],[Work Start TimeStamp]]-Table6[[#This Row],[Fault Start TimeStamp]])*24)</f>
        <v>0</v>
      </c>
      <c r="S1272" s="472">
        <f>(Table6[[#This Row],[Fault Clearance time]]-Table6[[#This Row],[Work Start TimeStamp]])*24</f>
        <v>0.56666666666666732</v>
      </c>
      <c r="T1272" s="472">
        <f>(Table6[[#This Row],[Fault Clearance time]]-Table6[[#This Row],[Fault Start TimeStamp]])*24</f>
        <v>0.56666666666666732</v>
      </c>
      <c r="U1272" s="35" t="s">
        <v>2002</v>
      </c>
      <c r="V1272" s="102" t="s">
        <v>293</v>
      </c>
      <c r="W1272" s="478">
        <f>IFERROR(Table6[[#This Row],[Breakdown Time]]*Table6[[#This Row],[Plant Equivalent Weightage]],"")</f>
        <v>2.1794871794871815E-2</v>
      </c>
      <c r="X1272" s="473" t="s">
        <v>290</v>
      </c>
      <c r="Y1272" s="474" t="s">
        <v>313</v>
      </c>
      <c r="Z1272" s="102">
        <v>47808</v>
      </c>
      <c r="AA1272" s="468">
        <f>(Table6[[#This Row],[Paired WTG Generation for loss calculation]]/24)*Table6[[#This Row],[Breakdown Time]]</f>
        <v>1128.8000000000013</v>
      </c>
      <c r="AB1272" s="102"/>
      <c r="AC1272" s="35"/>
      <c r="AD1272" s="35"/>
    </row>
    <row r="1273" spans="1:30">
      <c r="A1273" s="102">
        <f t="shared" si="20"/>
        <v>1272</v>
      </c>
      <c r="B1273" s="468">
        <f>YEAR(Table6[[#This Row],[Date]])+IF(MONTH(Table6[[#This Row],[Date]])&gt;=4,1,0)</f>
        <v>2026</v>
      </c>
      <c r="C1273" s="102">
        <f>YEAR(Table6[[#This Row],[Date]])</f>
        <v>2025</v>
      </c>
      <c r="D1273" s="102" t="s">
        <v>1992</v>
      </c>
      <c r="E1273" s="469">
        <f>Table6[[#This Row],[Date]]-DAY(Table6[[#This Row],[Date]])+1</f>
        <v>45809</v>
      </c>
      <c r="F1273" s="470">
        <v>45830</v>
      </c>
      <c r="G1273" s="35" t="s">
        <v>74</v>
      </c>
      <c r="H1273" s="35" t="str">
        <f>IFERROR(_xlfn.XLOOKUP(Table6[[#This Row],[Affected WTG]],'Basic Data'!$A:$A,'Basic Data'!$B:$B),"")</f>
        <v>TQGXIIPL</v>
      </c>
      <c r="I1273" s="35" t="str">
        <f>IFERROR(_xlfn.XLOOKUP(Table6[[#This Row],[Affected WTG]],'Basic Data'!$A:$A,'Basic Data'!$C:$C),"")</f>
        <v>GEDA</v>
      </c>
      <c r="J1273" s="471">
        <f>IFERROR(_xlfn.XLOOKUP(Table6[[#This Row],[Affected WTG]],'Basic Data'!$A:$A,'Basic Data'!$E:$E),"")</f>
        <v>3.846153846153845E-2</v>
      </c>
      <c r="K1273" s="102">
        <v>6130</v>
      </c>
      <c r="L1273" s="35" t="str">
        <f>IFERROR(_xlfn.XLOOKUP(Table6[[#This Row],[Error Code]],'Basic Data'!$AA:$AA,'Basic Data'!$AB:$AB),"Incorrect Error Code")</f>
        <v>Yaw speed high</v>
      </c>
      <c r="M1273" s="35" t="s">
        <v>291</v>
      </c>
      <c r="N1273" s="475"/>
      <c r="O1273" s="476">
        <v>0.24722222222222223</v>
      </c>
      <c r="P1273" s="476">
        <v>0.24722222222222223</v>
      </c>
      <c r="Q1273" s="477">
        <v>0.25138888888888888</v>
      </c>
      <c r="R1273" s="472">
        <f>IF(Table6[[#This Row],[Work Start TimeStamp]]="","",(Table6[[#This Row],[Work Start TimeStamp]]-Table6[[#This Row],[Fault Start TimeStamp]])*24)</f>
        <v>0</v>
      </c>
      <c r="S1273" s="472">
        <f>(Table6[[#This Row],[Fault Clearance time]]-Table6[[#This Row],[Work Start TimeStamp]])*24</f>
        <v>9.9999999999999645E-2</v>
      </c>
      <c r="T1273" s="472">
        <f>(Table6[[#This Row],[Fault Clearance time]]-Table6[[#This Row],[Fault Start TimeStamp]])*24</f>
        <v>9.9999999999999645E-2</v>
      </c>
      <c r="U1273" s="35" t="s">
        <v>1924</v>
      </c>
      <c r="V1273" s="102" t="s">
        <v>293</v>
      </c>
      <c r="W1273" s="478">
        <f>IFERROR(Table6[[#This Row],[Breakdown Time]]*Table6[[#This Row],[Plant Equivalent Weightage]],"")</f>
        <v>3.8461538461538312E-3</v>
      </c>
      <c r="X1273" s="473" t="s">
        <v>294</v>
      </c>
      <c r="Y1273" s="474" t="s">
        <v>321</v>
      </c>
      <c r="Z1273" s="102">
        <v>31309</v>
      </c>
      <c r="AA1273" s="468">
        <f>(Table6[[#This Row],[Paired WTG Generation for loss calculation]]/24)*Table6[[#This Row],[Breakdown Time]]</f>
        <v>130.4541666666662</v>
      </c>
      <c r="AB1273" s="102"/>
      <c r="AC1273" s="35"/>
      <c r="AD1273" s="35"/>
    </row>
    <row r="1274" spans="1:30">
      <c r="A1274" s="102">
        <f t="shared" si="20"/>
        <v>1273</v>
      </c>
      <c r="B1274" s="468">
        <f>YEAR(Table6[[#This Row],[Date]])+IF(MONTH(Table6[[#This Row],[Date]])&gt;=4,1,0)</f>
        <v>2026</v>
      </c>
      <c r="C1274" s="102">
        <f>YEAR(Table6[[#This Row],[Date]])</f>
        <v>2025</v>
      </c>
      <c r="D1274" s="102" t="s">
        <v>1992</v>
      </c>
      <c r="E1274" s="469">
        <f>Table6[[#This Row],[Date]]-DAY(Table6[[#This Row],[Date]])+1</f>
        <v>45809</v>
      </c>
      <c r="F1274" s="470">
        <v>45830</v>
      </c>
      <c r="G1274" s="35" t="s">
        <v>78</v>
      </c>
      <c r="H1274" s="35" t="str">
        <f>IFERROR(_xlfn.XLOOKUP(Table6[[#This Row],[Affected WTG]],'Basic Data'!$A:$A,'Basic Data'!$B:$B),"")</f>
        <v>TQGXIIPL</v>
      </c>
      <c r="I1274" s="35" t="str">
        <f>IFERROR(_xlfn.XLOOKUP(Table6[[#This Row],[Affected WTG]],'Basic Data'!$A:$A,'Basic Data'!$C:$C),"")</f>
        <v>GEDA</v>
      </c>
      <c r="J1274" s="471">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291</v>
      </c>
      <c r="N1274" s="475"/>
      <c r="O1274" s="476">
        <v>0.31944444444444442</v>
      </c>
      <c r="P1274" s="476">
        <v>0.31944444444444442</v>
      </c>
      <c r="Q1274" s="477">
        <v>0.3215277777777778</v>
      </c>
      <c r="R1274" s="472">
        <f>IF(Table6[[#This Row],[Work Start TimeStamp]]="","",(Table6[[#This Row],[Work Start TimeStamp]]-Table6[[#This Row],[Fault Start TimeStamp]])*24)</f>
        <v>0</v>
      </c>
      <c r="S1274" s="472">
        <f>(Table6[[#This Row],[Fault Clearance time]]-Table6[[#This Row],[Work Start TimeStamp]])*24</f>
        <v>5.0000000000001155E-2</v>
      </c>
      <c r="T1274" s="472">
        <f>(Table6[[#This Row],[Fault Clearance time]]-Table6[[#This Row],[Fault Start TimeStamp]])*24</f>
        <v>5.0000000000001155E-2</v>
      </c>
      <c r="U1274" s="35" t="s">
        <v>1924</v>
      </c>
      <c r="V1274" s="102" t="s">
        <v>293</v>
      </c>
      <c r="W1274" s="478">
        <f>IFERROR(Table6[[#This Row],[Breakdown Time]]*Table6[[#This Row],[Plant Equivalent Weightage]],"")</f>
        <v>1.923076923076967E-3</v>
      </c>
      <c r="X1274" s="473" t="s">
        <v>294</v>
      </c>
      <c r="Y1274" s="474" t="s">
        <v>333</v>
      </c>
      <c r="Z1274" s="102">
        <v>32913</v>
      </c>
      <c r="AA1274" s="468">
        <f>(Table6[[#This Row],[Paired WTG Generation for loss calculation]]/24)*Table6[[#This Row],[Breakdown Time]]</f>
        <v>68.568750000001586</v>
      </c>
      <c r="AB1274" s="102"/>
      <c r="AC1274" s="35"/>
      <c r="AD1274" s="35"/>
    </row>
    <row r="1275" spans="1:30">
      <c r="A1275" s="102">
        <f t="shared" si="20"/>
        <v>1274</v>
      </c>
      <c r="B1275" s="468">
        <f>YEAR(Table6[[#This Row],[Date]])+IF(MONTH(Table6[[#This Row],[Date]])&gt;=4,1,0)</f>
        <v>2026</v>
      </c>
      <c r="C1275" s="102">
        <f>YEAR(Table6[[#This Row],[Date]])</f>
        <v>2025</v>
      </c>
      <c r="D1275" s="102" t="s">
        <v>1992</v>
      </c>
      <c r="E1275" s="469">
        <f>Table6[[#This Row],[Date]]-DAY(Table6[[#This Row],[Date]])+1</f>
        <v>45809</v>
      </c>
      <c r="F1275" s="470">
        <v>45830</v>
      </c>
      <c r="G1275" s="35" t="s">
        <v>85</v>
      </c>
      <c r="H1275" s="35" t="str">
        <f>IFERROR(_xlfn.XLOOKUP(Table6[[#This Row],[Affected WTG]],'Basic Data'!$A:$A,'Basic Data'!$B:$B),"")</f>
        <v>TQGXIIPL</v>
      </c>
      <c r="I1275" s="35" t="str">
        <f>IFERROR(_xlfn.XLOOKUP(Table6[[#This Row],[Affected WTG]],'Basic Data'!$A:$A,'Basic Data'!$C:$C),"")</f>
        <v>GEDA</v>
      </c>
      <c r="J1275" s="471">
        <f>IFERROR(_xlfn.XLOOKUP(Table6[[#This Row],[Affected WTG]],'Basic Data'!$A:$A,'Basic Data'!$E:$E),"")</f>
        <v>3.846153846153845E-2</v>
      </c>
      <c r="K1275" s="102">
        <v>55</v>
      </c>
      <c r="L1275" s="35" t="str">
        <f>IFERROR(_xlfn.XLOOKUP(Table6[[#This Row],[Error Code]],'Basic Data'!$AA:$AA,'Basic Data'!$AB:$AB),"Incorrect Error Code")</f>
        <v>WTG shut down</v>
      </c>
      <c r="M1275" s="35" t="s">
        <v>297</v>
      </c>
      <c r="N1275" s="475"/>
      <c r="O1275" s="476">
        <v>0</v>
      </c>
      <c r="P1275" s="476">
        <v>0</v>
      </c>
      <c r="Q1275" s="477">
        <v>0.99998842592592596</v>
      </c>
      <c r="R1275" s="472">
        <f>IF(Table6[[#This Row],[Work Start TimeStamp]]="","",(Table6[[#This Row],[Work Start TimeStamp]]-Table6[[#This Row],[Fault Start TimeStamp]])*24)</f>
        <v>0</v>
      </c>
      <c r="S1275" s="472">
        <f>(Table6[[#This Row],[Fault Clearance time]]-Table6[[#This Row],[Work Start TimeStamp]])*24</f>
        <v>23.999722222222225</v>
      </c>
      <c r="T1275" s="472">
        <f>(Table6[[#This Row],[Fault Clearance time]]-Table6[[#This Row],[Fault Start TimeStamp]])*24</f>
        <v>23.999722222222225</v>
      </c>
      <c r="U1275" s="35" t="s">
        <v>2003</v>
      </c>
      <c r="V1275" s="102" t="s">
        <v>335</v>
      </c>
      <c r="W1275" s="478">
        <f>IFERROR(Table6[[#This Row],[Breakdown Time]]*Table6[[#This Row],[Plant Equivalent Weightage]],"")</f>
        <v>0.9230662393162391</v>
      </c>
      <c r="X1275" s="473" t="s">
        <v>526</v>
      </c>
      <c r="Y1275" s="474" t="s">
        <v>322</v>
      </c>
      <c r="Z1275" s="102">
        <v>31473</v>
      </c>
      <c r="AA1275" s="468">
        <f>(Table6[[#This Row],[Paired WTG Generation for loss calculation]]/24)*Table6[[#This Row],[Breakdown Time]]</f>
        <v>31472.635729166672</v>
      </c>
      <c r="AB1275" s="102"/>
      <c r="AC1275" s="35"/>
      <c r="AD1275" s="35"/>
    </row>
    <row r="1276" spans="1:30">
      <c r="A1276" s="102">
        <f t="shared" si="20"/>
        <v>1275</v>
      </c>
      <c r="B1276" s="468">
        <f>YEAR(Table6[[#This Row],[Date]])+IF(MONTH(Table6[[#This Row],[Date]])&gt;=4,1,0)</f>
        <v>2026</v>
      </c>
      <c r="C1276" s="102">
        <f>YEAR(Table6[[#This Row],[Date]])</f>
        <v>2025</v>
      </c>
      <c r="D1276" s="102" t="s">
        <v>1992</v>
      </c>
      <c r="E1276" s="469">
        <f>Table6[[#This Row],[Date]]-DAY(Table6[[#This Row],[Date]])+1</f>
        <v>45809</v>
      </c>
      <c r="F1276" s="470">
        <v>45830</v>
      </c>
      <c r="G1276" s="35" t="s">
        <v>91</v>
      </c>
      <c r="H1276" s="35" t="str">
        <f>IFERROR(_xlfn.XLOOKUP(Table6[[#This Row],[Affected WTG]],'Basic Data'!$A:$A,'Basic Data'!$B:$B),"")</f>
        <v>TQGXIIPL</v>
      </c>
      <c r="I1276" s="35" t="str">
        <f>IFERROR(_xlfn.XLOOKUP(Table6[[#This Row],[Affected WTG]],'Basic Data'!$A:$A,'Basic Data'!$C:$C),"")</f>
        <v>GEDA</v>
      </c>
      <c r="J1276" s="471">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291</v>
      </c>
      <c r="N1276" s="475"/>
      <c r="O1276" s="476">
        <v>0.25972222222222224</v>
      </c>
      <c r="P1276" s="476">
        <v>0.25972222222222224</v>
      </c>
      <c r="Q1276" s="477">
        <v>0.27500000000000002</v>
      </c>
      <c r="R1276" s="472">
        <f>IF(Table6[[#This Row],[Work Start TimeStamp]]="","",(Table6[[#This Row],[Work Start TimeStamp]]-Table6[[#This Row],[Fault Start TimeStamp]])*24)</f>
        <v>0</v>
      </c>
      <c r="S1276" s="472">
        <f>(Table6[[#This Row],[Fault Clearance time]]-Table6[[#This Row],[Work Start TimeStamp]])*24</f>
        <v>0.3666666666666667</v>
      </c>
      <c r="T1276" s="472">
        <f>(Table6[[#This Row],[Fault Clearance time]]-Table6[[#This Row],[Fault Start TimeStamp]])*24</f>
        <v>0.3666666666666667</v>
      </c>
      <c r="U1276" s="35" t="s">
        <v>2004</v>
      </c>
      <c r="V1276" s="102" t="s">
        <v>293</v>
      </c>
      <c r="W1276" s="478">
        <f>IFERROR(Table6[[#This Row],[Breakdown Time]]*Table6[[#This Row],[Plant Equivalent Weightage]],"")</f>
        <v>1.4102564102564099E-2</v>
      </c>
      <c r="X1276" s="473" t="s">
        <v>294</v>
      </c>
      <c r="Y1276" s="474" t="s">
        <v>319</v>
      </c>
      <c r="Z1276" s="102">
        <v>28395</v>
      </c>
      <c r="AA1276" s="468">
        <f>(Table6[[#This Row],[Paired WTG Generation for loss calculation]]/24)*Table6[[#This Row],[Breakdown Time]]</f>
        <v>433.81250000000006</v>
      </c>
      <c r="AB1276" s="102"/>
      <c r="AC1276" s="35"/>
      <c r="AD1276" s="35"/>
    </row>
    <row r="1277" spans="1:30">
      <c r="A1277" s="102">
        <f t="shared" si="20"/>
        <v>1276</v>
      </c>
      <c r="B1277" s="468">
        <f>YEAR(Table6[[#This Row],[Date]])+IF(MONTH(Table6[[#This Row],[Date]])&gt;=4,1,0)</f>
        <v>2026</v>
      </c>
      <c r="C1277" s="102">
        <f>YEAR(Table6[[#This Row],[Date]])</f>
        <v>2025</v>
      </c>
      <c r="D1277" s="102" t="s">
        <v>1992</v>
      </c>
      <c r="E1277" s="469">
        <f>Table6[[#This Row],[Date]]-DAY(Table6[[#This Row],[Date]])+1</f>
        <v>45809</v>
      </c>
      <c r="F1277" s="470">
        <v>45830</v>
      </c>
      <c r="G1277" s="35" t="s">
        <v>91</v>
      </c>
      <c r="H1277" s="35" t="str">
        <f>IFERROR(_xlfn.XLOOKUP(Table6[[#This Row],[Affected WTG]],'Basic Data'!$A:$A,'Basic Data'!$B:$B),"")</f>
        <v>TQGXIIPL</v>
      </c>
      <c r="I1277" s="35" t="str">
        <f>IFERROR(_xlfn.XLOOKUP(Table6[[#This Row],[Affected WTG]],'Basic Data'!$A:$A,'Basic Data'!$C:$C),"")</f>
        <v>GEDA</v>
      </c>
      <c r="J1277" s="471">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291</v>
      </c>
      <c r="N1277" s="475"/>
      <c r="O1277" s="476">
        <v>0.8569444444444444</v>
      </c>
      <c r="P1277" s="476">
        <v>0.8569444444444444</v>
      </c>
      <c r="Q1277" s="477">
        <v>0.86319444444444449</v>
      </c>
      <c r="R1277" s="472">
        <f>IF(Table6[[#This Row],[Work Start TimeStamp]]="","",(Table6[[#This Row],[Work Start TimeStamp]]-Table6[[#This Row],[Fault Start TimeStamp]])*24)</f>
        <v>0</v>
      </c>
      <c r="S1277" s="472">
        <f>(Table6[[#This Row],[Fault Clearance time]]-Table6[[#This Row],[Work Start TimeStamp]])*24</f>
        <v>0.15000000000000213</v>
      </c>
      <c r="T1277" s="472">
        <f>(Table6[[#This Row],[Fault Clearance time]]-Table6[[#This Row],[Fault Start TimeStamp]])*24</f>
        <v>0.15000000000000213</v>
      </c>
      <c r="U1277" s="35" t="s">
        <v>2004</v>
      </c>
      <c r="V1277" s="102" t="s">
        <v>293</v>
      </c>
      <c r="W1277" s="478">
        <f>IFERROR(Table6[[#This Row],[Breakdown Time]]*Table6[[#This Row],[Plant Equivalent Weightage]],"")</f>
        <v>5.7692307692308493E-3</v>
      </c>
      <c r="X1277" s="473" t="s">
        <v>294</v>
      </c>
      <c r="Y1277" s="474" t="s">
        <v>319</v>
      </c>
      <c r="Z1277" s="102">
        <v>28395</v>
      </c>
      <c r="AA1277" s="468">
        <f>(Table6[[#This Row],[Paired WTG Generation for loss calculation]]/24)*Table6[[#This Row],[Breakdown Time]]</f>
        <v>177.46875000000253</v>
      </c>
      <c r="AB1277" s="102"/>
      <c r="AC1277" s="35"/>
      <c r="AD1277" s="35"/>
    </row>
    <row r="1278" spans="1:30">
      <c r="A1278" s="102">
        <f t="shared" si="20"/>
        <v>1277</v>
      </c>
      <c r="B1278" s="468">
        <f>YEAR(Table6[[#This Row],[Date]])+IF(MONTH(Table6[[#This Row],[Date]])&gt;=4,1,0)</f>
        <v>2026</v>
      </c>
      <c r="C1278" s="102">
        <f>YEAR(Table6[[#This Row],[Date]])</f>
        <v>2025</v>
      </c>
      <c r="D1278" s="102" t="s">
        <v>1992</v>
      </c>
      <c r="E1278" s="469">
        <f>Table6[[#This Row],[Date]]-DAY(Table6[[#This Row],[Date]])+1</f>
        <v>45809</v>
      </c>
      <c r="F1278" s="470">
        <v>45830</v>
      </c>
      <c r="G1278" s="35" t="s">
        <v>92</v>
      </c>
      <c r="H1278" s="35" t="str">
        <f>IFERROR(_xlfn.XLOOKUP(Table6[[#This Row],[Affected WTG]],'Basic Data'!$A:$A,'Basic Data'!$B:$B),"")</f>
        <v>TQGXIIPL</v>
      </c>
      <c r="I1278" s="35" t="str">
        <f>IFERROR(_xlfn.XLOOKUP(Table6[[#This Row],[Affected WTG]],'Basic Data'!$A:$A,'Basic Data'!$C:$C),"")</f>
        <v>GEDA</v>
      </c>
      <c r="J1278" s="471">
        <f>IFERROR(_xlfn.XLOOKUP(Table6[[#This Row],[Affected WTG]],'Basic Data'!$A:$A,'Basic Data'!$E:$E),"")</f>
        <v>3.846153846153845E-2</v>
      </c>
      <c r="K1278" s="102">
        <v>55</v>
      </c>
      <c r="L1278" s="35" t="str">
        <f>IFERROR(_xlfn.XLOOKUP(Table6[[#This Row],[Error Code]],'Basic Data'!$AA:$AA,'Basic Data'!$AB:$AB),"Incorrect Error Code")</f>
        <v>WTG shut down</v>
      </c>
      <c r="M1278" s="35" t="s">
        <v>291</v>
      </c>
      <c r="N1278" s="475"/>
      <c r="O1278" s="476">
        <v>0.76388888888888884</v>
      </c>
      <c r="P1278" s="476">
        <v>0.76388888888888884</v>
      </c>
      <c r="Q1278" s="477">
        <v>0.80277777777777781</v>
      </c>
      <c r="R1278" s="472">
        <f>IF(Table6[[#This Row],[Work Start TimeStamp]]="","",(Table6[[#This Row],[Work Start TimeStamp]]-Table6[[#This Row],[Fault Start TimeStamp]])*24)</f>
        <v>0</v>
      </c>
      <c r="S1278" s="472">
        <f>(Table6[[#This Row],[Fault Clearance time]]-Table6[[#This Row],[Work Start TimeStamp]])*24</f>
        <v>0.93333333333333535</v>
      </c>
      <c r="T1278" s="472">
        <f>(Table6[[#This Row],[Fault Clearance time]]-Table6[[#This Row],[Fault Start TimeStamp]])*24</f>
        <v>0.93333333333333535</v>
      </c>
      <c r="U1278" s="35" t="s">
        <v>2005</v>
      </c>
      <c r="V1278" s="102" t="s">
        <v>293</v>
      </c>
      <c r="W1278" s="478">
        <f>IFERROR(Table6[[#This Row],[Breakdown Time]]*Table6[[#This Row],[Plant Equivalent Weightage]],"")</f>
        <v>3.5897435897435964E-2</v>
      </c>
      <c r="X1278" s="473" t="s">
        <v>294</v>
      </c>
      <c r="Y1278" s="474" t="s">
        <v>310</v>
      </c>
      <c r="Z1278" s="102">
        <v>25670</v>
      </c>
      <c r="AA1278" s="468">
        <f>(Table6[[#This Row],[Paired WTG Generation for loss calculation]]/24)*Table6[[#This Row],[Breakdown Time]]</f>
        <v>998.27777777777987</v>
      </c>
      <c r="AB1278" s="102"/>
      <c r="AC1278" s="35"/>
      <c r="AD1278" s="35"/>
    </row>
    <row r="1279" spans="1:30">
      <c r="A1279" s="102">
        <f t="shared" si="20"/>
        <v>1278</v>
      </c>
      <c r="B1279" s="468">
        <f>YEAR(Table6[[#This Row],[Date]])+IF(MONTH(Table6[[#This Row],[Date]])&gt;=4,1,0)</f>
        <v>2026</v>
      </c>
      <c r="C1279" s="102">
        <f>YEAR(Table6[[#This Row],[Date]])</f>
        <v>2025</v>
      </c>
      <c r="D1279" s="102" t="s">
        <v>1992</v>
      </c>
      <c r="E1279" s="469">
        <f>Table6[[#This Row],[Date]]-DAY(Table6[[#This Row],[Date]])+1</f>
        <v>45809</v>
      </c>
      <c r="F1279" s="470">
        <v>45830</v>
      </c>
      <c r="G1279" s="35" t="s">
        <v>95</v>
      </c>
      <c r="H1279" s="35" t="str">
        <f>IFERROR(_xlfn.XLOOKUP(Table6[[#This Row],[Affected WTG]],'Basic Data'!$A:$A,'Basic Data'!$B:$B),"")</f>
        <v>TQGXIIPL</v>
      </c>
      <c r="I1279" s="35" t="str">
        <f>IFERROR(_xlfn.XLOOKUP(Table6[[#This Row],[Affected WTG]],'Basic Data'!$A:$A,'Basic Data'!$C:$C),"")</f>
        <v>GEDA</v>
      </c>
      <c r="J1279" s="471">
        <f>IFERROR(_xlfn.XLOOKUP(Table6[[#This Row],[Affected WTG]],'Basic Data'!$A:$A,'Basic Data'!$E:$E),"")</f>
        <v>3.846153846153845E-2</v>
      </c>
      <c r="K1279" s="102">
        <v>665</v>
      </c>
      <c r="L1279" s="35" t="str">
        <f>IFERROR(_xlfn.XLOOKUP(Table6[[#This Row],[Error Code]],'Basic Data'!$AA:$AA,'Basic Data'!$AB:$AB),"Incorrect Error Code")</f>
        <v>Pitch error</v>
      </c>
      <c r="M1279" s="35" t="s">
        <v>291</v>
      </c>
      <c r="N1279" s="475"/>
      <c r="O1279" s="476">
        <v>0.7583333333333333</v>
      </c>
      <c r="P1279" s="476">
        <v>0.7583333333333333</v>
      </c>
      <c r="Q1279" s="477">
        <v>0.76041666666666663</v>
      </c>
      <c r="R1279" s="472">
        <f>IF(Table6[[#This Row],[Work Start TimeStamp]]="","",(Table6[[#This Row],[Work Start TimeStamp]]-Table6[[#This Row],[Fault Start TimeStamp]])*24)</f>
        <v>0</v>
      </c>
      <c r="S1279" s="472">
        <f>(Table6[[#This Row],[Fault Clearance time]]-Table6[[#This Row],[Work Start TimeStamp]])*24</f>
        <v>4.9999999999999822E-2</v>
      </c>
      <c r="T1279" s="472">
        <f>(Table6[[#This Row],[Fault Clearance time]]-Table6[[#This Row],[Fault Start TimeStamp]])*24</f>
        <v>4.9999999999999822E-2</v>
      </c>
      <c r="U1279" s="35" t="s">
        <v>1924</v>
      </c>
      <c r="V1279" s="102" t="s">
        <v>293</v>
      </c>
      <c r="W1279" s="478">
        <f>IFERROR(Table6[[#This Row],[Breakdown Time]]*Table6[[#This Row],[Plant Equivalent Weightage]],"")</f>
        <v>1.9230769230769156E-3</v>
      </c>
      <c r="X1279" s="473" t="s">
        <v>294</v>
      </c>
      <c r="Y1279" s="474" t="s">
        <v>319</v>
      </c>
      <c r="Z1279" s="102">
        <v>28395</v>
      </c>
      <c r="AA1279" s="468">
        <f>(Table6[[#This Row],[Paired WTG Generation for loss calculation]]/24)*Table6[[#This Row],[Breakdown Time]]</f>
        <v>59.156249999999787</v>
      </c>
      <c r="AB1279" s="102"/>
      <c r="AC1279" s="35"/>
      <c r="AD1279" s="35"/>
    </row>
    <row r="1280" spans="1:30">
      <c r="A1280" s="102">
        <f t="shared" si="20"/>
        <v>1279</v>
      </c>
      <c r="B1280" s="468">
        <f>YEAR(Table6[[#This Row],[Date]])+IF(MONTH(Table6[[#This Row],[Date]])&gt;=4,1,0)</f>
        <v>2026</v>
      </c>
      <c r="C1280" s="102">
        <f>YEAR(Table6[[#This Row],[Date]])</f>
        <v>2025</v>
      </c>
      <c r="D1280" s="102" t="s">
        <v>1992</v>
      </c>
      <c r="E1280" s="469">
        <f>Table6[[#This Row],[Date]]-DAY(Table6[[#This Row],[Date]])+1</f>
        <v>45809</v>
      </c>
      <c r="F1280" s="470">
        <v>45831</v>
      </c>
      <c r="G1280" s="35" t="s">
        <v>78</v>
      </c>
      <c r="H1280" s="35" t="str">
        <f>IFERROR(_xlfn.XLOOKUP(Table6[[#This Row],[Affected WTG]],'Basic Data'!$A:$A,'Basic Data'!$B:$B),"")</f>
        <v>TQGXIIPL</v>
      </c>
      <c r="I1280" s="35" t="str">
        <f>IFERROR(_xlfn.XLOOKUP(Table6[[#This Row],[Affected WTG]],'Basic Data'!$A:$A,'Basic Data'!$C:$C),"")</f>
        <v>GEDA</v>
      </c>
      <c r="J1280" s="471">
        <f>IFERROR(_xlfn.XLOOKUP(Table6[[#This Row],[Affected WTG]],'Basic Data'!$A:$A,'Basic Data'!$E:$E),"")</f>
        <v>3.846153846153845E-2</v>
      </c>
      <c r="K1280" s="102">
        <v>175</v>
      </c>
      <c r="L1280" s="35" t="str">
        <f>IFERROR(_xlfn.XLOOKUP(Table6[[#This Row],[Error Code]],'Basic Data'!$AA:$AA,'Basic Data'!$AB:$AB),"Incorrect Error Code")</f>
        <v>SLC error</v>
      </c>
      <c r="M1280" s="35" t="s">
        <v>291</v>
      </c>
      <c r="N1280" s="475"/>
      <c r="O1280" s="476">
        <v>0.25</v>
      </c>
      <c r="P1280" s="476">
        <v>0.25</v>
      </c>
      <c r="Q1280" s="477">
        <v>0.27500000000000002</v>
      </c>
      <c r="R1280" s="472">
        <f>IF(Table6[[#This Row],[Work Start TimeStamp]]="","",(Table6[[#This Row],[Work Start TimeStamp]]-Table6[[#This Row],[Fault Start TimeStamp]])*24)</f>
        <v>0</v>
      </c>
      <c r="S1280" s="472">
        <f>(Table6[[#This Row],[Fault Clearance time]]-Table6[[#This Row],[Work Start TimeStamp]])*24</f>
        <v>0.60000000000000053</v>
      </c>
      <c r="T1280" s="472">
        <f>(Table6[[#This Row],[Fault Clearance time]]-Table6[[#This Row],[Fault Start TimeStamp]])*24</f>
        <v>0.60000000000000053</v>
      </c>
      <c r="U1280" s="35" t="s">
        <v>1979</v>
      </c>
      <c r="V1280" s="102" t="s">
        <v>293</v>
      </c>
      <c r="W1280" s="478">
        <f>IFERROR(Table6[[#This Row],[Breakdown Time]]*Table6[[#This Row],[Plant Equivalent Weightage]],"")</f>
        <v>2.3076923076923092E-2</v>
      </c>
      <c r="X1280" s="473" t="s">
        <v>294</v>
      </c>
      <c r="Y1280" s="474" t="s">
        <v>333</v>
      </c>
      <c r="Z1280" s="102">
        <v>36662</v>
      </c>
      <c r="AA1280" s="468">
        <f>(Table6[[#This Row],[Paired WTG Generation for loss calculation]]/24)*Table6[[#This Row],[Breakdown Time]]</f>
        <v>916.55000000000075</v>
      </c>
      <c r="AB1280" s="102"/>
      <c r="AC1280" s="35"/>
      <c r="AD1280" s="35"/>
    </row>
    <row r="1281" spans="1:30">
      <c r="A1281" s="102">
        <f t="shared" si="20"/>
        <v>1280</v>
      </c>
      <c r="B1281" s="468">
        <f>YEAR(Table6[[#This Row],[Date]])+IF(MONTH(Table6[[#This Row],[Date]])&gt;=4,1,0)</f>
        <v>2026</v>
      </c>
      <c r="C1281" s="102">
        <f>YEAR(Table6[[#This Row],[Date]])</f>
        <v>2025</v>
      </c>
      <c r="D1281" s="102" t="s">
        <v>1992</v>
      </c>
      <c r="E1281" s="469">
        <f>Table6[[#This Row],[Date]]-DAY(Table6[[#This Row],[Date]])+1</f>
        <v>45809</v>
      </c>
      <c r="F1281" s="470">
        <v>45831</v>
      </c>
      <c r="G1281" s="35" t="s">
        <v>78</v>
      </c>
      <c r="H1281" s="35" t="str">
        <f>IFERROR(_xlfn.XLOOKUP(Table6[[#This Row],[Affected WTG]],'Basic Data'!$A:$A,'Basic Data'!$B:$B),"")</f>
        <v>TQGXIIPL</v>
      </c>
      <c r="I1281" s="35" t="str">
        <f>IFERROR(_xlfn.XLOOKUP(Table6[[#This Row],[Affected WTG]],'Basic Data'!$A:$A,'Basic Data'!$C:$C),"")</f>
        <v>GEDA</v>
      </c>
      <c r="J1281" s="471">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291</v>
      </c>
      <c r="N1281" s="475"/>
      <c r="O1281" s="476">
        <v>0.70347222222222228</v>
      </c>
      <c r="P1281" s="476">
        <v>0.70347222222222228</v>
      </c>
      <c r="Q1281" s="477">
        <v>0.70694444444444449</v>
      </c>
      <c r="R1281" s="472">
        <f>IF(Table6[[#This Row],[Work Start TimeStamp]]="","",(Table6[[#This Row],[Work Start TimeStamp]]-Table6[[#This Row],[Fault Start TimeStamp]])*24)</f>
        <v>0</v>
      </c>
      <c r="S1281" s="472">
        <f>(Table6[[#This Row],[Fault Clearance time]]-Table6[[#This Row],[Work Start TimeStamp]])*24</f>
        <v>8.3333333333333037E-2</v>
      </c>
      <c r="T1281" s="472">
        <f>(Table6[[#This Row],[Fault Clearance time]]-Table6[[#This Row],[Fault Start TimeStamp]])*24</f>
        <v>8.3333333333333037E-2</v>
      </c>
      <c r="U1281" s="35" t="s">
        <v>1924</v>
      </c>
      <c r="V1281" s="102" t="s">
        <v>293</v>
      </c>
      <c r="W1281" s="478">
        <f>IFERROR(Table6[[#This Row],[Breakdown Time]]*Table6[[#This Row],[Plant Equivalent Weightage]],"")</f>
        <v>3.2051282051281929E-3</v>
      </c>
      <c r="X1281" s="473" t="s">
        <v>294</v>
      </c>
      <c r="Y1281" s="474" t="s">
        <v>333</v>
      </c>
      <c r="Z1281" s="102">
        <v>36662</v>
      </c>
      <c r="AA1281" s="468">
        <f>(Table6[[#This Row],[Paired WTG Generation for loss calculation]]/24)*Table6[[#This Row],[Breakdown Time]]</f>
        <v>127.29861111111066</v>
      </c>
      <c r="AB1281" s="102"/>
      <c r="AC1281" s="35"/>
      <c r="AD1281" s="35"/>
    </row>
    <row r="1282" spans="1:30">
      <c r="A1282" s="102">
        <f t="shared" si="20"/>
        <v>1281</v>
      </c>
      <c r="B1282" s="468">
        <f>YEAR(Table6[[#This Row],[Date]])+IF(MONTH(Table6[[#This Row],[Date]])&gt;=4,1,0)</f>
        <v>2026</v>
      </c>
      <c r="C1282" s="102">
        <f>YEAR(Table6[[#This Row],[Date]])</f>
        <v>2025</v>
      </c>
      <c r="D1282" s="102" t="s">
        <v>1992</v>
      </c>
      <c r="E1282" s="469">
        <f>Table6[[#This Row],[Date]]-DAY(Table6[[#This Row],[Date]])+1</f>
        <v>45809</v>
      </c>
      <c r="F1282" s="470">
        <v>45831</v>
      </c>
      <c r="G1282" s="35" t="s">
        <v>81</v>
      </c>
      <c r="H1282" s="35" t="str">
        <f>IFERROR(_xlfn.XLOOKUP(Table6[[#This Row],[Affected WTG]],'Basic Data'!$A:$A,'Basic Data'!$B:$B),"")</f>
        <v>TQGXIIPL</v>
      </c>
      <c r="I1282" s="35" t="str">
        <f>IFERROR(_xlfn.XLOOKUP(Table6[[#This Row],[Affected WTG]],'Basic Data'!$A:$A,'Basic Data'!$C:$C),"")</f>
        <v>GEDA</v>
      </c>
      <c r="J1282" s="471">
        <f>IFERROR(_xlfn.XLOOKUP(Table6[[#This Row],[Affected WTG]],'Basic Data'!$A:$A,'Basic Data'!$E:$E),"")</f>
        <v>3.846153846153845E-2</v>
      </c>
      <c r="K1282" s="102">
        <v>665</v>
      </c>
      <c r="L1282" s="35" t="str">
        <f>IFERROR(_xlfn.XLOOKUP(Table6[[#This Row],[Error Code]],'Basic Data'!$AA:$AA,'Basic Data'!$AB:$AB),"Incorrect Error Code")</f>
        <v>Pitch error</v>
      </c>
      <c r="M1282" s="35" t="s">
        <v>291</v>
      </c>
      <c r="N1282" s="475"/>
      <c r="O1282" s="476">
        <v>0.72986111111111107</v>
      </c>
      <c r="P1282" s="476">
        <v>0.72986111111111107</v>
      </c>
      <c r="Q1282" s="477">
        <v>0.73333333333333328</v>
      </c>
      <c r="R1282" s="472">
        <f>IF(Table6[[#This Row],[Work Start TimeStamp]]="","",(Table6[[#This Row],[Work Start TimeStamp]]-Table6[[#This Row],[Fault Start TimeStamp]])*24)</f>
        <v>0</v>
      </c>
      <c r="S1282" s="472">
        <f>(Table6[[#This Row],[Fault Clearance time]]-Table6[[#This Row],[Work Start TimeStamp]])*24</f>
        <v>8.3333333333333037E-2</v>
      </c>
      <c r="T1282" s="472">
        <f>(Table6[[#This Row],[Fault Clearance time]]-Table6[[#This Row],[Fault Start TimeStamp]])*24</f>
        <v>8.3333333333333037E-2</v>
      </c>
      <c r="U1282" s="35" t="s">
        <v>1924</v>
      </c>
      <c r="V1282" s="102" t="s">
        <v>293</v>
      </c>
      <c r="W1282" s="478">
        <f>IFERROR(Table6[[#This Row],[Breakdown Time]]*Table6[[#This Row],[Plant Equivalent Weightage]],"")</f>
        <v>3.2051282051281929E-3</v>
      </c>
      <c r="X1282" s="473" t="s">
        <v>294</v>
      </c>
      <c r="Y1282" s="474" t="s">
        <v>321</v>
      </c>
      <c r="Z1282" s="102">
        <v>35736</v>
      </c>
      <c r="AA1282" s="468">
        <f>(Table6[[#This Row],[Paired WTG Generation for loss calculation]]/24)*Table6[[#This Row],[Breakdown Time]]</f>
        <v>124.08333333333289</v>
      </c>
      <c r="AB1282" s="102"/>
      <c r="AC1282" s="35"/>
      <c r="AD1282" s="35"/>
    </row>
    <row r="1283" spans="1:30">
      <c r="A1283" s="102">
        <f t="shared" si="20"/>
        <v>1282</v>
      </c>
      <c r="B1283" s="468">
        <f>YEAR(Table6[[#This Row],[Date]])+IF(MONTH(Table6[[#This Row],[Date]])&gt;=4,1,0)</f>
        <v>2026</v>
      </c>
      <c r="C1283" s="102">
        <f>YEAR(Table6[[#This Row],[Date]])</f>
        <v>2025</v>
      </c>
      <c r="D1283" s="102" t="s">
        <v>1992</v>
      </c>
      <c r="E1283" s="469">
        <f>Table6[[#This Row],[Date]]-DAY(Table6[[#This Row],[Date]])+1</f>
        <v>45809</v>
      </c>
      <c r="F1283" s="470">
        <v>45831</v>
      </c>
      <c r="G1283" s="35" t="s">
        <v>81</v>
      </c>
      <c r="H1283" s="35" t="str">
        <f>IFERROR(_xlfn.XLOOKUP(Table6[[#This Row],[Affected WTG]],'Basic Data'!$A:$A,'Basic Data'!$B:$B),"")</f>
        <v>TQGXIIPL</v>
      </c>
      <c r="I1283" s="35" t="str">
        <f>IFERROR(_xlfn.XLOOKUP(Table6[[#This Row],[Affected WTG]],'Basic Data'!$A:$A,'Basic Data'!$C:$C),"")</f>
        <v>GEDA</v>
      </c>
      <c r="J1283" s="471">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291</v>
      </c>
      <c r="N1283" s="475"/>
      <c r="O1283" s="476">
        <v>0.77152777777777781</v>
      </c>
      <c r="P1283" s="476">
        <v>0.77152777777777781</v>
      </c>
      <c r="Q1283" s="477">
        <v>0.78055555555555556</v>
      </c>
      <c r="R1283" s="472">
        <f>IF(Table6[[#This Row],[Work Start TimeStamp]]="","",(Table6[[#This Row],[Work Start TimeStamp]]-Table6[[#This Row],[Fault Start TimeStamp]])*24)</f>
        <v>0</v>
      </c>
      <c r="S1283" s="472">
        <f>(Table6[[#This Row],[Fault Clearance time]]-Table6[[#This Row],[Work Start TimeStamp]])*24</f>
        <v>0.2166666666666659</v>
      </c>
      <c r="T1283" s="472">
        <f>(Table6[[#This Row],[Fault Clearance time]]-Table6[[#This Row],[Fault Start TimeStamp]])*24</f>
        <v>0.2166666666666659</v>
      </c>
      <c r="U1283" s="35" t="s">
        <v>1924</v>
      </c>
      <c r="V1283" s="102" t="s">
        <v>293</v>
      </c>
      <c r="W1283" s="478">
        <f>IFERROR(Table6[[#This Row],[Breakdown Time]]*Table6[[#This Row],[Plant Equivalent Weightage]],"")</f>
        <v>8.333333333333302E-3</v>
      </c>
      <c r="X1283" s="473" t="s">
        <v>294</v>
      </c>
      <c r="Y1283" s="474" t="s">
        <v>321</v>
      </c>
      <c r="Z1283" s="102">
        <v>35736</v>
      </c>
      <c r="AA1283" s="468">
        <f>(Table6[[#This Row],[Paired WTG Generation for loss calculation]]/24)*Table6[[#This Row],[Breakdown Time]]</f>
        <v>322.61666666666554</v>
      </c>
      <c r="AB1283" s="102"/>
      <c r="AC1283" s="35"/>
      <c r="AD1283" s="35"/>
    </row>
    <row r="1284" spans="1:30">
      <c r="A1284" s="102">
        <f t="shared" si="20"/>
        <v>1283</v>
      </c>
      <c r="B1284" s="468">
        <f>YEAR(Table6[[#This Row],[Date]])+IF(MONTH(Table6[[#This Row],[Date]])&gt;=4,1,0)</f>
        <v>2026</v>
      </c>
      <c r="C1284" s="102">
        <f>YEAR(Table6[[#This Row],[Date]])</f>
        <v>2025</v>
      </c>
      <c r="D1284" s="102" t="s">
        <v>1992</v>
      </c>
      <c r="E1284" s="469">
        <f>Table6[[#This Row],[Date]]-DAY(Table6[[#This Row],[Date]])+1</f>
        <v>45809</v>
      </c>
      <c r="F1284" s="470">
        <v>45831</v>
      </c>
      <c r="G1284" s="35" t="s">
        <v>85</v>
      </c>
      <c r="H1284" s="35" t="str">
        <f>IFERROR(_xlfn.XLOOKUP(Table6[[#This Row],[Affected WTG]],'Basic Data'!$A:$A,'Basic Data'!$B:$B),"")</f>
        <v>TQGXIIPL</v>
      </c>
      <c r="I1284" s="35" t="str">
        <f>IFERROR(_xlfn.XLOOKUP(Table6[[#This Row],[Affected WTG]],'Basic Data'!$A:$A,'Basic Data'!$C:$C),"")</f>
        <v>GEDA</v>
      </c>
      <c r="J1284" s="471">
        <f>IFERROR(_xlfn.XLOOKUP(Table6[[#This Row],[Affected WTG]],'Basic Data'!$A:$A,'Basic Data'!$E:$E),"")</f>
        <v>3.846153846153845E-2</v>
      </c>
      <c r="K1284" s="102">
        <v>55</v>
      </c>
      <c r="L1284" s="35" t="str">
        <f>IFERROR(_xlfn.XLOOKUP(Table6[[#This Row],[Error Code]],'Basic Data'!$AA:$AA,'Basic Data'!$AB:$AB),"Incorrect Error Code")</f>
        <v>WTG shut down</v>
      </c>
      <c r="M1284" s="35" t="s">
        <v>295</v>
      </c>
      <c r="N1284" s="475"/>
      <c r="O1284" s="476">
        <v>0</v>
      </c>
      <c r="P1284" s="476">
        <v>0</v>
      </c>
      <c r="Q1284" s="477">
        <v>0.99998842592592596</v>
      </c>
      <c r="R1284" s="472">
        <f>IF(Table6[[#This Row],[Work Start TimeStamp]]="","",(Table6[[#This Row],[Work Start TimeStamp]]-Table6[[#This Row],[Fault Start TimeStamp]])*24)</f>
        <v>0</v>
      </c>
      <c r="S1284" s="472">
        <f>(Table6[[#This Row],[Fault Clearance time]]-Table6[[#This Row],[Work Start TimeStamp]])*24</f>
        <v>23.999722222222225</v>
      </c>
      <c r="T1284" s="472">
        <f>(Table6[[#This Row],[Fault Clearance time]]-Table6[[#This Row],[Fault Start TimeStamp]])*24</f>
        <v>23.999722222222225</v>
      </c>
      <c r="U1284" s="35" t="s">
        <v>2011</v>
      </c>
      <c r="V1284" s="102" t="s">
        <v>289</v>
      </c>
      <c r="W1284" s="478">
        <f>IFERROR(Table6[[#This Row],[Breakdown Time]]*Table6[[#This Row],[Plant Equivalent Weightage]],"")</f>
        <v>0.9230662393162391</v>
      </c>
      <c r="X1284" s="473" t="s">
        <v>523</v>
      </c>
      <c r="Y1284" s="474" t="s">
        <v>322</v>
      </c>
      <c r="Z1284" s="102">
        <v>35000</v>
      </c>
      <c r="AA1284" s="468">
        <f>(Table6[[#This Row],[Paired WTG Generation for loss calculation]]/24)*Table6[[#This Row],[Breakdown Time]]</f>
        <v>34999.594907407409</v>
      </c>
      <c r="AB1284" s="102"/>
      <c r="AC1284" s="35"/>
      <c r="AD1284" s="35"/>
    </row>
    <row r="1285" spans="1:30">
      <c r="A1285" s="102">
        <f t="shared" si="20"/>
        <v>1284</v>
      </c>
      <c r="B1285" s="468">
        <f>YEAR(Table6[[#This Row],[Date]])+IF(MONTH(Table6[[#This Row],[Date]])&gt;=4,1,0)</f>
        <v>2026</v>
      </c>
      <c r="C1285" s="102">
        <f>YEAR(Table6[[#This Row],[Date]])</f>
        <v>2025</v>
      </c>
      <c r="D1285" s="102" t="s">
        <v>1992</v>
      </c>
      <c r="E1285" s="469">
        <f>Table6[[#This Row],[Date]]-DAY(Table6[[#This Row],[Date]])+1</f>
        <v>45809</v>
      </c>
      <c r="F1285" s="470">
        <v>45831</v>
      </c>
      <c r="G1285" s="35" t="s">
        <v>87</v>
      </c>
      <c r="H1285" s="35" t="str">
        <f>IFERROR(_xlfn.XLOOKUP(Table6[[#This Row],[Affected WTG]],'Basic Data'!$A:$A,'Basic Data'!$B:$B),"")</f>
        <v>TQGXIIPL</v>
      </c>
      <c r="I1285" s="35" t="str">
        <f>IFERROR(_xlfn.XLOOKUP(Table6[[#This Row],[Affected WTG]],'Basic Data'!$A:$A,'Basic Data'!$C:$C),"")</f>
        <v>GEDA</v>
      </c>
      <c r="J1285" s="471">
        <f>IFERROR(_xlfn.XLOOKUP(Table6[[#This Row],[Affected WTG]],'Basic Data'!$A:$A,'Basic Data'!$E:$E),"")</f>
        <v>3.846153846153845E-2</v>
      </c>
      <c r="K1285" s="102">
        <v>175</v>
      </c>
      <c r="L1285" s="35" t="str">
        <f>IFERROR(_xlfn.XLOOKUP(Table6[[#This Row],[Error Code]],'Basic Data'!$AA:$AA,'Basic Data'!$AB:$AB),"Incorrect Error Code")</f>
        <v>SLC error</v>
      </c>
      <c r="M1285" s="35" t="s">
        <v>291</v>
      </c>
      <c r="N1285" s="475"/>
      <c r="O1285" s="476">
        <v>0.43125000000000002</v>
      </c>
      <c r="P1285" s="476">
        <v>0.43125000000000002</v>
      </c>
      <c r="Q1285" s="477">
        <v>0.43333333333333335</v>
      </c>
      <c r="R1285" s="472">
        <f>IF(Table6[[#This Row],[Work Start TimeStamp]]="","",(Table6[[#This Row],[Work Start TimeStamp]]-Table6[[#This Row],[Fault Start TimeStamp]])*24)</f>
        <v>0</v>
      </c>
      <c r="S1285" s="472">
        <f>(Table6[[#This Row],[Fault Clearance time]]-Table6[[#This Row],[Work Start TimeStamp]])*24</f>
        <v>4.9999999999999822E-2</v>
      </c>
      <c r="T1285" s="472">
        <f>(Table6[[#This Row],[Fault Clearance time]]-Table6[[#This Row],[Fault Start TimeStamp]])*24</f>
        <v>4.9999999999999822E-2</v>
      </c>
      <c r="U1285" s="35" t="s">
        <v>1924</v>
      </c>
      <c r="V1285" s="102" t="s">
        <v>293</v>
      </c>
      <c r="W1285" s="478">
        <f>IFERROR(Table6[[#This Row],[Breakdown Time]]*Table6[[#This Row],[Plant Equivalent Weightage]],"")</f>
        <v>1.9230769230769156E-3</v>
      </c>
      <c r="X1285" s="473" t="s">
        <v>294</v>
      </c>
      <c r="Y1285" s="474" t="s">
        <v>327</v>
      </c>
      <c r="Z1285" s="102">
        <v>0</v>
      </c>
      <c r="AA1285" s="468">
        <f>(Table6[[#This Row],[Paired WTG Generation for loss calculation]]/24)*Table6[[#This Row],[Breakdown Time]]</f>
        <v>0</v>
      </c>
      <c r="AB1285" s="102"/>
      <c r="AC1285" s="35"/>
      <c r="AD1285" s="35"/>
    </row>
    <row r="1286" spans="1:30">
      <c r="A1286" s="102">
        <f t="shared" si="20"/>
        <v>1285</v>
      </c>
      <c r="B1286" s="468">
        <f>YEAR(Table6[[#This Row],[Date]])+IF(MONTH(Table6[[#This Row],[Date]])&gt;=4,1,0)</f>
        <v>2026</v>
      </c>
      <c r="C1286" s="102">
        <f>YEAR(Table6[[#This Row],[Date]])</f>
        <v>2025</v>
      </c>
      <c r="D1286" s="102" t="s">
        <v>1992</v>
      </c>
      <c r="E1286" s="469">
        <f>Table6[[#This Row],[Date]]-DAY(Table6[[#This Row],[Date]])+1</f>
        <v>45809</v>
      </c>
      <c r="F1286" s="470">
        <v>45831</v>
      </c>
      <c r="G1286" s="35" t="s">
        <v>89</v>
      </c>
      <c r="H1286" s="35" t="str">
        <f>IFERROR(_xlfn.XLOOKUP(Table6[[#This Row],[Affected WTG]],'Basic Data'!$A:$A,'Basic Data'!$B:$B),"")</f>
        <v>TQGXIIPL</v>
      </c>
      <c r="I1286" s="35" t="str">
        <f>IFERROR(_xlfn.XLOOKUP(Table6[[#This Row],[Affected WTG]],'Basic Data'!$A:$A,'Basic Data'!$C:$C),"")</f>
        <v>GEDA</v>
      </c>
      <c r="J1286" s="471">
        <f>IFERROR(_xlfn.XLOOKUP(Table6[[#This Row],[Affected WTG]],'Basic Data'!$A:$A,'Basic Data'!$E:$E),"")</f>
        <v>3.846153846153845E-2</v>
      </c>
      <c r="K1286" s="102">
        <v>6605</v>
      </c>
      <c r="L1286" s="35" t="str">
        <f>IFERROR(_xlfn.XLOOKUP(Table6[[#This Row],[Error Code]],'Basic Data'!$AA:$AA,'Basic Data'!$AB:$AB),"Incorrect Error Code")</f>
        <v>Wind.dir. diff. level 2</v>
      </c>
      <c r="M1286" s="35" t="s">
        <v>291</v>
      </c>
      <c r="N1286" s="475"/>
      <c r="O1286" s="476">
        <v>0.74375000000000002</v>
      </c>
      <c r="P1286" s="476">
        <v>0.74375000000000002</v>
      </c>
      <c r="Q1286" s="477">
        <v>0.74583333333333335</v>
      </c>
      <c r="R1286" s="472">
        <f>IF(Table6[[#This Row],[Work Start TimeStamp]]="","",(Table6[[#This Row],[Work Start TimeStamp]]-Table6[[#This Row],[Fault Start TimeStamp]])*24)</f>
        <v>0</v>
      </c>
      <c r="S1286" s="472">
        <f>(Table6[[#This Row],[Fault Clearance time]]-Table6[[#This Row],[Work Start TimeStamp]])*24</f>
        <v>4.9999999999999822E-2</v>
      </c>
      <c r="T1286" s="472">
        <f>(Table6[[#This Row],[Fault Clearance time]]-Table6[[#This Row],[Fault Start TimeStamp]])*24</f>
        <v>4.9999999999999822E-2</v>
      </c>
      <c r="U1286" s="35" t="s">
        <v>1924</v>
      </c>
      <c r="V1286" s="102" t="s">
        <v>293</v>
      </c>
      <c r="W1286" s="478">
        <f>IFERROR(Table6[[#This Row],[Breakdown Time]]*Table6[[#This Row],[Plant Equivalent Weightage]],"")</f>
        <v>1.9230769230769156E-3</v>
      </c>
      <c r="X1286" s="473" t="s">
        <v>294</v>
      </c>
      <c r="Y1286" s="474" t="s">
        <v>325</v>
      </c>
      <c r="Z1286" s="102">
        <v>32231</v>
      </c>
      <c r="AA1286" s="468">
        <f>(Table6[[#This Row],[Paired WTG Generation for loss calculation]]/24)*Table6[[#This Row],[Breakdown Time]]</f>
        <v>67.147916666666418</v>
      </c>
      <c r="AB1286" s="102"/>
      <c r="AC1286" s="35"/>
      <c r="AD1286" s="35"/>
    </row>
    <row r="1287" spans="1:30">
      <c r="A1287" s="102">
        <f t="shared" si="20"/>
        <v>1286</v>
      </c>
      <c r="B1287" s="468">
        <f>YEAR(Table6[[#This Row],[Date]])+IF(MONTH(Table6[[#This Row],[Date]])&gt;=4,1,0)</f>
        <v>2026</v>
      </c>
      <c r="C1287" s="102">
        <f>YEAR(Table6[[#This Row],[Date]])</f>
        <v>2025</v>
      </c>
      <c r="D1287" s="102" t="s">
        <v>1992</v>
      </c>
      <c r="E1287" s="469">
        <f>Table6[[#This Row],[Date]]-DAY(Table6[[#This Row],[Date]])+1</f>
        <v>45809</v>
      </c>
      <c r="F1287" s="470">
        <v>45831</v>
      </c>
      <c r="G1287" s="35" t="s">
        <v>91</v>
      </c>
      <c r="H1287" s="35" t="str">
        <f>IFERROR(_xlfn.XLOOKUP(Table6[[#This Row],[Affected WTG]],'Basic Data'!$A:$A,'Basic Data'!$B:$B),"")</f>
        <v>TQGXIIPL</v>
      </c>
      <c r="I1287" s="35" t="str">
        <f>IFERROR(_xlfn.XLOOKUP(Table6[[#This Row],[Affected WTG]],'Basic Data'!$A:$A,'Basic Data'!$C:$C),"")</f>
        <v>GEDA</v>
      </c>
      <c r="J1287" s="471">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291</v>
      </c>
      <c r="N1287" s="475"/>
      <c r="O1287" s="476">
        <v>0.44583333333333336</v>
      </c>
      <c r="P1287" s="476">
        <v>0.44583333333333336</v>
      </c>
      <c r="Q1287" s="477">
        <v>0.44930555555555557</v>
      </c>
      <c r="R1287" s="472">
        <f>IF(Table6[[#This Row],[Work Start TimeStamp]]="","",(Table6[[#This Row],[Work Start TimeStamp]]-Table6[[#This Row],[Fault Start TimeStamp]])*24)</f>
        <v>0</v>
      </c>
      <c r="S1287" s="472">
        <f>(Table6[[#This Row],[Fault Clearance time]]-Table6[[#This Row],[Work Start TimeStamp]])*24</f>
        <v>8.3333333333333037E-2</v>
      </c>
      <c r="T1287" s="472">
        <f>(Table6[[#This Row],[Fault Clearance time]]-Table6[[#This Row],[Fault Start TimeStamp]])*24</f>
        <v>8.3333333333333037E-2</v>
      </c>
      <c r="U1287" s="35" t="s">
        <v>1924</v>
      </c>
      <c r="V1287" s="102" t="s">
        <v>293</v>
      </c>
      <c r="W1287" s="478">
        <f>IFERROR(Table6[[#This Row],[Breakdown Time]]*Table6[[#This Row],[Plant Equivalent Weightage]],"")</f>
        <v>3.2051282051281929E-3</v>
      </c>
      <c r="X1287" s="473" t="s">
        <v>294</v>
      </c>
      <c r="Y1287" s="474" t="s">
        <v>319</v>
      </c>
      <c r="Z1287" s="102">
        <v>32886</v>
      </c>
      <c r="AA1287" s="468">
        <f>(Table6[[#This Row],[Paired WTG Generation for loss calculation]]/24)*Table6[[#This Row],[Breakdown Time]]</f>
        <v>114.18749999999959</v>
      </c>
      <c r="AB1287" s="102"/>
      <c r="AC1287" s="35"/>
      <c r="AD1287" s="35"/>
    </row>
    <row r="1288" spans="1:30">
      <c r="A1288" s="102">
        <f t="shared" si="20"/>
        <v>1287</v>
      </c>
      <c r="B1288" s="468">
        <f>YEAR(Table6[[#This Row],[Date]])+IF(MONTH(Table6[[#This Row],[Date]])&gt;=4,1,0)</f>
        <v>2026</v>
      </c>
      <c r="C1288" s="102">
        <f>YEAR(Table6[[#This Row],[Date]])</f>
        <v>2025</v>
      </c>
      <c r="D1288" s="102" t="s">
        <v>1992</v>
      </c>
      <c r="E1288" s="469">
        <f>Table6[[#This Row],[Date]]-DAY(Table6[[#This Row],[Date]])+1</f>
        <v>45809</v>
      </c>
      <c r="F1288" s="470">
        <v>45831</v>
      </c>
      <c r="G1288" s="35" t="s">
        <v>92</v>
      </c>
      <c r="H1288" s="35" t="str">
        <f>IFERROR(_xlfn.XLOOKUP(Table6[[#This Row],[Affected WTG]],'Basic Data'!$A:$A,'Basic Data'!$B:$B),"")</f>
        <v>TQGXIIPL</v>
      </c>
      <c r="I1288" s="35" t="str">
        <f>IFERROR(_xlfn.XLOOKUP(Table6[[#This Row],[Affected WTG]],'Basic Data'!$A:$A,'Basic Data'!$C:$C),"")</f>
        <v>GEDA</v>
      </c>
      <c r="J1288" s="471">
        <f>IFERROR(_xlfn.XLOOKUP(Table6[[#This Row],[Affected WTG]],'Basic Data'!$A:$A,'Basic Data'!$E:$E),"")</f>
        <v>3.846153846153845E-2</v>
      </c>
      <c r="K1288" s="102">
        <v>55</v>
      </c>
      <c r="L1288" s="35" t="str">
        <f>IFERROR(_xlfn.XLOOKUP(Table6[[#This Row],[Error Code]],'Basic Data'!$AA:$AA,'Basic Data'!$AB:$AB),"Incorrect Error Code")</f>
        <v>WTG shut down</v>
      </c>
      <c r="M1288" s="35" t="s">
        <v>291</v>
      </c>
      <c r="N1288" s="475"/>
      <c r="O1288" s="476">
        <v>0.34652777777777777</v>
      </c>
      <c r="P1288" s="476">
        <v>0.34652777777777777</v>
      </c>
      <c r="Q1288" s="477">
        <v>0.3576388888888889</v>
      </c>
      <c r="R1288" s="472">
        <f>IF(Table6[[#This Row],[Work Start TimeStamp]]="","",(Table6[[#This Row],[Work Start TimeStamp]]-Table6[[#This Row],[Fault Start TimeStamp]])*24)</f>
        <v>0</v>
      </c>
      <c r="S1288" s="472">
        <f>(Table6[[#This Row],[Fault Clearance time]]-Table6[[#This Row],[Work Start TimeStamp]])*24</f>
        <v>0.26666666666666705</v>
      </c>
      <c r="T1288" s="472">
        <f>(Table6[[#This Row],[Fault Clearance time]]-Table6[[#This Row],[Fault Start TimeStamp]])*24</f>
        <v>0.26666666666666705</v>
      </c>
      <c r="U1288" s="35" t="s">
        <v>2005</v>
      </c>
      <c r="V1288" s="102" t="s">
        <v>293</v>
      </c>
      <c r="W1288" s="478">
        <f>IFERROR(Table6[[#This Row],[Breakdown Time]]*Table6[[#This Row],[Plant Equivalent Weightage]],"")</f>
        <v>1.0256410256410269E-2</v>
      </c>
      <c r="X1288" s="473" t="s">
        <v>290</v>
      </c>
      <c r="Y1288" s="474" t="s">
        <v>310</v>
      </c>
      <c r="Z1288" s="102">
        <v>30932</v>
      </c>
      <c r="AA1288" s="468">
        <f>(Table6[[#This Row],[Paired WTG Generation for loss calculation]]/24)*Table6[[#This Row],[Breakdown Time]]</f>
        <v>343.68888888888938</v>
      </c>
      <c r="AB1288" s="102"/>
      <c r="AC1288" s="35"/>
      <c r="AD1288" s="35"/>
    </row>
    <row r="1289" spans="1:30">
      <c r="A1289" s="102">
        <f t="shared" si="20"/>
        <v>1288</v>
      </c>
      <c r="B1289" s="468">
        <f>YEAR(Table6[[#This Row],[Date]])+IF(MONTH(Table6[[#This Row],[Date]])&gt;=4,1,0)</f>
        <v>2026</v>
      </c>
      <c r="C1289" s="102">
        <f>YEAR(Table6[[#This Row],[Date]])</f>
        <v>2025</v>
      </c>
      <c r="D1289" s="102" t="s">
        <v>1992</v>
      </c>
      <c r="E1289" s="469">
        <f>Table6[[#This Row],[Date]]-DAY(Table6[[#This Row],[Date]])+1</f>
        <v>45809</v>
      </c>
      <c r="F1289" s="470">
        <v>45832</v>
      </c>
      <c r="G1289" s="35" t="s">
        <v>75</v>
      </c>
      <c r="H1289" s="35" t="str">
        <f>IFERROR(_xlfn.XLOOKUP(Table6[[#This Row],[Affected WTG]],'Basic Data'!$A:$A,'Basic Data'!$B:$B),"")</f>
        <v>TQGXIIPL</v>
      </c>
      <c r="I1289" s="35" t="str">
        <f>IFERROR(_xlfn.XLOOKUP(Table6[[#This Row],[Affected WTG]],'Basic Data'!$A:$A,'Basic Data'!$C:$C),"")</f>
        <v>GEDA</v>
      </c>
      <c r="J1289" s="471">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292</v>
      </c>
      <c r="N1289" s="475"/>
      <c r="O1289" s="476">
        <v>0.24583333333333332</v>
      </c>
      <c r="P1289" s="476">
        <v>0.24583333333333332</v>
      </c>
      <c r="Q1289" s="477">
        <v>0.24652777777777779</v>
      </c>
      <c r="R1289" s="472">
        <f>IF(Table6[[#This Row],[Work Start TimeStamp]]="","",(Table6[[#This Row],[Work Start TimeStamp]]-Table6[[#This Row],[Fault Start TimeStamp]])*24)</f>
        <v>0</v>
      </c>
      <c r="S1289" s="472">
        <f>(Table6[[#This Row],[Fault Clearance time]]-Table6[[#This Row],[Work Start TimeStamp]])*24</f>
        <v>1.6666666666667274E-2</v>
      </c>
      <c r="T1289" s="472">
        <f>(Table6[[#This Row],[Fault Clearance time]]-Table6[[#This Row],[Fault Start TimeStamp]])*24</f>
        <v>1.6666666666667274E-2</v>
      </c>
      <c r="U1289" s="35" t="s">
        <v>336</v>
      </c>
      <c r="V1289" s="102" t="s">
        <v>293</v>
      </c>
      <c r="W1289" s="478">
        <f>IFERROR(Table6[[#This Row],[Breakdown Time]]*Table6[[#This Row],[Plant Equivalent Weightage]],"")</f>
        <v>6.4102564102566423E-4</v>
      </c>
      <c r="X1289" s="473" t="s">
        <v>294</v>
      </c>
      <c r="Y1289" s="474" t="s">
        <v>318</v>
      </c>
      <c r="Z1289" s="102">
        <v>46848</v>
      </c>
      <c r="AA1289" s="468">
        <f>(Table6[[#This Row],[Paired WTG Generation for loss calculation]]/24)*Table6[[#This Row],[Breakdown Time]]</f>
        <v>32.533333333334518</v>
      </c>
      <c r="AB1289" s="102"/>
      <c r="AC1289" s="35"/>
      <c r="AD1289" s="35"/>
    </row>
    <row r="1290" spans="1:30">
      <c r="A1290" s="102">
        <f t="shared" si="20"/>
        <v>1289</v>
      </c>
      <c r="B1290" s="468">
        <f>YEAR(Table6[[#This Row],[Date]])+IF(MONTH(Table6[[#This Row],[Date]])&gt;=4,1,0)</f>
        <v>2026</v>
      </c>
      <c r="C1290" s="102">
        <f>YEAR(Table6[[#This Row],[Date]])</f>
        <v>2025</v>
      </c>
      <c r="D1290" s="102" t="s">
        <v>1992</v>
      </c>
      <c r="E1290" s="469">
        <f>Table6[[#This Row],[Date]]-DAY(Table6[[#This Row],[Date]])+1</f>
        <v>45809</v>
      </c>
      <c r="F1290" s="470">
        <v>45832</v>
      </c>
      <c r="G1290" s="35" t="s">
        <v>77</v>
      </c>
      <c r="H1290" s="35" t="str">
        <f>IFERROR(_xlfn.XLOOKUP(Table6[[#This Row],[Affected WTG]],'Basic Data'!$A:$A,'Basic Data'!$B:$B),"")</f>
        <v>TQGXIIPL</v>
      </c>
      <c r="I1290" s="35" t="str">
        <f>IFERROR(_xlfn.XLOOKUP(Table6[[#This Row],[Affected WTG]],'Basic Data'!$A:$A,'Basic Data'!$C:$C),"")</f>
        <v>GEDA</v>
      </c>
      <c r="J1290" s="471">
        <f>IFERROR(_xlfn.XLOOKUP(Table6[[#This Row],[Affected WTG]],'Basic Data'!$A:$A,'Basic Data'!$E:$E),"")</f>
        <v>3.846153846153845E-2</v>
      </c>
      <c r="K1290" s="102">
        <v>6130</v>
      </c>
      <c r="L1290" s="35" t="str">
        <f>IFERROR(_xlfn.XLOOKUP(Table6[[#This Row],[Error Code]],'Basic Data'!$AA:$AA,'Basic Data'!$AB:$AB),"Incorrect Error Code")</f>
        <v>Yaw speed high</v>
      </c>
      <c r="M1290" s="35" t="s">
        <v>292</v>
      </c>
      <c r="N1290" s="475"/>
      <c r="O1290" s="476">
        <v>7.2916666666666671E-2</v>
      </c>
      <c r="P1290" s="476">
        <v>7.2916666666666671E-2</v>
      </c>
      <c r="Q1290" s="477">
        <v>7.4305555555555555E-2</v>
      </c>
      <c r="R1290" s="472">
        <f>IF(Table6[[#This Row],[Work Start TimeStamp]]="","",(Table6[[#This Row],[Work Start TimeStamp]]-Table6[[#This Row],[Fault Start TimeStamp]])*24)</f>
        <v>0</v>
      </c>
      <c r="S1290" s="472">
        <f>(Table6[[#This Row],[Fault Clearance time]]-Table6[[#This Row],[Work Start TimeStamp]])*24</f>
        <v>3.3333333333333215E-2</v>
      </c>
      <c r="T1290" s="472">
        <f>(Table6[[#This Row],[Fault Clearance time]]-Table6[[#This Row],[Fault Start TimeStamp]])*24</f>
        <v>3.3333333333333215E-2</v>
      </c>
      <c r="U1290" s="35" t="s">
        <v>336</v>
      </c>
      <c r="V1290" s="102" t="s">
        <v>293</v>
      </c>
      <c r="W1290" s="478">
        <f>IFERROR(Table6[[#This Row],[Breakdown Time]]*Table6[[#This Row],[Plant Equivalent Weightage]],"")</f>
        <v>1.2820512820512771E-3</v>
      </c>
      <c r="X1290" s="473" t="s">
        <v>294</v>
      </c>
      <c r="Y1290" s="474" t="s">
        <v>310</v>
      </c>
      <c r="Z1290" s="102">
        <v>44567</v>
      </c>
      <c r="AA1290" s="468">
        <f>(Table6[[#This Row],[Paired WTG Generation for loss calculation]]/24)*Table6[[#This Row],[Breakdown Time]]</f>
        <v>61.898611111110888</v>
      </c>
      <c r="AB1290" s="102"/>
      <c r="AC1290" s="35"/>
      <c r="AD1290" s="35"/>
    </row>
    <row r="1291" spans="1:30">
      <c r="A1291" s="102">
        <f t="shared" si="20"/>
        <v>1290</v>
      </c>
      <c r="B1291" s="468">
        <f>YEAR(Table6[[#This Row],[Date]])+IF(MONTH(Table6[[#This Row],[Date]])&gt;=4,1,0)</f>
        <v>2026</v>
      </c>
      <c r="C1291" s="102">
        <f>YEAR(Table6[[#This Row],[Date]])</f>
        <v>2025</v>
      </c>
      <c r="D1291" s="102" t="s">
        <v>1992</v>
      </c>
      <c r="E1291" s="469">
        <f>Table6[[#This Row],[Date]]-DAY(Table6[[#This Row],[Date]])+1</f>
        <v>45809</v>
      </c>
      <c r="F1291" s="470">
        <v>45832</v>
      </c>
      <c r="G1291" s="35" t="s">
        <v>77</v>
      </c>
      <c r="H1291" s="35" t="str">
        <f>IFERROR(_xlfn.XLOOKUP(Table6[[#This Row],[Affected WTG]],'Basic Data'!$A:$A,'Basic Data'!$B:$B),"")</f>
        <v>TQGXIIPL</v>
      </c>
      <c r="I1291" s="35" t="str">
        <f>IFERROR(_xlfn.XLOOKUP(Table6[[#This Row],[Affected WTG]],'Basic Data'!$A:$A,'Basic Data'!$C:$C),"")</f>
        <v>GEDA</v>
      </c>
      <c r="J1291" s="471">
        <f>IFERROR(_xlfn.XLOOKUP(Table6[[#This Row],[Affected WTG]],'Basic Data'!$A:$A,'Basic Data'!$E:$E),"")</f>
        <v>3.846153846153845E-2</v>
      </c>
      <c r="K1291" s="102">
        <v>6130</v>
      </c>
      <c r="L1291" s="35" t="str">
        <f>IFERROR(_xlfn.XLOOKUP(Table6[[#This Row],[Error Code]],'Basic Data'!$AA:$AA,'Basic Data'!$AB:$AB),"Incorrect Error Code")</f>
        <v>Yaw speed high</v>
      </c>
      <c r="M1291" s="35" t="s">
        <v>292</v>
      </c>
      <c r="N1291" s="475"/>
      <c r="O1291" s="476">
        <v>0.11041666666666666</v>
      </c>
      <c r="P1291" s="476">
        <v>0.11041666666666666</v>
      </c>
      <c r="Q1291" s="477">
        <v>0.11180555555555556</v>
      </c>
      <c r="R1291" s="472">
        <f>IF(Table6[[#This Row],[Work Start TimeStamp]]="","",(Table6[[#This Row],[Work Start TimeStamp]]-Table6[[#This Row],[Fault Start TimeStamp]])*24)</f>
        <v>0</v>
      </c>
      <c r="S1291" s="472">
        <f>(Table6[[#This Row],[Fault Clearance time]]-Table6[[#This Row],[Work Start TimeStamp]])*24</f>
        <v>3.3333333333333548E-2</v>
      </c>
      <c r="T1291" s="472">
        <f>(Table6[[#This Row],[Fault Clearance time]]-Table6[[#This Row],[Fault Start TimeStamp]])*24</f>
        <v>3.3333333333333548E-2</v>
      </c>
      <c r="U1291" s="35" t="s">
        <v>336</v>
      </c>
      <c r="V1291" s="102" t="s">
        <v>293</v>
      </c>
      <c r="W1291" s="478">
        <f>IFERROR(Table6[[#This Row],[Breakdown Time]]*Table6[[#This Row],[Plant Equivalent Weightage]],"")</f>
        <v>1.2820512820512899E-3</v>
      </c>
      <c r="X1291" s="473" t="s">
        <v>294</v>
      </c>
      <c r="Y1291" s="474" t="s">
        <v>310</v>
      </c>
      <c r="Z1291" s="102">
        <v>44567</v>
      </c>
      <c r="AA1291" s="468">
        <f>(Table6[[#This Row],[Paired WTG Generation for loss calculation]]/24)*Table6[[#This Row],[Breakdown Time]]</f>
        <v>61.898611111111506</v>
      </c>
      <c r="AB1291" s="102"/>
      <c r="AC1291" s="35"/>
      <c r="AD1291" s="35"/>
    </row>
    <row r="1292" spans="1:30">
      <c r="A1292" s="102">
        <f t="shared" si="20"/>
        <v>1291</v>
      </c>
      <c r="B1292" s="468">
        <f>YEAR(Table6[[#This Row],[Date]])+IF(MONTH(Table6[[#This Row],[Date]])&gt;=4,1,0)</f>
        <v>2026</v>
      </c>
      <c r="C1292" s="102">
        <f>YEAR(Table6[[#This Row],[Date]])</f>
        <v>2025</v>
      </c>
      <c r="D1292" s="102" t="s">
        <v>1992</v>
      </c>
      <c r="E1292" s="469">
        <f>Table6[[#This Row],[Date]]-DAY(Table6[[#This Row],[Date]])+1</f>
        <v>45809</v>
      </c>
      <c r="F1292" s="470">
        <v>45832</v>
      </c>
      <c r="G1292" s="35" t="s">
        <v>77</v>
      </c>
      <c r="H1292" s="35" t="str">
        <f>IFERROR(_xlfn.XLOOKUP(Table6[[#This Row],[Affected WTG]],'Basic Data'!$A:$A,'Basic Data'!$B:$B),"")</f>
        <v>TQGXIIPL</v>
      </c>
      <c r="I1292" s="35" t="str">
        <f>IFERROR(_xlfn.XLOOKUP(Table6[[#This Row],[Affected WTG]],'Basic Data'!$A:$A,'Basic Data'!$C:$C),"")</f>
        <v>GEDA</v>
      </c>
      <c r="J1292" s="471">
        <f>IFERROR(_xlfn.XLOOKUP(Table6[[#This Row],[Affected WTG]],'Basic Data'!$A:$A,'Basic Data'!$E:$E),"")</f>
        <v>3.846153846153845E-2</v>
      </c>
      <c r="K1292" s="102">
        <v>4970</v>
      </c>
      <c r="L1292" s="35" t="str">
        <f>IFERROR(_xlfn.XLOOKUP(Table6[[#This Row],[Error Code]],'Basic Data'!$AA:$AA,'Basic Data'!$AB:$AB),"Incorrect Error Code")</f>
        <v>Tower oscillation XF</v>
      </c>
      <c r="M1292" s="35" t="s">
        <v>292</v>
      </c>
      <c r="N1292" s="475"/>
      <c r="O1292" s="476">
        <v>0.25208333333333333</v>
      </c>
      <c r="P1292" s="476">
        <v>0.25208333333333333</v>
      </c>
      <c r="Q1292" s="477">
        <v>0.25416666666666665</v>
      </c>
      <c r="R1292" s="472">
        <f>IF(Table6[[#This Row],[Work Start TimeStamp]]="","",(Table6[[#This Row],[Work Start TimeStamp]]-Table6[[#This Row],[Fault Start TimeStamp]])*24)</f>
        <v>0</v>
      </c>
      <c r="S1292" s="472">
        <f>(Table6[[#This Row],[Fault Clearance time]]-Table6[[#This Row],[Work Start TimeStamp]])*24</f>
        <v>4.9999999999999822E-2</v>
      </c>
      <c r="T1292" s="472">
        <f>(Table6[[#This Row],[Fault Clearance time]]-Table6[[#This Row],[Fault Start TimeStamp]])*24</f>
        <v>4.9999999999999822E-2</v>
      </c>
      <c r="U1292" s="35" t="s">
        <v>336</v>
      </c>
      <c r="V1292" s="102" t="s">
        <v>293</v>
      </c>
      <c r="W1292" s="478">
        <f>IFERROR(Table6[[#This Row],[Breakdown Time]]*Table6[[#This Row],[Plant Equivalent Weightage]],"")</f>
        <v>1.9230769230769156E-3</v>
      </c>
      <c r="X1292" s="473" t="s">
        <v>294</v>
      </c>
      <c r="Y1292" s="474" t="s">
        <v>310</v>
      </c>
      <c r="Z1292" s="102">
        <v>44567</v>
      </c>
      <c r="AA1292" s="468">
        <f>(Table6[[#This Row],[Paired WTG Generation for loss calculation]]/24)*Table6[[#This Row],[Breakdown Time]]</f>
        <v>92.847916666666336</v>
      </c>
      <c r="AB1292" s="102"/>
      <c r="AC1292" s="35"/>
      <c r="AD1292" s="35"/>
    </row>
    <row r="1293" spans="1:30">
      <c r="A1293" s="102">
        <f t="shared" si="20"/>
        <v>1292</v>
      </c>
      <c r="B1293" s="468">
        <f>YEAR(Table6[[#This Row],[Date]])+IF(MONTH(Table6[[#This Row],[Date]])&gt;=4,1,0)</f>
        <v>2026</v>
      </c>
      <c r="C1293" s="102">
        <f>YEAR(Table6[[#This Row],[Date]])</f>
        <v>2025</v>
      </c>
      <c r="D1293" s="102" t="s">
        <v>1992</v>
      </c>
      <c r="E1293" s="469">
        <f>Table6[[#This Row],[Date]]-DAY(Table6[[#This Row],[Date]])+1</f>
        <v>45809</v>
      </c>
      <c r="F1293" s="470">
        <v>45832</v>
      </c>
      <c r="G1293" s="35" t="s">
        <v>77</v>
      </c>
      <c r="H1293" s="35" t="str">
        <f>IFERROR(_xlfn.XLOOKUP(Table6[[#This Row],[Affected WTG]],'Basic Data'!$A:$A,'Basic Data'!$B:$B),"")</f>
        <v>TQGXIIPL</v>
      </c>
      <c r="I1293" s="35" t="str">
        <f>IFERROR(_xlfn.XLOOKUP(Table6[[#This Row],[Affected WTG]],'Basic Data'!$A:$A,'Basic Data'!$C:$C),"")</f>
        <v>GEDA</v>
      </c>
      <c r="J1293" s="471">
        <f>IFERROR(_xlfn.XLOOKUP(Table6[[#This Row],[Affected WTG]],'Basic Data'!$A:$A,'Basic Data'!$E:$E),"")</f>
        <v>3.846153846153845E-2</v>
      </c>
      <c r="K1293" s="102">
        <v>6130</v>
      </c>
      <c r="L1293" s="35" t="str">
        <f>IFERROR(_xlfn.XLOOKUP(Table6[[#This Row],[Error Code]],'Basic Data'!$AA:$AA,'Basic Data'!$AB:$AB),"Incorrect Error Code")</f>
        <v>Yaw speed high</v>
      </c>
      <c r="M1293" s="35" t="s">
        <v>292</v>
      </c>
      <c r="N1293" s="475"/>
      <c r="O1293" s="476">
        <v>0.31458333333333333</v>
      </c>
      <c r="P1293" s="476">
        <v>0.31458333333333333</v>
      </c>
      <c r="Q1293" s="477">
        <v>0.31527777777777777</v>
      </c>
      <c r="R1293" s="472">
        <f>IF(Table6[[#This Row],[Work Start TimeStamp]]="","",(Table6[[#This Row],[Work Start TimeStamp]]-Table6[[#This Row],[Fault Start TimeStamp]])*24)</f>
        <v>0</v>
      </c>
      <c r="S1293" s="472">
        <f>(Table6[[#This Row],[Fault Clearance time]]-Table6[[#This Row],[Work Start TimeStamp]])*24</f>
        <v>1.6666666666666607E-2</v>
      </c>
      <c r="T1293" s="472">
        <f>(Table6[[#This Row],[Fault Clearance time]]-Table6[[#This Row],[Fault Start TimeStamp]])*24</f>
        <v>1.6666666666666607E-2</v>
      </c>
      <c r="U1293" s="35" t="s">
        <v>336</v>
      </c>
      <c r="V1293" s="102" t="s">
        <v>293</v>
      </c>
      <c r="W1293" s="478">
        <f>IFERROR(Table6[[#This Row],[Breakdown Time]]*Table6[[#This Row],[Plant Equivalent Weightage]],"")</f>
        <v>6.4102564102563853E-4</v>
      </c>
      <c r="X1293" s="473" t="s">
        <v>294</v>
      </c>
      <c r="Y1293" s="474" t="s">
        <v>310</v>
      </c>
      <c r="Z1293" s="102">
        <v>44567</v>
      </c>
      <c r="AA1293" s="468">
        <f>(Table6[[#This Row],[Paired WTG Generation for loss calculation]]/24)*Table6[[#This Row],[Breakdown Time]]</f>
        <v>30.949305555555444</v>
      </c>
      <c r="AB1293" s="102"/>
      <c r="AC1293" s="35"/>
      <c r="AD1293" s="35"/>
    </row>
    <row r="1294" spans="1:30">
      <c r="A1294" s="102">
        <f t="shared" ref="A1294:A1357" si="21">A1293+1</f>
        <v>1293</v>
      </c>
      <c r="B1294" s="468">
        <f>YEAR(Table6[[#This Row],[Date]])+IF(MONTH(Table6[[#This Row],[Date]])&gt;=4,1,0)</f>
        <v>2026</v>
      </c>
      <c r="C1294" s="102">
        <f>YEAR(Table6[[#This Row],[Date]])</f>
        <v>2025</v>
      </c>
      <c r="D1294" s="102" t="s">
        <v>1992</v>
      </c>
      <c r="E1294" s="469">
        <f>Table6[[#This Row],[Date]]-DAY(Table6[[#This Row],[Date]])+1</f>
        <v>45809</v>
      </c>
      <c r="F1294" s="470">
        <v>45832</v>
      </c>
      <c r="G1294" s="35" t="s">
        <v>78</v>
      </c>
      <c r="H1294" s="35" t="str">
        <f>IFERROR(_xlfn.XLOOKUP(Table6[[#This Row],[Affected WTG]],'Basic Data'!$A:$A,'Basic Data'!$B:$B),"")</f>
        <v>TQGXIIPL</v>
      </c>
      <c r="I1294" s="35" t="str">
        <f>IFERROR(_xlfn.XLOOKUP(Table6[[#This Row],[Affected WTG]],'Basic Data'!$A:$A,'Basic Data'!$C:$C),"")</f>
        <v>GEDA</v>
      </c>
      <c r="J1294" s="471">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291</v>
      </c>
      <c r="N1294" s="475"/>
      <c r="O1294" s="476">
        <v>0.16041666666666668</v>
      </c>
      <c r="P1294" s="476">
        <v>0.16041666666666668</v>
      </c>
      <c r="Q1294" s="477">
        <v>0.1736111111111111</v>
      </c>
      <c r="R1294" s="472">
        <f>IF(Table6[[#This Row],[Work Start TimeStamp]]="","",(Table6[[#This Row],[Work Start TimeStamp]]-Table6[[#This Row],[Fault Start TimeStamp]])*24)</f>
        <v>0</v>
      </c>
      <c r="S1294" s="472">
        <f>(Table6[[#This Row],[Fault Clearance time]]-Table6[[#This Row],[Work Start TimeStamp]])*24</f>
        <v>0.31666666666666621</v>
      </c>
      <c r="T1294" s="472">
        <f>(Table6[[#This Row],[Fault Clearance time]]-Table6[[#This Row],[Fault Start TimeStamp]])*24</f>
        <v>0.31666666666666621</v>
      </c>
      <c r="U1294" s="35" t="s">
        <v>1924</v>
      </c>
      <c r="V1294" s="102" t="s">
        <v>293</v>
      </c>
      <c r="W1294" s="478">
        <f>IFERROR(Table6[[#This Row],[Breakdown Time]]*Table6[[#This Row],[Plant Equivalent Weightage]],"")</f>
        <v>1.2179487179487159E-2</v>
      </c>
      <c r="X1294" s="473" t="s">
        <v>290</v>
      </c>
      <c r="Y1294" s="474" t="s">
        <v>333</v>
      </c>
      <c r="Z1294" s="102">
        <v>46613</v>
      </c>
      <c r="AA1294" s="468">
        <f>(Table6[[#This Row],[Paired WTG Generation for loss calculation]]/24)*Table6[[#This Row],[Breakdown Time]]</f>
        <v>615.03263888888796</v>
      </c>
      <c r="AB1294" s="102"/>
      <c r="AC1294" s="35"/>
      <c r="AD1294" s="35"/>
    </row>
    <row r="1295" spans="1:30">
      <c r="A1295" s="102">
        <f t="shared" si="21"/>
        <v>1294</v>
      </c>
      <c r="B1295" s="468">
        <f>YEAR(Table6[[#This Row],[Date]])+IF(MONTH(Table6[[#This Row],[Date]])&gt;=4,1,0)</f>
        <v>2026</v>
      </c>
      <c r="C1295" s="102">
        <f>YEAR(Table6[[#This Row],[Date]])</f>
        <v>2025</v>
      </c>
      <c r="D1295" s="102" t="s">
        <v>1992</v>
      </c>
      <c r="E1295" s="469">
        <f>Table6[[#This Row],[Date]]-DAY(Table6[[#This Row],[Date]])+1</f>
        <v>45809</v>
      </c>
      <c r="F1295" s="470">
        <v>45832</v>
      </c>
      <c r="G1295" s="35" t="s">
        <v>81</v>
      </c>
      <c r="H1295" s="35" t="str">
        <f>IFERROR(_xlfn.XLOOKUP(Table6[[#This Row],[Affected WTG]],'Basic Data'!$A:$A,'Basic Data'!$B:$B),"")</f>
        <v>TQGXIIPL</v>
      </c>
      <c r="I1295" s="35" t="str">
        <f>IFERROR(_xlfn.XLOOKUP(Table6[[#This Row],[Affected WTG]],'Basic Data'!$A:$A,'Basic Data'!$C:$C),"")</f>
        <v>GEDA</v>
      </c>
      <c r="J1295" s="471">
        <f>IFERROR(_xlfn.XLOOKUP(Table6[[#This Row],[Affected WTG]],'Basic Data'!$A:$A,'Basic Data'!$E:$E),"")</f>
        <v>3.846153846153845E-2</v>
      </c>
      <c r="K1295" s="102">
        <v>665</v>
      </c>
      <c r="L1295" s="35" t="str">
        <f>IFERROR(_xlfn.XLOOKUP(Table6[[#This Row],[Error Code]],'Basic Data'!$AA:$AA,'Basic Data'!$AB:$AB),"Incorrect Error Code")</f>
        <v>Pitch error</v>
      </c>
      <c r="M1295" s="35" t="s">
        <v>292</v>
      </c>
      <c r="N1295" s="475"/>
      <c r="O1295" s="476">
        <v>2.0833333333333333E-3</v>
      </c>
      <c r="P1295" s="476">
        <v>2.0833333333333333E-3</v>
      </c>
      <c r="Q1295" s="477">
        <v>4.1666666666666666E-3</v>
      </c>
      <c r="R1295" s="472">
        <f>IF(Table6[[#This Row],[Work Start TimeStamp]]="","",(Table6[[#This Row],[Work Start TimeStamp]]-Table6[[#This Row],[Fault Start TimeStamp]])*24)</f>
        <v>0</v>
      </c>
      <c r="S1295" s="472">
        <f>(Table6[[#This Row],[Fault Clearance time]]-Table6[[#This Row],[Work Start TimeStamp]])*24</f>
        <v>0.05</v>
      </c>
      <c r="T1295" s="472">
        <f>(Table6[[#This Row],[Fault Clearance time]]-Table6[[#This Row],[Fault Start TimeStamp]])*24</f>
        <v>0.05</v>
      </c>
      <c r="U1295" s="35" t="s">
        <v>336</v>
      </c>
      <c r="V1295" s="102" t="s">
        <v>293</v>
      </c>
      <c r="W1295" s="478">
        <f>IFERROR(Table6[[#This Row],[Breakdown Time]]*Table6[[#This Row],[Plant Equivalent Weightage]],"")</f>
        <v>1.9230769230769225E-3</v>
      </c>
      <c r="X1295" s="473" t="s">
        <v>294</v>
      </c>
      <c r="Y1295" s="474" t="s">
        <v>321</v>
      </c>
      <c r="Z1295" s="102">
        <v>45247</v>
      </c>
      <c r="AA1295" s="468">
        <f>(Table6[[#This Row],[Paired WTG Generation for loss calculation]]/24)*Table6[[#This Row],[Breakdown Time]]</f>
        <v>94.264583333333348</v>
      </c>
      <c r="AB1295" s="102"/>
      <c r="AC1295" s="35"/>
      <c r="AD1295" s="35"/>
    </row>
    <row r="1296" spans="1:30">
      <c r="A1296" s="102">
        <f t="shared" si="21"/>
        <v>1295</v>
      </c>
      <c r="B1296" s="468">
        <f>YEAR(Table6[[#This Row],[Date]])+IF(MONTH(Table6[[#This Row],[Date]])&gt;=4,1,0)</f>
        <v>2026</v>
      </c>
      <c r="C1296" s="102">
        <f>YEAR(Table6[[#This Row],[Date]])</f>
        <v>2025</v>
      </c>
      <c r="D1296" s="102" t="s">
        <v>1992</v>
      </c>
      <c r="E1296" s="469">
        <f>Table6[[#This Row],[Date]]-DAY(Table6[[#This Row],[Date]])+1</f>
        <v>45809</v>
      </c>
      <c r="F1296" s="470">
        <v>45832</v>
      </c>
      <c r="G1296" s="35" t="s">
        <v>81</v>
      </c>
      <c r="H1296" s="35" t="str">
        <f>IFERROR(_xlfn.XLOOKUP(Table6[[#This Row],[Affected WTG]],'Basic Data'!$A:$A,'Basic Data'!$B:$B),"")</f>
        <v>TQGXIIPL</v>
      </c>
      <c r="I1296" s="35" t="str">
        <f>IFERROR(_xlfn.XLOOKUP(Table6[[#This Row],[Affected WTG]],'Basic Data'!$A:$A,'Basic Data'!$C:$C),"")</f>
        <v>GEDA</v>
      </c>
      <c r="J1296" s="471">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292</v>
      </c>
      <c r="N1296" s="475"/>
      <c r="O1296" s="476">
        <v>2.7777777777777776E-2</v>
      </c>
      <c r="P1296" s="476">
        <v>2.7777777777777776E-2</v>
      </c>
      <c r="Q1296" s="477">
        <v>2.9166666666666667E-2</v>
      </c>
      <c r="R1296" s="472">
        <f>IF(Table6[[#This Row],[Work Start TimeStamp]]="","",(Table6[[#This Row],[Work Start TimeStamp]]-Table6[[#This Row],[Fault Start TimeStamp]])*24)</f>
        <v>0</v>
      </c>
      <c r="S1296" s="472">
        <f>(Table6[[#This Row],[Fault Clearance time]]-Table6[[#This Row],[Work Start TimeStamp]])*24</f>
        <v>3.3333333333333381E-2</v>
      </c>
      <c r="T1296" s="472">
        <f>(Table6[[#This Row],[Fault Clearance time]]-Table6[[#This Row],[Fault Start TimeStamp]])*24</f>
        <v>3.3333333333333381E-2</v>
      </c>
      <c r="U1296" s="35" t="s">
        <v>336</v>
      </c>
      <c r="V1296" s="102" t="s">
        <v>293</v>
      </c>
      <c r="W1296" s="478">
        <f>IFERROR(Table6[[#This Row],[Breakdown Time]]*Table6[[#This Row],[Plant Equivalent Weightage]],"")</f>
        <v>1.2820512820512836E-3</v>
      </c>
      <c r="X1296" s="473" t="s">
        <v>294</v>
      </c>
      <c r="Y1296" s="474" t="s">
        <v>321</v>
      </c>
      <c r="Z1296" s="102">
        <v>45247</v>
      </c>
      <c r="AA1296" s="468">
        <f>(Table6[[#This Row],[Paired WTG Generation for loss calculation]]/24)*Table6[[#This Row],[Breakdown Time]]</f>
        <v>62.843055555555651</v>
      </c>
      <c r="AB1296" s="102"/>
      <c r="AC1296" s="35"/>
      <c r="AD1296" s="35"/>
    </row>
    <row r="1297" spans="1:30">
      <c r="A1297" s="102">
        <f t="shared" si="21"/>
        <v>1296</v>
      </c>
      <c r="B1297" s="468">
        <f>YEAR(Table6[[#This Row],[Date]])+IF(MONTH(Table6[[#This Row],[Date]])&gt;=4,1,0)</f>
        <v>2026</v>
      </c>
      <c r="C1297" s="102">
        <f>YEAR(Table6[[#This Row],[Date]])</f>
        <v>2025</v>
      </c>
      <c r="D1297" s="102" t="s">
        <v>1992</v>
      </c>
      <c r="E1297" s="469">
        <f>Table6[[#This Row],[Date]]-DAY(Table6[[#This Row],[Date]])+1</f>
        <v>45809</v>
      </c>
      <c r="F1297" s="470">
        <v>45832</v>
      </c>
      <c r="G1297" s="35" t="s">
        <v>81</v>
      </c>
      <c r="H1297" s="35" t="str">
        <f>IFERROR(_xlfn.XLOOKUP(Table6[[#This Row],[Affected WTG]],'Basic Data'!$A:$A,'Basic Data'!$B:$B),"")</f>
        <v>TQGXIIPL</v>
      </c>
      <c r="I1297" s="35" t="str">
        <f>IFERROR(_xlfn.XLOOKUP(Table6[[#This Row],[Affected WTG]],'Basic Data'!$A:$A,'Basic Data'!$C:$C),"")</f>
        <v>GEDA</v>
      </c>
      <c r="J1297" s="471">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291</v>
      </c>
      <c r="N1297" s="475"/>
      <c r="O1297" s="476">
        <v>0.05</v>
      </c>
      <c r="P1297" s="476">
        <v>0.05</v>
      </c>
      <c r="Q1297" s="477">
        <v>5.347222222222222E-2</v>
      </c>
      <c r="R1297" s="472">
        <f>IF(Table6[[#This Row],[Work Start TimeStamp]]="","",(Table6[[#This Row],[Work Start TimeStamp]]-Table6[[#This Row],[Fault Start TimeStamp]])*24)</f>
        <v>0</v>
      </c>
      <c r="S1297" s="472">
        <f>(Table6[[#This Row],[Fault Clearance time]]-Table6[[#This Row],[Work Start TimeStamp]])*24</f>
        <v>8.3333333333333204E-2</v>
      </c>
      <c r="T1297" s="472">
        <f>(Table6[[#This Row],[Fault Clearance time]]-Table6[[#This Row],[Fault Start TimeStamp]])*24</f>
        <v>8.3333333333333204E-2</v>
      </c>
      <c r="U1297" s="35" t="s">
        <v>1924</v>
      </c>
      <c r="V1297" s="102" t="s">
        <v>293</v>
      </c>
      <c r="W1297" s="478">
        <f>IFERROR(Table6[[#This Row],[Breakdown Time]]*Table6[[#This Row],[Plant Equivalent Weightage]],"")</f>
        <v>3.2051282051281994E-3</v>
      </c>
      <c r="X1297" s="473" t="s">
        <v>290</v>
      </c>
      <c r="Y1297" s="474" t="s">
        <v>321</v>
      </c>
      <c r="Z1297" s="102">
        <v>45247</v>
      </c>
      <c r="AA1297" s="468">
        <f>(Table6[[#This Row],[Paired WTG Generation for loss calculation]]/24)*Table6[[#This Row],[Breakdown Time]]</f>
        <v>157.10763888888866</v>
      </c>
      <c r="AB1297" s="102"/>
      <c r="AC1297" s="35"/>
      <c r="AD1297" s="35"/>
    </row>
    <row r="1298" spans="1:30">
      <c r="A1298" s="102">
        <f t="shared" si="21"/>
        <v>1297</v>
      </c>
      <c r="B1298" s="468">
        <f>YEAR(Table6[[#This Row],[Date]])+IF(MONTH(Table6[[#This Row],[Date]])&gt;=4,1,0)</f>
        <v>2026</v>
      </c>
      <c r="C1298" s="102">
        <f>YEAR(Table6[[#This Row],[Date]])</f>
        <v>2025</v>
      </c>
      <c r="D1298" s="102" t="s">
        <v>1992</v>
      </c>
      <c r="E1298" s="469">
        <f>Table6[[#This Row],[Date]]-DAY(Table6[[#This Row],[Date]])+1</f>
        <v>45809</v>
      </c>
      <c r="F1298" s="470">
        <v>45832</v>
      </c>
      <c r="G1298" s="35" t="s">
        <v>81</v>
      </c>
      <c r="H1298" s="35" t="str">
        <f>IFERROR(_xlfn.XLOOKUP(Table6[[#This Row],[Affected WTG]],'Basic Data'!$A:$A,'Basic Data'!$B:$B),"")</f>
        <v>TQGXIIPL</v>
      </c>
      <c r="I1298" s="35" t="str">
        <f>IFERROR(_xlfn.XLOOKUP(Table6[[#This Row],[Affected WTG]],'Basic Data'!$A:$A,'Basic Data'!$C:$C),"")</f>
        <v>GEDA</v>
      </c>
      <c r="J1298" s="471">
        <f>IFERROR(_xlfn.XLOOKUP(Table6[[#This Row],[Affected WTG]],'Basic Data'!$A:$A,'Basic Data'!$E:$E),"")</f>
        <v>3.846153846153845E-2</v>
      </c>
      <c r="K1298" s="102">
        <v>665</v>
      </c>
      <c r="L1298" s="35" t="str">
        <f>IFERROR(_xlfn.XLOOKUP(Table6[[#This Row],[Error Code]],'Basic Data'!$AA:$AA,'Basic Data'!$AB:$AB),"Incorrect Error Code")</f>
        <v>Pitch error</v>
      </c>
      <c r="M1298" s="35" t="s">
        <v>291</v>
      </c>
      <c r="N1298" s="475"/>
      <c r="O1298" s="476">
        <v>6.8750000000000006E-2</v>
      </c>
      <c r="P1298" s="476">
        <v>6.8750000000000006E-2</v>
      </c>
      <c r="Q1298" s="477">
        <v>7.2916666666666671E-2</v>
      </c>
      <c r="R1298" s="472">
        <f>IF(Table6[[#This Row],[Work Start TimeStamp]]="","",(Table6[[#This Row],[Work Start TimeStamp]]-Table6[[#This Row],[Fault Start TimeStamp]])*24)</f>
        <v>0</v>
      </c>
      <c r="S1298" s="472">
        <f>(Table6[[#This Row],[Fault Clearance time]]-Table6[[#This Row],[Work Start TimeStamp]])*24</f>
        <v>9.9999999999999978E-2</v>
      </c>
      <c r="T1298" s="472">
        <f>(Table6[[#This Row],[Fault Clearance time]]-Table6[[#This Row],[Fault Start TimeStamp]])*24</f>
        <v>9.9999999999999978E-2</v>
      </c>
      <c r="U1298" s="35" t="s">
        <v>1924</v>
      </c>
      <c r="V1298" s="102" t="s">
        <v>293</v>
      </c>
      <c r="W1298" s="478">
        <f>IFERROR(Table6[[#This Row],[Breakdown Time]]*Table6[[#This Row],[Plant Equivalent Weightage]],"")</f>
        <v>3.8461538461538442E-3</v>
      </c>
      <c r="X1298" s="473" t="s">
        <v>290</v>
      </c>
      <c r="Y1298" s="474" t="s">
        <v>321</v>
      </c>
      <c r="Z1298" s="102">
        <v>45247</v>
      </c>
      <c r="AA1298" s="468">
        <f>(Table6[[#This Row],[Paired WTG Generation for loss calculation]]/24)*Table6[[#This Row],[Breakdown Time]]</f>
        <v>188.52916666666664</v>
      </c>
      <c r="AB1298" s="102"/>
      <c r="AC1298" s="35"/>
      <c r="AD1298" s="35"/>
    </row>
    <row r="1299" spans="1:30">
      <c r="A1299" s="102">
        <f t="shared" si="21"/>
        <v>1298</v>
      </c>
      <c r="B1299" s="468">
        <f>YEAR(Table6[[#This Row],[Date]])+IF(MONTH(Table6[[#This Row],[Date]])&gt;=4,1,0)</f>
        <v>2026</v>
      </c>
      <c r="C1299" s="102">
        <f>YEAR(Table6[[#This Row],[Date]])</f>
        <v>2025</v>
      </c>
      <c r="D1299" s="102" t="s">
        <v>1992</v>
      </c>
      <c r="E1299" s="469">
        <f>Table6[[#This Row],[Date]]-DAY(Table6[[#This Row],[Date]])+1</f>
        <v>45809</v>
      </c>
      <c r="F1299" s="470">
        <v>45832</v>
      </c>
      <c r="G1299" s="35" t="s">
        <v>81</v>
      </c>
      <c r="H1299" s="35" t="str">
        <f>IFERROR(_xlfn.XLOOKUP(Table6[[#This Row],[Affected WTG]],'Basic Data'!$A:$A,'Basic Data'!$B:$B),"")</f>
        <v>TQGXIIPL</v>
      </c>
      <c r="I1299" s="35" t="str">
        <f>IFERROR(_xlfn.XLOOKUP(Table6[[#This Row],[Affected WTG]],'Basic Data'!$A:$A,'Basic Data'!$C:$C),"")</f>
        <v>GEDA</v>
      </c>
      <c r="J1299" s="471">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291</v>
      </c>
      <c r="N1299" s="475"/>
      <c r="O1299" s="476">
        <v>0.12777777777777777</v>
      </c>
      <c r="P1299" s="476">
        <v>0.12777777777777777</v>
      </c>
      <c r="Q1299" s="477">
        <v>0.13402777777777777</v>
      </c>
      <c r="R1299" s="472">
        <f>IF(Table6[[#This Row],[Work Start TimeStamp]]="","",(Table6[[#This Row],[Work Start TimeStamp]]-Table6[[#This Row],[Fault Start TimeStamp]])*24)</f>
        <v>0</v>
      </c>
      <c r="S1299" s="472">
        <f>(Table6[[#This Row],[Fault Clearance time]]-Table6[[#This Row],[Work Start TimeStamp]])*24</f>
        <v>0.15000000000000013</v>
      </c>
      <c r="T1299" s="472">
        <f>(Table6[[#This Row],[Fault Clearance time]]-Table6[[#This Row],[Fault Start TimeStamp]])*24</f>
        <v>0.15000000000000013</v>
      </c>
      <c r="U1299" s="35" t="s">
        <v>1924</v>
      </c>
      <c r="V1299" s="102" t="s">
        <v>293</v>
      </c>
      <c r="W1299" s="478">
        <f>IFERROR(Table6[[#This Row],[Breakdown Time]]*Table6[[#This Row],[Plant Equivalent Weightage]],"")</f>
        <v>5.769230769230773E-3</v>
      </c>
      <c r="X1299" s="473" t="s">
        <v>290</v>
      </c>
      <c r="Y1299" s="474" t="s">
        <v>321</v>
      </c>
      <c r="Z1299" s="102">
        <v>45247</v>
      </c>
      <c r="AA1299" s="468">
        <f>(Table6[[#This Row],[Paired WTG Generation for loss calculation]]/24)*Table6[[#This Row],[Breakdown Time]]</f>
        <v>282.79375000000027</v>
      </c>
      <c r="AB1299" s="102"/>
      <c r="AC1299" s="35"/>
      <c r="AD1299" s="35"/>
    </row>
    <row r="1300" spans="1:30">
      <c r="A1300" s="102">
        <f t="shared" si="21"/>
        <v>1299</v>
      </c>
      <c r="B1300" s="468">
        <f>YEAR(Table6[[#This Row],[Date]])+IF(MONTH(Table6[[#This Row],[Date]])&gt;=4,1,0)</f>
        <v>2026</v>
      </c>
      <c r="C1300" s="102">
        <f>YEAR(Table6[[#This Row],[Date]])</f>
        <v>2025</v>
      </c>
      <c r="D1300" s="102" t="s">
        <v>1992</v>
      </c>
      <c r="E1300" s="469">
        <f>Table6[[#This Row],[Date]]-DAY(Table6[[#This Row],[Date]])+1</f>
        <v>45809</v>
      </c>
      <c r="F1300" s="470">
        <v>45832</v>
      </c>
      <c r="G1300" s="35" t="s">
        <v>81</v>
      </c>
      <c r="H1300" s="35" t="str">
        <f>IFERROR(_xlfn.XLOOKUP(Table6[[#This Row],[Affected WTG]],'Basic Data'!$A:$A,'Basic Data'!$B:$B),"")</f>
        <v>TQGXIIPL</v>
      </c>
      <c r="I1300" s="35" t="str">
        <f>IFERROR(_xlfn.XLOOKUP(Table6[[#This Row],[Affected WTG]],'Basic Data'!$A:$A,'Basic Data'!$C:$C),"")</f>
        <v>GEDA</v>
      </c>
      <c r="J1300" s="471">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291</v>
      </c>
      <c r="N1300" s="475"/>
      <c r="O1300" s="476">
        <v>0.24027777777777778</v>
      </c>
      <c r="P1300" s="476">
        <v>0.24027777777777778</v>
      </c>
      <c r="Q1300" s="477">
        <v>0.25069444444444444</v>
      </c>
      <c r="R1300" s="472">
        <f>IF(Table6[[#This Row],[Work Start TimeStamp]]="","",(Table6[[#This Row],[Work Start TimeStamp]]-Table6[[#This Row],[Fault Start TimeStamp]])*24)</f>
        <v>0</v>
      </c>
      <c r="S1300" s="472">
        <f>(Table6[[#This Row],[Fault Clearance time]]-Table6[[#This Row],[Work Start TimeStamp]])*24</f>
        <v>0.24999999999999978</v>
      </c>
      <c r="T1300" s="472">
        <f>(Table6[[#This Row],[Fault Clearance time]]-Table6[[#This Row],[Fault Start TimeStamp]])*24</f>
        <v>0.24999999999999978</v>
      </c>
      <c r="U1300" s="35" t="s">
        <v>1924</v>
      </c>
      <c r="V1300" s="102" t="s">
        <v>293</v>
      </c>
      <c r="W1300" s="478">
        <f>IFERROR(Table6[[#This Row],[Breakdown Time]]*Table6[[#This Row],[Plant Equivalent Weightage]],"")</f>
        <v>9.6153846153846038E-3</v>
      </c>
      <c r="X1300" s="473" t="s">
        <v>290</v>
      </c>
      <c r="Y1300" s="474" t="s">
        <v>321</v>
      </c>
      <c r="Z1300" s="102">
        <v>45247</v>
      </c>
      <c r="AA1300" s="468">
        <f>(Table6[[#This Row],[Paired WTG Generation for loss calculation]]/24)*Table6[[#This Row],[Breakdown Time]]</f>
        <v>471.32291666666629</v>
      </c>
      <c r="AB1300" s="102"/>
      <c r="AC1300" s="35"/>
      <c r="AD1300" s="35"/>
    </row>
    <row r="1301" spans="1:30">
      <c r="A1301" s="102">
        <f t="shared" si="21"/>
        <v>1300</v>
      </c>
      <c r="B1301" s="468">
        <f>YEAR(Table6[[#This Row],[Date]])+IF(MONTH(Table6[[#This Row],[Date]])&gt;=4,1,0)</f>
        <v>2026</v>
      </c>
      <c r="C1301" s="102">
        <f>YEAR(Table6[[#This Row],[Date]])</f>
        <v>2025</v>
      </c>
      <c r="D1301" s="102" t="s">
        <v>1992</v>
      </c>
      <c r="E1301" s="469">
        <f>Table6[[#This Row],[Date]]-DAY(Table6[[#This Row],[Date]])+1</f>
        <v>45809</v>
      </c>
      <c r="F1301" s="470">
        <v>45832</v>
      </c>
      <c r="G1301" s="35" t="s">
        <v>81</v>
      </c>
      <c r="H1301" s="35" t="str">
        <f>IFERROR(_xlfn.XLOOKUP(Table6[[#This Row],[Affected WTG]],'Basic Data'!$A:$A,'Basic Data'!$B:$B),"")</f>
        <v>TQGXIIPL</v>
      </c>
      <c r="I1301" s="35" t="str">
        <f>IFERROR(_xlfn.XLOOKUP(Table6[[#This Row],[Affected WTG]],'Basic Data'!$A:$A,'Basic Data'!$C:$C),"")</f>
        <v>GEDA</v>
      </c>
      <c r="J1301" s="471">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291</v>
      </c>
      <c r="N1301" s="475"/>
      <c r="O1301" s="476">
        <v>0.34930555555555554</v>
      </c>
      <c r="P1301" s="476">
        <v>0.34930555555555554</v>
      </c>
      <c r="Q1301" s="477">
        <v>0.3576388888888889</v>
      </c>
      <c r="R1301" s="472">
        <f>IF(Table6[[#This Row],[Work Start TimeStamp]]="","",(Table6[[#This Row],[Work Start TimeStamp]]-Table6[[#This Row],[Fault Start TimeStamp]])*24)</f>
        <v>0</v>
      </c>
      <c r="S1301" s="472">
        <f>(Table6[[#This Row],[Fault Clearance time]]-Table6[[#This Row],[Work Start TimeStamp]])*24</f>
        <v>0.20000000000000062</v>
      </c>
      <c r="T1301" s="472">
        <f>(Table6[[#This Row],[Fault Clearance time]]-Table6[[#This Row],[Fault Start TimeStamp]])*24</f>
        <v>0.20000000000000062</v>
      </c>
      <c r="U1301" s="35" t="s">
        <v>1924</v>
      </c>
      <c r="V1301" s="102" t="s">
        <v>293</v>
      </c>
      <c r="W1301" s="478">
        <f>IFERROR(Table6[[#This Row],[Breakdown Time]]*Table6[[#This Row],[Plant Equivalent Weightage]],"")</f>
        <v>7.6923076923077136E-3</v>
      </c>
      <c r="X1301" s="473" t="s">
        <v>290</v>
      </c>
      <c r="Y1301" s="474" t="s">
        <v>321</v>
      </c>
      <c r="Z1301" s="102">
        <v>45247</v>
      </c>
      <c r="AA1301" s="468">
        <f>(Table6[[#This Row],[Paired WTG Generation for loss calculation]]/24)*Table6[[#This Row],[Breakdown Time]]</f>
        <v>377.05833333333453</v>
      </c>
      <c r="AB1301" s="102"/>
      <c r="AC1301" s="35"/>
      <c r="AD1301" s="35"/>
    </row>
    <row r="1302" spans="1:30">
      <c r="A1302" s="102">
        <f t="shared" si="21"/>
        <v>1301</v>
      </c>
      <c r="B1302" s="468">
        <f>YEAR(Table6[[#This Row],[Date]])+IF(MONTH(Table6[[#This Row],[Date]])&gt;=4,1,0)</f>
        <v>2026</v>
      </c>
      <c r="C1302" s="102">
        <f>YEAR(Table6[[#This Row],[Date]])</f>
        <v>2025</v>
      </c>
      <c r="D1302" s="102" t="s">
        <v>1992</v>
      </c>
      <c r="E1302" s="469">
        <f>Table6[[#This Row],[Date]]-DAY(Table6[[#This Row],[Date]])+1</f>
        <v>45809</v>
      </c>
      <c r="F1302" s="470">
        <v>45832</v>
      </c>
      <c r="G1302" s="35" t="s">
        <v>90</v>
      </c>
      <c r="H1302" s="35" t="str">
        <f>IFERROR(_xlfn.XLOOKUP(Table6[[#This Row],[Affected WTG]],'Basic Data'!$A:$A,'Basic Data'!$B:$B),"")</f>
        <v>TQGXIIPL</v>
      </c>
      <c r="I1302" s="35" t="str">
        <f>IFERROR(_xlfn.XLOOKUP(Table6[[#This Row],[Affected WTG]],'Basic Data'!$A:$A,'Basic Data'!$C:$C),"")</f>
        <v>GEDA</v>
      </c>
      <c r="J1302" s="471">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291</v>
      </c>
      <c r="N1302" s="475"/>
      <c r="O1302" s="476">
        <v>0.26319444444444445</v>
      </c>
      <c r="P1302" s="476">
        <v>0.26319444444444445</v>
      </c>
      <c r="Q1302" s="477">
        <v>0.26874999999999999</v>
      </c>
      <c r="R1302" s="472">
        <f>IF(Table6[[#This Row],[Work Start TimeStamp]]="","",(Table6[[#This Row],[Work Start TimeStamp]]-Table6[[#This Row],[Fault Start TimeStamp]])*24)</f>
        <v>0</v>
      </c>
      <c r="S1302" s="472">
        <f>(Table6[[#This Row],[Fault Clearance time]]-Table6[[#This Row],[Work Start TimeStamp]])*24</f>
        <v>0.13333333333333286</v>
      </c>
      <c r="T1302" s="472">
        <f>(Table6[[#This Row],[Fault Clearance time]]-Table6[[#This Row],[Fault Start TimeStamp]])*24</f>
        <v>0.13333333333333286</v>
      </c>
      <c r="U1302" s="35" t="s">
        <v>1924</v>
      </c>
      <c r="V1302" s="102" t="s">
        <v>293</v>
      </c>
      <c r="W1302" s="478">
        <f>IFERROR(Table6[[#This Row],[Breakdown Time]]*Table6[[#This Row],[Plant Equivalent Weightage]],"")</f>
        <v>5.1282051282051083E-3</v>
      </c>
      <c r="X1302" s="473" t="s">
        <v>290</v>
      </c>
      <c r="Y1302" s="474" t="s">
        <v>339</v>
      </c>
      <c r="Z1302" s="102">
        <v>40585</v>
      </c>
      <c r="AA1302" s="468">
        <f>(Table6[[#This Row],[Paired WTG Generation for loss calculation]]/24)*Table6[[#This Row],[Breakdown Time]]</f>
        <v>225.47222222222143</v>
      </c>
      <c r="AB1302" s="102"/>
      <c r="AC1302" s="35"/>
      <c r="AD1302" s="35"/>
    </row>
    <row r="1303" spans="1:30">
      <c r="A1303" s="102">
        <f t="shared" si="21"/>
        <v>1302</v>
      </c>
      <c r="B1303" s="468">
        <f>YEAR(Table6[[#This Row],[Date]])+IF(MONTH(Table6[[#This Row],[Date]])&gt;=4,1,0)</f>
        <v>2026</v>
      </c>
      <c r="C1303" s="102">
        <f>YEAR(Table6[[#This Row],[Date]])</f>
        <v>2025</v>
      </c>
      <c r="D1303" s="102" t="s">
        <v>1992</v>
      </c>
      <c r="E1303" s="469">
        <f>Table6[[#This Row],[Date]]-DAY(Table6[[#This Row],[Date]])+1</f>
        <v>45809</v>
      </c>
      <c r="F1303" s="470">
        <v>45832</v>
      </c>
      <c r="G1303" s="35" t="s">
        <v>91</v>
      </c>
      <c r="H1303" s="35" t="str">
        <f>IFERROR(_xlfn.XLOOKUP(Table6[[#This Row],[Affected WTG]],'Basic Data'!$A:$A,'Basic Data'!$B:$B),"")</f>
        <v>TQGXIIPL</v>
      </c>
      <c r="I1303" s="35" t="str">
        <f>IFERROR(_xlfn.XLOOKUP(Table6[[#This Row],[Affected WTG]],'Basic Data'!$A:$A,'Basic Data'!$C:$C),"")</f>
        <v>GEDA</v>
      </c>
      <c r="J1303" s="471">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291</v>
      </c>
      <c r="N1303" s="475"/>
      <c r="O1303" s="476">
        <v>3.2638888888888891E-2</v>
      </c>
      <c r="P1303" s="476">
        <v>3.2638888888888891E-2</v>
      </c>
      <c r="Q1303" s="477">
        <v>3.7499999999999999E-2</v>
      </c>
      <c r="R1303" s="472">
        <f>IF(Table6[[#This Row],[Work Start TimeStamp]]="","",(Table6[[#This Row],[Work Start TimeStamp]]-Table6[[#This Row],[Fault Start TimeStamp]])*24)</f>
        <v>0</v>
      </c>
      <c r="S1303" s="472">
        <f>(Table6[[#This Row],[Fault Clearance time]]-Table6[[#This Row],[Work Start TimeStamp]])*24</f>
        <v>0.11666666666666659</v>
      </c>
      <c r="T1303" s="472">
        <f>(Table6[[#This Row],[Fault Clearance time]]-Table6[[#This Row],[Fault Start TimeStamp]])*24</f>
        <v>0.11666666666666659</v>
      </c>
      <c r="U1303" s="35" t="s">
        <v>1924</v>
      </c>
      <c r="V1303" s="102" t="s">
        <v>293</v>
      </c>
      <c r="W1303" s="478">
        <f>IFERROR(Table6[[#This Row],[Breakdown Time]]*Table6[[#This Row],[Plant Equivalent Weightage]],"")</f>
        <v>4.4871794871794825E-3</v>
      </c>
      <c r="X1303" s="473" t="s">
        <v>290</v>
      </c>
      <c r="Y1303" s="474" t="s">
        <v>319</v>
      </c>
      <c r="Z1303" s="102">
        <v>42185</v>
      </c>
      <c r="AA1303" s="468">
        <f>(Table6[[#This Row],[Paired WTG Generation for loss calculation]]/24)*Table6[[#This Row],[Breakdown Time]]</f>
        <v>205.06597222222206</v>
      </c>
      <c r="AB1303" s="102"/>
      <c r="AC1303" s="35"/>
      <c r="AD1303" s="35"/>
    </row>
    <row r="1304" spans="1:30">
      <c r="A1304" s="102">
        <f t="shared" si="21"/>
        <v>1303</v>
      </c>
      <c r="B1304" s="468">
        <f>YEAR(Table6[[#This Row],[Date]])+IF(MONTH(Table6[[#This Row],[Date]])&gt;=4,1,0)</f>
        <v>2026</v>
      </c>
      <c r="C1304" s="102">
        <f>YEAR(Table6[[#This Row],[Date]])</f>
        <v>2025</v>
      </c>
      <c r="D1304" s="102" t="s">
        <v>1992</v>
      </c>
      <c r="E1304" s="469">
        <f>Table6[[#This Row],[Date]]-DAY(Table6[[#This Row],[Date]])+1</f>
        <v>45809</v>
      </c>
      <c r="F1304" s="470">
        <v>45832</v>
      </c>
      <c r="G1304" s="35" t="s">
        <v>91</v>
      </c>
      <c r="H1304" s="35" t="str">
        <f>IFERROR(_xlfn.XLOOKUP(Table6[[#This Row],[Affected WTG]],'Basic Data'!$A:$A,'Basic Data'!$B:$B),"")</f>
        <v>TQGXIIPL</v>
      </c>
      <c r="I1304" s="35" t="str">
        <f>IFERROR(_xlfn.XLOOKUP(Table6[[#This Row],[Affected WTG]],'Basic Data'!$A:$A,'Basic Data'!$C:$C),"")</f>
        <v>GEDA</v>
      </c>
      <c r="J1304" s="471">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291</v>
      </c>
      <c r="N1304" s="475"/>
      <c r="O1304" s="476">
        <v>0.62222222222222223</v>
      </c>
      <c r="P1304" s="476">
        <v>0.62222222222222223</v>
      </c>
      <c r="Q1304" s="477">
        <v>0.62708333333333333</v>
      </c>
      <c r="R1304" s="472">
        <f>IF(Table6[[#This Row],[Work Start TimeStamp]]="","",(Table6[[#This Row],[Work Start TimeStamp]]-Table6[[#This Row],[Fault Start TimeStamp]])*24)</f>
        <v>0</v>
      </c>
      <c r="S1304" s="472">
        <f>(Table6[[#This Row],[Fault Clearance time]]-Table6[[#This Row],[Work Start TimeStamp]])*24</f>
        <v>0.11666666666666625</v>
      </c>
      <c r="T1304" s="472">
        <f>(Table6[[#This Row],[Fault Clearance time]]-Table6[[#This Row],[Fault Start TimeStamp]])*24</f>
        <v>0.11666666666666625</v>
      </c>
      <c r="U1304" s="35" t="s">
        <v>1924</v>
      </c>
      <c r="V1304" s="102" t="s">
        <v>293</v>
      </c>
      <c r="W1304" s="478">
        <f>IFERROR(Table6[[#This Row],[Breakdown Time]]*Table6[[#This Row],[Plant Equivalent Weightage]],"")</f>
        <v>4.4871794871794695E-3</v>
      </c>
      <c r="X1304" s="473" t="s">
        <v>290</v>
      </c>
      <c r="Y1304" s="474" t="s">
        <v>319</v>
      </c>
      <c r="Z1304" s="102">
        <v>42185</v>
      </c>
      <c r="AA1304" s="468">
        <f>(Table6[[#This Row],[Paired WTG Generation for loss calculation]]/24)*Table6[[#This Row],[Breakdown Time]]</f>
        <v>205.06597222222149</v>
      </c>
      <c r="AB1304" s="102"/>
      <c r="AC1304" s="35"/>
      <c r="AD1304" s="35"/>
    </row>
    <row r="1305" spans="1:30">
      <c r="A1305" s="102">
        <f t="shared" si="21"/>
        <v>1304</v>
      </c>
      <c r="B1305" s="468">
        <f>YEAR(Table6[[#This Row],[Date]])+IF(MONTH(Table6[[#This Row],[Date]])&gt;=4,1,0)</f>
        <v>2026</v>
      </c>
      <c r="C1305" s="102">
        <f>YEAR(Table6[[#This Row],[Date]])</f>
        <v>2025</v>
      </c>
      <c r="D1305" s="102" t="s">
        <v>1992</v>
      </c>
      <c r="E1305" s="469">
        <f>Table6[[#This Row],[Date]]-DAY(Table6[[#This Row],[Date]])+1</f>
        <v>45809</v>
      </c>
      <c r="F1305" s="470">
        <v>45832</v>
      </c>
      <c r="G1305" s="35" t="s">
        <v>93</v>
      </c>
      <c r="H1305" s="35" t="str">
        <f>IFERROR(_xlfn.XLOOKUP(Table6[[#This Row],[Affected WTG]],'Basic Data'!$A:$A,'Basic Data'!$B:$B),"")</f>
        <v>TQGXIIPL</v>
      </c>
      <c r="I1305" s="35" t="str">
        <f>IFERROR(_xlfn.XLOOKUP(Table6[[#This Row],[Affected WTG]],'Basic Data'!$A:$A,'Basic Data'!$C:$C),"")</f>
        <v>GEDA</v>
      </c>
      <c r="J1305" s="471">
        <f>IFERROR(_xlfn.XLOOKUP(Table6[[#This Row],[Affected WTG]],'Basic Data'!$A:$A,'Basic Data'!$E:$E),"")</f>
        <v>3.846153846153845E-2</v>
      </c>
      <c r="K1305" s="102">
        <v>6130</v>
      </c>
      <c r="L1305" s="35" t="str">
        <f>IFERROR(_xlfn.XLOOKUP(Table6[[#This Row],[Error Code]],'Basic Data'!$AA:$AA,'Basic Data'!$AB:$AB),"Incorrect Error Code")</f>
        <v>Yaw speed high</v>
      </c>
      <c r="M1305" s="35" t="s">
        <v>292</v>
      </c>
      <c r="N1305" s="475"/>
      <c r="O1305" s="476">
        <v>0.23680555555555555</v>
      </c>
      <c r="P1305" s="476">
        <v>0.23680555555555555</v>
      </c>
      <c r="Q1305" s="477">
        <v>0.23958333333333334</v>
      </c>
      <c r="R1305" s="472">
        <f>IF(Table6[[#This Row],[Work Start TimeStamp]]="","",(Table6[[#This Row],[Work Start TimeStamp]]-Table6[[#This Row],[Fault Start TimeStamp]])*24)</f>
        <v>0</v>
      </c>
      <c r="S1305" s="472">
        <f>(Table6[[#This Row],[Fault Clearance time]]-Table6[[#This Row],[Work Start TimeStamp]])*24</f>
        <v>6.6666666666667096E-2</v>
      </c>
      <c r="T1305" s="472">
        <f>(Table6[[#This Row],[Fault Clearance time]]-Table6[[#This Row],[Fault Start TimeStamp]])*24</f>
        <v>6.6666666666667096E-2</v>
      </c>
      <c r="U1305" s="35" t="s">
        <v>336</v>
      </c>
      <c r="V1305" s="102" t="s">
        <v>293</v>
      </c>
      <c r="W1305" s="478">
        <f>IFERROR(Table6[[#This Row],[Breakdown Time]]*Table6[[#This Row],[Plant Equivalent Weightage]],"")</f>
        <v>2.5641025641025797E-3</v>
      </c>
      <c r="X1305" s="473" t="s">
        <v>294</v>
      </c>
      <c r="Y1305" s="474" t="s">
        <v>314</v>
      </c>
      <c r="Z1305" s="102">
        <v>43964</v>
      </c>
      <c r="AA1305" s="468">
        <f>(Table6[[#This Row],[Paired WTG Generation for loss calculation]]/24)*Table6[[#This Row],[Breakdown Time]]</f>
        <v>122.122222222223</v>
      </c>
      <c r="AB1305" s="102"/>
      <c r="AC1305" s="35"/>
      <c r="AD1305" s="35"/>
    </row>
    <row r="1306" spans="1:30">
      <c r="A1306" s="102">
        <f t="shared" si="21"/>
        <v>1305</v>
      </c>
      <c r="B1306" s="468">
        <f>YEAR(Table6[[#This Row],[Date]])+IF(MONTH(Table6[[#This Row],[Date]])&gt;=4,1,0)</f>
        <v>2026</v>
      </c>
      <c r="C1306" s="102">
        <f>YEAR(Table6[[#This Row],[Date]])</f>
        <v>2025</v>
      </c>
      <c r="D1306" s="102" t="s">
        <v>1992</v>
      </c>
      <c r="E1306" s="469">
        <f>Table6[[#This Row],[Date]]-DAY(Table6[[#This Row],[Date]])+1</f>
        <v>45809</v>
      </c>
      <c r="F1306" s="470">
        <v>45832</v>
      </c>
      <c r="G1306" s="35" t="s">
        <v>95</v>
      </c>
      <c r="H1306" s="35" t="str">
        <f>IFERROR(_xlfn.XLOOKUP(Table6[[#This Row],[Affected WTG]],'Basic Data'!$A:$A,'Basic Data'!$B:$B),"")</f>
        <v>TQGXIIPL</v>
      </c>
      <c r="I1306" s="35" t="str">
        <f>IFERROR(_xlfn.XLOOKUP(Table6[[#This Row],[Affected WTG]],'Basic Data'!$A:$A,'Basic Data'!$C:$C),"")</f>
        <v>GEDA</v>
      </c>
      <c r="J1306" s="471">
        <f>IFERROR(_xlfn.XLOOKUP(Table6[[#This Row],[Affected WTG]],'Basic Data'!$A:$A,'Basic Data'!$E:$E),"")</f>
        <v>3.846153846153845E-2</v>
      </c>
      <c r="K1306" s="102">
        <v>4970</v>
      </c>
      <c r="L1306" s="35" t="str">
        <f>IFERROR(_xlfn.XLOOKUP(Table6[[#This Row],[Error Code]],'Basic Data'!$AA:$AA,'Basic Data'!$AB:$AB),"Incorrect Error Code")</f>
        <v>Tower oscillation XF</v>
      </c>
      <c r="M1306" s="35" t="s">
        <v>292</v>
      </c>
      <c r="N1306" s="475"/>
      <c r="O1306" s="476">
        <v>3.888888888888889E-2</v>
      </c>
      <c r="P1306" s="476">
        <v>3.888888888888889E-2</v>
      </c>
      <c r="Q1306" s="477">
        <v>4.1666666666666664E-2</v>
      </c>
      <c r="R1306" s="472">
        <f>IF(Table6[[#This Row],[Work Start TimeStamp]]="","",(Table6[[#This Row],[Work Start TimeStamp]]-Table6[[#This Row],[Fault Start TimeStamp]])*24)</f>
        <v>0</v>
      </c>
      <c r="S1306" s="472">
        <f>(Table6[[#This Row],[Fault Clearance time]]-Table6[[#This Row],[Work Start TimeStamp]])*24</f>
        <v>6.6666666666666596E-2</v>
      </c>
      <c r="T1306" s="472">
        <f>(Table6[[#This Row],[Fault Clearance time]]-Table6[[#This Row],[Fault Start TimeStamp]])*24</f>
        <v>6.6666666666666596E-2</v>
      </c>
      <c r="U1306" s="35" t="s">
        <v>336</v>
      </c>
      <c r="V1306" s="102" t="s">
        <v>293</v>
      </c>
      <c r="W1306" s="478">
        <f>IFERROR(Table6[[#This Row],[Breakdown Time]]*Table6[[#This Row],[Plant Equivalent Weightage]],"")</f>
        <v>2.5641025641025606E-3</v>
      </c>
      <c r="X1306" s="473" t="s">
        <v>294</v>
      </c>
      <c r="Y1306" s="474" t="s">
        <v>319</v>
      </c>
      <c r="Z1306" s="102">
        <v>42185</v>
      </c>
      <c r="AA1306" s="468">
        <f>(Table6[[#This Row],[Paired WTG Generation for loss calculation]]/24)*Table6[[#This Row],[Breakdown Time]]</f>
        <v>117.18055555555543</v>
      </c>
      <c r="AB1306" s="102"/>
      <c r="AC1306" s="35"/>
      <c r="AD1306" s="35"/>
    </row>
    <row r="1307" spans="1:30">
      <c r="A1307" s="102">
        <f t="shared" si="21"/>
        <v>1306</v>
      </c>
      <c r="B1307" s="468">
        <f>YEAR(Table6[[#This Row],[Date]])+IF(MONTH(Table6[[#This Row],[Date]])&gt;=4,1,0)</f>
        <v>2026</v>
      </c>
      <c r="C1307" s="102">
        <f>YEAR(Table6[[#This Row],[Date]])</f>
        <v>2025</v>
      </c>
      <c r="D1307" s="102" t="s">
        <v>1992</v>
      </c>
      <c r="E1307" s="469">
        <f>Table6[[#This Row],[Date]]-DAY(Table6[[#This Row],[Date]])+1</f>
        <v>45809</v>
      </c>
      <c r="F1307" s="470">
        <v>45832</v>
      </c>
      <c r="G1307" s="35" t="s">
        <v>95</v>
      </c>
      <c r="H1307" s="35" t="str">
        <f>IFERROR(_xlfn.XLOOKUP(Table6[[#This Row],[Affected WTG]],'Basic Data'!$A:$A,'Basic Data'!$B:$B),"")</f>
        <v>TQGXIIPL</v>
      </c>
      <c r="I1307" s="35" t="str">
        <f>IFERROR(_xlfn.XLOOKUP(Table6[[#This Row],[Affected WTG]],'Basic Data'!$A:$A,'Basic Data'!$C:$C),"")</f>
        <v>GEDA</v>
      </c>
      <c r="J1307" s="471">
        <f>IFERROR(_xlfn.XLOOKUP(Table6[[#This Row],[Affected WTG]],'Basic Data'!$A:$A,'Basic Data'!$E:$E),"")</f>
        <v>3.846153846153845E-2</v>
      </c>
      <c r="K1307" s="102">
        <v>6130</v>
      </c>
      <c r="L1307" s="35" t="str">
        <f>IFERROR(_xlfn.XLOOKUP(Table6[[#This Row],[Error Code]],'Basic Data'!$AA:$AA,'Basic Data'!$AB:$AB),"Incorrect Error Code")</f>
        <v>Yaw speed high</v>
      </c>
      <c r="M1307" s="35" t="s">
        <v>292</v>
      </c>
      <c r="N1307" s="475"/>
      <c r="O1307" s="476">
        <v>0.11180555555555556</v>
      </c>
      <c r="P1307" s="476">
        <v>0.11180555555555556</v>
      </c>
      <c r="Q1307" s="477">
        <v>0.11319444444444444</v>
      </c>
      <c r="R1307" s="472">
        <f>IF(Table6[[#This Row],[Work Start TimeStamp]]="","",(Table6[[#This Row],[Work Start TimeStamp]]-Table6[[#This Row],[Fault Start TimeStamp]])*24)</f>
        <v>0</v>
      </c>
      <c r="S1307" s="472">
        <f>(Table6[[#This Row],[Fault Clearance time]]-Table6[[#This Row],[Work Start TimeStamp]])*24</f>
        <v>3.3333333333333215E-2</v>
      </c>
      <c r="T1307" s="472">
        <f>(Table6[[#This Row],[Fault Clearance time]]-Table6[[#This Row],[Fault Start TimeStamp]])*24</f>
        <v>3.3333333333333215E-2</v>
      </c>
      <c r="U1307" s="35" t="s">
        <v>336</v>
      </c>
      <c r="V1307" s="102" t="s">
        <v>293</v>
      </c>
      <c r="W1307" s="478">
        <f>IFERROR(Table6[[#This Row],[Breakdown Time]]*Table6[[#This Row],[Plant Equivalent Weightage]],"")</f>
        <v>1.2820512820512771E-3</v>
      </c>
      <c r="X1307" s="473" t="s">
        <v>294</v>
      </c>
      <c r="Y1307" s="474" t="s">
        <v>319</v>
      </c>
      <c r="Z1307" s="102">
        <v>42185</v>
      </c>
      <c r="AA1307" s="468">
        <f>(Table6[[#This Row],[Paired WTG Generation for loss calculation]]/24)*Table6[[#This Row],[Breakdown Time]]</f>
        <v>58.590277777777565</v>
      </c>
      <c r="AB1307" s="102"/>
      <c r="AC1307" s="35"/>
      <c r="AD1307" s="35"/>
    </row>
    <row r="1308" spans="1:30">
      <c r="A1308" s="102">
        <f t="shared" si="21"/>
        <v>1307</v>
      </c>
      <c r="B1308" s="468">
        <f>YEAR(Table6[[#This Row],[Date]])+IF(MONTH(Table6[[#This Row],[Date]])&gt;=4,1,0)</f>
        <v>2026</v>
      </c>
      <c r="C1308" s="102">
        <f>YEAR(Table6[[#This Row],[Date]])</f>
        <v>2025</v>
      </c>
      <c r="D1308" s="102" t="s">
        <v>1992</v>
      </c>
      <c r="E1308" s="469">
        <f>Table6[[#This Row],[Date]]-DAY(Table6[[#This Row],[Date]])+1</f>
        <v>45809</v>
      </c>
      <c r="F1308" s="470">
        <v>45832</v>
      </c>
      <c r="G1308" s="35" t="s">
        <v>85</v>
      </c>
      <c r="H1308" s="35" t="str">
        <f>IFERROR(_xlfn.XLOOKUP(Table6[[#This Row],[Affected WTG]],'Basic Data'!$A:$A,'Basic Data'!$B:$B),"")</f>
        <v>TQGXIIPL</v>
      </c>
      <c r="I1308" s="35" t="str">
        <f>IFERROR(_xlfn.XLOOKUP(Table6[[#This Row],[Affected WTG]],'Basic Data'!$A:$A,'Basic Data'!$C:$C),"")</f>
        <v>GEDA</v>
      </c>
      <c r="J1308" s="471">
        <f>IFERROR(_xlfn.XLOOKUP(Table6[[#This Row],[Affected WTG]],'Basic Data'!$A:$A,'Basic Data'!$E:$E),"")</f>
        <v>3.846153846153845E-2</v>
      </c>
      <c r="K1308" s="102">
        <v>55</v>
      </c>
      <c r="L1308" s="35" t="str">
        <f>IFERROR(_xlfn.XLOOKUP(Table6[[#This Row],[Error Code]],'Basic Data'!$AA:$AA,'Basic Data'!$AB:$AB),"Incorrect Error Code")</f>
        <v>WTG shut down</v>
      </c>
      <c r="M1308" s="35" t="s">
        <v>295</v>
      </c>
      <c r="N1308" s="475"/>
      <c r="O1308" s="476">
        <v>0</v>
      </c>
      <c r="P1308" s="476">
        <v>0</v>
      </c>
      <c r="Q1308" s="477">
        <v>0.99998842592592596</v>
      </c>
      <c r="R1308" s="472">
        <f>IF(Table6[[#This Row],[Work Start TimeStamp]]="","",(Table6[[#This Row],[Work Start TimeStamp]]-Table6[[#This Row],[Fault Start TimeStamp]])*24)</f>
        <v>0</v>
      </c>
      <c r="S1308" s="472">
        <f>(Table6[[#This Row],[Fault Clearance time]]-Table6[[#This Row],[Work Start TimeStamp]])*24</f>
        <v>23.999722222222225</v>
      </c>
      <c r="T1308" s="472">
        <f>(Table6[[#This Row],[Fault Clearance time]]-Table6[[#This Row],[Fault Start TimeStamp]])*24</f>
        <v>23.999722222222225</v>
      </c>
      <c r="U1308" s="35" t="s">
        <v>2006</v>
      </c>
      <c r="V1308" s="102" t="s">
        <v>289</v>
      </c>
      <c r="W1308" s="478">
        <f>IFERROR(Table6[[#This Row],[Breakdown Time]]*Table6[[#This Row],[Plant Equivalent Weightage]],"")</f>
        <v>0.9230662393162391</v>
      </c>
      <c r="X1308" s="473" t="s">
        <v>523</v>
      </c>
      <c r="Y1308" s="474" t="s">
        <v>322</v>
      </c>
      <c r="Z1308" s="102">
        <v>43210</v>
      </c>
      <c r="AA1308" s="468">
        <f>(Table6[[#This Row],[Paired WTG Generation for loss calculation]]/24)*Table6[[#This Row],[Breakdown Time]]</f>
        <v>43209.499884259269</v>
      </c>
      <c r="AB1308" s="102"/>
      <c r="AC1308" s="35"/>
      <c r="AD1308" s="35"/>
    </row>
    <row r="1309" spans="1:30">
      <c r="A1309" s="102">
        <f t="shared" si="21"/>
        <v>1308</v>
      </c>
      <c r="B1309" s="468">
        <f>YEAR(Table6[[#This Row],[Date]])+IF(MONTH(Table6[[#This Row],[Date]])&gt;=4,1,0)</f>
        <v>2026</v>
      </c>
      <c r="C1309" s="102">
        <f>YEAR(Table6[[#This Row],[Date]])</f>
        <v>2025</v>
      </c>
      <c r="D1309" s="102" t="s">
        <v>1992</v>
      </c>
      <c r="E1309" s="469">
        <f>Table6[[#This Row],[Date]]-DAY(Table6[[#This Row],[Date]])+1</f>
        <v>45809</v>
      </c>
      <c r="F1309" s="470">
        <v>45832</v>
      </c>
      <c r="G1309" s="35" t="s">
        <v>81</v>
      </c>
      <c r="H1309" s="35" t="str">
        <f>IFERROR(_xlfn.XLOOKUP(Table6[[#This Row],[Affected WTG]],'Basic Data'!$A:$A,'Basic Data'!$B:$B),"")</f>
        <v>TQGXIIPL</v>
      </c>
      <c r="I1309" s="35" t="str">
        <f>IFERROR(_xlfn.XLOOKUP(Table6[[#This Row],[Affected WTG]],'Basic Data'!$A:$A,'Basic Data'!$C:$C),"")</f>
        <v>GEDA</v>
      </c>
      <c r="J1309" s="471">
        <f>IFERROR(_xlfn.XLOOKUP(Table6[[#This Row],[Affected WTG]],'Basic Data'!$A:$A,'Basic Data'!$E:$E),"")</f>
        <v>3.846153846153845E-2</v>
      </c>
      <c r="K1309" s="102">
        <v>665</v>
      </c>
      <c r="L1309" s="35" t="str">
        <f>IFERROR(_xlfn.XLOOKUP(Table6[[#This Row],[Error Code]],'Basic Data'!$AA:$AA,'Basic Data'!$AB:$AB),"Incorrect Error Code")</f>
        <v>Pitch error</v>
      </c>
      <c r="M1309" s="35" t="s">
        <v>291</v>
      </c>
      <c r="N1309" s="475"/>
      <c r="O1309" s="476">
        <v>0.28125</v>
      </c>
      <c r="P1309" s="476">
        <v>0.28125</v>
      </c>
      <c r="Q1309" s="477">
        <v>0.34375</v>
      </c>
      <c r="R1309" s="472">
        <f>IF(Table6[[#This Row],[Work Start TimeStamp]]="","",(Table6[[#This Row],[Work Start TimeStamp]]-Table6[[#This Row],[Fault Start TimeStamp]])*24)</f>
        <v>0</v>
      </c>
      <c r="S1309" s="472">
        <f>(Table6[[#This Row],[Fault Clearance time]]-Table6[[#This Row],[Work Start TimeStamp]])*24</f>
        <v>1.5</v>
      </c>
      <c r="T1309" s="472">
        <f>(Table6[[#This Row],[Fault Clearance time]]-Table6[[#This Row],[Fault Start TimeStamp]])*24</f>
        <v>1.5</v>
      </c>
      <c r="U1309" s="35" t="s">
        <v>2007</v>
      </c>
      <c r="V1309" s="102" t="s">
        <v>293</v>
      </c>
      <c r="W1309" s="478">
        <f>IFERROR(Table6[[#This Row],[Breakdown Time]]*Table6[[#This Row],[Plant Equivalent Weightage]],"")</f>
        <v>5.7692307692307675E-2</v>
      </c>
      <c r="X1309" s="473" t="s">
        <v>290</v>
      </c>
      <c r="Y1309" s="474" t="s">
        <v>321</v>
      </c>
      <c r="Z1309" s="102">
        <v>45247</v>
      </c>
      <c r="AA1309" s="468">
        <f>(Table6[[#This Row],[Paired WTG Generation for loss calculation]]/24)*Table6[[#This Row],[Breakdown Time]]</f>
        <v>2827.9375</v>
      </c>
      <c r="AB1309" s="102"/>
      <c r="AC1309" s="35"/>
      <c r="AD1309" s="35"/>
    </row>
    <row r="1310" spans="1:30">
      <c r="A1310" s="102">
        <f t="shared" si="21"/>
        <v>1309</v>
      </c>
      <c r="B1310" s="468">
        <f>YEAR(Table6[[#This Row],[Date]])+IF(MONTH(Table6[[#This Row],[Date]])&gt;=4,1,0)</f>
        <v>2026</v>
      </c>
      <c r="C1310" s="102">
        <f>YEAR(Table6[[#This Row],[Date]])</f>
        <v>2025</v>
      </c>
      <c r="D1310" s="102" t="s">
        <v>1992</v>
      </c>
      <c r="E1310" s="469">
        <f>Table6[[#This Row],[Date]]-DAY(Table6[[#This Row],[Date]])+1</f>
        <v>45809</v>
      </c>
      <c r="F1310" s="470">
        <v>45833</v>
      </c>
      <c r="G1310" s="35" t="s">
        <v>74</v>
      </c>
      <c r="H1310" s="35" t="str">
        <f>IFERROR(_xlfn.XLOOKUP(Table6[[#This Row],[Affected WTG]],'Basic Data'!$A:$A,'Basic Data'!$B:$B),"")</f>
        <v>TQGXIIPL</v>
      </c>
      <c r="I1310" s="35" t="str">
        <f>IFERROR(_xlfn.XLOOKUP(Table6[[#This Row],[Affected WTG]],'Basic Data'!$A:$A,'Basic Data'!$C:$C),"")</f>
        <v>GEDA</v>
      </c>
      <c r="J1310" s="471">
        <f>IFERROR(_xlfn.XLOOKUP(Table6[[#This Row],[Affected WTG]],'Basic Data'!$A:$A,'Basic Data'!$E:$E),"")</f>
        <v>3.846153846153845E-2</v>
      </c>
      <c r="K1310" s="102">
        <v>175</v>
      </c>
      <c r="L1310" s="35" t="str">
        <f>IFERROR(_xlfn.XLOOKUP(Table6[[#This Row],[Error Code]],'Basic Data'!$AA:$AA,'Basic Data'!$AB:$AB),"Incorrect Error Code")</f>
        <v>SLC error</v>
      </c>
      <c r="M1310" s="35" t="s">
        <v>291</v>
      </c>
      <c r="N1310" s="475"/>
      <c r="O1310" s="476">
        <v>0.28611111111111109</v>
      </c>
      <c r="P1310" s="476">
        <v>0.28611111111111109</v>
      </c>
      <c r="Q1310" s="477">
        <v>0.28749999999999998</v>
      </c>
      <c r="R1310" s="472">
        <f>IF(Table6[[#This Row],[Work Start TimeStamp]]="","",(Table6[[#This Row],[Work Start TimeStamp]]-Table6[[#This Row],[Fault Start TimeStamp]])*24)</f>
        <v>0</v>
      </c>
      <c r="S1310" s="472">
        <f>(Table6[[#This Row],[Fault Clearance time]]-Table6[[#This Row],[Work Start TimeStamp]])*24</f>
        <v>3.3333333333333215E-2</v>
      </c>
      <c r="T1310" s="472">
        <f>(Table6[[#This Row],[Fault Clearance time]]-Table6[[#This Row],[Fault Start TimeStamp]])*24</f>
        <v>3.3333333333333215E-2</v>
      </c>
      <c r="U1310" s="35" t="s">
        <v>1924</v>
      </c>
      <c r="V1310" s="102" t="s">
        <v>293</v>
      </c>
      <c r="W1310" s="478">
        <f>IFERROR(Table6[[#This Row],[Breakdown Time]]*Table6[[#This Row],[Plant Equivalent Weightage]],"")</f>
        <v>1.2820512820512771E-3</v>
      </c>
      <c r="X1310" s="473" t="s">
        <v>290</v>
      </c>
      <c r="Y1310" s="474" t="s">
        <v>321</v>
      </c>
      <c r="Z1310" s="102">
        <v>9536</v>
      </c>
      <c r="AA1310" s="468">
        <f>(Table6[[#This Row],[Paired WTG Generation for loss calculation]]/24)*Table6[[#This Row],[Breakdown Time]]</f>
        <v>13.244444444444397</v>
      </c>
      <c r="AB1310" s="102"/>
      <c r="AC1310" s="35"/>
      <c r="AD1310" s="35"/>
    </row>
    <row r="1311" spans="1:30">
      <c r="A1311" s="102">
        <f t="shared" si="21"/>
        <v>1310</v>
      </c>
      <c r="B1311" s="468">
        <f>YEAR(Table6[[#This Row],[Date]])+IF(MONTH(Table6[[#This Row],[Date]])&gt;=4,1,0)</f>
        <v>2026</v>
      </c>
      <c r="C1311" s="102">
        <f>YEAR(Table6[[#This Row],[Date]])</f>
        <v>2025</v>
      </c>
      <c r="D1311" s="102" t="s">
        <v>1992</v>
      </c>
      <c r="E1311" s="469">
        <f>Table6[[#This Row],[Date]]-DAY(Table6[[#This Row],[Date]])+1</f>
        <v>45809</v>
      </c>
      <c r="F1311" s="470">
        <v>45833</v>
      </c>
      <c r="G1311" s="35" t="s">
        <v>75</v>
      </c>
      <c r="H1311" s="35" t="str">
        <f>IFERROR(_xlfn.XLOOKUP(Table6[[#This Row],[Affected WTG]],'Basic Data'!$A:$A,'Basic Data'!$B:$B),"")</f>
        <v>TQGXIIPL</v>
      </c>
      <c r="I1311" s="35" t="str">
        <f>IFERROR(_xlfn.XLOOKUP(Table6[[#This Row],[Affected WTG]],'Basic Data'!$A:$A,'Basic Data'!$C:$C),"")</f>
        <v>GEDA</v>
      </c>
      <c r="J1311" s="471">
        <f>IFERROR(_xlfn.XLOOKUP(Table6[[#This Row],[Affected WTG]],'Basic Data'!$A:$A,'Basic Data'!$E:$E),"")</f>
        <v>3.846153846153845E-2</v>
      </c>
      <c r="K1311" s="102">
        <v>55</v>
      </c>
      <c r="L1311" s="35" t="str">
        <f>IFERROR(_xlfn.XLOOKUP(Table6[[#This Row],[Error Code]],'Basic Data'!$AA:$AA,'Basic Data'!$AB:$AB),"Incorrect Error Code")</f>
        <v>WTG shut down</v>
      </c>
      <c r="M1311" s="35" t="s">
        <v>291</v>
      </c>
      <c r="N1311" s="475"/>
      <c r="O1311" s="476">
        <v>0.95694444444444449</v>
      </c>
      <c r="P1311" s="476">
        <v>0.95694444444444449</v>
      </c>
      <c r="Q1311" s="477">
        <v>1</v>
      </c>
      <c r="R1311" s="472">
        <f>IF(Table6[[#This Row],[Work Start TimeStamp]]="","",(Table6[[#This Row],[Work Start TimeStamp]]-Table6[[#This Row],[Fault Start TimeStamp]])*24)</f>
        <v>0</v>
      </c>
      <c r="S1311" s="472">
        <f>(Table6[[#This Row],[Fault Clearance time]]-Table6[[#This Row],[Work Start TimeStamp]])*24</f>
        <v>1.0333333333333323</v>
      </c>
      <c r="T1311" s="472">
        <f>(Table6[[#This Row],[Fault Clearance time]]-Table6[[#This Row],[Fault Start TimeStamp]])*24</f>
        <v>1.0333333333333323</v>
      </c>
      <c r="U1311" s="35" t="s">
        <v>2008</v>
      </c>
      <c r="V1311" s="102" t="s">
        <v>293</v>
      </c>
      <c r="W1311" s="478">
        <f>IFERROR(Table6[[#This Row],[Breakdown Time]]*Table6[[#This Row],[Plant Equivalent Weightage]],"")</f>
        <v>3.9743589743589693E-2</v>
      </c>
      <c r="X1311" s="473" t="s">
        <v>290</v>
      </c>
      <c r="Y1311" s="474" t="s">
        <v>318</v>
      </c>
      <c r="Z1311" s="102">
        <v>10550</v>
      </c>
      <c r="AA1311" s="468">
        <f>(Table6[[#This Row],[Paired WTG Generation for loss calculation]]/24)*Table6[[#This Row],[Breakdown Time]]</f>
        <v>454.23611111111063</v>
      </c>
      <c r="AB1311" s="102"/>
      <c r="AC1311" s="35"/>
      <c r="AD1311" s="35"/>
    </row>
    <row r="1312" spans="1:30">
      <c r="A1312" s="102">
        <f t="shared" si="21"/>
        <v>1311</v>
      </c>
      <c r="B1312" s="468">
        <f>YEAR(Table6[[#This Row],[Date]])+IF(MONTH(Table6[[#This Row],[Date]])&gt;=4,1,0)</f>
        <v>2026</v>
      </c>
      <c r="C1312" s="102">
        <f>YEAR(Table6[[#This Row],[Date]])</f>
        <v>2025</v>
      </c>
      <c r="D1312" s="102" t="s">
        <v>1992</v>
      </c>
      <c r="E1312" s="469">
        <f>Table6[[#This Row],[Date]]-DAY(Table6[[#This Row],[Date]])+1</f>
        <v>45809</v>
      </c>
      <c r="F1312" s="470">
        <v>45833</v>
      </c>
      <c r="G1312" s="35" t="s">
        <v>85</v>
      </c>
      <c r="H1312" s="35" t="str">
        <f>IFERROR(_xlfn.XLOOKUP(Table6[[#This Row],[Affected WTG]],'Basic Data'!$A:$A,'Basic Data'!$B:$B),"")</f>
        <v>TQGXIIPL</v>
      </c>
      <c r="I1312" s="35" t="str">
        <f>IFERROR(_xlfn.XLOOKUP(Table6[[#This Row],[Affected WTG]],'Basic Data'!$A:$A,'Basic Data'!$C:$C),"")</f>
        <v>GEDA</v>
      </c>
      <c r="J1312" s="471">
        <f>IFERROR(_xlfn.XLOOKUP(Table6[[#This Row],[Affected WTG]],'Basic Data'!$A:$A,'Basic Data'!$E:$E),"")</f>
        <v>3.846153846153845E-2</v>
      </c>
      <c r="K1312" s="102">
        <v>55</v>
      </c>
      <c r="L1312" s="35" t="str">
        <f>IFERROR(_xlfn.XLOOKUP(Table6[[#This Row],[Error Code]],'Basic Data'!$AA:$AA,'Basic Data'!$AB:$AB),"Incorrect Error Code")</f>
        <v>WTG shut down</v>
      </c>
      <c r="M1312" s="35" t="s">
        <v>295</v>
      </c>
      <c r="N1312" s="475"/>
      <c r="O1312" s="476">
        <v>0</v>
      </c>
      <c r="P1312" s="476">
        <v>0</v>
      </c>
      <c r="Q1312" s="477">
        <v>0.99998842592592596</v>
      </c>
      <c r="R1312" s="472">
        <f>IF(Table6[[#This Row],[Work Start TimeStamp]]="","",(Table6[[#This Row],[Work Start TimeStamp]]-Table6[[#This Row],[Fault Start TimeStamp]])*24)</f>
        <v>0</v>
      </c>
      <c r="S1312" s="472">
        <f>(Table6[[#This Row],[Fault Clearance time]]-Table6[[#This Row],[Work Start TimeStamp]])*24</f>
        <v>23.999722222222225</v>
      </c>
      <c r="T1312" s="472">
        <f>(Table6[[#This Row],[Fault Clearance time]]-Table6[[#This Row],[Fault Start TimeStamp]])*24</f>
        <v>23.999722222222225</v>
      </c>
      <c r="U1312" s="531" t="s">
        <v>2012</v>
      </c>
      <c r="V1312" s="102" t="s">
        <v>289</v>
      </c>
      <c r="W1312" s="478">
        <f>IFERROR(Table6[[#This Row],[Breakdown Time]]*Table6[[#This Row],[Plant Equivalent Weightage]],"")</f>
        <v>0.9230662393162391</v>
      </c>
      <c r="X1312" s="473" t="s">
        <v>523</v>
      </c>
      <c r="Y1312" s="474" t="s">
        <v>322</v>
      </c>
      <c r="Z1312" s="102">
        <v>8612</v>
      </c>
      <c r="AA1312" s="468">
        <f>(Table6[[#This Row],[Paired WTG Generation for loss calculation]]/24)*Table6[[#This Row],[Breakdown Time]]</f>
        <v>8611.9003240740749</v>
      </c>
      <c r="AB1312" s="102"/>
      <c r="AC1312" s="35"/>
      <c r="AD1312" s="35"/>
    </row>
    <row r="1313" spans="1:30">
      <c r="A1313" s="102">
        <f t="shared" si="21"/>
        <v>1312</v>
      </c>
      <c r="B1313" s="468">
        <f>YEAR(Table6[[#This Row],[Date]])+IF(MONTH(Table6[[#This Row],[Date]])&gt;=4,1,0)</f>
        <v>2026</v>
      </c>
      <c r="C1313" s="102">
        <f>YEAR(Table6[[#This Row],[Date]])</f>
        <v>2025</v>
      </c>
      <c r="D1313" s="102" t="s">
        <v>1992</v>
      </c>
      <c r="E1313" s="469">
        <f>Table6[[#This Row],[Date]]-DAY(Table6[[#This Row],[Date]])+1</f>
        <v>45809</v>
      </c>
      <c r="F1313" s="470">
        <v>45833</v>
      </c>
      <c r="G1313" s="35" t="s">
        <v>86</v>
      </c>
      <c r="H1313" s="35" t="str">
        <f>IFERROR(_xlfn.XLOOKUP(Table6[[#This Row],[Affected WTG]],'Basic Data'!$A:$A,'Basic Data'!$B:$B),"")</f>
        <v>TQGXIIPL</v>
      </c>
      <c r="I1313" s="35" t="str">
        <f>IFERROR(_xlfn.XLOOKUP(Table6[[#This Row],[Affected WTG]],'Basic Data'!$A:$A,'Basic Data'!$C:$C),"")</f>
        <v>GEDA</v>
      </c>
      <c r="J1313" s="471">
        <f>IFERROR(_xlfn.XLOOKUP(Table6[[#This Row],[Affected WTG]],'Basic Data'!$A:$A,'Basic Data'!$E:$E),"")</f>
        <v>3.846153846153845E-2</v>
      </c>
      <c r="K1313" s="102">
        <v>55</v>
      </c>
      <c r="L1313" s="35" t="str">
        <f>IFERROR(_xlfn.XLOOKUP(Table6[[#This Row],[Error Code]],'Basic Data'!$AA:$AA,'Basic Data'!$AB:$AB),"Incorrect Error Code")</f>
        <v>WTG shut down</v>
      </c>
      <c r="M1313" s="35" t="s">
        <v>291</v>
      </c>
      <c r="N1313" s="475"/>
      <c r="O1313" s="476">
        <v>0.44166666666666665</v>
      </c>
      <c r="P1313" s="476">
        <v>0.44166666666666665</v>
      </c>
      <c r="Q1313" s="477">
        <v>0.4777777777777778</v>
      </c>
      <c r="R1313" s="472">
        <f>IF(Table6[[#This Row],[Work Start TimeStamp]]="","",(Table6[[#This Row],[Work Start TimeStamp]]-Table6[[#This Row],[Fault Start TimeStamp]])*24)</f>
        <v>0</v>
      </c>
      <c r="S1313" s="472">
        <f>(Table6[[#This Row],[Fault Clearance time]]-Table6[[#This Row],[Work Start TimeStamp]])*24</f>
        <v>0.86666666666666758</v>
      </c>
      <c r="T1313" s="472">
        <f>(Table6[[#This Row],[Fault Clearance time]]-Table6[[#This Row],[Fault Start TimeStamp]])*24</f>
        <v>0.86666666666666758</v>
      </c>
      <c r="U1313" s="35" t="s">
        <v>2009</v>
      </c>
      <c r="V1313" s="102" t="s">
        <v>293</v>
      </c>
      <c r="W1313" s="478">
        <f>IFERROR(Table6[[#This Row],[Breakdown Time]]*Table6[[#This Row],[Plant Equivalent Weightage]],"")</f>
        <v>3.3333333333333361E-2</v>
      </c>
      <c r="X1313" s="473" t="s">
        <v>290</v>
      </c>
      <c r="Y1313" s="474" t="s">
        <v>313</v>
      </c>
      <c r="Z1313" s="102">
        <v>10093</v>
      </c>
      <c r="AA1313" s="468">
        <f>(Table6[[#This Row],[Paired WTG Generation for loss calculation]]/24)*Table6[[#This Row],[Breakdown Time]]</f>
        <v>364.46944444444483</v>
      </c>
      <c r="AB1313" s="102"/>
      <c r="AC1313" s="35"/>
      <c r="AD1313" s="35"/>
    </row>
    <row r="1314" spans="1:30">
      <c r="A1314" s="102">
        <f t="shared" si="21"/>
        <v>1313</v>
      </c>
      <c r="B1314" s="468">
        <f>YEAR(Table6[[#This Row],[Date]])+IF(MONTH(Table6[[#This Row],[Date]])&gt;=4,1,0)</f>
        <v>2026</v>
      </c>
      <c r="C1314" s="102">
        <f>YEAR(Table6[[#This Row],[Date]])</f>
        <v>2025</v>
      </c>
      <c r="D1314" s="102" t="s">
        <v>1992</v>
      </c>
      <c r="E1314" s="469">
        <f>Table6[[#This Row],[Date]]-DAY(Table6[[#This Row],[Date]])+1</f>
        <v>45809</v>
      </c>
      <c r="F1314" s="470">
        <v>45833</v>
      </c>
      <c r="G1314" s="35" t="s">
        <v>90</v>
      </c>
      <c r="H1314" s="35" t="str">
        <f>IFERROR(_xlfn.XLOOKUP(Table6[[#This Row],[Affected WTG]],'Basic Data'!$A:$A,'Basic Data'!$B:$B),"")</f>
        <v>TQGXIIPL</v>
      </c>
      <c r="I1314" s="35" t="str">
        <f>IFERROR(_xlfn.XLOOKUP(Table6[[#This Row],[Affected WTG]],'Basic Data'!$A:$A,'Basic Data'!$C:$C),"")</f>
        <v>GEDA</v>
      </c>
      <c r="J1314" s="471">
        <f>IFERROR(_xlfn.XLOOKUP(Table6[[#This Row],[Affected WTG]],'Basic Data'!$A:$A,'Basic Data'!$E:$E),"")</f>
        <v>3.846153846153845E-2</v>
      </c>
      <c r="K1314" s="102">
        <v>550</v>
      </c>
      <c r="L1314" s="35" t="str">
        <f>IFERROR(_xlfn.XLOOKUP(Table6[[#This Row],[Error Code]],'Basic Data'!$AA:$AA,'Basic Data'!$AB:$AB),"Incorrect Error Code")</f>
        <v>Pitch current asymmetry</v>
      </c>
      <c r="M1314" s="35" t="s">
        <v>291</v>
      </c>
      <c r="N1314" s="475"/>
      <c r="O1314" s="476">
        <v>0.25486111111111109</v>
      </c>
      <c r="P1314" s="476">
        <v>0.25486111111111109</v>
      </c>
      <c r="Q1314" s="477">
        <v>0.2638888888888889</v>
      </c>
      <c r="R1314" s="472">
        <f>IF(Table6[[#This Row],[Work Start TimeStamp]]="","",(Table6[[#This Row],[Work Start TimeStamp]]-Table6[[#This Row],[Fault Start TimeStamp]])*24)</f>
        <v>0</v>
      </c>
      <c r="S1314" s="472">
        <f>(Table6[[#This Row],[Fault Clearance time]]-Table6[[#This Row],[Work Start TimeStamp]])*24</f>
        <v>0.21666666666666723</v>
      </c>
      <c r="T1314" s="472">
        <f>(Table6[[#This Row],[Fault Clearance time]]-Table6[[#This Row],[Fault Start TimeStamp]])*24</f>
        <v>0.21666666666666723</v>
      </c>
      <c r="U1314" s="35" t="s">
        <v>1924</v>
      </c>
      <c r="V1314" s="102" t="s">
        <v>293</v>
      </c>
      <c r="W1314" s="478">
        <f>IFERROR(Table6[[#This Row],[Breakdown Time]]*Table6[[#This Row],[Plant Equivalent Weightage]],"")</f>
        <v>8.3333333333333523E-3</v>
      </c>
      <c r="X1314" s="473" t="s">
        <v>290</v>
      </c>
      <c r="Y1314" s="474" t="s">
        <v>339</v>
      </c>
      <c r="Z1314" s="102">
        <v>14081</v>
      </c>
      <c r="AA1314" s="468">
        <f>(Table6[[#This Row],[Paired WTG Generation for loss calculation]]/24)*Table6[[#This Row],[Breakdown Time]]</f>
        <v>127.12013888888923</v>
      </c>
      <c r="AB1314" s="102"/>
      <c r="AC1314" s="35"/>
      <c r="AD1314" s="35"/>
    </row>
    <row r="1315" spans="1:30">
      <c r="A1315" s="102">
        <f t="shared" si="21"/>
        <v>1314</v>
      </c>
      <c r="B1315" s="468">
        <f>YEAR(Table6[[#This Row],[Date]])+IF(MONTH(Table6[[#This Row],[Date]])&gt;=4,1,0)</f>
        <v>2026</v>
      </c>
      <c r="C1315" s="102">
        <f>YEAR(Table6[[#This Row],[Date]])</f>
        <v>2025</v>
      </c>
      <c r="D1315" s="102" t="s">
        <v>1992</v>
      </c>
      <c r="E1315" s="469">
        <f>Table6[[#This Row],[Date]]-DAY(Table6[[#This Row],[Date]])+1</f>
        <v>45809</v>
      </c>
      <c r="F1315" s="470">
        <v>45833</v>
      </c>
      <c r="G1315" s="35" t="s">
        <v>91</v>
      </c>
      <c r="H1315" s="35" t="str">
        <f>IFERROR(_xlfn.XLOOKUP(Table6[[#This Row],[Affected WTG]],'Basic Data'!$A:$A,'Basic Data'!$B:$B),"")</f>
        <v>TQGXIIPL</v>
      </c>
      <c r="I1315" s="35" t="str">
        <f>IFERROR(_xlfn.XLOOKUP(Table6[[#This Row],[Affected WTG]],'Basic Data'!$A:$A,'Basic Data'!$C:$C),"")</f>
        <v>GEDA</v>
      </c>
      <c r="J1315" s="471">
        <f>IFERROR(_xlfn.XLOOKUP(Table6[[#This Row],[Affected WTG]],'Basic Data'!$A:$A,'Basic Data'!$E:$E),"")</f>
        <v>3.846153846153845E-2</v>
      </c>
      <c r="K1315" s="102">
        <v>55</v>
      </c>
      <c r="L1315" s="35" t="str">
        <f>IFERROR(_xlfn.XLOOKUP(Table6[[#This Row],[Error Code]],'Basic Data'!$AA:$AA,'Basic Data'!$AB:$AB),"Incorrect Error Code")</f>
        <v>WTG shut down</v>
      </c>
      <c r="M1315" s="35" t="s">
        <v>291</v>
      </c>
      <c r="N1315" s="475"/>
      <c r="O1315" s="476">
        <v>0.71111111111111114</v>
      </c>
      <c r="P1315" s="476">
        <v>0.71111111111111114</v>
      </c>
      <c r="Q1315" s="477">
        <v>0.76944444444444449</v>
      </c>
      <c r="R1315" s="472">
        <f>IF(Table6[[#This Row],[Work Start TimeStamp]]="","",(Table6[[#This Row],[Work Start TimeStamp]]-Table6[[#This Row],[Fault Start TimeStamp]])*24)</f>
        <v>0</v>
      </c>
      <c r="S1315" s="472">
        <f>(Table6[[#This Row],[Fault Clearance time]]-Table6[[#This Row],[Work Start TimeStamp]])*24</f>
        <v>1.4000000000000004</v>
      </c>
      <c r="T1315" s="472">
        <f>(Table6[[#This Row],[Fault Clearance time]]-Table6[[#This Row],[Fault Start TimeStamp]])*24</f>
        <v>1.4000000000000004</v>
      </c>
      <c r="U1315" s="35" t="s">
        <v>2010</v>
      </c>
      <c r="V1315" s="102" t="s">
        <v>293</v>
      </c>
      <c r="W1315" s="478">
        <f>IFERROR(Table6[[#This Row],[Breakdown Time]]*Table6[[#This Row],[Plant Equivalent Weightage]],"")</f>
        <v>5.3846153846153842E-2</v>
      </c>
      <c r="X1315" s="473" t="s">
        <v>290</v>
      </c>
      <c r="Y1315" s="474" t="s">
        <v>319</v>
      </c>
      <c r="Z1315" s="102">
        <v>13541</v>
      </c>
      <c r="AA1315" s="468">
        <f>(Table6[[#This Row],[Paired WTG Generation for loss calculation]]/24)*Table6[[#This Row],[Breakdown Time]]</f>
        <v>789.89166666666688</v>
      </c>
      <c r="AB1315" s="102"/>
      <c r="AC1315" s="35"/>
      <c r="AD1315" s="35"/>
    </row>
    <row r="1316" spans="1:30">
      <c r="A1316" s="102">
        <f t="shared" si="21"/>
        <v>1315</v>
      </c>
      <c r="B1316" s="468">
        <f>YEAR(Table6[[#This Row],[Date]])+IF(MONTH(Table6[[#This Row],[Date]])&gt;=4,1,0)</f>
        <v>2026</v>
      </c>
      <c r="C1316" s="102">
        <f>YEAR(Table6[[#This Row],[Date]])</f>
        <v>2025</v>
      </c>
      <c r="D1316" s="102" t="s">
        <v>1992</v>
      </c>
      <c r="E1316" s="469">
        <f>Table6[[#This Row],[Date]]-DAY(Table6[[#This Row],[Date]])+1</f>
        <v>45809</v>
      </c>
      <c r="F1316" s="470">
        <v>45834</v>
      </c>
      <c r="G1316" s="35" t="s">
        <v>75</v>
      </c>
      <c r="H1316" s="35" t="str">
        <f>IFERROR(_xlfn.XLOOKUP(Table6[[#This Row],[Affected WTG]],'Basic Data'!$A:$A,'Basic Data'!$B:$B),"")</f>
        <v>TQGXIIPL</v>
      </c>
      <c r="I1316" s="35" t="str">
        <f>IFERROR(_xlfn.XLOOKUP(Table6[[#This Row],[Affected WTG]],'Basic Data'!$A:$A,'Basic Data'!$C:$C),"")</f>
        <v>GEDA</v>
      </c>
      <c r="J1316" s="471">
        <f>IFERROR(_xlfn.XLOOKUP(Table6[[#This Row],[Affected WTG]],'Basic Data'!$A:$A,'Basic Data'!$E:$E),"")</f>
        <v>3.846153846153845E-2</v>
      </c>
      <c r="K1316" s="102">
        <v>55</v>
      </c>
      <c r="L1316" s="35" t="str">
        <f>IFERROR(_xlfn.XLOOKUP(Table6[[#This Row],[Error Code]],'Basic Data'!$AA:$AA,'Basic Data'!$AB:$AB),"Incorrect Error Code")</f>
        <v>WTG shut down</v>
      </c>
      <c r="M1316" s="35" t="s">
        <v>291</v>
      </c>
      <c r="N1316" s="475"/>
      <c r="O1316" s="476">
        <v>0</v>
      </c>
      <c r="P1316" s="476">
        <v>0</v>
      </c>
      <c r="Q1316" s="477">
        <v>2.5694444444444443E-2</v>
      </c>
      <c r="R1316" s="472">
        <f>IF(Table6[[#This Row],[Work Start TimeStamp]]="","",(Table6[[#This Row],[Work Start TimeStamp]]-Table6[[#This Row],[Fault Start TimeStamp]])*24)</f>
        <v>0</v>
      </c>
      <c r="S1316" s="472">
        <f>(Table6[[#This Row],[Fault Clearance time]]-Table6[[#This Row],[Work Start TimeStamp]])*24</f>
        <v>0.6166666666666667</v>
      </c>
      <c r="T1316" s="472">
        <f>(Table6[[#This Row],[Fault Clearance time]]-Table6[[#This Row],[Fault Start TimeStamp]])*24</f>
        <v>0.6166666666666667</v>
      </c>
      <c r="U1316" s="35" t="s">
        <v>2013</v>
      </c>
      <c r="V1316" s="102" t="s">
        <v>293</v>
      </c>
      <c r="W1316" s="478">
        <f>IFERROR(Table6[[#This Row],[Breakdown Time]]*Table6[[#This Row],[Plant Equivalent Weightage]],"")</f>
        <v>2.3717948717948713E-2</v>
      </c>
      <c r="X1316" s="473" t="s">
        <v>290</v>
      </c>
      <c r="Y1316" s="474" t="s">
        <v>318</v>
      </c>
      <c r="Z1316" s="102">
        <v>6206</v>
      </c>
      <c r="AA1316" s="468">
        <f>(Table6[[#This Row],[Paired WTG Generation for loss calculation]]/24)*Table6[[#This Row],[Breakdown Time]]</f>
        <v>159.45972222222221</v>
      </c>
      <c r="AB1316" s="102"/>
      <c r="AC1316" s="35"/>
      <c r="AD1316" s="35"/>
    </row>
    <row r="1317" spans="1:30">
      <c r="A1317" s="102">
        <f t="shared" si="21"/>
        <v>1316</v>
      </c>
      <c r="B1317" s="468">
        <f>YEAR(Table6[[#This Row],[Date]])+IF(MONTH(Table6[[#This Row],[Date]])&gt;=4,1,0)</f>
        <v>2026</v>
      </c>
      <c r="C1317" s="102">
        <f>YEAR(Table6[[#This Row],[Date]])</f>
        <v>2025</v>
      </c>
      <c r="D1317" s="102" t="s">
        <v>1992</v>
      </c>
      <c r="E1317" s="469">
        <f>Table6[[#This Row],[Date]]-DAY(Table6[[#This Row],[Date]])+1</f>
        <v>45809</v>
      </c>
      <c r="F1317" s="470">
        <v>45834</v>
      </c>
      <c r="G1317" s="35" t="s">
        <v>80</v>
      </c>
      <c r="H1317" s="35" t="str">
        <f>IFERROR(_xlfn.XLOOKUP(Table6[[#This Row],[Affected WTG]],'Basic Data'!$A:$A,'Basic Data'!$B:$B),"")</f>
        <v>TQGXIIPL</v>
      </c>
      <c r="I1317" s="35" t="str">
        <f>IFERROR(_xlfn.XLOOKUP(Table6[[#This Row],[Affected WTG]],'Basic Data'!$A:$A,'Basic Data'!$C:$C),"")</f>
        <v>GEDA</v>
      </c>
      <c r="J1317" s="471">
        <f>IFERROR(_xlfn.XLOOKUP(Table6[[#This Row],[Affected WTG]],'Basic Data'!$A:$A,'Basic Data'!$E:$E),"")</f>
        <v>3.846153846153845E-2</v>
      </c>
      <c r="K1317" s="102">
        <v>3110</v>
      </c>
      <c r="L1317" s="35" t="str">
        <f>IFERROR(_xlfn.XLOOKUP(Table6[[#This Row],[Error Code]],'Basic Data'!$AA:$AA,'Basic Data'!$AB:$AB),"Incorrect Error Code")</f>
        <v>Frequency converter error</v>
      </c>
      <c r="M1317" s="35" t="s">
        <v>292</v>
      </c>
      <c r="N1317" s="475"/>
      <c r="O1317" s="476">
        <v>0.30763888888888891</v>
      </c>
      <c r="P1317" s="476">
        <v>0.30763888888888891</v>
      </c>
      <c r="Q1317" s="477">
        <v>0.30833333333333335</v>
      </c>
      <c r="R1317" s="472">
        <f>IF(Table6[[#This Row],[Work Start TimeStamp]]="","",(Table6[[#This Row],[Work Start TimeStamp]]-Table6[[#This Row],[Fault Start TimeStamp]])*24)</f>
        <v>0</v>
      </c>
      <c r="S1317" s="472">
        <f>(Table6[[#This Row],[Fault Clearance time]]-Table6[[#This Row],[Work Start TimeStamp]])*24</f>
        <v>1.6666666666666607E-2</v>
      </c>
      <c r="T1317" s="472">
        <f>(Table6[[#This Row],[Fault Clearance time]]-Table6[[#This Row],[Fault Start TimeStamp]])*24</f>
        <v>1.6666666666666607E-2</v>
      </c>
      <c r="U1317" s="35" t="s">
        <v>336</v>
      </c>
      <c r="V1317" s="102" t="s">
        <v>293</v>
      </c>
      <c r="W1317" s="478">
        <f>IFERROR(Table6[[#This Row],[Breakdown Time]]*Table6[[#This Row],[Plant Equivalent Weightage]],"")</f>
        <v>6.4102564102563853E-4</v>
      </c>
      <c r="X1317" s="473" t="s">
        <v>294</v>
      </c>
      <c r="Y1317" s="474" t="s">
        <v>317</v>
      </c>
      <c r="Z1317" s="102">
        <v>6918</v>
      </c>
      <c r="AA1317" s="468">
        <f>(Table6[[#This Row],[Paired WTG Generation for loss calculation]]/24)*Table6[[#This Row],[Breakdown Time]]</f>
        <v>4.8041666666666494</v>
      </c>
      <c r="AB1317" s="102"/>
      <c r="AC1317" s="35"/>
      <c r="AD1317" s="35"/>
    </row>
    <row r="1318" spans="1:30">
      <c r="A1318" s="102">
        <f t="shared" si="21"/>
        <v>1317</v>
      </c>
      <c r="B1318" s="468">
        <f>YEAR(Table6[[#This Row],[Date]])+IF(MONTH(Table6[[#This Row],[Date]])&gt;=4,1,0)</f>
        <v>2026</v>
      </c>
      <c r="C1318" s="102">
        <f>YEAR(Table6[[#This Row],[Date]])</f>
        <v>2025</v>
      </c>
      <c r="D1318" s="102" t="s">
        <v>1992</v>
      </c>
      <c r="E1318" s="469">
        <f>Table6[[#This Row],[Date]]-DAY(Table6[[#This Row],[Date]])+1</f>
        <v>45809</v>
      </c>
      <c r="F1318" s="470">
        <v>45834</v>
      </c>
      <c r="G1318" s="35" t="s">
        <v>81</v>
      </c>
      <c r="H1318" s="35" t="str">
        <f>IFERROR(_xlfn.XLOOKUP(Table6[[#This Row],[Affected WTG]],'Basic Data'!$A:$A,'Basic Data'!$B:$B),"")</f>
        <v>TQGXIIPL</v>
      </c>
      <c r="I1318" s="35" t="str">
        <f>IFERROR(_xlfn.XLOOKUP(Table6[[#This Row],[Affected WTG]],'Basic Data'!$A:$A,'Basic Data'!$C:$C),"")</f>
        <v>GEDA</v>
      </c>
      <c r="J1318" s="471">
        <f>IFERROR(_xlfn.XLOOKUP(Table6[[#This Row],[Affected WTG]],'Basic Data'!$A:$A,'Basic Data'!$E:$E),"")</f>
        <v>3.846153846153845E-2</v>
      </c>
      <c r="K1318" s="102">
        <v>175</v>
      </c>
      <c r="L1318" s="35" t="str">
        <f>IFERROR(_xlfn.XLOOKUP(Table6[[#This Row],[Error Code]],'Basic Data'!$AA:$AA,'Basic Data'!$AB:$AB),"Incorrect Error Code")</f>
        <v>SLC error</v>
      </c>
      <c r="M1318" s="35" t="s">
        <v>291</v>
      </c>
      <c r="N1318" s="475"/>
      <c r="O1318" s="476">
        <v>0.29166666666666669</v>
      </c>
      <c r="P1318" s="476">
        <v>0.29166666666666669</v>
      </c>
      <c r="Q1318" s="477">
        <v>0.29722222222222222</v>
      </c>
      <c r="R1318" s="472">
        <f>IF(Table6[[#This Row],[Work Start TimeStamp]]="","",(Table6[[#This Row],[Work Start TimeStamp]]-Table6[[#This Row],[Fault Start TimeStamp]])*24)</f>
        <v>0</v>
      </c>
      <c r="S1318" s="472">
        <f>(Table6[[#This Row],[Fault Clearance time]]-Table6[[#This Row],[Work Start TimeStamp]])*24</f>
        <v>0.13333333333333286</v>
      </c>
      <c r="T1318" s="472">
        <f>(Table6[[#This Row],[Fault Clearance time]]-Table6[[#This Row],[Fault Start TimeStamp]])*24</f>
        <v>0.13333333333333286</v>
      </c>
      <c r="U1318" s="35" t="s">
        <v>1924</v>
      </c>
      <c r="V1318" s="102" t="s">
        <v>293</v>
      </c>
      <c r="W1318" s="478">
        <f>IFERROR(Table6[[#This Row],[Breakdown Time]]*Table6[[#This Row],[Plant Equivalent Weightage]],"")</f>
        <v>5.1282051282051083E-3</v>
      </c>
      <c r="X1318" s="473" t="s">
        <v>290</v>
      </c>
      <c r="Y1318" s="474" t="s">
        <v>321</v>
      </c>
      <c r="Z1318" s="102">
        <v>6401</v>
      </c>
      <c r="AA1318" s="468">
        <f>(Table6[[#This Row],[Paired WTG Generation for loss calculation]]/24)*Table6[[#This Row],[Breakdown Time]]</f>
        <v>35.561111111110982</v>
      </c>
      <c r="AB1318" s="102"/>
      <c r="AC1318" s="35"/>
      <c r="AD1318" s="35"/>
    </row>
    <row r="1319" spans="1:30">
      <c r="A1319" s="102">
        <f t="shared" si="21"/>
        <v>1318</v>
      </c>
      <c r="B1319" s="468">
        <f>YEAR(Table6[[#This Row],[Date]])+IF(MONTH(Table6[[#This Row],[Date]])&gt;=4,1,0)</f>
        <v>2026</v>
      </c>
      <c r="C1319" s="102">
        <f>YEAR(Table6[[#This Row],[Date]])</f>
        <v>2025</v>
      </c>
      <c r="D1319" s="102" t="s">
        <v>1992</v>
      </c>
      <c r="E1319" s="469">
        <f>Table6[[#This Row],[Date]]-DAY(Table6[[#This Row],[Date]])+1</f>
        <v>45809</v>
      </c>
      <c r="F1319" s="470">
        <v>45834</v>
      </c>
      <c r="G1319" s="35" t="s">
        <v>81</v>
      </c>
      <c r="H1319" s="35" t="str">
        <f>IFERROR(_xlfn.XLOOKUP(Table6[[#This Row],[Affected WTG]],'Basic Data'!$A:$A,'Basic Data'!$B:$B),"")</f>
        <v>TQGXIIPL</v>
      </c>
      <c r="I1319" s="35" t="str">
        <f>IFERROR(_xlfn.XLOOKUP(Table6[[#This Row],[Affected WTG]],'Basic Data'!$A:$A,'Basic Data'!$C:$C),"")</f>
        <v>GEDA</v>
      </c>
      <c r="J1319" s="471">
        <f>IFERROR(_xlfn.XLOOKUP(Table6[[#This Row],[Affected WTG]],'Basic Data'!$A:$A,'Basic Data'!$E:$E),"")</f>
        <v>3.846153846153845E-2</v>
      </c>
      <c r="K1319" s="102">
        <v>3110</v>
      </c>
      <c r="L1319" s="35" t="str">
        <f>IFERROR(_xlfn.XLOOKUP(Table6[[#This Row],[Error Code]],'Basic Data'!$AA:$AA,'Basic Data'!$AB:$AB),"Incorrect Error Code")</f>
        <v>Frequency converter error</v>
      </c>
      <c r="M1319" s="35" t="s">
        <v>291</v>
      </c>
      <c r="N1319" s="475"/>
      <c r="O1319" s="476">
        <v>0.47986111111111113</v>
      </c>
      <c r="P1319" s="476">
        <v>0.47986111111111113</v>
      </c>
      <c r="Q1319" s="477">
        <v>0.49027777777777776</v>
      </c>
      <c r="R1319" s="472">
        <f>IF(Table6[[#This Row],[Work Start TimeStamp]]="","",(Table6[[#This Row],[Work Start TimeStamp]]-Table6[[#This Row],[Fault Start TimeStamp]])*24)</f>
        <v>0</v>
      </c>
      <c r="S1319" s="472">
        <f>(Table6[[#This Row],[Fault Clearance time]]-Table6[[#This Row],[Work Start TimeStamp]])*24</f>
        <v>0.24999999999999911</v>
      </c>
      <c r="T1319" s="472">
        <f>(Table6[[#This Row],[Fault Clearance time]]-Table6[[#This Row],[Fault Start TimeStamp]])*24</f>
        <v>0.24999999999999911</v>
      </c>
      <c r="U1319" s="35" t="s">
        <v>1924</v>
      </c>
      <c r="V1319" s="102" t="s">
        <v>293</v>
      </c>
      <c r="W1319" s="478">
        <f>IFERROR(Table6[[#This Row],[Breakdown Time]]*Table6[[#This Row],[Plant Equivalent Weightage]],"")</f>
        <v>9.6153846153845778E-3</v>
      </c>
      <c r="X1319" s="473" t="s">
        <v>290</v>
      </c>
      <c r="Y1319" s="474" t="s">
        <v>321</v>
      </c>
      <c r="Z1319" s="102">
        <v>6401</v>
      </c>
      <c r="AA1319" s="468">
        <f>(Table6[[#This Row],[Paired WTG Generation for loss calculation]]/24)*Table6[[#This Row],[Breakdown Time]]</f>
        <v>66.677083333333087</v>
      </c>
      <c r="AB1319" s="102"/>
      <c r="AC1319" s="35"/>
      <c r="AD1319" s="35"/>
    </row>
    <row r="1320" spans="1:30">
      <c r="A1320" s="102">
        <f t="shared" si="21"/>
        <v>1319</v>
      </c>
      <c r="B1320" s="468">
        <f>YEAR(Table6[[#This Row],[Date]])+IF(MONTH(Table6[[#This Row],[Date]])&gt;=4,1,0)</f>
        <v>2026</v>
      </c>
      <c r="C1320" s="102">
        <f>YEAR(Table6[[#This Row],[Date]])</f>
        <v>2025</v>
      </c>
      <c r="D1320" s="102" t="s">
        <v>1992</v>
      </c>
      <c r="E1320" s="469">
        <f>Table6[[#This Row],[Date]]-DAY(Table6[[#This Row],[Date]])+1</f>
        <v>45809</v>
      </c>
      <c r="F1320" s="470">
        <v>45834</v>
      </c>
      <c r="G1320" s="35" t="s">
        <v>85</v>
      </c>
      <c r="H1320" s="35" t="str">
        <f>IFERROR(_xlfn.XLOOKUP(Table6[[#This Row],[Affected WTG]],'Basic Data'!$A:$A,'Basic Data'!$B:$B),"")</f>
        <v>TQGXIIPL</v>
      </c>
      <c r="I1320" s="35" t="str">
        <f>IFERROR(_xlfn.XLOOKUP(Table6[[#This Row],[Affected WTG]],'Basic Data'!$A:$A,'Basic Data'!$C:$C),"")</f>
        <v>GEDA</v>
      </c>
      <c r="J1320" s="471">
        <f>IFERROR(_xlfn.XLOOKUP(Table6[[#This Row],[Affected WTG]],'Basic Data'!$A:$A,'Basic Data'!$E:$E),"")</f>
        <v>3.846153846153845E-2</v>
      </c>
      <c r="K1320" s="102">
        <v>55</v>
      </c>
      <c r="L1320" s="35" t="str">
        <f>IFERROR(_xlfn.XLOOKUP(Table6[[#This Row],[Error Code]],'Basic Data'!$AA:$AA,'Basic Data'!$AB:$AB),"Incorrect Error Code")</f>
        <v>WTG shut down</v>
      </c>
      <c r="M1320" s="35" t="s">
        <v>295</v>
      </c>
      <c r="N1320" s="475"/>
      <c r="O1320" s="476">
        <v>0</v>
      </c>
      <c r="P1320" s="476">
        <v>0</v>
      </c>
      <c r="Q1320" s="477">
        <v>0.99998842592592596</v>
      </c>
      <c r="R1320" s="472">
        <f>IF(Table6[[#This Row],[Work Start TimeStamp]]="","",(Table6[[#This Row],[Work Start TimeStamp]]-Table6[[#This Row],[Fault Start TimeStamp]])*24)</f>
        <v>0</v>
      </c>
      <c r="S1320" s="472">
        <f>(Table6[[#This Row],[Fault Clearance time]]-Table6[[#This Row],[Work Start TimeStamp]])*24</f>
        <v>23.999722222222225</v>
      </c>
      <c r="T1320" s="472">
        <f>(Table6[[#This Row],[Fault Clearance time]]-Table6[[#This Row],[Fault Start TimeStamp]])*24</f>
        <v>23.999722222222225</v>
      </c>
      <c r="U1320" s="35" t="s">
        <v>2014</v>
      </c>
      <c r="V1320" s="102" t="s">
        <v>289</v>
      </c>
      <c r="W1320" s="478">
        <f>IFERROR(Table6[[#This Row],[Breakdown Time]]*Table6[[#This Row],[Plant Equivalent Weightage]],"")</f>
        <v>0.9230662393162391</v>
      </c>
      <c r="X1320" s="473" t="s">
        <v>523</v>
      </c>
      <c r="Y1320" s="474" t="s">
        <v>322</v>
      </c>
      <c r="Z1320" s="102">
        <v>6657</v>
      </c>
      <c r="AA1320" s="468">
        <f>(Table6[[#This Row],[Paired WTG Generation for loss calculation]]/24)*Table6[[#This Row],[Breakdown Time]]</f>
        <v>6656.9229513888895</v>
      </c>
      <c r="AB1320" s="102"/>
      <c r="AC1320" s="35"/>
      <c r="AD1320" s="35"/>
    </row>
    <row r="1321" spans="1:30">
      <c r="A1321" s="102">
        <f t="shared" si="21"/>
        <v>1320</v>
      </c>
      <c r="B1321" s="468">
        <f>YEAR(Table6[[#This Row],[Date]])+IF(MONTH(Table6[[#This Row],[Date]])&gt;=4,1,0)</f>
        <v>2026</v>
      </c>
      <c r="C1321" s="102">
        <f>YEAR(Table6[[#This Row],[Date]])</f>
        <v>2025</v>
      </c>
      <c r="D1321" s="102" t="s">
        <v>1992</v>
      </c>
      <c r="E1321" s="469">
        <f>Table6[[#This Row],[Date]]-DAY(Table6[[#This Row],[Date]])+1</f>
        <v>45809</v>
      </c>
      <c r="F1321" s="470">
        <v>45834</v>
      </c>
      <c r="G1321" s="35" t="s">
        <v>89</v>
      </c>
      <c r="H1321" s="35" t="str">
        <f>IFERROR(_xlfn.XLOOKUP(Table6[[#This Row],[Affected WTG]],'Basic Data'!$A:$A,'Basic Data'!$B:$B),"")</f>
        <v>TQGXIIPL</v>
      </c>
      <c r="I1321" s="35" t="str">
        <f>IFERROR(_xlfn.XLOOKUP(Table6[[#This Row],[Affected WTG]],'Basic Data'!$A:$A,'Basic Data'!$C:$C),"")</f>
        <v>GEDA</v>
      </c>
      <c r="J1321" s="471">
        <f>IFERROR(_xlfn.XLOOKUP(Table6[[#This Row],[Affected WTG]],'Basic Data'!$A:$A,'Basic Data'!$E:$E),"")</f>
        <v>3.846153846153845E-2</v>
      </c>
      <c r="K1321" s="102">
        <v>6505</v>
      </c>
      <c r="L1321" s="35" t="str">
        <f>IFERROR(_xlfn.XLOOKUP(Table6[[#This Row],[Error Code]],'Basic Data'!$AA:$AA,'Basic Data'!$AB:$AB),"Incorrect Error Code")</f>
        <v>Wind.sp. diff. level 2</v>
      </c>
      <c r="M1321" s="35" t="s">
        <v>291</v>
      </c>
      <c r="N1321" s="475"/>
      <c r="O1321" s="476">
        <v>0.57916666666666672</v>
      </c>
      <c r="P1321" s="476">
        <v>0.59375</v>
      </c>
      <c r="Q1321" s="477">
        <v>0.79583333333333328</v>
      </c>
      <c r="R1321" s="472">
        <f>IF(Table6[[#This Row],[Work Start TimeStamp]]="","",(Table6[[#This Row],[Work Start TimeStamp]]-Table6[[#This Row],[Fault Start TimeStamp]])*24)</f>
        <v>0.34999999999999876</v>
      </c>
      <c r="S1321" s="472">
        <f>(Table6[[#This Row],[Fault Clearance time]]-Table6[[#This Row],[Work Start TimeStamp]])*24</f>
        <v>4.8499999999999988</v>
      </c>
      <c r="T1321" s="472">
        <f>(Table6[[#This Row],[Fault Clearance time]]-Table6[[#This Row],[Fault Start TimeStamp]])*24</f>
        <v>5.1999999999999975</v>
      </c>
      <c r="U1321" s="35" t="s">
        <v>2015</v>
      </c>
      <c r="V1321" s="102" t="s">
        <v>293</v>
      </c>
      <c r="W1321" s="478">
        <f>IFERROR(Table6[[#This Row],[Breakdown Time]]*Table6[[#This Row],[Plant Equivalent Weightage]],"")</f>
        <v>0.19999999999999984</v>
      </c>
      <c r="X1321" s="473" t="s">
        <v>290</v>
      </c>
      <c r="Y1321" s="474" t="s">
        <v>325</v>
      </c>
      <c r="Z1321" s="102">
        <v>7106</v>
      </c>
      <c r="AA1321" s="468">
        <f>(Table6[[#This Row],[Paired WTG Generation for loss calculation]]/24)*Table6[[#This Row],[Breakdown Time]]</f>
        <v>1539.6333333333325</v>
      </c>
      <c r="AB1321" s="102"/>
      <c r="AC1321" s="35"/>
      <c r="AD1321" s="35"/>
    </row>
    <row r="1322" spans="1:30">
      <c r="A1322" s="102">
        <f t="shared" si="21"/>
        <v>1321</v>
      </c>
      <c r="B1322" s="468">
        <f>YEAR(Table6[[#This Row],[Date]])+IF(MONTH(Table6[[#This Row],[Date]])&gt;=4,1,0)</f>
        <v>2026</v>
      </c>
      <c r="C1322" s="102">
        <f>YEAR(Table6[[#This Row],[Date]])</f>
        <v>2025</v>
      </c>
      <c r="D1322" s="102" t="s">
        <v>1992</v>
      </c>
      <c r="E1322" s="469">
        <f>Table6[[#This Row],[Date]]-DAY(Table6[[#This Row],[Date]])+1</f>
        <v>45809</v>
      </c>
      <c r="F1322" s="470">
        <v>45834</v>
      </c>
      <c r="G1322" s="35" t="s">
        <v>95</v>
      </c>
      <c r="H1322" s="35" t="str">
        <f>IFERROR(_xlfn.XLOOKUP(Table6[[#This Row],[Affected WTG]],'Basic Data'!$A:$A,'Basic Data'!$B:$B),"")</f>
        <v>TQGXIIPL</v>
      </c>
      <c r="I1322" s="35" t="str">
        <f>IFERROR(_xlfn.XLOOKUP(Table6[[#This Row],[Affected WTG]],'Basic Data'!$A:$A,'Basic Data'!$C:$C),"")</f>
        <v>GEDA</v>
      </c>
      <c r="J1322" s="471">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291</v>
      </c>
      <c r="N1322" s="475"/>
      <c r="O1322" s="476">
        <v>0.65416666666666667</v>
      </c>
      <c r="P1322" s="476">
        <v>0.65416666666666667</v>
      </c>
      <c r="Q1322" s="477">
        <v>0.65763888888888888</v>
      </c>
      <c r="R1322" s="472">
        <f>IF(Table6[[#This Row],[Work Start TimeStamp]]="","",(Table6[[#This Row],[Work Start TimeStamp]]-Table6[[#This Row],[Fault Start TimeStamp]])*24)</f>
        <v>0</v>
      </c>
      <c r="S1322" s="472">
        <f>(Table6[[#This Row],[Fault Clearance time]]-Table6[[#This Row],[Work Start TimeStamp]])*24</f>
        <v>8.3333333333333037E-2</v>
      </c>
      <c r="T1322" s="472">
        <f>(Table6[[#This Row],[Fault Clearance time]]-Table6[[#This Row],[Fault Start TimeStamp]])*24</f>
        <v>8.3333333333333037E-2</v>
      </c>
      <c r="U1322" s="35" t="s">
        <v>1924</v>
      </c>
      <c r="V1322" s="102" t="s">
        <v>293</v>
      </c>
      <c r="W1322" s="478">
        <f>IFERROR(Table6[[#This Row],[Breakdown Time]]*Table6[[#This Row],[Plant Equivalent Weightage]],"")</f>
        <v>3.2051282051281929E-3</v>
      </c>
      <c r="X1322" s="473" t="s">
        <v>290</v>
      </c>
      <c r="Y1322" s="474" t="s">
        <v>319</v>
      </c>
      <c r="Z1322" s="102">
        <v>7570</v>
      </c>
      <c r="AA1322" s="468">
        <f>(Table6[[#This Row],[Paired WTG Generation for loss calculation]]/24)*Table6[[#This Row],[Breakdown Time]]</f>
        <v>26.284722222222129</v>
      </c>
      <c r="AB1322" s="102"/>
      <c r="AC1322" s="35"/>
      <c r="AD1322" s="35"/>
    </row>
    <row r="1323" spans="1:30">
      <c r="A1323" s="102">
        <f t="shared" si="21"/>
        <v>1322</v>
      </c>
      <c r="B1323" s="468">
        <f>YEAR(Table6[[#This Row],[Date]])+IF(MONTH(Table6[[#This Row],[Date]])&gt;=4,1,0)</f>
        <v>2026</v>
      </c>
      <c r="C1323" s="102">
        <f>YEAR(Table6[[#This Row],[Date]])</f>
        <v>2025</v>
      </c>
      <c r="D1323" s="102" t="s">
        <v>1992</v>
      </c>
      <c r="E1323" s="469">
        <f>Table6[[#This Row],[Date]]-DAY(Table6[[#This Row],[Date]])+1</f>
        <v>45809</v>
      </c>
      <c r="F1323" s="470">
        <v>45834</v>
      </c>
      <c r="G1323" s="35" t="s">
        <v>95</v>
      </c>
      <c r="H1323" s="35" t="str">
        <f>IFERROR(_xlfn.XLOOKUP(Table6[[#This Row],[Affected WTG]],'Basic Data'!$A:$A,'Basic Data'!$B:$B),"")</f>
        <v>TQGXIIPL</v>
      </c>
      <c r="I1323" s="35" t="str">
        <f>IFERROR(_xlfn.XLOOKUP(Table6[[#This Row],[Affected WTG]],'Basic Data'!$A:$A,'Basic Data'!$C:$C),"")</f>
        <v>GEDA</v>
      </c>
      <c r="J1323" s="471">
        <f>IFERROR(_xlfn.XLOOKUP(Table6[[#This Row],[Affected WTG]],'Basic Data'!$A:$A,'Basic Data'!$E:$E),"")</f>
        <v>3.846153846153845E-2</v>
      </c>
      <c r="K1323" s="102">
        <v>55</v>
      </c>
      <c r="L1323" s="35" t="str">
        <f>IFERROR(_xlfn.XLOOKUP(Table6[[#This Row],[Error Code]],'Basic Data'!$AA:$AA,'Basic Data'!$AB:$AB),"Incorrect Error Code")</f>
        <v>WTG shut down</v>
      </c>
      <c r="M1323" s="35" t="s">
        <v>291</v>
      </c>
      <c r="N1323" s="475"/>
      <c r="O1323" s="476">
        <v>0.75416666666666665</v>
      </c>
      <c r="P1323" s="476">
        <v>0.75416666666666665</v>
      </c>
      <c r="Q1323" s="477">
        <v>0.81736111111111109</v>
      </c>
      <c r="R1323" s="472">
        <f>IF(Table6[[#This Row],[Work Start TimeStamp]]="","",(Table6[[#This Row],[Work Start TimeStamp]]-Table6[[#This Row],[Fault Start TimeStamp]])*24)</f>
        <v>0</v>
      </c>
      <c r="S1323" s="472">
        <f>(Table6[[#This Row],[Fault Clearance time]]-Table6[[#This Row],[Work Start TimeStamp]])*24</f>
        <v>1.5166666666666666</v>
      </c>
      <c r="T1323" s="472">
        <f>(Table6[[#This Row],[Fault Clearance time]]-Table6[[#This Row],[Fault Start TimeStamp]])*24</f>
        <v>1.5166666666666666</v>
      </c>
      <c r="U1323" s="35" t="s">
        <v>2016</v>
      </c>
      <c r="V1323" s="102" t="s">
        <v>293</v>
      </c>
      <c r="W1323" s="478">
        <f>IFERROR(Table6[[#This Row],[Breakdown Time]]*Table6[[#This Row],[Plant Equivalent Weightage]],"")</f>
        <v>5.8333333333333313E-2</v>
      </c>
      <c r="X1323" s="473" t="s">
        <v>290</v>
      </c>
      <c r="Y1323" s="474" t="s">
        <v>319</v>
      </c>
      <c r="Z1323" s="102">
        <v>7570</v>
      </c>
      <c r="AA1323" s="468">
        <f>(Table6[[#This Row],[Paired WTG Generation for loss calculation]]/24)*Table6[[#This Row],[Breakdown Time]]</f>
        <v>478.38194444444446</v>
      </c>
      <c r="AB1323" s="102"/>
      <c r="AC1323" s="35"/>
      <c r="AD1323" s="35"/>
    </row>
    <row r="1324" spans="1:30">
      <c r="A1324" s="102">
        <f t="shared" si="21"/>
        <v>1323</v>
      </c>
      <c r="B1324" s="468">
        <f>YEAR(Table6[[#This Row],[Date]])+IF(MONTH(Table6[[#This Row],[Date]])&gt;=4,1,0)</f>
        <v>2026</v>
      </c>
      <c r="C1324" s="102">
        <f>YEAR(Table6[[#This Row],[Date]])</f>
        <v>2025</v>
      </c>
      <c r="D1324" s="102" t="s">
        <v>1992</v>
      </c>
      <c r="E1324" s="469">
        <f>Table6[[#This Row],[Date]]-DAY(Table6[[#This Row],[Date]])+1</f>
        <v>45809</v>
      </c>
      <c r="F1324" s="470">
        <v>45834</v>
      </c>
      <c r="G1324" s="35" t="s">
        <v>96</v>
      </c>
      <c r="H1324" s="35" t="str">
        <f>IFERROR(_xlfn.XLOOKUP(Table6[[#This Row],[Affected WTG]],'Basic Data'!$A:$A,'Basic Data'!$B:$B),"")</f>
        <v>TQGXIIPL</v>
      </c>
      <c r="I1324" s="35" t="str">
        <f>IFERROR(_xlfn.XLOOKUP(Table6[[#This Row],[Affected WTG]],'Basic Data'!$A:$A,'Basic Data'!$C:$C),"")</f>
        <v>GEDA</v>
      </c>
      <c r="J1324" s="471">
        <f>IFERROR(_xlfn.XLOOKUP(Table6[[#This Row],[Affected WTG]],'Basic Data'!$A:$A,'Basic Data'!$E:$E),"")</f>
        <v>3.846153846153845E-2</v>
      </c>
      <c r="K1324" s="102">
        <v>55</v>
      </c>
      <c r="L1324" s="35" t="str">
        <f>IFERROR(_xlfn.XLOOKUP(Table6[[#This Row],[Error Code]],'Basic Data'!$AA:$AA,'Basic Data'!$AB:$AB),"Incorrect Error Code")</f>
        <v>WTG shut down</v>
      </c>
      <c r="M1324" s="35" t="s">
        <v>291</v>
      </c>
      <c r="N1324" s="475"/>
      <c r="O1324" s="476">
        <v>0.72083333333333333</v>
      </c>
      <c r="P1324" s="476">
        <v>0.72083333333333333</v>
      </c>
      <c r="Q1324" s="477">
        <v>0.72499999999999998</v>
      </c>
      <c r="R1324" s="472">
        <f>IF(Table6[[#This Row],[Work Start TimeStamp]]="","",(Table6[[#This Row],[Work Start TimeStamp]]-Table6[[#This Row],[Fault Start TimeStamp]])*24)</f>
        <v>0</v>
      </c>
      <c r="S1324" s="472">
        <f>(Table6[[#This Row],[Fault Clearance time]]-Table6[[#This Row],[Work Start TimeStamp]])*24</f>
        <v>9.9999999999999645E-2</v>
      </c>
      <c r="T1324" s="472">
        <f>(Table6[[#This Row],[Fault Clearance time]]-Table6[[#This Row],[Fault Start TimeStamp]])*24</f>
        <v>9.9999999999999645E-2</v>
      </c>
      <c r="U1324" s="35" t="s">
        <v>2017</v>
      </c>
      <c r="V1324" s="102" t="s">
        <v>293</v>
      </c>
      <c r="W1324" s="478">
        <f>IFERROR(Table6[[#This Row],[Breakdown Time]]*Table6[[#This Row],[Plant Equivalent Weightage]],"")</f>
        <v>3.8461538461538312E-3</v>
      </c>
      <c r="X1324" s="473" t="s">
        <v>290</v>
      </c>
      <c r="Y1324" s="474" t="s">
        <v>313</v>
      </c>
      <c r="Z1324" s="102">
        <v>6362</v>
      </c>
      <c r="AA1324" s="468">
        <f>(Table6[[#This Row],[Paired WTG Generation for loss calculation]]/24)*Table6[[#This Row],[Breakdown Time]]</f>
        <v>26.508333333333237</v>
      </c>
      <c r="AB1324" s="102"/>
      <c r="AC1324" s="35"/>
      <c r="AD1324" s="35"/>
    </row>
    <row r="1325" spans="1:30">
      <c r="A1325" s="102">
        <f t="shared" si="21"/>
        <v>1324</v>
      </c>
      <c r="B1325" s="468">
        <f>YEAR(Table6[[#This Row],[Date]])+IF(MONTH(Table6[[#This Row],[Date]])&gt;=4,1,0)</f>
        <v>2026</v>
      </c>
      <c r="C1325" s="102">
        <f>YEAR(Table6[[#This Row],[Date]])</f>
        <v>2025</v>
      </c>
      <c r="D1325" s="102" t="s">
        <v>1992</v>
      </c>
      <c r="E1325" s="469">
        <f>Table6[[#This Row],[Date]]-DAY(Table6[[#This Row],[Date]])+1</f>
        <v>45809</v>
      </c>
      <c r="F1325" s="470">
        <v>45835</v>
      </c>
      <c r="G1325" s="35" t="s">
        <v>75</v>
      </c>
      <c r="H1325" s="35" t="str">
        <f>IFERROR(_xlfn.XLOOKUP(Table6[[#This Row],[Affected WTG]],'Basic Data'!$A:$A,'Basic Data'!$B:$B),"")</f>
        <v>TQGXIIPL</v>
      </c>
      <c r="I1325" s="35" t="str">
        <f>IFERROR(_xlfn.XLOOKUP(Table6[[#This Row],[Affected WTG]],'Basic Data'!$A:$A,'Basic Data'!$C:$C),"")</f>
        <v>GEDA</v>
      </c>
      <c r="J1325" s="471">
        <f>IFERROR(_xlfn.XLOOKUP(Table6[[#This Row],[Affected WTG]],'Basic Data'!$A:$A,'Basic Data'!$E:$E),"")</f>
        <v>3.846153846153845E-2</v>
      </c>
      <c r="K1325" s="102">
        <v>175</v>
      </c>
      <c r="L1325" s="35" t="str">
        <f>IFERROR(_xlfn.XLOOKUP(Table6[[#This Row],[Error Code]],'Basic Data'!$AA:$AA,'Basic Data'!$AB:$AB),"Incorrect Error Code")</f>
        <v>SLC error</v>
      </c>
      <c r="M1325" s="35" t="s">
        <v>291</v>
      </c>
      <c r="N1325" s="475"/>
      <c r="O1325" s="476">
        <v>0.39166666666666666</v>
      </c>
      <c r="P1325" s="476">
        <v>0.39166666666666666</v>
      </c>
      <c r="Q1325" s="477">
        <v>0.39305555555555555</v>
      </c>
      <c r="R1325" s="472">
        <f>IF(Table6[[#This Row],[Work Start TimeStamp]]="","",(Table6[[#This Row],[Work Start TimeStamp]]-Table6[[#This Row],[Fault Start TimeStamp]])*24)</f>
        <v>0</v>
      </c>
      <c r="S1325" s="472">
        <f>(Table6[[#This Row],[Fault Clearance time]]-Table6[[#This Row],[Work Start TimeStamp]])*24</f>
        <v>3.3333333333333215E-2</v>
      </c>
      <c r="T1325" s="472">
        <f>(Table6[[#This Row],[Fault Clearance time]]-Table6[[#This Row],[Fault Start TimeStamp]])*24</f>
        <v>3.3333333333333215E-2</v>
      </c>
      <c r="U1325" s="35" t="s">
        <v>1924</v>
      </c>
      <c r="V1325" s="102" t="s">
        <v>293</v>
      </c>
      <c r="W1325" s="478">
        <f>IFERROR(Table6[[#This Row],[Breakdown Time]]*Table6[[#This Row],[Plant Equivalent Weightage]],"")</f>
        <v>1.2820512820512771E-3</v>
      </c>
      <c r="X1325" s="473" t="s">
        <v>290</v>
      </c>
      <c r="Y1325" s="474" t="s">
        <v>78</v>
      </c>
      <c r="Z1325" s="102">
        <v>28858</v>
      </c>
      <c r="AA1325" s="468">
        <f>(Table6[[#This Row],[Paired WTG Generation for loss calculation]]/24)*Table6[[#This Row],[Breakdown Time]]</f>
        <v>40.080555555555414</v>
      </c>
      <c r="AB1325" s="102"/>
      <c r="AC1325" s="35"/>
      <c r="AD1325" s="35"/>
    </row>
    <row r="1326" spans="1:30">
      <c r="A1326" s="102">
        <f t="shared" si="21"/>
        <v>1325</v>
      </c>
      <c r="B1326" s="468">
        <f>YEAR(Table6[[#This Row],[Date]])+IF(MONTH(Table6[[#This Row],[Date]])&gt;=4,1,0)</f>
        <v>2026</v>
      </c>
      <c r="C1326" s="102">
        <f>YEAR(Table6[[#This Row],[Date]])</f>
        <v>2025</v>
      </c>
      <c r="D1326" s="102" t="s">
        <v>1992</v>
      </c>
      <c r="E1326" s="469">
        <f>Table6[[#This Row],[Date]]-DAY(Table6[[#This Row],[Date]])+1</f>
        <v>45809</v>
      </c>
      <c r="F1326" s="470">
        <v>45835</v>
      </c>
      <c r="G1326" s="35" t="s">
        <v>76</v>
      </c>
      <c r="H1326" s="35" t="str">
        <f>IFERROR(_xlfn.XLOOKUP(Table6[[#This Row],[Affected WTG]],'Basic Data'!$A:$A,'Basic Data'!$B:$B),"")</f>
        <v>TQGXIIPL</v>
      </c>
      <c r="I1326" s="35" t="str">
        <f>IFERROR(_xlfn.XLOOKUP(Table6[[#This Row],[Affected WTG]],'Basic Data'!$A:$A,'Basic Data'!$C:$C),"")</f>
        <v>GEDA</v>
      </c>
      <c r="J1326" s="471">
        <f>IFERROR(_xlfn.XLOOKUP(Table6[[#This Row],[Affected WTG]],'Basic Data'!$A:$A,'Basic Data'!$E:$E),"")</f>
        <v>3.846153846153845E-2</v>
      </c>
      <c r="K1326" s="102">
        <v>641</v>
      </c>
      <c r="L1326" s="35" t="str">
        <f>IFERROR(_xlfn.XLOOKUP(Table6[[#This Row],[Error Code]],'Basic Data'!$AA:$AA,'Basic Data'!$AB:$AB),"Incorrect Error Code")</f>
        <v>Sim.angle E enc. &lt;&gt; act.angle 1</v>
      </c>
      <c r="M1326" s="35" t="s">
        <v>291</v>
      </c>
      <c r="N1326" s="475"/>
      <c r="O1326" s="476">
        <v>4.9305555555555554E-2</v>
      </c>
      <c r="P1326" s="476">
        <v>4.9305555555555554E-2</v>
      </c>
      <c r="Q1326" s="477">
        <v>5.0694444444444445E-2</v>
      </c>
      <c r="R1326" s="472">
        <f>IF(Table6[[#This Row],[Work Start TimeStamp]]="","",(Table6[[#This Row],[Work Start TimeStamp]]-Table6[[#This Row],[Fault Start TimeStamp]])*24)</f>
        <v>0</v>
      </c>
      <c r="S1326" s="472">
        <f>(Table6[[#This Row],[Fault Clearance time]]-Table6[[#This Row],[Work Start TimeStamp]])*24</f>
        <v>3.3333333333333381E-2</v>
      </c>
      <c r="T1326" s="472">
        <f>(Table6[[#This Row],[Fault Clearance time]]-Table6[[#This Row],[Fault Start TimeStamp]])*24</f>
        <v>3.3333333333333381E-2</v>
      </c>
      <c r="U1326" s="35" t="s">
        <v>1924</v>
      </c>
      <c r="V1326" s="102" t="s">
        <v>293</v>
      </c>
      <c r="W1326" s="478">
        <f>IFERROR(Table6[[#This Row],[Breakdown Time]]*Table6[[#This Row],[Plant Equivalent Weightage]],"")</f>
        <v>1.2820512820512836E-3</v>
      </c>
      <c r="X1326" s="473" t="s">
        <v>290</v>
      </c>
      <c r="Y1326" s="474" t="s">
        <v>309</v>
      </c>
      <c r="Z1326" s="102">
        <v>31282</v>
      </c>
      <c r="AA1326" s="468">
        <f>(Table6[[#This Row],[Paired WTG Generation for loss calculation]]/24)*Table6[[#This Row],[Breakdown Time]]</f>
        <v>43.447222222222287</v>
      </c>
      <c r="AB1326" s="102"/>
      <c r="AC1326" s="35"/>
      <c r="AD1326" s="35"/>
    </row>
    <row r="1327" spans="1:30">
      <c r="A1327" s="102">
        <f t="shared" si="21"/>
        <v>1326</v>
      </c>
      <c r="B1327" s="468">
        <f>YEAR(Table6[[#This Row],[Date]])+IF(MONTH(Table6[[#This Row],[Date]])&gt;=4,1,0)</f>
        <v>2026</v>
      </c>
      <c r="C1327" s="102">
        <f>YEAR(Table6[[#This Row],[Date]])</f>
        <v>2025</v>
      </c>
      <c r="D1327" s="102" t="s">
        <v>1992</v>
      </c>
      <c r="E1327" s="469">
        <f>Table6[[#This Row],[Date]]-DAY(Table6[[#This Row],[Date]])+1</f>
        <v>45809</v>
      </c>
      <c r="F1327" s="470">
        <v>45835</v>
      </c>
      <c r="G1327" s="35" t="s">
        <v>78</v>
      </c>
      <c r="H1327" s="35" t="str">
        <f>IFERROR(_xlfn.XLOOKUP(Table6[[#This Row],[Affected WTG]],'Basic Data'!$A:$A,'Basic Data'!$B:$B),"")</f>
        <v>TQGXIIPL</v>
      </c>
      <c r="I1327" s="35" t="str">
        <f>IFERROR(_xlfn.XLOOKUP(Table6[[#This Row],[Affected WTG]],'Basic Data'!$A:$A,'Basic Data'!$C:$C),"")</f>
        <v>GEDA</v>
      </c>
      <c r="J1327" s="471">
        <f>IFERROR(_xlfn.XLOOKUP(Table6[[#This Row],[Affected WTG]],'Basic Data'!$A:$A,'Basic Data'!$E:$E),"")</f>
        <v>3.846153846153845E-2</v>
      </c>
      <c r="K1327" s="102">
        <v>3110</v>
      </c>
      <c r="L1327" s="35" t="str">
        <f>IFERROR(_xlfn.XLOOKUP(Table6[[#This Row],[Error Code]],'Basic Data'!$AA:$AA,'Basic Data'!$AB:$AB),"Incorrect Error Code")</f>
        <v>Frequency converter error</v>
      </c>
      <c r="M1327" s="35" t="s">
        <v>291</v>
      </c>
      <c r="N1327" s="475"/>
      <c r="O1327" s="476">
        <v>0.99097222222222225</v>
      </c>
      <c r="P1327" s="476">
        <v>0.99097222222222225</v>
      </c>
      <c r="Q1327" s="477">
        <v>0.99305555555555558</v>
      </c>
      <c r="R1327" s="472">
        <f>IF(Table6[[#This Row],[Work Start TimeStamp]]="","",(Table6[[#This Row],[Work Start TimeStamp]]-Table6[[#This Row],[Fault Start TimeStamp]])*24)</f>
        <v>0</v>
      </c>
      <c r="S1327" s="472">
        <f>(Table6[[#This Row],[Fault Clearance time]]-Table6[[#This Row],[Work Start TimeStamp]])*24</f>
        <v>4.9999999999999822E-2</v>
      </c>
      <c r="T1327" s="472">
        <f>(Table6[[#This Row],[Fault Clearance time]]-Table6[[#This Row],[Fault Start TimeStamp]])*24</f>
        <v>4.9999999999999822E-2</v>
      </c>
      <c r="U1327" s="35" t="s">
        <v>1924</v>
      </c>
      <c r="V1327" s="102" t="s">
        <v>293</v>
      </c>
      <c r="W1327" s="478">
        <f>IFERROR(Table6[[#This Row],[Breakdown Time]]*Table6[[#This Row],[Plant Equivalent Weightage]],"")</f>
        <v>1.9230769230769156E-3</v>
      </c>
      <c r="X1327" s="473" t="s">
        <v>290</v>
      </c>
      <c r="Y1327" s="474" t="s">
        <v>333</v>
      </c>
      <c r="Z1327" s="102">
        <v>29694</v>
      </c>
      <c r="AA1327" s="468">
        <f>(Table6[[#This Row],[Paired WTG Generation for loss calculation]]/24)*Table6[[#This Row],[Breakdown Time]]</f>
        <v>61.862499999999777</v>
      </c>
      <c r="AB1327" s="102"/>
      <c r="AC1327" s="35"/>
      <c r="AD1327" s="35"/>
    </row>
    <row r="1328" spans="1:30">
      <c r="A1328" s="102">
        <f t="shared" si="21"/>
        <v>1327</v>
      </c>
      <c r="B1328" s="468">
        <f>YEAR(Table6[[#This Row],[Date]])+IF(MONTH(Table6[[#This Row],[Date]])&gt;=4,1,0)</f>
        <v>2026</v>
      </c>
      <c r="C1328" s="102">
        <f>YEAR(Table6[[#This Row],[Date]])</f>
        <v>2025</v>
      </c>
      <c r="D1328" s="102" t="s">
        <v>1992</v>
      </c>
      <c r="E1328" s="469">
        <f>Table6[[#This Row],[Date]]-DAY(Table6[[#This Row],[Date]])+1</f>
        <v>45809</v>
      </c>
      <c r="F1328" s="470">
        <v>45835</v>
      </c>
      <c r="G1328" s="35" t="s">
        <v>81</v>
      </c>
      <c r="H1328" s="35" t="str">
        <f>IFERROR(_xlfn.XLOOKUP(Table6[[#This Row],[Affected WTG]],'Basic Data'!$A:$A,'Basic Data'!$B:$B),"")</f>
        <v>TQGXIIPL</v>
      </c>
      <c r="I1328" s="35" t="str">
        <f>IFERROR(_xlfn.XLOOKUP(Table6[[#This Row],[Affected WTG]],'Basic Data'!$A:$A,'Basic Data'!$C:$C),"")</f>
        <v>GEDA</v>
      </c>
      <c r="J1328" s="471">
        <f>IFERROR(_xlfn.XLOOKUP(Table6[[#This Row],[Affected WTG]],'Basic Data'!$A:$A,'Basic Data'!$E:$E),"")</f>
        <v>3.846153846153845E-2</v>
      </c>
      <c r="K1328" s="102">
        <v>665</v>
      </c>
      <c r="L1328" s="35" t="str">
        <f>IFERROR(_xlfn.XLOOKUP(Table6[[#This Row],[Error Code]],'Basic Data'!$AA:$AA,'Basic Data'!$AB:$AB),"Incorrect Error Code")</f>
        <v>Pitch error</v>
      </c>
      <c r="M1328" s="35" t="s">
        <v>291</v>
      </c>
      <c r="N1328" s="475"/>
      <c r="O1328" s="476">
        <v>0.9145833333333333</v>
      </c>
      <c r="P1328" s="476">
        <v>0.9145833333333333</v>
      </c>
      <c r="Q1328" s="477">
        <v>0.91805555555555551</v>
      </c>
      <c r="R1328" s="472">
        <f>IF(Table6[[#This Row],[Work Start TimeStamp]]="","",(Table6[[#This Row],[Work Start TimeStamp]]-Table6[[#This Row],[Fault Start TimeStamp]])*24)</f>
        <v>0</v>
      </c>
      <c r="S1328" s="472">
        <f>(Table6[[#This Row],[Fault Clearance time]]-Table6[[#This Row],[Work Start TimeStamp]])*24</f>
        <v>8.3333333333333037E-2</v>
      </c>
      <c r="T1328" s="472">
        <f>(Table6[[#This Row],[Fault Clearance time]]-Table6[[#This Row],[Fault Start TimeStamp]])*24</f>
        <v>8.3333333333333037E-2</v>
      </c>
      <c r="U1328" s="35" t="s">
        <v>1924</v>
      </c>
      <c r="V1328" s="102" t="s">
        <v>293</v>
      </c>
      <c r="W1328" s="478">
        <f>IFERROR(Table6[[#This Row],[Breakdown Time]]*Table6[[#This Row],[Plant Equivalent Weightage]],"")</f>
        <v>3.2051282051281929E-3</v>
      </c>
      <c r="X1328" s="473" t="s">
        <v>290</v>
      </c>
      <c r="Y1328" s="474" t="s">
        <v>321</v>
      </c>
      <c r="Z1328" s="102">
        <v>31562</v>
      </c>
      <c r="AA1328" s="468">
        <f>(Table6[[#This Row],[Paired WTG Generation for loss calculation]]/24)*Table6[[#This Row],[Breakdown Time]]</f>
        <v>109.59027777777739</v>
      </c>
      <c r="AB1328" s="102"/>
      <c r="AC1328" s="35"/>
      <c r="AD1328" s="35"/>
    </row>
    <row r="1329" spans="1:30">
      <c r="A1329" s="102">
        <f t="shared" si="21"/>
        <v>1328</v>
      </c>
      <c r="B1329" s="468">
        <f>YEAR(Table6[[#This Row],[Date]])+IF(MONTH(Table6[[#This Row],[Date]])&gt;=4,1,0)</f>
        <v>2026</v>
      </c>
      <c r="C1329" s="102">
        <f>YEAR(Table6[[#This Row],[Date]])</f>
        <v>2025</v>
      </c>
      <c r="D1329" s="102" t="s">
        <v>1992</v>
      </c>
      <c r="E1329" s="469">
        <f>Table6[[#This Row],[Date]]-DAY(Table6[[#This Row],[Date]])+1</f>
        <v>45809</v>
      </c>
      <c r="F1329" s="470">
        <v>45835</v>
      </c>
      <c r="G1329" s="35" t="s">
        <v>85</v>
      </c>
      <c r="H1329" s="35" t="str">
        <f>IFERROR(_xlfn.XLOOKUP(Table6[[#This Row],[Affected WTG]],'Basic Data'!$A:$A,'Basic Data'!$B:$B),"")</f>
        <v>TQGXIIPL</v>
      </c>
      <c r="I1329" s="35" t="str">
        <f>IFERROR(_xlfn.XLOOKUP(Table6[[#This Row],[Affected WTG]],'Basic Data'!$A:$A,'Basic Data'!$C:$C),"")</f>
        <v>GEDA</v>
      </c>
      <c r="J1329" s="471">
        <f>IFERROR(_xlfn.XLOOKUP(Table6[[#This Row],[Affected WTG]],'Basic Data'!$A:$A,'Basic Data'!$E:$E),"")</f>
        <v>3.846153846153845E-2</v>
      </c>
      <c r="K1329" s="102">
        <v>55</v>
      </c>
      <c r="L1329" s="35" t="str">
        <f>IFERROR(_xlfn.XLOOKUP(Table6[[#This Row],[Error Code]],'Basic Data'!$AA:$AA,'Basic Data'!$AB:$AB),"Incorrect Error Code")</f>
        <v>WTG shut down</v>
      </c>
      <c r="M1329" s="35" t="s">
        <v>295</v>
      </c>
      <c r="N1329" s="475"/>
      <c r="O1329" s="476">
        <v>0</v>
      </c>
      <c r="P1329" s="476">
        <v>0</v>
      </c>
      <c r="Q1329" s="477">
        <v>0.99998842592592596</v>
      </c>
      <c r="R1329" s="472">
        <f>IF(Table6[[#This Row],[Work Start TimeStamp]]="","",(Table6[[#This Row],[Work Start TimeStamp]]-Table6[[#This Row],[Fault Start TimeStamp]])*24)</f>
        <v>0</v>
      </c>
      <c r="S1329" s="472">
        <f>(Table6[[#This Row],[Fault Clearance time]]-Table6[[#This Row],[Work Start TimeStamp]])*24</f>
        <v>23.999722222222225</v>
      </c>
      <c r="T1329" s="472">
        <f>(Table6[[#This Row],[Fault Clearance time]]-Table6[[#This Row],[Fault Start TimeStamp]])*24</f>
        <v>23.999722222222225</v>
      </c>
      <c r="U1329" s="35" t="s">
        <v>2018</v>
      </c>
      <c r="V1329" s="102" t="s">
        <v>289</v>
      </c>
      <c r="W1329" s="478">
        <f>IFERROR(Table6[[#This Row],[Breakdown Time]]*Table6[[#This Row],[Plant Equivalent Weightage]],"")</f>
        <v>0.9230662393162391</v>
      </c>
      <c r="X1329" s="473" t="s">
        <v>523</v>
      </c>
      <c r="Y1329" s="474" t="s">
        <v>322</v>
      </c>
      <c r="Z1329" s="102">
        <v>32706</v>
      </c>
      <c r="AA1329" s="468">
        <f>(Table6[[#This Row],[Paired WTG Generation for loss calculation]]/24)*Table6[[#This Row],[Breakdown Time]]</f>
        <v>32705.621458333339</v>
      </c>
      <c r="AB1329" s="102"/>
      <c r="AC1329" s="35"/>
      <c r="AD1329" s="35"/>
    </row>
    <row r="1330" spans="1:30">
      <c r="A1330" s="102">
        <f t="shared" si="21"/>
        <v>1329</v>
      </c>
      <c r="B1330" s="468">
        <f>YEAR(Table6[[#This Row],[Date]])+IF(MONTH(Table6[[#This Row],[Date]])&gt;=4,1,0)</f>
        <v>2026</v>
      </c>
      <c r="C1330" s="102">
        <f>YEAR(Table6[[#This Row],[Date]])</f>
        <v>2025</v>
      </c>
      <c r="D1330" s="102" t="s">
        <v>1992</v>
      </c>
      <c r="E1330" s="469">
        <f>Table6[[#This Row],[Date]]-DAY(Table6[[#This Row],[Date]])+1</f>
        <v>45809</v>
      </c>
      <c r="F1330" s="470">
        <v>45835</v>
      </c>
      <c r="G1330" s="35" t="s">
        <v>86</v>
      </c>
      <c r="H1330" s="35" t="str">
        <f>IFERROR(_xlfn.XLOOKUP(Table6[[#This Row],[Affected WTG]],'Basic Data'!$A:$A,'Basic Data'!$B:$B),"")</f>
        <v>TQGXIIPL</v>
      </c>
      <c r="I1330" s="35" t="str">
        <f>IFERROR(_xlfn.XLOOKUP(Table6[[#This Row],[Affected WTG]],'Basic Data'!$A:$A,'Basic Data'!$C:$C),"")</f>
        <v>GEDA</v>
      </c>
      <c r="J1330" s="471">
        <f>IFERROR(_xlfn.XLOOKUP(Table6[[#This Row],[Affected WTG]],'Basic Data'!$A:$A,'Basic Data'!$E:$E),"")</f>
        <v>3.846153846153845E-2</v>
      </c>
      <c r="K1330" s="102">
        <v>55</v>
      </c>
      <c r="L1330" s="35" t="str">
        <f>IFERROR(_xlfn.XLOOKUP(Table6[[#This Row],[Error Code]],'Basic Data'!$AA:$AA,'Basic Data'!$AB:$AB),"Incorrect Error Code")</f>
        <v>WTG shut down</v>
      </c>
      <c r="M1330" s="35" t="s">
        <v>291</v>
      </c>
      <c r="N1330" s="475"/>
      <c r="O1330" s="476">
        <v>0.5854166666666667</v>
      </c>
      <c r="P1330" s="476">
        <v>0.5854166666666667</v>
      </c>
      <c r="Q1330" s="477">
        <v>0.76111111111111107</v>
      </c>
      <c r="R1330" s="472">
        <f>IF(Table6[[#This Row],[Work Start TimeStamp]]="","",(Table6[[#This Row],[Work Start TimeStamp]]-Table6[[#This Row],[Fault Start TimeStamp]])*24)</f>
        <v>0</v>
      </c>
      <c r="S1330" s="472">
        <f>(Table6[[#This Row],[Fault Clearance time]]-Table6[[#This Row],[Work Start TimeStamp]])*24</f>
        <v>4.216666666666665</v>
      </c>
      <c r="T1330" s="472">
        <f>(Table6[[#This Row],[Fault Clearance time]]-Table6[[#This Row],[Fault Start TimeStamp]])*24</f>
        <v>4.216666666666665</v>
      </c>
      <c r="U1330" s="35" t="s">
        <v>2019</v>
      </c>
      <c r="V1330" s="102" t="s">
        <v>293</v>
      </c>
      <c r="W1330" s="478">
        <f>IFERROR(Table6[[#This Row],[Breakdown Time]]*Table6[[#This Row],[Plant Equivalent Weightage]],"")</f>
        <v>0.16217948717948708</v>
      </c>
      <c r="X1330" s="473" t="s">
        <v>290</v>
      </c>
      <c r="Y1330" s="474" t="s">
        <v>313</v>
      </c>
      <c r="Z1330" s="102">
        <v>32970</v>
      </c>
      <c r="AA1330" s="468">
        <f>(Table6[[#This Row],[Paired WTG Generation for loss calculation]]/24)*Table6[[#This Row],[Breakdown Time]]</f>
        <v>5792.6458333333312</v>
      </c>
      <c r="AB1330" s="102"/>
      <c r="AC1330" s="35"/>
      <c r="AD1330" s="35"/>
    </row>
    <row r="1331" spans="1:30">
      <c r="A1331" s="102">
        <f t="shared" si="21"/>
        <v>1330</v>
      </c>
      <c r="B1331" s="468">
        <f>YEAR(Table6[[#This Row],[Date]])+IF(MONTH(Table6[[#This Row],[Date]])&gt;=4,1,0)</f>
        <v>2026</v>
      </c>
      <c r="C1331" s="102">
        <f>YEAR(Table6[[#This Row],[Date]])</f>
        <v>2025</v>
      </c>
      <c r="D1331" s="102" t="s">
        <v>1992</v>
      </c>
      <c r="E1331" s="469">
        <f>Table6[[#This Row],[Date]]-DAY(Table6[[#This Row],[Date]])+1</f>
        <v>45809</v>
      </c>
      <c r="F1331" s="470">
        <v>45835</v>
      </c>
      <c r="G1331" s="35" t="s">
        <v>86</v>
      </c>
      <c r="H1331" s="35" t="str">
        <f>IFERROR(_xlfn.XLOOKUP(Table6[[#This Row],[Affected WTG]],'Basic Data'!$A:$A,'Basic Data'!$B:$B),"")</f>
        <v>TQGXIIPL</v>
      </c>
      <c r="I1331" s="35" t="str">
        <f>IFERROR(_xlfn.XLOOKUP(Table6[[#This Row],[Affected WTG]],'Basic Data'!$A:$A,'Basic Data'!$C:$C),"")</f>
        <v>GEDA</v>
      </c>
      <c r="J1331" s="471">
        <f>IFERROR(_xlfn.XLOOKUP(Table6[[#This Row],[Affected WTG]],'Basic Data'!$A:$A,'Basic Data'!$E:$E),"")</f>
        <v>3.846153846153845E-2</v>
      </c>
      <c r="K1331" s="102">
        <v>175</v>
      </c>
      <c r="L1331" s="35" t="str">
        <f>IFERROR(_xlfn.XLOOKUP(Table6[[#This Row],[Error Code]],'Basic Data'!$AA:$AA,'Basic Data'!$AB:$AB),"Incorrect Error Code")</f>
        <v>SLC error</v>
      </c>
      <c r="M1331" s="35" t="s">
        <v>291</v>
      </c>
      <c r="N1331" s="475"/>
      <c r="O1331" s="476">
        <v>0.78472222222222221</v>
      </c>
      <c r="P1331" s="476">
        <v>0.78472222222222221</v>
      </c>
      <c r="Q1331" s="477">
        <v>0.78749999999999998</v>
      </c>
      <c r="R1331" s="472">
        <f>IF(Table6[[#This Row],[Work Start TimeStamp]]="","",(Table6[[#This Row],[Work Start TimeStamp]]-Table6[[#This Row],[Fault Start TimeStamp]])*24)</f>
        <v>0</v>
      </c>
      <c r="S1331" s="472">
        <f>(Table6[[#This Row],[Fault Clearance time]]-Table6[[#This Row],[Work Start TimeStamp]])*24</f>
        <v>6.666666666666643E-2</v>
      </c>
      <c r="T1331" s="472">
        <f>(Table6[[#This Row],[Fault Clearance time]]-Table6[[#This Row],[Fault Start TimeStamp]])*24</f>
        <v>6.666666666666643E-2</v>
      </c>
      <c r="U1331" s="35" t="s">
        <v>1924</v>
      </c>
      <c r="V1331" s="102" t="s">
        <v>293</v>
      </c>
      <c r="W1331" s="478">
        <f>IFERROR(Table6[[#This Row],[Breakdown Time]]*Table6[[#This Row],[Plant Equivalent Weightage]],"")</f>
        <v>2.5641025641025541E-3</v>
      </c>
      <c r="X1331" s="473" t="s">
        <v>290</v>
      </c>
      <c r="Y1331" s="474" t="s">
        <v>313</v>
      </c>
      <c r="Z1331" s="102">
        <v>32970</v>
      </c>
      <c r="AA1331" s="468">
        <f>(Table6[[#This Row],[Paired WTG Generation for loss calculation]]/24)*Table6[[#This Row],[Breakdown Time]]</f>
        <v>91.583333333333002</v>
      </c>
      <c r="AB1331" s="102"/>
      <c r="AC1331" s="35"/>
      <c r="AD1331" s="35"/>
    </row>
    <row r="1332" spans="1:30">
      <c r="A1332" s="102">
        <f t="shared" si="21"/>
        <v>1331</v>
      </c>
      <c r="B1332" s="468">
        <f>YEAR(Table6[[#This Row],[Date]])+IF(MONTH(Table6[[#This Row],[Date]])&gt;=4,1,0)</f>
        <v>2026</v>
      </c>
      <c r="C1332" s="102">
        <f>YEAR(Table6[[#This Row],[Date]])</f>
        <v>2025</v>
      </c>
      <c r="D1332" s="102" t="s">
        <v>1992</v>
      </c>
      <c r="E1332" s="469">
        <f>Table6[[#This Row],[Date]]-DAY(Table6[[#This Row],[Date]])+1</f>
        <v>45809</v>
      </c>
      <c r="F1332" s="470">
        <v>45835</v>
      </c>
      <c r="G1332" s="35" t="s">
        <v>90</v>
      </c>
      <c r="H1332" s="35" t="str">
        <f>IFERROR(_xlfn.XLOOKUP(Table6[[#This Row],[Affected WTG]],'Basic Data'!$A:$A,'Basic Data'!$B:$B),"")</f>
        <v>TQGXIIPL</v>
      </c>
      <c r="I1332" s="35" t="str">
        <f>IFERROR(_xlfn.XLOOKUP(Table6[[#This Row],[Affected WTG]],'Basic Data'!$A:$A,'Basic Data'!$C:$C),"")</f>
        <v>GEDA</v>
      </c>
      <c r="J1332" s="471">
        <f>IFERROR(_xlfn.XLOOKUP(Table6[[#This Row],[Affected WTG]],'Basic Data'!$A:$A,'Basic Data'!$E:$E),"")</f>
        <v>3.846153846153845E-2</v>
      </c>
      <c r="K1332" s="102">
        <v>4540</v>
      </c>
      <c r="L1332" s="35" t="str">
        <f>IFERROR(_xlfn.XLOOKUP(Table6[[#This Row],[Error Code]],'Basic Data'!$AA:$AA,'Basic Data'!$AB:$AB),"Incorrect Error Code")</f>
        <v>Tower oscillation X level 2</v>
      </c>
      <c r="M1332" s="35" t="s">
        <v>292</v>
      </c>
      <c r="N1332" s="475"/>
      <c r="O1332" s="476">
        <v>0.59375</v>
      </c>
      <c r="P1332" s="476">
        <v>0.59375</v>
      </c>
      <c r="Q1332" s="477">
        <v>0.59861111111111109</v>
      </c>
      <c r="R1332" s="472">
        <f>IF(Table6[[#This Row],[Work Start TimeStamp]]="","",(Table6[[#This Row],[Work Start TimeStamp]]-Table6[[#This Row],[Fault Start TimeStamp]])*24)</f>
        <v>0</v>
      </c>
      <c r="S1332" s="472">
        <f>(Table6[[#This Row],[Fault Clearance time]]-Table6[[#This Row],[Work Start TimeStamp]])*24</f>
        <v>0.11666666666666625</v>
      </c>
      <c r="T1332" s="472">
        <f>(Table6[[#This Row],[Fault Clearance time]]-Table6[[#This Row],[Fault Start TimeStamp]])*24</f>
        <v>0.11666666666666625</v>
      </c>
      <c r="U1332" s="35" t="s">
        <v>336</v>
      </c>
      <c r="V1332" s="102" t="s">
        <v>293</v>
      </c>
      <c r="W1332" s="478">
        <f>IFERROR(Table6[[#This Row],[Breakdown Time]]*Table6[[#This Row],[Plant Equivalent Weightage]],"")</f>
        <v>4.4871794871794695E-3</v>
      </c>
      <c r="X1332" s="473" t="s">
        <v>294</v>
      </c>
      <c r="Y1332" s="474" t="s">
        <v>339</v>
      </c>
      <c r="Z1332" s="102">
        <v>37800</v>
      </c>
      <c r="AA1332" s="468">
        <f>(Table6[[#This Row],[Paired WTG Generation for loss calculation]]/24)*Table6[[#This Row],[Breakdown Time]]</f>
        <v>183.74999999999935</v>
      </c>
      <c r="AB1332" s="102"/>
      <c r="AC1332" s="35"/>
      <c r="AD1332" s="35"/>
    </row>
    <row r="1333" spans="1:30">
      <c r="A1333" s="102">
        <f t="shared" si="21"/>
        <v>1332</v>
      </c>
      <c r="B1333" s="468">
        <f>YEAR(Table6[[#This Row],[Date]])+IF(MONTH(Table6[[#This Row],[Date]])&gt;=4,1,0)</f>
        <v>2026</v>
      </c>
      <c r="C1333" s="102">
        <f>YEAR(Table6[[#This Row],[Date]])</f>
        <v>2025</v>
      </c>
      <c r="D1333" s="102" t="s">
        <v>1992</v>
      </c>
      <c r="E1333" s="469">
        <f>Table6[[#This Row],[Date]]-DAY(Table6[[#This Row],[Date]])+1</f>
        <v>45809</v>
      </c>
      <c r="F1333" s="470">
        <v>45835</v>
      </c>
      <c r="G1333" s="35" t="s">
        <v>93</v>
      </c>
      <c r="H1333" s="35" t="str">
        <f>IFERROR(_xlfn.XLOOKUP(Table6[[#This Row],[Affected WTG]],'Basic Data'!$A:$A,'Basic Data'!$B:$B),"")</f>
        <v>TQGXIIPL</v>
      </c>
      <c r="I1333" s="35" t="str">
        <f>IFERROR(_xlfn.XLOOKUP(Table6[[#This Row],[Affected WTG]],'Basic Data'!$A:$A,'Basic Data'!$C:$C),"")</f>
        <v>GEDA</v>
      </c>
      <c r="J1333" s="471">
        <f>IFERROR(_xlfn.XLOOKUP(Table6[[#This Row],[Affected WTG]],'Basic Data'!$A:$A,'Basic Data'!$E:$E),"")</f>
        <v>3.846153846153845E-2</v>
      </c>
      <c r="K1333" s="102">
        <v>551</v>
      </c>
      <c r="L1333" s="35" t="str">
        <f>IFERROR(_xlfn.XLOOKUP(Table6[[#This Row],[Error Code]],'Basic Data'!$AA:$AA,'Basic Data'!$AB:$AB),"Incorrect Error Code")</f>
        <v>Pitch motor current too high</v>
      </c>
      <c r="M1333" s="35" t="s">
        <v>291</v>
      </c>
      <c r="N1333" s="475"/>
      <c r="O1333" s="476">
        <v>0.24861111111111112</v>
      </c>
      <c r="P1333" s="476">
        <v>0.24861111111111112</v>
      </c>
      <c r="Q1333" s="477">
        <v>0.26041666666666669</v>
      </c>
      <c r="R1333" s="472">
        <f>IF(Table6[[#This Row],[Work Start TimeStamp]]="","",(Table6[[#This Row],[Work Start TimeStamp]]-Table6[[#This Row],[Fault Start TimeStamp]])*24)</f>
        <v>0</v>
      </c>
      <c r="S1333" s="472">
        <f>(Table6[[#This Row],[Fault Clearance time]]-Table6[[#This Row],[Work Start TimeStamp]])*24</f>
        <v>0.28333333333333366</v>
      </c>
      <c r="T1333" s="472">
        <f>(Table6[[#This Row],[Fault Clearance time]]-Table6[[#This Row],[Fault Start TimeStamp]])*24</f>
        <v>0.28333333333333366</v>
      </c>
      <c r="U1333" s="35" t="s">
        <v>1924</v>
      </c>
      <c r="V1333" s="102" t="s">
        <v>293</v>
      </c>
      <c r="W1333" s="478">
        <f>IFERROR(Table6[[#This Row],[Breakdown Time]]*Table6[[#This Row],[Plant Equivalent Weightage]],"")</f>
        <v>1.0897435897435907E-2</v>
      </c>
      <c r="X1333" s="473" t="s">
        <v>290</v>
      </c>
      <c r="Y1333" s="474" t="s">
        <v>314</v>
      </c>
      <c r="Z1333" s="102">
        <v>32878</v>
      </c>
      <c r="AA1333" s="468">
        <f>(Table6[[#This Row],[Paired WTG Generation for loss calculation]]/24)*Table6[[#This Row],[Breakdown Time]]</f>
        <v>388.14305555555603</v>
      </c>
      <c r="AB1333" s="102"/>
      <c r="AC1333" s="35"/>
      <c r="AD1333" s="35"/>
    </row>
    <row r="1334" spans="1:30">
      <c r="A1334" s="102">
        <f t="shared" si="21"/>
        <v>1333</v>
      </c>
      <c r="B1334" s="468">
        <f>YEAR(Table6[[#This Row],[Date]])+IF(MONTH(Table6[[#This Row],[Date]])&gt;=4,1,0)</f>
        <v>2026</v>
      </c>
      <c r="C1334" s="102">
        <f>YEAR(Table6[[#This Row],[Date]])</f>
        <v>2025</v>
      </c>
      <c r="D1334" s="102" t="s">
        <v>1992</v>
      </c>
      <c r="E1334" s="469">
        <f>Table6[[#This Row],[Date]]-DAY(Table6[[#This Row],[Date]])+1</f>
        <v>45809</v>
      </c>
      <c r="F1334" s="470">
        <v>45835</v>
      </c>
      <c r="G1334" s="35" t="s">
        <v>94</v>
      </c>
      <c r="H1334" s="35" t="str">
        <f>IFERROR(_xlfn.XLOOKUP(Table6[[#This Row],[Affected WTG]],'Basic Data'!$A:$A,'Basic Data'!$B:$B),"")</f>
        <v>TQGXIIPL</v>
      </c>
      <c r="I1334" s="35" t="str">
        <f>IFERROR(_xlfn.XLOOKUP(Table6[[#This Row],[Affected WTG]],'Basic Data'!$A:$A,'Basic Data'!$C:$C),"")</f>
        <v>GEDA</v>
      </c>
      <c r="J1334" s="471">
        <f>IFERROR(_xlfn.XLOOKUP(Table6[[#This Row],[Affected WTG]],'Basic Data'!$A:$A,'Basic Data'!$E:$E),"")</f>
        <v>3.846153846153845E-2</v>
      </c>
      <c r="K1334" s="102">
        <v>4970</v>
      </c>
      <c r="L1334" s="35" t="str">
        <f>IFERROR(_xlfn.XLOOKUP(Table6[[#This Row],[Error Code]],'Basic Data'!$AA:$AA,'Basic Data'!$AB:$AB),"Incorrect Error Code")</f>
        <v>Tower oscillation XF</v>
      </c>
      <c r="M1334" s="35" t="s">
        <v>292</v>
      </c>
      <c r="N1334" s="475"/>
      <c r="O1334" s="476">
        <v>0.26111111111111113</v>
      </c>
      <c r="P1334" s="476">
        <v>0.26111111111111113</v>
      </c>
      <c r="Q1334" s="477">
        <v>0.2673611111111111</v>
      </c>
      <c r="R1334" s="472">
        <f>IF(Table6[[#This Row],[Work Start TimeStamp]]="","",(Table6[[#This Row],[Work Start TimeStamp]]-Table6[[#This Row],[Fault Start TimeStamp]])*24)</f>
        <v>0</v>
      </c>
      <c r="S1334" s="472">
        <f>(Table6[[#This Row],[Fault Clearance time]]-Table6[[#This Row],[Work Start TimeStamp]])*24</f>
        <v>0.14999999999999947</v>
      </c>
      <c r="T1334" s="472">
        <f>(Table6[[#This Row],[Fault Clearance time]]-Table6[[#This Row],[Fault Start TimeStamp]])*24</f>
        <v>0.14999999999999947</v>
      </c>
      <c r="U1334" s="35" t="s">
        <v>336</v>
      </c>
      <c r="V1334" s="102" t="s">
        <v>293</v>
      </c>
      <c r="W1334" s="478">
        <f>IFERROR(Table6[[#This Row],[Breakdown Time]]*Table6[[#This Row],[Plant Equivalent Weightage]],"")</f>
        <v>5.769230769230747E-3</v>
      </c>
      <c r="X1334" s="473" t="s">
        <v>294</v>
      </c>
      <c r="Y1334" s="474" t="s">
        <v>319</v>
      </c>
      <c r="Z1334" s="102">
        <v>35928</v>
      </c>
      <c r="AA1334" s="468">
        <f>(Table6[[#This Row],[Paired WTG Generation for loss calculation]]/24)*Table6[[#This Row],[Breakdown Time]]</f>
        <v>224.54999999999922</v>
      </c>
      <c r="AB1334" s="102"/>
      <c r="AC1334" s="35"/>
      <c r="AD1334" s="35"/>
    </row>
    <row r="1335" spans="1:30">
      <c r="A1335" s="102">
        <f t="shared" si="21"/>
        <v>1334</v>
      </c>
      <c r="B1335" s="468">
        <f>YEAR(Table6[[#This Row],[Date]])+IF(MONTH(Table6[[#This Row],[Date]])&gt;=4,1,0)</f>
        <v>2026</v>
      </c>
      <c r="C1335" s="102">
        <f>YEAR(Table6[[#This Row],[Date]])</f>
        <v>2025</v>
      </c>
      <c r="D1335" s="102" t="s">
        <v>1992</v>
      </c>
      <c r="E1335" s="469">
        <f>Table6[[#This Row],[Date]]-DAY(Table6[[#This Row],[Date]])+1</f>
        <v>45809</v>
      </c>
      <c r="F1335" s="470">
        <v>45835</v>
      </c>
      <c r="G1335" s="35" t="s">
        <v>96</v>
      </c>
      <c r="H1335" s="35" t="str">
        <f>IFERROR(_xlfn.XLOOKUP(Table6[[#This Row],[Affected WTG]],'Basic Data'!$A:$A,'Basic Data'!$B:$B),"")</f>
        <v>TQGXIIPL</v>
      </c>
      <c r="I1335" s="35" t="str">
        <f>IFERROR(_xlfn.XLOOKUP(Table6[[#This Row],[Affected WTG]],'Basic Data'!$A:$A,'Basic Data'!$C:$C),"")</f>
        <v>GEDA</v>
      </c>
      <c r="J1335" s="471">
        <f>IFERROR(_xlfn.XLOOKUP(Table6[[#This Row],[Affected WTG]],'Basic Data'!$A:$A,'Basic Data'!$E:$E),"")</f>
        <v>3.846153846153845E-2</v>
      </c>
      <c r="K1335" s="102">
        <v>4970</v>
      </c>
      <c r="L1335" s="35" t="str">
        <f>IFERROR(_xlfn.XLOOKUP(Table6[[#This Row],[Error Code]],'Basic Data'!$AA:$AA,'Basic Data'!$AB:$AB),"Incorrect Error Code")</f>
        <v>Tower oscillation XF</v>
      </c>
      <c r="M1335" s="35" t="s">
        <v>292</v>
      </c>
      <c r="N1335" s="475"/>
      <c r="O1335" s="476">
        <v>0.62847222222222221</v>
      </c>
      <c r="P1335" s="476">
        <v>0.62847222222222221</v>
      </c>
      <c r="Q1335" s="477">
        <v>0.63958333333333328</v>
      </c>
      <c r="R1335" s="472">
        <f>IF(Table6[[#This Row],[Work Start TimeStamp]]="","",(Table6[[#This Row],[Work Start TimeStamp]]-Table6[[#This Row],[Fault Start TimeStamp]])*24)</f>
        <v>0</v>
      </c>
      <c r="S1335" s="472">
        <f>(Table6[[#This Row],[Fault Clearance time]]-Table6[[#This Row],[Work Start TimeStamp]])*24</f>
        <v>0.26666666666666572</v>
      </c>
      <c r="T1335" s="472">
        <f>(Table6[[#This Row],[Fault Clearance time]]-Table6[[#This Row],[Fault Start TimeStamp]])*24</f>
        <v>0.26666666666666572</v>
      </c>
      <c r="U1335" s="35" t="s">
        <v>336</v>
      </c>
      <c r="V1335" s="102" t="s">
        <v>293</v>
      </c>
      <c r="W1335" s="478">
        <f>IFERROR(Table6[[#This Row],[Breakdown Time]]*Table6[[#This Row],[Plant Equivalent Weightage]],"")</f>
        <v>1.0256410256410217E-2</v>
      </c>
      <c r="X1335" s="473" t="s">
        <v>294</v>
      </c>
      <c r="Y1335" s="474" t="s">
        <v>313</v>
      </c>
      <c r="Z1335" s="102">
        <v>32970</v>
      </c>
      <c r="AA1335" s="468">
        <f>(Table6[[#This Row],[Paired WTG Generation for loss calculation]]/24)*Table6[[#This Row],[Breakdown Time]]</f>
        <v>366.33333333333201</v>
      </c>
      <c r="AB1335" s="102"/>
      <c r="AC1335" s="35"/>
      <c r="AD1335" s="35"/>
    </row>
    <row r="1336" spans="1:30">
      <c r="A1336" s="102">
        <f t="shared" si="21"/>
        <v>1335</v>
      </c>
      <c r="B1336" s="468">
        <f>YEAR(Table6[[#This Row],[Date]])+IF(MONTH(Table6[[#This Row],[Date]])&gt;=4,1,0)</f>
        <v>2026</v>
      </c>
      <c r="C1336" s="102">
        <f>YEAR(Table6[[#This Row],[Date]])</f>
        <v>2025</v>
      </c>
      <c r="D1336" s="102" t="s">
        <v>1992</v>
      </c>
      <c r="E1336" s="469">
        <f>Table6[[#This Row],[Date]]-DAY(Table6[[#This Row],[Date]])+1</f>
        <v>45809</v>
      </c>
      <c r="F1336" s="470">
        <v>45836</v>
      </c>
      <c r="G1336" s="35" t="s">
        <v>75</v>
      </c>
      <c r="H1336" s="35" t="str">
        <f>IFERROR(_xlfn.XLOOKUP(Table6[[#This Row],[Affected WTG]],'Basic Data'!$A:$A,'Basic Data'!$B:$B),"")</f>
        <v>TQGXIIPL</v>
      </c>
      <c r="I1336" s="35" t="str">
        <f>IFERROR(_xlfn.XLOOKUP(Table6[[#This Row],[Affected WTG]],'Basic Data'!$A:$A,'Basic Data'!$C:$C),"")</f>
        <v>GEDA</v>
      </c>
      <c r="J1336" s="471">
        <f>IFERROR(_xlfn.XLOOKUP(Table6[[#This Row],[Affected WTG]],'Basic Data'!$A:$A,'Basic Data'!$E:$E),"")</f>
        <v>3.846153846153845E-2</v>
      </c>
      <c r="K1336" s="102">
        <v>3211</v>
      </c>
      <c r="L1336" s="35" t="str">
        <f>IFERROR(_xlfn.XLOOKUP(Table6[[#This Row],[Error Code]],'Basic Data'!$AA:$AA,'Basic Data'!$AB:$AB),"Incorrect Error Code")</f>
        <v>Conv. load shedding (CAN)</v>
      </c>
      <c r="M1336" s="35" t="s">
        <v>291</v>
      </c>
      <c r="N1336" s="475"/>
      <c r="O1336" s="476">
        <v>0.34513888888888888</v>
      </c>
      <c r="P1336" s="476">
        <v>0.34513888888888888</v>
      </c>
      <c r="Q1336" s="477">
        <v>0.34652777777777777</v>
      </c>
      <c r="R1336" s="472">
        <f>IF(Table6[[#This Row],[Work Start TimeStamp]]="","",(Table6[[#This Row],[Work Start TimeStamp]]-Table6[[#This Row],[Fault Start TimeStamp]])*24)</f>
        <v>0</v>
      </c>
      <c r="S1336" s="472">
        <f>(Table6[[#This Row],[Fault Clearance time]]-Table6[[#This Row],[Work Start TimeStamp]])*24</f>
        <v>3.3333333333333215E-2</v>
      </c>
      <c r="T1336" s="472">
        <f>(Table6[[#This Row],[Fault Clearance time]]-Table6[[#This Row],[Fault Start TimeStamp]])*24</f>
        <v>3.3333333333333215E-2</v>
      </c>
      <c r="U1336" s="35" t="s">
        <v>1924</v>
      </c>
      <c r="V1336" s="102" t="s">
        <v>293</v>
      </c>
      <c r="W1336" s="478">
        <f>IFERROR(Table6[[#This Row],[Breakdown Time]]*Table6[[#This Row],[Plant Equivalent Weightage]],"")</f>
        <v>1.2820512820512771E-3</v>
      </c>
      <c r="X1336" s="473" t="s">
        <v>290</v>
      </c>
      <c r="Y1336" s="474" t="s">
        <v>318</v>
      </c>
      <c r="Z1336" s="102">
        <v>54703</v>
      </c>
      <c r="AA1336" s="468">
        <f>(Table6[[#This Row],[Paired WTG Generation for loss calculation]]/24)*Table6[[#This Row],[Breakdown Time]]</f>
        <v>75.976388888888607</v>
      </c>
      <c r="AB1336" s="102"/>
      <c r="AC1336" s="35"/>
      <c r="AD1336" s="35"/>
    </row>
    <row r="1337" spans="1:30">
      <c r="A1337" s="102">
        <f t="shared" si="21"/>
        <v>1336</v>
      </c>
      <c r="B1337" s="468">
        <f>YEAR(Table6[[#This Row],[Date]])+IF(MONTH(Table6[[#This Row],[Date]])&gt;=4,1,0)</f>
        <v>2026</v>
      </c>
      <c r="C1337" s="102">
        <f>YEAR(Table6[[#This Row],[Date]])</f>
        <v>2025</v>
      </c>
      <c r="D1337" s="102" t="s">
        <v>1992</v>
      </c>
      <c r="E1337" s="469">
        <f>Table6[[#This Row],[Date]]-DAY(Table6[[#This Row],[Date]])+1</f>
        <v>45809</v>
      </c>
      <c r="F1337" s="470">
        <v>45836</v>
      </c>
      <c r="G1337" s="35" t="s">
        <v>75</v>
      </c>
      <c r="H1337" s="35" t="str">
        <f>IFERROR(_xlfn.XLOOKUP(Table6[[#This Row],[Affected WTG]],'Basic Data'!$A:$A,'Basic Data'!$B:$B),"")</f>
        <v>TQGXIIPL</v>
      </c>
      <c r="I1337" s="35" t="str">
        <f>IFERROR(_xlfn.XLOOKUP(Table6[[#This Row],[Affected WTG]],'Basic Data'!$A:$A,'Basic Data'!$C:$C),"")</f>
        <v>GEDA</v>
      </c>
      <c r="J1337" s="471">
        <f>IFERROR(_xlfn.XLOOKUP(Table6[[#This Row],[Affected WTG]],'Basic Data'!$A:$A,'Basic Data'!$E:$E),"")</f>
        <v>3.846153846153845E-2</v>
      </c>
      <c r="K1337" s="102">
        <v>4970</v>
      </c>
      <c r="L1337" s="35" t="str">
        <f>IFERROR(_xlfn.XLOOKUP(Table6[[#This Row],[Error Code]],'Basic Data'!$AA:$AA,'Basic Data'!$AB:$AB),"Incorrect Error Code")</f>
        <v>Tower oscillation XF</v>
      </c>
      <c r="M1337" s="35" t="s">
        <v>292</v>
      </c>
      <c r="N1337" s="475"/>
      <c r="O1337" s="476">
        <v>0.58819444444444446</v>
      </c>
      <c r="P1337" s="476">
        <v>0.58819444444444446</v>
      </c>
      <c r="Q1337" s="477">
        <v>0.59305555555555556</v>
      </c>
      <c r="R1337" s="472">
        <f>IF(Table6[[#This Row],[Work Start TimeStamp]]="","",(Table6[[#This Row],[Work Start TimeStamp]]-Table6[[#This Row],[Fault Start TimeStamp]])*24)</f>
        <v>0</v>
      </c>
      <c r="S1337" s="472">
        <f>(Table6[[#This Row],[Fault Clearance time]]-Table6[[#This Row],[Work Start TimeStamp]])*24</f>
        <v>0.11666666666666625</v>
      </c>
      <c r="T1337" s="472">
        <f>(Table6[[#This Row],[Fault Clearance time]]-Table6[[#This Row],[Fault Start TimeStamp]])*24</f>
        <v>0.11666666666666625</v>
      </c>
      <c r="U1337" s="35" t="s">
        <v>336</v>
      </c>
      <c r="V1337" s="102" t="s">
        <v>293</v>
      </c>
      <c r="W1337" s="478">
        <f>IFERROR(Table6[[#This Row],[Breakdown Time]]*Table6[[#This Row],[Plant Equivalent Weightage]],"")</f>
        <v>4.4871794871794695E-3</v>
      </c>
      <c r="X1337" s="473" t="s">
        <v>294</v>
      </c>
      <c r="Y1337" s="474" t="s">
        <v>318</v>
      </c>
      <c r="Z1337" s="102">
        <v>54703</v>
      </c>
      <c r="AA1337" s="468">
        <f>(Table6[[#This Row],[Paired WTG Generation for loss calculation]]/24)*Table6[[#This Row],[Breakdown Time]]</f>
        <v>265.91736111111015</v>
      </c>
      <c r="AB1337" s="102"/>
      <c r="AC1337" s="35"/>
      <c r="AD1337" s="35"/>
    </row>
    <row r="1338" spans="1:30">
      <c r="A1338" s="102">
        <f t="shared" si="21"/>
        <v>1337</v>
      </c>
      <c r="B1338" s="468">
        <f>YEAR(Table6[[#This Row],[Date]])+IF(MONTH(Table6[[#This Row],[Date]])&gt;=4,1,0)</f>
        <v>2026</v>
      </c>
      <c r="C1338" s="102">
        <f>YEAR(Table6[[#This Row],[Date]])</f>
        <v>2025</v>
      </c>
      <c r="D1338" s="102" t="s">
        <v>1992</v>
      </c>
      <c r="E1338" s="469">
        <f>Table6[[#This Row],[Date]]-DAY(Table6[[#This Row],[Date]])+1</f>
        <v>45809</v>
      </c>
      <c r="F1338" s="470">
        <v>45836</v>
      </c>
      <c r="G1338" s="35" t="s">
        <v>81</v>
      </c>
      <c r="H1338" s="35" t="str">
        <f>IFERROR(_xlfn.XLOOKUP(Table6[[#This Row],[Affected WTG]],'Basic Data'!$A:$A,'Basic Data'!$B:$B),"")</f>
        <v>TQGXIIPL</v>
      </c>
      <c r="I1338" s="35" t="str">
        <f>IFERROR(_xlfn.XLOOKUP(Table6[[#This Row],[Affected WTG]],'Basic Data'!$A:$A,'Basic Data'!$C:$C),"")</f>
        <v>GEDA</v>
      </c>
      <c r="J1338" s="471">
        <f>IFERROR(_xlfn.XLOOKUP(Table6[[#This Row],[Affected WTG]],'Basic Data'!$A:$A,'Basic Data'!$E:$E),"")</f>
        <v>3.846153846153845E-2</v>
      </c>
      <c r="K1338" s="102">
        <v>741</v>
      </c>
      <c r="L1338" s="35" t="str">
        <f>IFERROR(_xlfn.XLOOKUP(Table6[[#This Row],[Error Code]],'Basic Data'!$AA:$AA,'Basic Data'!$AB:$AB),"Incorrect Error Code")</f>
        <v>Battery drive trigger by HC</v>
      </c>
      <c r="M1338" s="35" t="s">
        <v>291</v>
      </c>
      <c r="N1338" s="475"/>
      <c r="O1338" s="476">
        <v>0.32291666666666669</v>
      </c>
      <c r="P1338" s="476">
        <v>0.32291666666666669</v>
      </c>
      <c r="Q1338" s="477">
        <v>0.32500000000000001</v>
      </c>
      <c r="R1338" s="472">
        <f>IF(Table6[[#This Row],[Work Start TimeStamp]]="","",(Table6[[#This Row],[Work Start TimeStamp]]-Table6[[#This Row],[Fault Start TimeStamp]])*24)</f>
        <v>0</v>
      </c>
      <c r="S1338" s="472">
        <f>(Table6[[#This Row],[Fault Clearance time]]-Table6[[#This Row],[Work Start TimeStamp]])*24</f>
        <v>4.9999999999999822E-2</v>
      </c>
      <c r="T1338" s="472">
        <f>(Table6[[#This Row],[Fault Clearance time]]-Table6[[#This Row],[Fault Start TimeStamp]])*24</f>
        <v>4.9999999999999822E-2</v>
      </c>
      <c r="U1338" s="35" t="s">
        <v>1924</v>
      </c>
      <c r="V1338" s="102" t="s">
        <v>293</v>
      </c>
      <c r="W1338" s="478">
        <f>IFERROR(Table6[[#This Row],[Breakdown Time]]*Table6[[#This Row],[Plant Equivalent Weightage]],"")</f>
        <v>1.9230769230769156E-3</v>
      </c>
      <c r="X1338" s="473" t="s">
        <v>290</v>
      </c>
      <c r="Y1338" s="474" t="s">
        <v>321</v>
      </c>
      <c r="Z1338" s="102">
        <v>55344</v>
      </c>
      <c r="AA1338" s="468">
        <f>(Table6[[#This Row],[Paired WTG Generation for loss calculation]]/24)*Table6[[#This Row],[Breakdown Time]]</f>
        <v>115.29999999999959</v>
      </c>
      <c r="AB1338" s="102"/>
      <c r="AC1338" s="35"/>
      <c r="AD1338" s="35"/>
    </row>
    <row r="1339" spans="1:30">
      <c r="A1339" s="102">
        <f t="shared" si="21"/>
        <v>1338</v>
      </c>
      <c r="B1339" s="468">
        <f>YEAR(Table6[[#This Row],[Date]])+IF(MONTH(Table6[[#This Row],[Date]])&gt;=4,1,0)</f>
        <v>2026</v>
      </c>
      <c r="C1339" s="102">
        <f>YEAR(Table6[[#This Row],[Date]])</f>
        <v>2025</v>
      </c>
      <c r="D1339" s="102" t="s">
        <v>1992</v>
      </c>
      <c r="E1339" s="469">
        <f>Table6[[#This Row],[Date]]-DAY(Table6[[#This Row],[Date]])+1</f>
        <v>45809</v>
      </c>
      <c r="F1339" s="470">
        <v>45836</v>
      </c>
      <c r="G1339" s="35" t="s">
        <v>81</v>
      </c>
      <c r="H1339" s="35" t="str">
        <f>IFERROR(_xlfn.XLOOKUP(Table6[[#This Row],[Affected WTG]],'Basic Data'!$A:$A,'Basic Data'!$B:$B),"")</f>
        <v>TQGXIIPL</v>
      </c>
      <c r="I1339" s="35" t="str">
        <f>IFERROR(_xlfn.XLOOKUP(Table6[[#This Row],[Affected WTG]],'Basic Data'!$A:$A,'Basic Data'!$C:$C),"")</f>
        <v>GEDA</v>
      </c>
      <c r="J1339" s="471">
        <f>IFERROR(_xlfn.XLOOKUP(Table6[[#This Row],[Affected WTG]],'Basic Data'!$A:$A,'Basic Data'!$E:$E),"")</f>
        <v>3.846153846153845E-2</v>
      </c>
      <c r="K1339" s="102">
        <v>641</v>
      </c>
      <c r="L1339" s="35" t="str">
        <f>IFERROR(_xlfn.XLOOKUP(Table6[[#This Row],[Error Code]],'Basic Data'!$AA:$AA,'Basic Data'!$AB:$AB),"Incorrect Error Code")</f>
        <v>Sim.angle E enc. &lt;&gt; act.angle 1</v>
      </c>
      <c r="M1339" s="35" t="s">
        <v>291</v>
      </c>
      <c r="N1339" s="475"/>
      <c r="O1339" s="476">
        <v>0.34236111111111112</v>
      </c>
      <c r="P1339" s="476">
        <v>0.34236111111111112</v>
      </c>
      <c r="Q1339" s="477">
        <v>0.34652777777777777</v>
      </c>
      <c r="R1339" s="472">
        <f>IF(Table6[[#This Row],[Work Start TimeStamp]]="","",(Table6[[#This Row],[Work Start TimeStamp]]-Table6[[#This Row],[Fault Start TimeStamp]])*24)</f>
        <v>0</v>
      </c>
      <c r="S1339" s="472">
        <f>(Table6[[#This Row],[Fault Clearance time]]-Table6[[#This Row],[Work Start TimeStamp]])*24</f>
        <v>9.9999999999999645E-2</v>
      </c>
      <c r="T1339" s="472">
        <f>(Table6[[#This Row],[Fault Clearance time]]-Table6[[#This Row],[Fault Start TimeStamp]])*24</f>
        <v>9.9999999999999645E-2</v>
      </c>
      <c r="U1339" s="35" t="s">
        <v>1924</v>
      </c>
      <c r="V1339" s="102" t="s">
        <v>293</v>
      </c>
      <c r="W1339" s="478">
        <f>IFERROR(Table6[[#This Row],[Breakdown Time]]*Table6[[#This Row],[Plant Equivalent Weightage]],"")</f>
        <v>3.8461538461538312E-3</v>
      </c>
      <c r="X1339" s="473" t="s">
        <v>290</v>
      </c>
      <c r="Y1339" s="474" t="s">
        <v>321</v>
      </c>
      <c r="Z1339" s="102">
        <v>55344</v>
      </c>
      <c r="AA1339" s="468">
        <f>(Table6[[#This Row],[Paired WTG Generation for loss calculation]]/24)*Table6[[#This Row],[Breakdown Time]]</f>
        <v>230.59999999999917</v>
      </c>
      <c r="AB1339" s="102"/>
      <c r="AC1339" s="35"/>
      <c r="AD1339" s="35"/>
    </row>
    <row r="1340" spans="1:30">
      <c r="A1340" s="102">
        <f t="shared" si="21"/>
        <v>1339</v>
      </c>
      <c r="B1340" s="468">
        <f>YEAR(Table6[[#This Row],[Date]])+IF(MONTH(Table6[[#This Row],[Date]])&gt;=4,1,0)</f>
        <v>2026</v>
      </c>
      <c r="C1340" s="102">
        <f>YEAR(Table6[[#This Row],[Date]])</f>
        <v>2025</v>
      </c>
      <c r="D1340" s="102" t="s">
        <v>1992</v>
      </c>
      <c r="E1340" s="469">
        <f>Table6[[#This Row],[Date]]-DAY(Table6[[#This Row],[Date]])+1</f>
        <v>45809</v>
      </c>
      <c r="F1340" s="470">
        <v>45836</v>
      </c>
      <c r="G1340" s="35" t="s">
        <v>81</v>
      </c>
      <c r="H1340" s="35" t="str">
        <f>IFERROR(_xlfn.XLOOKUP(Table6[[#This Row],[Affected WTG]],'Basic Data'!$A:$A,'Basic Data'!$B:$B),"")</f>
        <v>TQGXIIPL</v>
      </c>
      <c r="I1340" s="35" t="str">
        <f>IFERROR(_xlfn.XLOOKUP(Table6[[#This Row],[Affected WTG]],'Basic Data'!$A:$A,'Basic Data'!$C:$C),"")</f>
        <v>GEDA</v>
      </c>
      <c r="J1340" s="471">
        <f>IFERROR(_xlfn.XLOOKUP(Table6[[#This Row],[Affected WTG]],'Basic Data'!$A:$A,'Basic Data'!$E:$E),"")</f>
        <v>3.846153846153845E-2</v>
      </c>
      <c r="K1340" s="102">
        <v>741</v>
      </c>
      <c r="L1340" s="35" t="str">
        <f>IFERROR(_xlfn.XLOOKUP(Table6[[#This Row],[Error Code]],'Basic Data'!$AA:$AA,'Basic Data'!$AB:$AB),"Incorrect Error Code")</f>
        <v>Battery drive trigger by HC</v>
      </c>
      <c r="M1340" s="35" t="s">
        <v>291</v>
      </c>
      <c r="N1340" s="475"/>
      <c r="O1340" s="476">
        <v>0.37222222222222223</v>
      </c>
      <c r="P1340" s="476">
        <v>0.37222222222222223</v>
      </c>
      <c r="Q1340" s="477">
        <v>0.3888888888888889</v>
      </c>
      <c r="R1340" s="472">
        <f>IF(Table6[[#This Row],[Work Start TimeStamp]]="","",(Table6[[#This Row],[Work Start TimeStamp]]-Table6[[#This Row],[Fault Start TimeStamp]])*24)</f>
        <v>0</v>
      </c>
      <c r="S1340" s="472">
        <f>(Table6[[#This Row],[Fault Clearance time]]-Table6[[#This Row],[Work Start TimeStamp]])*24</f>
        <v>0.39999999999999991</v>
      </c>
      <c r="T1340" s="472">
        <f>(Table6[[#This Row],[Fault Clearance time]]-Table6[[#This Row],[Fault Start TimeStamp]])*24</f>
        <v>0.39999999999999991</v>
      </c>
      <c r="U1340" s="35" t="s">
        <v>1924</v>
      </c>
      <c r="V1340" s="102" t="s">
        <v>293</v>
      </c>
      <c r="W1340" s="478">
        <f>IFERROR(Table6[[#This Row],[Breakdown Time]]*Table6[[#This Row],[Plant Equivalent Weightage]],"")</f>
        <v>1.5384615384615377E-2</v>
      </c>
      <c r="X1340" s="473" t="s">
        <v>290</v>
      </c>
      <c r="Y1340" s="474" t="s">
        <v>321</v>
      </c>
      <c r="Z1340" s="102">
        <v>55344</v>
      </c>
      <c r="AA1340" s="468">
        <f>(Table6[[#This Row],[Paired WTG Generation for loss calculation]]/24)*Table6[[#This Row],[Breakdown Time]]</f>
        <v>922.39999999999975</v>
      </c>
      <c r="AB1340" s="102"/>
      <c r="AC1340" s="35"/>
      <c r="AD1340" s="35"/>
    </row>
    <row r="1341" spans="1:30">
      <c r="A1341" s="102">
        <f t="shared" si="21"/>
        <v>1340</v>
      </c>
      <c r="B1341" s="468">
        <f>YEAR(Table6[[#This Row],[Date]])+IF(MONTH(Table6[[#This Row],[Date]])&gt;=4,1,0)</f>
        <v>2026</v>
      </c>
      <c r="C1341" s="102">
        <f>YEAR(Table6[[#This Row],[Date]])</f>
        <v>2025</v>
      </c>
      <c r="D1341" s="102" t="s">
        <v>1992</v>
      </c>
      <c r="E1341" s="469">
        <f>Table6[[#This Row],[Date]]-DAY(Table6[[#This Row],[Date]])+1</f>
        <v>45809</v>
      </c>
      <c r="F1341" s="470">
        <v>45836</v>
      </c>
      <c r="G1341" s="35" t="s">
        <v>81</v>
      </c>
      <c r="H1341" s="35" t="str">
        <f>IFERROR(_xlfn.XLOOKUP(Table6[[#This Row],[Affected WTG]],'Basic Data'!$A:$A,'Basic Data'!$B:$B),"")</f>
        <v>TQGXIIPL</v>
      </c>
      <c r="I1341" s="35" t="str">
        <f>IFERROR(_xlfn.XLOOKUP(Table6[[#This Row],[Affected WTG]],'Basic Data'!$A:$A,'Basic Data'!$C:$C),"")</f>
        <v>GEDA</v>
      </c>
      <c r="J1341" s="471">
        <f>IFERROR(_xlfn.XLOOKUP(Table6[[#This Row],[Affected WTG]],'Basic Data'!$A:$A,'Basic Data'!$E:$E),"")</f>
        <v>3.846153846153845E-2</v>
      </c>
      <c r="K1341" s="102">
        <v>665</v>
      </c>
      <c r="L1341" s="35" t="str">
        <f>IFERROR(_xlfn.XLOOKUP(Table6[[#This Row],[Error Code]],'Basic Data'!$AA:$AA,'Basic Data'!$AB:$AB),"Incorrect Error Code")</f>
        <v>Pitch error</v>
      </c>
      <c r="M1341" s="35" t="s">
        <v>291</v>
      </c>
      <c r="N1341" s="475"/>
      <c r="O1341" s="476">
        <v>0.40069444444444446</v>
      </c>
      <c r="P1341" s="476">
        <v>0.45555555555555555</v>
      </c>
      <c r="Q1341" s="477">
        <v>0.55347222222222225</v>
      </c>
      <c r="R1341" s="472">
        <f>IF(Table6[[#This Row],[Work Start TimeStamp]]="","",(Table6[[#This Row],[Work Start TimeStamp]]-Table6[[#This Row],[Fault Start TimeStamp]])*24)</f>
        <v>1.316666666666666</v>
      </c>
      <c r="S1341" s="472">
        <f>(Table6[[#This Row],[Fault Clearance time]]-Table6[[#This Row],[Work Start TimeStamp]])*24</f>
        <v>2.350000000000001</v>
      </c>
      <c r="T1341" s="472">
        <f>(Table6[[#This Row],[Fault Clearance time]]-Table6[[#This Row],[Fault Start TimeStamp]])*24</f>
        <v>3.666666666666667</v>
      </c>
      <c r="U1341" s="35" t="s">
        <v>2020</v>
      </c>
      <c r="V1341" s="102" t="s">
        <v>293</v>
      </c>
      <c r="W1341" s="478">
        <f>IFERROR(Table6[[#This Row],[Breakdown Time]]*Table6[[#This Row],[Plant Equivalent Weightage]],"")</f>
        <v>0.141025641025641</v>
      </c>
      <c r="X1341" s="473" t="s">
        <v>290</v>
      </c>
      <c r="Y1341" s="474" t="s">
        <v>321</v>
      </c>
      <c r="Z1341" s="102">
        <v>55344</v>
      </c>
      <c r="AA1341" s="468">
        <f>(Table6[[#This Row],[Paired WTG Generation for loss calculation]]/24)*Table6[[#This Row],[Breakdown Time]]</f>
        <v>8455.3333333333339</v>
      </c>
      <c r="AB1341" s="102"/>
      <c r="AC1341" s="35"/>
      <c r="AD1341" s="35"/>
    </row>
    <row r="1342" spans="1:30">
      <c r="A1342" s="102">
        <f t="shared" si="21"/>
        <v>1341</v>
      </c>
      <c r="B1342" s="468">
        <f>YEAR(Table6[[#This Row],[Date]])+IF(MONTH(Table6[[#This Row],[Date]])&gt;=4,1,0)</f>
        <v>2026</v>
      </c>
      <c r="C1342" s="102">
        <f>YEAR(Table6[[#This Row],[Date]])</f>
        <v>2025</v>
      </c>
      <c r="D1342" s="102" t="s">
        <v>1992</v>
      </c>
      <c r="E1342" s="469">
        <f>Table6[[#This Row],[Date]]-DAY(Table6[[#This Row],[Date]])+1</f>
        <v>45809</v>
      </c>
      <c r="F1342" s="470">
        <v>45836</v>
      </c>
      <c r="G1342" s="35" t="s">
        <v>81</v>
      </c>
      <c r="H1342" s="35" t="str">
        <f>IFERROR(_xlfn.XLOOKUP(Table6[[#This Row],[Affected WTG]],'Basic Data'!$A:$A,'Basic Data'!$B:$B),"")</f>
        <v>TQGXIIPL</v>
      </c>
      <c r="I1342" s="35" t="str">
        <f>IFERROR(_xlfn.XLOOKUP(Table6[[#This Row],[Affected WTG]],'Basic Data'!$A:$A,'Basic Data'!$C:$C),"")</f>
        <v>GEDA</v>
      </c>
      <c r="J1342" s="471">
        <f>IFERROR(_xlfn.XLOOKUP(Table6[[#This Row],[Affected WTG]],'Basic Data'!$A:$A,'Basic Data'!$E:$E),"")</f>
        <v>3.846153846153845E-2</v>
      </c>
      <c r="K1342" s="102">
        <v>741</v>
      </c>
      <c r="L1342" s="35" t="str">
        <f>IFERROR(_xlfn.XLOOKUP(Table6[[#This Row],[Error Code]],'Basic Data'!$AA:$AA,'Basic Data'!$AB:$AB),"Incorrect Error Code")</f>
        <v>Battery drive trigger by HC</v>
      </c>
      <c r="M1342" s="35" t="s">
        <v>291</v>
      </c>
      <c r="N1342" s="475"/>
      <c r="O1342" s="476">
        <v>0.83194444444444449</v>
      </c>
      <c r="P1342" s="476">
        <v>0.83194444444444449</v>
      </c>
      <c r="Q1342" s="477">
        <v>0.8354166666666667</v>
      </c>
      <c r="R1342" s="472">
        <f>IF(Table6[[#This Row],[Work Start TimeStamp]]="","",(Table6[[#This Row],[Work Start TimeStamp]]-Table6[[#This Row],[Fault Start TimeStamp]])*24)</f>
        <v>0</v>
      </c>
      <c r="S1342" s="472">
        <f>(Table6[[#This Row],[Fault Clearance time]]-Table6[[#This Row],[Work Start TimeStamp]])*24</f>
        <v>8.3333333333333037E-2</v>
      </c>
      <c r="T1342" s="472">
        <f>(Table6[[#This Row],[Fault Clearance time]]-Table6[[#This Row],[Fault Start TimeStamp]])*24</f>
        <v>8.3333333333333037E-2</v>
      </c>
      <c r="U1342" s="35" t="s">
        <v>1924</v>
      </c>
      <c r="V1342" s="102" t="s">
        <v>293</v>
      </c>
      <c r="W1342" s="478">
        <f>IFERROR(Table6[[#This Row],[Breakdown Time]]*Table6[[#This Row],[Plant Equivalent Weightage]],"")</f>
        <v>3.2051282051281929E-3</v>
      </c>
      <c r="X1342" s="473" t="s">
        <v>290</v>
      </c>
      <c r="Y1342" s="474" t="s">
        <v>321</v>
      </c>
      <c r="Z1342" s="102">
        <v>55344</v>
      </c>
      <c r="AA1342" s="468">
        <f>(Table6[[#This Row],[Paired WTG Generation for loss calculation]]/24)*Table6[[#This Row],[Breakdown Time]]</f>
        <v>192.16666666666598</v>
      </c>
      <c r="AB1342" s="102"/>
      <c r="AC1342" s="35"/>
      <c r="AD1342" s="35"/>
    </row>
    <row r="1343" spans="1:30">
      <c r="A1343" s="102">
        <f t="shared" si="21"/>
        <v>1342</v>
      </c>
      <c r="B1343" s="468">
        <f>YEAR(Table6[[#This Row],[Date]])+IF(MONTH(Table6[[#This Row],[Date]])&gt;=4,1,0)</f>
        <v>2026</v>
      </c>
      <c r="C1343" s="102">
        <f>YEAR(Table6[[#This Row],[Date]])</f>
        <v>2025</v>
      </c>
      <c r="D1343" s="102" t="s">
        <v>1992</v>
      </c>
      <c r="E1343" s="469">
        <f>Table6[[#This Row],[Date]]-DAY(Table6[[#This Row],[Date]])+1</f>
        <v>45809</v>
      </c>
      <c r="F1343" s="470">
        <v>45836</v>
      </c>
      <c r="G1343" s="35" t="s">
        <v>81</v>
      </c>
      <c r="H1343" s="35" t="str">
        <f>IFERROR(_xlfn.XLOOKUP(Table6[[#This Row],[Affected WTG]],'Basic Data'!$A:$A,'Basic Data'!$B:$B),"")</f>
        <v>TQGXIIPL</v>
      </c>
      <c r="I1343" s="35" t="str">
        <f>IFERROR(_xlfn.XLOOKUP(Table6[[#This Row],[Affected WTG]],'Basic Data'!$A:$A,'Basic Data'!$C:$C),"")</f>
        <v>GEDA</v>
      </c>
      <c r="J1343" s="471">
        <f>IFERROR(_xlfn.XLOOKUP(Table6[[#This Row],[Affected WTG]],'Basic Data'!$A:$A,'Basic Data'!$E:$E),"")</f>
        <v>3.846153846153845E-2</v>
      </c>
      <c r="K1343" s="102">
        <v>641</v>
      </c>
      <c r="L1343" s="35" t="str">
        <f>IFERROR(_xlfn.XLOOKUP(Table6[[#This Row],[Error Code]],'Basic Data'!$AA:$AA,'Basic Data'!$AB:$AB),"Incorrect Error Code")</f>
        <v>Sim.angle E enc. &lt;&gt; act.angle 1</v>
      </c>
      <c r="M1343" s="35" t="s">
        <v>291</v>
      </c>
      <c r="N1343" s="475"/>
      <c r="O1343" s="476">
        <v>0.85763888888888884</v>
      </c>
      <c r="P1343" s="476">
        <v>0.85763888888888884</v>
      </c>
      <c r="Q1343" s="477">
        <v>0.85833333333333328</v>
      </c>
      <c r="R1343" s="472">
        <f>IF(Table6[[#This Row],[Work Start TimeStamp]]="","",(Table6[[#This Row],[Work Start TimeStamp]]-Table6[[#This Row],[Fault Start TimeStamp]])*24)</f>
        <v>0</v>
      </c>
      <c r="S1343" s="472">
        <f>(Table6[[#This Row],[Fault Clearance time]]-Table6[[#This Row],[Work Start TimeStamp]])*24</f>
        <v>1.6666666666666607E-2</v>
      </c>
      <c r="T1343" s="472">
        <f>(Table6[[#This Row],[Fault Clearance time]]-Table6[[#This Row],[Fault Start TimeStamp]])*24</f>
        <v>1.6666666666666607E-2</v>
      </c>
      <c r="U1343" s="35" t="s">
        <v>1924</v>
      </c>
      <c r="V1343" s="102" t="s">
        <v>293</v>
      </c>
      <c r="W1343" s="478">
        <f>IFERROR(Table6[[#This Row],[Breakdown Time]]*Table6[[#This Row],[Plant Equivalent Weightage]],"")</f>
        <v>6.4102564102563853E-4</v>
      </c>
      <c r="X1343" s="473" t="s">
        <v>290</v>
      </c>
      <c r="Y1343" s="474" t="s">
        <v>321</v>
      </c>
      <c r="Z1343" s="102">
        <v>55344</v>
      </c>
      <c r="AA1343" s="468">
        <f>(Table6[[#This Row],[Paired WTG Generation for loss calculation]]/24)*Table6[[#This Row],[Breakdown Time]]</f>
        <v>38.433333333333195</v>
      </c>
      <c r="AB1343" s="102"/>
      <c r="AC1343" s="35"/>
      <c r="AD1343" s="35"/>
    </row>
    <row r="1344" spans="1:30">
      <c r="A1344" s="102">
        <f t="shared" si="21"/>
        <v>1343</v>
      </c>
      <c r="B1344" s="468">
        <f>YEAR(Table6[[#This Row],[Date]])+IF(MONTH(Table6[[#This Row],[Date]])&gt;=4,1,0)</f>
        <v>2026</v>
      </c>
      <c r="C1344" s="102">
        <f>YEAR(Table6[[#This Row],[Date]])</f>
        <v>2025</v>
      </c>
      <c r="D1344" s="102" t="s">
        <v>1992</v>
      </c>
      <c r="E1344" s="469">
        <f>Table6[[#This Row],[Date]]-DAY(Table6[[#This Row],[Date]])+1</f>
        <v>45809</v>
      </c>
      <c r="F1344" s="470">
        <v>45836</v>
      </c>
      <c r="G1344" s="35" t="s">
        <v>83</v>
      </c>
      <c r="H1344" s="35" t="str">
        <f>IFERROR(_xlfn.XLOOKUP(Table6[[#This Row],[Affected WTG]],'Basic Data'!$A:$A,'Basic Data'!$B:$B),"")</f>
        <v>TQGXIIPL</v>
      </c>
      <c r="I1344" s="35" t="str">
        <f>IFERROR(_xlfn.XLOOKUP(Table6[[#This Row],[Affected WTG]],'Basic Data'!$A:$A,'Basic Data'!$C:$C),"")</f>
        <v>GEDA</v>
      </c>
      <c r="J1344" s="471">
        <f>IFERROR(_xlfn.XLOOKUP(Table6[[#This Row],[Affected WTG]],'Basic Data'!$A:$A,'Basic Data'!$E:$E),"")</f>
        <v>3.846153846153845E-2</v>
      </c>
      <c r="K1344" s="102">
        <v>1070</v>
      </c>
      <c r="L1344" s="35" t="str">
        <f>IFERROR(_xlfn.XLOOKUP(Table6[[#This Row],[Error Code]],'Basic Data'!$AA:$AA,'Basic Data'!$AB:$AB),"Incorrect Error Code")</f>
        <v>Drive train monitor level 2</v>
      </c>
      <c r="M1344" s="35" t="s">
        <v>292</v>
      </c>
      <c r="N1344" s="475"/>
      <c r="O1344" s="476">
        <v>0.6</v>
      </c>
      <c r="P1344" s="476">
        <v>0.6</v>
      </c>
      <c r="Q1344" s="477">
        <v>0.60069444444444442</v>
      </c>
      <c r="R1344" s="472">
        <f>IF(Table6[[#This Row],[Work Start TimeStamp]]="","",(Table6[[#This Row],[Work Start TimeStamp]]-Table6[[#This Row],[Fault Start TimeStamp]])*24)</f>
        <v>0</v>
      </c>
      <c r="S1344" s="472">
        <f>(Table6[[#This Row],[Fault Clearance time]]-Table6[[#This Row],[Work Start TimeStamp]])*24</f>
        <v>1.6666666666666607E-2</v>
      </c>
      <c r="T1344" s="472">
        <f>(Table6[[#This Row],[Fault Clearance time]]-Table6[[#This Row],[Fault Start TimeStamp]])*24</f>
        <v>1.6666666666666607E-2</v>
      </c>
      <c r="U1344" s="35" t="s">
        <v>336</v>
      </c>
      <c r="V1344" s="102" t="s">
        <v>293</v>
      </c>
      <c r="W1344" s="478">
        <f>IFERROR(Table6[[#This Row],[Breakdown Time]]*Table6[[#This Row],[Plant Equivalent Weightage]],"")</f>
        <v>6.4102564102563853E-4</v>
      </c>
      <c r="X1344" s="473" t="s">
        <v>294</v>
      </c>
      <c r="Y1344" s="474" t="s">
        <v>312</v>
      </c>
      <c r="Z1344" s="102">
        <v>58053</v>
      </c>
      <c r="AA1344" s="468">
        <f>(Table6[[#This Row],[Paired WTG Generation for loss calculation]]/24)*Table6[[#This Row],[Breakdown Time]]</f>
        <v>40.314583333333189</v>
      </c>
      <c r="AB1344" s="102"/>
      <c r="AC1344" s="35"/>
      <c r="AD1344" s="35"/>
    </row>
    <row r="1345" spans="1:30">
      <c r="A1345" s="102">
        <f t="shared" si="21"/>
        <v>1344</v>
      </c>
      <c r="B1345" s="468">
        <f>YEAR(Table6[[#This Row],[Date]])+IF(MONTH(Table6[[#This Row],[Date]])&gt;=4,1,0)</f>
        <v>2026</v>
      </c>
      <c r="C1345" s="102">
        <f>YEAR(Table6[[#This Row],[Date]])</f>
        <v>2025</v>
      </c>
      <c r="D1345" s="102" t="s">
        <v>1992</v>
      </c>
      <c r="E1345" s="469">
        <f>Table6[[#This Row],[Date]]-DAY(Table6[[#This Row],[Date]])+1</f>
        <v>45809</v>
      </c>
      <c r="F1345" s="470">
        <v>45836</v>
      </c>
      <c r="G1345" s="35" t="s">
        <v>86</v>
      </c>
      <c r="H1345" s="35" t="str">
        <f>IFERROR(_xlfn.XLOOKUP(Table6[[#This Row],[Affected WTG]],'Basic Data'!$A:$A,'Basic Data'!$B:$B),"")</f>
        <v>TQGXIIPL</v>
      </c>
      <c r="I1345" s="35" t="str">
        <f>IFERROR(_xlfn.XLOOKUP(Table6[[#This Row],[Affected WTG]],'Basic Data'!$A:$A,'Basic Data'!$C:$C),"")</f>
        <v>GEDA</v>
      </c>
      <c r="J1345" s="471">
        <f>IFERROR(_xlfn.XLOOKUP(Table6[[#This Row],[Affected WTG]],'Basic Data'!$A:$A,'Basic Data'!$E:$E),"")</f>
        <v>3.846153846153845E-2</v>
      </c>
      <c r="K1345" s="102">
        <v>4540</v>
      </c>
      <c r="L1345" s="35" t="str">
        <f>IFERROR(_xlfn.XLOOKUP(Table6[[#This Row],[Error Code]],'Basic Data'!$AA:$AA,'Basic Data'!$AB:$AB),"Incorrect Error Code")</f>
        <v>Tower oscillation X level 2</v>
      </c>
      <c r="M1345" s="35" t="s">
        <v>292</v>
      </c>
      <c r="N1345" s="475"/>
      <c r="O1345" s="476">
        <v>0.82638888888888884</v>
      </c>
      <c r="P1345" s="476">
        <v>0.82638888888888884</v>
      </c>
      <c r="Q1345" s="477">
        <v>0.83333333333333337</v>
      </c>
      <c r="R1345" s="472">
        <f>IF(Table6[[#This Row],[Work Start TimeStamp]]="","",(Table6[[#This Row],[Work Start TimeStamp]]-Table6[[#This Row],[Fault Start TimeStamp]])*24)</f>
        <v>0</v>
      </c>
      <c r="S1345" s="472">
        <f>(Table6[[#This Row],[Fault Clearance time]]-Table6[[#This Row],[Work Start TimeStamp]])*24</f>
        <v>0.16666666666666874</v>
      </c>
      <c r="T1345" s="472">
        <f>(Table6[[#This Row],[Fault Clearance time]]-Table6[[#This Row],[Fault Start TimeStamp]])*24</f>
        <v>0.16666666666666874</v>
      </c>
      <c r="U1345" s="35" t="s">
        <v>336</v>
      </c>
      <c r="V1345" s="102" t="s">
        <v>293</v>
      </c>
      <c r="W1345" s="478">
        <f>IFERROR(Table6[[#This Row],[Breakdown Time]]*Table6[[#This Row],[Plant Equivalent Weightage]],"")</f>
        <v>6.4102564102564881E-3</v>
      </c>
      <c r="X1345" s="473" t="s">
        <v>294</v>
      </c>
      <c r="Y1345" s="474" t="s">
        <v>313</v>
      </c>
      <c r="Z1345" s="102">
        <v>56457</v>
      </c>
      <c r="AA1345" s="468">
        <f>(Table6[[#This Row],[Paired WTG Generation for loss calculation]]/24)*Table6[[#This Row],[Breakdown Time]]</f>
        <v>392.06250000000489</v>
      </c>
      <c r="AB1345" s="102"/>
      <c r="AC1345" s="35"/>
      <c r="AD1345" s="35"/>
    </row>
    <row r="1346" spans="1:30">
      <c r="A1346" s="102">
        <f t="shared" si="21"/>
        <v>1345</v>
      </c>
      <c r="B1346" s="468">
        <f>YEAR(Table6[[#This Row],[Date]])+IF(MONTH(Table6[[#This Row],[Date]])&gt;=4,1,0)</f>
        <v>2026</v>
      </c>
      <c r="C1346" s="102">
        <f>YEAR(Table6[[#This Row],[Date]])</f>
        <v>2025</v>
      </c>
      <c r="D1346" s="102" t="s">
        <v>1992</v>
      </c>
      <c r="E1346" s="469">
        <f>Table6[[#This Row],[Date]]-DAY(Table6[[#This Row],[Date]])+1</f>
        <v>45809</v>
      </c>
      <c r="F1346" s="470">
        <v>45836</v>
      </c>
      <c r="G1346" s="35" t="s">
        <v>85</v>
      </c>
      <c r="H1346" s="35" t="str">
        <f>IFERROR(_xlfn.XLOOKUP(Table6[[#This Row],[Affected WTG]],'Basic Data'!$A:$A,'Basic Data'!$B:$B),"")</f>
        <v>TQGXIIPL</v>
      </c>
      <c r="I1346" s="35" t="str">
        <f>IFERROR(_xlfn.XLOOKUP(Table6[[#This Row],[Affected WTG]],'Basic Data'!$A:$A,'Basic Data'!$C:$C),"")</f>
        <v>GEDA</v>
      </c>
      <c r="J1346" s="471">
        <f>IFERROR(_xlfn.XLOOKUP(Table6[[#This Row],[Affected WTG]],'Basic Data'!$A:$A,'Basic Data'!$E:$E),"")</f>
        <v>3.846153846153845E-2</v>
      </c>
      <c r="K1346" s="102">
        <v>55</v>
      </c>
      <c r="L1346" s="35" t="str">
        <f>IFERROR(_xlfn.XLOOKUP(Table6[[#This Row],[Error Code]],'Basic Data'!$AA:$AA,'Basic Data'!$AB:$AB),"Incorrect Error Code")</f>
        <v>WTG shut down</v>
      </c>
      <c r="M1346" s="35" t="s">
        <v>295</v>
      </c>
      <c r="N1346" s="475"/>
      <c r="O1346" s="476">
        <v>0</v>
      </c>
      <c r="P1346" s="476">
        <v>0</v>
      </c>
      <c r="Q1346" s="477">
        <v>0.99998842592592596</v>
      </c>
      <c r="R1346" s="472">
        <f>IF(Table6[[#This Row],[Work Start TimeStamp]]="","",(Table6[[#This Row],[Work Start TimeStamp]]-Table6[[#This Row],[Fault Start TimeStamp]])*24)</f>
        <v>0</v>
      </c>
      <c r="S1346" s="472">
        <f>(Table6[[#This Row],[Fault Clearance time]]-Table6[[#This Row],[Work Start TimeStamp]])*24</f>
        <v>23.999722222222225</v>
      </c>
      <c r="T1346" s="472">
        <f>(Table6[[#This Row],[Fault Clearance time]]-Table6[[#This Row],[Fault Start TimeStamp]])*24</f>
        <v>23.999722222222225</v>
      </c>
      <c r="U1346" s="35" t="s">
        <v>2021</v>
      </c>
      <c r="V1346" s="102" t="s">
        <v>289</v>
      </c>
      <c r="W1346" s="478">
        <f>IFERROR(Table6[[#This Row],[Breakdown Time]]*Table6[[#This Row],[Plant Equivalent Weightage]],"")</f>
        <v>0.9230662393162391</v>
      </c>
      <c r="X1346" s="473" t="s">
        <v>523</v>
      </c>
      <c r="Y1346" s="474" t="s">
        <v>322</v>
      </c>
      <c r="Z1346" s="102">
        <v>56319</v>
      </c>
      <c r="AA1346" s="468">
        <f>(Table6[[#This Row],[Paired WTG Generation for loss calculation]]/24)*Table6[[#This Row],[Breakdown Time]]</f>
        <v>56318.348159722227</v>
      </c>
      <c r="AB1346" s="102"/>
      <c r="AC1346" s="35"/>
      <c r="AD1346" s="35"/>
    </row>
    <row r="1347" spans="1:30">
      <c r="A1347" s="102">
        <f t="shared" si="21"/>
        <v>1346</v>
      </c>
      <c r="B1347" s="468">
        <f>YEAR(Table6[[#This Row],[Date]])+IF(MONTH(Table6[[#This Row],[Date]])&gt;=4,1,0)</f>
        <v>2026</v>
      </c>
      <c r="C1347" s="102">
        <f>YEAR(Table6[[#This Row],[Date]])</f>
        <v>2025</v>
      </c>
      <c r="D1347" s="102" t="s">
        <v>1992</v>
      </c>
      <c r="E1347" s="469">
        <f>Table6[[#This Row],[Date]]-DAY(Table6[[#This Row],[Date]])+1</f>
        <v>45809</v>
      </c>
      <c r="F1347" s="470">
        <v>45836</v>
      </c>
      <c r="G1347" s="35" t="s">
        <v>89</v>
      </c>
      <c r="H1347" s="35" t="str">
        <f>IFERROR(_xlfn.XLOOKUP(Table6[[#This Row],[Affected WTG]],'Basic Data'!$A:$A,'Basic Data'!$B:$B),"")</f>
        <v>TQGXIIPL</v>
      </c>
      <c r="I1347" s="35" t="str">
        <f>IFERROR(_xlfn.XLOOKUP(Table6[[#This Row],[Affected WTG]],'Basic Data'!$A:$A,'Basic Data'!$C:$C),"")</f>
        <v>GEDA</v>
      </c>
      <c r="J1347" s="471">
        <f>IFERROR(_xlfn.XLOOKUP(Table6[[#This Row],[Affected WTG]],'Basic Data'!$A:$A,'Basic Data'!$E:$E),"")</f>
        <v>3.846153846153845E-2</v>
      </c>
      <c r="K1347" s="102">
        <v>4540</v>
      </c>
      <c r="L1347" s="35" t="str">
        <f>IFERROR(_xlfn.XLOOKUP(Table6[[#This Row],[Error Code]],'Basic Data'!$AA:$AA,'Basic Data'!$AB:$AB),"Incorrect Error Code")</f>
        <v>Tower oscillation X level 2</v>
      </c>
      <c r="M1347" s="35" t="s">
        <v>292</v>
      </c>
      <c r="N1347" s="475"/>
      <c r="O1347" s="476">
        <v>0.58819444444444446</v>
      </c>
      <c r="P1347" s="476">
        <v>0.58819444444444446</v>
      </c>
      <c r="Q1347" s="477">
        <v>0.59236111111111112</v>
      </c>
      <c r="R1347" s="472">
        <f>IF(Table6[[#This Row],[Work Start TimeStamp]]="","",(Table6[[#This Row],[Work Start TimeStamp]]-Table6[[#This Row],[Fault Start TimeStamp]])*24)</f>
        <v>0</v>
      </c>
      <c r="S1347" s="472">
        <f>(Table6[[#This Row],[Fault Clearance time]]-Table6[[#This Row],[Work Start TimeStamp]])*24</f>
        <v>9.9999999999999645E-2</v>
      </c>
      <c r="T1347" s="472">
        <f>(Table6[[#This Row],[Fault Clearance time]]-Table6[[#This Row],[Fault Start TimeStamp]])*24</f>
        <v>9.9999999999999645E-2</v>
      </c>
      <c r="U1347" s="35" t="s">
        <v>336</v>
      </c>
      <c r="V1347" s="102" t="s">
        <v>293</v>
      </c>
      <c r="W1347" s="478">
        <f>IFERROR(Table6[[#This Row],[Breakdown Time]]*Table6[[#This Row],[Plant Equivalent Weightage]],"")</f>
        <v>3.8461538461538312E-3</v>
      </c>
      <c r="X1347" s="473" t="s">
        <v>294</v>
      </c>
      <c r="Y1347" s="474" t="s">
        <v>325</v>
      </c>
      <c r="Z1347" s="102">
        <v>56225</v>
      </c>
      <c r="AA1347" s="468">
        <f>(Table6[[#This Row],[Paired WTG Generation for loss calculation]]/24)*Table6[[#This Row],[Breakdown Time]]</f>
        <v>234.27083333333252</v>
      </c>
      <c r="AB1347" s="102"/>
      <c r="AC1347" s="35"/>
      <c r="AD1347" s="35"/>
    </row>
    <row r="1348" spans="1:30">
      <c r="A1348" s="102">
        <f t="shared" si="21"/>
        <v>1347</v>
      </c>
      <c r="B1348" s="468">
        <f>YEAR(Table6[[#This Row],[Date]])+IF(MONTH(Table6[[#This Row],[Date]])&gt;=4,1,0)</f>
        <v>2026</v>
      </c>
      <c r="C1348" s="102">
        <f>YEAR(Table6[[#This Row],[Date]])</f>
        <v>2025</v>
      </c>
      <c r="D1348" s="102" t="s">
        <v>1992</v>
      </c>
      <c r="E1348" s="469">
        <f>Table6[[#This Row],[Date]]-DAY(Table6[[#This Row],[Date]])+1</f>
        <v>45809</v>
      </c>
      <c r="F1348" s="470">
        <v>45836</v>
      </c>
      <c r="G1348" s="35" t="s">
        <v>89</v>
      </c>
      <c r="H1348" s="35" t="str">
        <f>IFERROR(_xlfn.XLOOKUP(Table6[[#This Row],[Affected WTG]],'Basic Data'!$A:$A,'Basic Data'!$B:$B),"")</f>
        <v>TQGXIIPL</v>
      </c>
      <c r="I1348" s="35" t="str">
        <f>IFERROR(_xlfn.XLOOKUP(Table6[[#This Row],[Affected WTG]],'Basic Data'!$A:$A,'Basic Data'!$C:$C),"")</f>
        <v>GEDA</v>
      </c>
      <c r="J1348" s="471">
        <f>IFERROR(_xlfn.XLOOKUP(Table6[[#This Row],[Affected WTG]],'Basic Data'!$A:$A,'Basic Data'!$E:$E),"")</f>
        <v>3.846153846153845E-2</v>
      </c>
      <c r="K1348" s="102">
        <v>4970</v>
      </c>
      <c r="L1348" s="35" t="str">
        <f>IFERROR(_xlfn.XLOOKUP(Table6[[#This Row],[Error Code]],'Basic Data'!$AA:$AA,'Basic Data'!$AB:$AB),"Incorrect Error Code")</f>
        <v>Tower oscillation XF</v>
      </c>
      <c r="M1348" s="35" t="s">
        <v>292</v>
      </c>
      <c r="N1348" s="475"/>
      <c r="O1348" s="476">
        <v>0.62569444444444444</v>
      </c>
      <c r="P1348" s="476">
        <v>0.62569444444444444</v>
      </c>
      <c r="Q1348" s="477">
        <v>0.62986111111111109</v>
      </c>
      <c r="R1348" s="472">
        <f>IF(Table6[[#This Row],[Work Start TimeStamp]]="","",(Table6[[#This Row],[Work Start TimeStamp]]-Table6[[#This Row],[Fault Start TimeStamp]])*24)</f>
        <v>0</v>
      </c>
      <c r="S1348" s="472">
        <f>(Table6[[#This Row],[Fault Clearance time]]-Table6[[#This Row],[Work Start TimeStamp]])*24</f>
        <v>9.9999999999999645E-2</v>
      </c>
      <c r="T1348" s="472">
        <f>(Table6[[#This Row],[Fault Clearance time]]-Table6[[#This Row],[Fault Start TimeStamp]])*24</f>
        <v>9.9999999999999645E-2</v>
      </c>
      <c r="U1348" s="35" t="s">
        <v>336</v>
      </c>
      <c r="V1348" s="102" t="s">
        <v>293</v>
      </c>
      <c r="W1348" s="478">
        <f>IFERROR(Table6[[#This Row],[Breakdown Time]]*Table6[[#This Row],[Plant Equivalent Weightage]],"")</f>
        <v>3.8461538461538312E-3</v>
      </c>
      <c r="X1348" s="473" t="s">
        <v>294</v>
      </c>
      <c r="Y1348" s="474" t="s">
        <v>325</v>
      </c>
      <c r="Z1348" s="102">
        <v>56225</v>
      </c>
      <c r="AA1348" s="468">
        <f>(Table6[[#This Row],[Paired WTG Generation for loss calculation]]/24)*Table6[[#This Row],[Breakdown Time]]</f>
        <v>234.27083333333252</v>
      </c>
      <c r="AB1348" s="102"/>
      <c r="AC1348" s="35"/>
      <c r="AD1348" s="35"/>
    </row>
    <row r="1349" spans="1:30">
      <c r="A1349" s="102">
        <f t="shared" si="21"/>
        <v>1348</v>
      </c>
      <c r="B1349" s="468">
        <f>YEAR(Table6[[#This Row],[Date]])+IF(MONTH(Table6[[#This Row],[Date]])&gt;=4,1,0)</f>
        <v>2026</v>
      </c>
      <c r="C1349" s="102">
        <f>YEAR(Table6[[#This Row],[Date]])</f>
        <v>2025</v>
      </c>
      <c r="D1349" s="102" t="s">
        <v>1992</v>
      </c>
      <c r="E1349" s="469">
        <f>Table6[[#This Row],[Date]]-DAY(Table6[[#This Row],[Date]])+1</f>
        <v>45809</v>
      </c>
      <c r="F1349" s="470">
        <v>45836</v>
      </c>
      <c r="G1349" s="35" t="s">
        <v>90</v>
      </c>
      <c r="H1349" s="35" t="str">
        <f>IFERROR(_xlfn.XLOOKUP(Table6[[#This Row],[Affected WTG]],'Basic Data'!$A:$A,'Basic Data'!$B:$B),"")</f>
        <v>TQGXIIPL</v>
      </c>
      <c r="I1349" s="35" t="str">
        <f>IFERROR(_xlfn.XLOOKUP(Table6[[#This Row],[Affected WTG]],'Basic Data'!$A:$A,'Basic Data'!$C:$C),"")</f>
        <v>GEDA</v>
      </c>
      <c r="J1349" s="471">
        <f>IFERROR(_xlfn.XLOOKUP(Table6[[#This Row],[Affected WTG]],'Basic Data'!$A:$A,'Basic Data'!$E:$E),"")</f>
        <v>3.846153846153845E-2</v>
      </c>
      <c r="K1349" s="102">
        <v>3211</v>
      </c>
      <c r="L1349" s="35" t="str">
        <f>IFERROR(_xlfn.XLOOKUP(Table6[[#This Row],[Error Code]],'Basic Data'!$AA:$AA,'Basic Data'!$AB:$AB),"Incorrect Error Code")</f>
        <v>Conv. load shedding (CAN)</v>
      </c>
      <c r="M1349" s="35" t="s">
        <v>291</v>
      </c>
      <c r="N1349" s="475"/>
      <c r="O1349" s="476">
        <v>0.55763888888888891</v>
      </c>
      <c r="P1349" s="476">
        <v>0.55763888888888891</v>
      </c>
      <c r="Q1349" s="477">
        <v>0.56041666666666667</v>
      </c>
      <c r="R1349" s="472">
        <f>IF(Table6[[#This Row],[Work Start TimeStamp]]="","",(Table6[[#This Row],[Work Start TimeStamp]]-Table6[[#This Row],[Fault Start TimeStamp]])*24)</f>
        <v>0</v>
      </c>
      <c r="S1349" s="472">
        <f>(Table6[[#This Row],[Fault Clearance time]]-Table6[[#This Row],[Work Start TimeStamp]])*24</f>
        <v>6.666666666666643E-2</v>
      </c>
      <c r="T1349" s="472">
        <f>(Table6[[#This Row],[Fault Clearance time]]-Table6[[#This Row],[Fault Start TimeStamp]])*24</f>
        <v>6.666666666666643E-2</v>
      </c>
      <c r="U1349" s="35" t="s">
        <v>1924</v>
      </c>
      <c r="V1349" s="102" t="s">
        <v>293</v>
      </c>
      <c r="W1349" s="478">
        <f>IFERROR(Table6[[#This Row],[Breakdown Time]]*Table6[[#This Row],[Plant Equivalent Weightage]],"")</f>
        <v>2.5641025641025541E-3</v>
      </c>
      <c r="X1349" s="473" t="s">
        <v>290</v>
      </c>
      <c r="Y1349" s="474" t="s">
        <v>339</v>
      </c>
      <c r="Z1349" s="102">
        <v>58011</v>
      </c>
      <c r="AA1349" s="468">
        <f>(Table6[[#This Row],[Paired WTG Generation for loss calculation]]/24)*Table6[[#This Row],[Breakdown Time]]</f>
        <v>161.14166666666608</v>
      </c>
      <c r="AB1349" s="102"/>
      <c r="AC1349" s="35"/>
      <c r="AD1349" s="35"/>
    </row>
    <row r="1350" spans="1:30">
      <c r="A1350" s="102">
        <f t="shared" si="21"/>
        <v>1349</v>
      </c>
      <c r="B1350" s="468">
        <f>YEAR(Table6[[#This Row],[Date]])+IF(MONTH(Table6[[#This Row],[Date]])&gt;=4,1,0)</f>
        <v>2026</v>
      </c>
      <c r="C1350" s="102">
        <f>YEAR(Table6[[#This Row],[Date]])</f>
        <v>2025</v>
      </c>
      <c r="D1350" s="102" t="s">
        <v>1992</v>
      </c>
      <c r="E1350" s="469">
        <f>Table6[[#This Row],[Date]]-DAY(Table6[[#This Row],[Date]])+1</f>
        <v>45809</v>
      </c>
      <c r="F1350" s="470">
        <v>45836</v>
      </c>
      <c r="G1350" s="35" t="s">
        <v>90</v>
      </c>
      <c r="H1350" s="35" t="str">
        <f>IFERROR(_xlfn.XLOOKUP(Table6[[#This Row],[Affected WTG]],'Basic Data'!$A:$A,'Basic Data'!$B:$B),"")</f>
        <v>TQGXIIPL</v>
      </c>
      <c r="I1350" s="35" t="str">
        <f>IFERROR(_xlfn.XLOOKUP(Table6[[#This Row],[Affected WTG]],'Basic Data'!$A:$A,'Basic Data'!$C:$C),"")</f>
        <v>GEDA</v>
      </c>
      <c r="J1350" s="471">
        <f>IFERROR(_xlfn.XLOOKUP(Table6[[#This Row],[Affected WTG]],'Basic Data'!$A:$A,'Basic Data'!$E:$E),"")</f>
        <v>3.846153846153845E-2</v>
      </c>
      <c r="K1350" s="102">
        <v>3000</v>
      </c>
      <c r="L1350" s="35" t="str">
        <f>IFERROR(_xlfn.XLOOKUP(Table6[[#This Row],[Error Code]],'Basic Data'!$AA:$AA,'Basic Data'!$AB:$AB),"Incorrect Error Code")</f>
        <v>Frequency converter not ready</v>
      </c>
      <c r="M1350" s="35" t="s">
        <v>291</v>
      </c>
      <c r="N1350" s="475"/>
      <c r="O1350" s="476">
        <v>0.84305555555555556</v>
      </c>
      <c r="P1350" s="476">
        <v>0.84305555555555556</v>
      </c>
      <c r="Q1350" s="477">
        <v>0.84444444444444444</v>
      </c>
      <c r="R1350" s="472">
        <f>IF(Table6[[#This Row],[Work Start TimeStamp]]="","",(Table6[[#This Row],[Work Start TimeStamp]]-Table6[[#This Row],[Fault Start TimeStamp]])*24)</f>
        <v>0</v>
      </c>
      <c r="S1350" s="472">
        <f>(Table6[[#This Row],[Fault Clearance time]]-Table6[[#This Row],[Work Start TimeStamp]])*24</f>
        <v>3.3333333333333215E-2</v>
      </c>
      <c r="T1350" s="472">
        <f>(Table6[[#This Row],[Fault Clearance time]]-Table6[[#This Row],[Fault Start TimeStamp]])*24</f>
        <v>3.3333333333333215E-2</v>
      </c>
      <c r="U1350" s="35" t="s">
        <v>1924</v>
      </c>
      <c r="V1350" s="102" t="s">
        <v>293</v>
      </c>
      <c r="W1350" s="478">
        <f>IFERROR(Table6[[#This Row],[Breakdown Time]]*Table6[[#This Row],[Plant Equivalent Weightage]],"")</f>
        <v>1.2820512820512771E-3</v>
      </c>
      <c r="X1350" s="473" t="s">
        <v>290</v>
      </c>
      <c r="Y1350" s="474" t="s">
        <v>339</v>
      </c>
      <c r="Z1350" s="102">
        <v>58011</v>
      </c>
      <c r="AA1350" s="468">
        <f>(Table6[[#This Row],[Paired WTG Generation for loss calculation]]/24)*Table6[[#This Row],[Breakdown Time]]</f>
        <v>80.570833333333042</v>
      </c>
      <c r="AB1350" s="102"/>
      <c r="AC1350" s="35"/>
      <c r="AD1350" s="35"/>
    </row>
    <row r="1351" spans="1:30">
      <c r="A1351" s="102">
        <f t="shared" si="21"/>
        <v>1350</v>
      </c>
      <c r="B1351" s="468">
        <f>YEAR(Table6[[#This Row],[Date]])+IF(MONTH(Table6[[#This Row],[Date]])&gt;=4,1,0)</f>
        <v>2026</v>
      </c>
      <c r="C1351" s="102">
        <f>YEAR(Table6[[#This Row],[Date]])</f>
        <v>2025</v>
      </c>
      <c r="D1351" s="102" t="s">
        <v>1992</v>
      </c>
      <c r="E1351" s="469">
        <f>Table6[[#This Row],[Date]]-DAY(Table6[[#This Row],[Date]])+1</f>
        <v>45809</v>
      </c>
      <c r="F1351" s="470">
        <v>45836</v>
      </c>
      <c r="G1351" s="35" t="s">
        <v>90</v>
      </c>
      <c r="H1351" s="35" t="str">
        <f>IFERROR(_xlfn.XLOOKUP(Table6[[#This Row],[Affected WTG]],'Basic Data'!$A:$A,'Basic Data'!$B:$B),"")</f>
        <v>TQGXIIPL</v>
      </c>
      <c r="I1351" s="35" t="str">
        <f>IFERROR(_xlfn.XLOOKUP(Table6[[#This Row],[Affected WTG]],'Basic Data'!$A:$A,'Basic Data'!$C:$C),"")</f>
        <v>GEDA</v>
      </c>
      <c r="J1351" s="471">
        <f>IFERROR(_xlfn.XLOOKUP(Table6[[#This Row],[Affected WTG]],'Basic Data'!$A:$A,'Basic Data'!$E:$E),"")</f>
        <v>3.846153846153845E-2</v>
      </c>
      <c r="K1351" s="102">
        <v>4970</v>
      </c>
      <c r="L1351" s="35" t="str">
        <f>IFERROR(_xlfn.XLOOKUP(Table6[[#This Row],[Error Code]],'Basic Data'!$AA:$AA,'Basic Data'!$AB:$AB),"Incorrect Error Code")</f>
        <v>Tower oscillation XF</v>
      </c>
      <c r="M1351" s="35" t="s">
        <v>292</v>
      </c>
      <c r="N1351" s="475"/>
      <c r="O1351" s="476">
        <v>0.75972222222222219</v>
      </c>
      <c r="P1351" s="476">
        <v>0.75972222222222219</v>
      </c>
      <c r="Q1351" s="477">
        <v>0.76180555555555551</v>
      </c>
      <c r="R1351" s="472">
        <f>IF(Table6[[#This Row],[Work Start TimeStamp]]="","",(Table6[[#This Row],[Work Start TimeStamp]]-Table6[[#This Row],[Fault Start TimeStamp]])*24)</f>
        <v>0</v>
      </c>
      <c r="S1351" s="472">
        <f>(Table6[[#This Row],[Fault Clearance time]]-Table6[[#This Row],[Work Start TimeStamp]])*24</f>
        <v>4.9999999999999822E-2</v>
      </c>
      <c r="T1351" s="472">
        <f>(Table6[[#This Row],[Fault Clearance time]]-Table6[[#This Row],[Fault Start TimeStamp]])*24</f>
        <v>4.9999999999999822E-2</v>
      </c>
      <c r="U1351" s="35" t="s">
        <v>336</v>
      </c>
      <c r="V1351" s="102" t="s">
        <v>293</v>
      </c>
      <c r="W1351" s="478">
        <f>IFERROR(Table6[[#This Row],[Breakdown Time]]*Table6[[#This Row],[Plant Equivalent Weightage]],"")</f>
        <v>1.9230769230769156E-3</v>
      </c>
      <c r="X1351" s="473" t="s">
        <v>294</v>
      </c>
      <c r="Y1351" s="474" t="s">
        <v>339</v>
      </c>
      <c r="Z1351" s="102">
        <v>58011</v>
      </c>
      <c r="AA1351" s="468">
        <f>(Table6[[#This Row],[Paired WTG Generation for loss calculation]]/24)*Table6[[#This Row],[Breakdown Time]]</f>
        <v>120.85624999999958</v>
      </c>
      <c r="AB1351" s="102"/>
      <c r="AC1351" s="35"/>
      <c r="AD1351" s="35"/>
    </row>
    <row r="1352" spans="1:30">
      <c r="A1352" s="102">
        <f t="shared" si="21"/>
        <v>1351</v>
      </c>
      <c r="B1352" s="468">
        <f>YEAR(Table6[[#This Row],[Date]])+IF(MONTH(Table6[[#This Row],[Date]])&gt;=4,1,0)</f>
        <v>2026</v>
      </c>
      <c r="C1352" s="102">
        <f>YEAR(Table6[[#This Row],[Date]])</f>
        <v>2025</v>
      </c>
      <c r="D1352" s="102" t="s">
        <v>1992</v>
      </c>
      <c r="E1352" s="469">
        <f>Table6[[#This Row],[Date]]-DAY(Table6[[#This Row],[Date]])+1</f>
        <v>45809</v>
      </c>
      <c r="F1352" s="470">
        <v>45836</v>
      </c>
      <c r="G1352" s="35" t="s">
        <v>90</v>
      </c>
      <c r="H1352" s="35" t="str">
        <f>IFERROR(_xlfn.XLOOKUP(Table6[[#This Row],[Affected WTG]],'Basic Data'!$A:$A,'Basic Data'!$B:$B),"")</f>
        <v>TQGXIIPL</v>
      </c>
      <c r="I1352" s="35" t="str">
        <f>IFERROR(_xlfn.XLOOKUP(Table6[[#This Row],[Affected WTG]],'Basic Data'!$A:$A,'Basic Data'!$C:$C),"")</f>
        <v>GEDA</v>
      </c>
      <c r="J1352" s="471">
        <f>IFERROR(_xlfn.XLOOKUP(Table6[[#This Row],[Affected WTG]],'Basic Data'!$A:$A,'Basic Data'!$E:$E),"")</f>
        <v>3.846153846153845E-2</v>
      </c>
      <c r="K1352" s="102">
        <v>3000</v>
      </c>
      <c r="L1352" s="35" t="str">
        <f>IFERROR(_xlfn.XLOOKUP(Table6[[#This Row],[Error Code]],'Basic Data'!$AA:$AA,'Basic Data'!$AB:$AB),"Incorrect Error Code")</f>
        <v>Frequency converter not ready</v>
      </c>
      <c r="M1352" s="35" t="s">
        <v>291</v>
      </c>
      <c r="N1352" s="475"/>
      <c r="O1352" s="476">
        <v>0.90972222222222221</v>
      </c>
      <c r="P1352" s="476">
        <v>0.90972222222222221</v>
      </c>
      <c r="Q1352" s="477">
        <v>0.91249999999999998</v>
      </c>
      <c r="R1352" s="472">
        <f>IF(Table6[[#This Row],[Work Start TimeStamp]]="","",(Table6[[#This Row],[Work Start TimeStamp]]-Table6[[#This Row],[Fault Start TimeStamp]])*24)</f>
        <v>0</v>
      </c>
      <c r="S1352" s="472">
        <f>(Table6[[#This Row],[Fault Clearance time]]-Table6[[#This Row],[Work Start TimeStamp]])*24</f>
        <v>6.666666666666643E-2</v>
      </c>
      <c r="T1352" s="472">
        <f>(Table6[[#This Row],[Fault Clearance time]]-Table6[[#This Row],[Fault Start TimeStamp]])*24</f>
        <v>6.666666666666643E-2</v>
      </c>
      <c r="U1352" s="35" t="s">
        <v>1924</v>
      </c>
      <c r="V1352" s="102" t="s">
        <v>293</v>
      </c>
      <c r="W1352" s="478">
        <f>IFERROR(Table6[[#This Row],[Breakdown Time]]*Table6[[#This Row],[Plant Equivalent Weightage]],"")</f>
        <v>2.5641025641025541E-3</v>
      </c>
      <c r="X1352" s="473" t="s">
        <v>290</v>
      </c>
      <c r="Y1352" s="474" t="s">
        <v>339</v>
      </c>
      <c r="Z1352" s="102">
        <v>58011</v>
      </c>
      <c r="AA1352" s="468">
        <f>(Table6[[#This Row],[Paired WTG Generation for loss calculation]]/24)*Table6[[#This Row],[Breakdown Time]]</f>
        <v>161.14166666666608</v>
      </c>
      <c r="AB1352" s="102"/>
      <c r="AC1352" s="35"/>
      <c r="AD1352" s="35"/>
    </row>
    <row r="1353" spans="1:30">
      <c r="A1353" s="102">
        <f t="shared" si="21"/>
        <v>1352</v>
      </c>
      <c r="B1353" s="468">
        <f>YEAR(Table6[[#This Row],[Date]])+IF(MONTH(Table6[[#This Row],[Date]])&gt;=4,1,0)</f>
        <v>2026</v>
      </c>
      <c r="C1353" s="102">
        <f>YEAR(Table6[[#This Row],[Date]])</f>
        <v>2025</v>
      </c>
      <c r="D1353" s="102" t="s">
        <v>1992</v>
      </c>
      <c r="E1353" s="469">
        <f>Table6[[#This Row],[Date]]-DAY(Table6[[#This Row],[Date]])+1</f>
        <v>45809</v>
      </c>
      <c r="F1353" s="470">
        <v>45836</v>
      </c>
      <c r="G1353" s="35" t="s">
        <v>90</v>
      </c>
      <c r="H1353" s="35" t="str">
        <f>IFERROR(_xlfn.XLOOKUP(Table6[[#This Row],[Affected WTG]],'Basic Data'!$A:$A,'Basic Data'!$B:$B),"")</f>
        <v>TQGXIIPL</v>
      </c>
      <c r="I1353" s="35" t="str">
        <f>IFERROR(_xlfn.XLOOKUP(Table6[[#This Row],[Affected WTG]],'Basic Data'!$A:$A,'Basic Data'!$C:$C),"")</f>
        <v>GEDA</v>
      </c>
      <c r="J1353" s="471">
        <f>IFERROR(_xlfn.XLOOKUP(Table6[[#This Row],[Affected WTG]],'Basic Data'!$A:$A,'Basic Data'!$E:$E),"")</f>
        <v>3.846153846153845E-2</v>
      </c>
      <c r="K1353" s="102">
        <v>3211</v>
      </c>
      <c r="L1353" s="35" t="str">
        <f>IFERROR(_xlfn.XLOOKUP(Table6[[#This Row],[Error Code]],'Basic Data'!$AA:$AA,'Basic Data'!$AB:$AB),"Incorrect Error Code")</f>
        <v>Conv. load shedding (CAN)</v>
      </c>
      <c r="M1353" s="35" t="s">
        <v>291</v>
      </c>
      <c r="N1353" s="475"/>
      <c r="O1353" s="476">
        <v>0.93541666666666667</v>
      </c>
      <c r="P1353" s="476">
        <v>0.93541666666666667</v>
      </c>
      <c r="Q1353" s="477">
        <v>0.93819444444444444</v>
      </c>
      <c r="R1353" s="472">
        <f>IF(Table6[[#This Row],[Work Start TimeStamp]]="","",(Table6[[#This Row],[Work Start TimeStamp]]-Table6[[#This Row],[Fault Start TimeStamp]])*24)</f>
        <v>0</v>
      </c>
      <c r="S1353" s="472">
        <f>(Table6[[#This Row],[Fault Clearance time]]-Table6[[#This Row],[Work Start TimeStamp]])*24</f>
        <v>6.666666666666643E-2</v>
      </c>
      <c r="T1353" s="472">
        <f>(Table6[[#This Row],[Fault Clearance time]]-Table6[[#This Row],[Fault Start TimeStamp]])*24</f>
        <v>6.666666666666643E-2</v>
      </c>
      <c r="U1353" s="35" t="s">
        <v>1924</v>
      </c>
      <c r="V1353" s="102" t="s">
        <v>293</v>
      </c>
      <c r="W1353" s="478">
        <f>IFERROR(Table6[[#This Row],[Breakdown Time]]*Table6[[#This Row],[Plant Equivalent Weightage]],"")</f>
        <v>2.5641025641025541E-3</v>
      </c>
      <c r="X1353" s="473" t="s">
        <v>290</v>
      </c>
      <c r="Y1353" s="474" t="s">
        <v>339</v>
      </c>
      <c r="Z1353" s="102">
        <v>58011</v>
      </c>
      <c r="AA1353" s="468">
        <f>(Table6[[#This Row],[Paired WTG Generation for loss calculation]]/24)*Table6[[#This Row],[Breakdown Time]]</f>
        <v>161.14166666666608</v>
      </c>
      <c r="AB1353" s="102"/>
      <c r="AC1353" s="35"/>
      <c r="AD1353" s="35"/>
    </row>
    <row r="1354" spans="1:30">
      <c r="A1354" s="102">
        <f t="shared" si="21"/>
        <v>1353</v>
      </c>
      <c r="B1354" s="468">
        <f>YEAR(Table6[[#This Row],[Date]])+IF(MONTH(Table6[[#This Row],[Date]])&gt;=4,1,0)</f>
        <v>2026</v>
      </c>
      <c r="C1354" s="102">
        <f>YEAR(Table6[[#This Row],[Date]])</f>
        <v>2025</v>
      </c>
      <c r="D1354" s="102" t="s">
        <v>1992</v>
      </c>
      <c r="E1354" s="469">
        <f>Table6[[#This Row],[Date]]-DAY(Table6[[#This Row],[Date]])+1</f>
        <v>45809</v>
      </c>
      <c r="F1354" s="470">
        <v>45836</v>
      </c>
      <c r="G1354" s="35" t="s">
        <v>91</v>
      </c>
      <c r="H1354" s="35" t="str">
        <f>IFERROR(_xlfn.XLOOKUP(Table6[[#This Row],[Affected WTG]],'Basic Data'!$A:$A,'Basic Data'!$B:$B),"")</f>
        <v>TQGXIIPL</v>
      </c>
      <c r="I1354" s="35" t="str">
        <f>IFERROR(_xlfn.XLOOKUP(Table6[[#This Row],[Affected WTG]],'Basic Data'!$A:$A,'Basic Data'!$C:$C),"")</f>
        <v>GEDA</v>
      </c>
      <c r="J1354" s="471">
        <f>IFERROR(_xlfn.XLOOKUP(Table6[[#This Row],[Affected WTG]],'Basic Data'!$A:$A,'Basic Data'!$E:$E),"")</f>
        <v>3.846153846153845E-2</v>
      </c>
      <c r="K1354" s="102">
        <v>4540</v>
      </c>
      <c r="L1354" s="35" t="str">
        <f>IFERROR(_xlfn.XLOOKUP(Table6[[#This Row],[Error Code]],'Basic Data'!$AA:$AA,'Basic Data'!$AB:$AB),"Incorrect Error Code")</f>
        <v>Tower oscillation X level 2</v>
      </c>
      <c r="M1354" s="35" t="s">
        <v>291</v>
      </c>
      <c r="N1354" s="475"/>
      <c r="O1354" s="476">
        <v>0.48472222222222222</v>
      </c>
      <c r="P1354" s="476">
        <v>0.48472222222222222</v>
      </c>
      <c r="Q1354" s="477">
        <v>0.48888888888888887</v>
      </c>
      <c r="R1354" s="472">
        <f>IF(Table6[[#This Row],[Work Start TimeStamp]]="","",(Table6[[#This Row],[Work Start TimeStamp]]-Table6[[#This Row],[Fault Start TimeStamp]])*24)</f>
        <v>0</v>
      </c>
      <c r="S1354" s="472">
        <f>(Table6[[#This Row],[Fault Clearance time]]-Table6[[#This Row],[Work Start TimeStamp]])*24</f>
        <v>9.9999999999999645E-2</v>
      </c>
      <c r="T1354" s="472">
        <f>(Table6[[#This Row],[Fault Clearance time]]-Table6[[#This Row],[Fault Start TimeStamp]])*24</f>
        <v>9.9999999999999645E-2</v>
      </c>
      <c r="U1354" s="35" t="s">
        <v>1924</v>
      </c>
      <c r="V1354" s="102" t="s">
        <v>293</v>
      </c>
      <c r="W1354" s="478">
        <f>IFERROR(Table6[[#This Row],[Breakdown Time]]*Table6[[#This Row],[Plant Equivalent Weightage]],"")</f>
        <v>3.8461538461538312E-3</v>
      </c>
      <c r="X1354" s="473" t="s">
        <v>290</v>
      </c>
      <c r="Y1354" s="474" t="s">
        <v>319</v>
      </c>
      <c r="Z1354" s="102">
        <v>58092</v>
      </c>
      <c r="AA1354" s="468">
        <f>(Table6[[#This Row],[Paired WTG Generation for loss calculation]]/24)*Table6[[#This Row],[Breakdown Time]]</f>
        <v>242.04999999999913</v>
      </c>
      <c r="AB1354" s="102"/>
      <c r="AC1354" s="35"/>
      <c r="AD1354" s="35"/>
    </row>
    <row r="1355" spans="1:30">
      <c r="A1355" s="102">
        <f t="shared" si="21"/>
        <v>1354</v>
      </c>
      <c r="B1355" s="468">
        <f>YEAR(Table6[[#This Row],[Date]])+IF(MONTH(Table6[[#This Row],[Date]])&gt;=4,1,0)</f>
        <v>2026</v>
      </c>
      <c r="C1355" s="102">
        <f>YEAR(Table6[[#This Row],[Date]])</f>
        <v>2025</v>
      </c>
      <c r="D1355" s="102" t="s">
        <v>1992</v>
      </c>
      <c r="E1355" s="469">
        <f>Table6[[#This Row],[Date]]-DAY(Table6[[#This Row],[Date]])+1</f>
        <v>45809</v>
      </c>
      <c r="F1355" s="470">
        <v>45836</v>
      </c>
      <c r="G1355" s="35" t="s">
        <v>93</v>
      </c>
      <c r="H1355" s="35" t="str">
        <f>IFERROR(_xlfn.XLOOKUP(Table6[[#This Row],[Affected WTG]],'Basic Data'!$A:$A,'Basic Data'!$B:$B),"")</f>
        <v>TQGXIIPL</v>
      </c>
      <c r="I1355" s="35" t="str">
        <f>IFERROR(_xlfn.XLOOKUP(Table6[[#This Row],[Affected WTG]],'Basic Data'!$A:$A,'Basic Data'!$C:$C),"")</f>
        <v>GEDA</v>
      </c>
      <c r="J1355" s="471">
        <f>IFERROR(_xlfn.XLOOKUP(Table6[[#This Row],[Affected WTG]],'Basic Data'!$A:$A,'Basic Data'!$E:$E),"")</f>
        <v>3.846153846153845E-2</v>
      </c>
      <c r="K1355" s="102">
        <v>6130</v>
      </c>
      <c r="L1355" s="35" t="str">
        <f>IFERROR(_xlfn.XLOOKUP(Table6[[#This Row],[Error Code]],'Basic Data'!$AA:$AA,'Basic Data'!$AB:$AB),"Incorrect Error Code")</f>
        <v>Yaw speed high</v>
      </c>
      <c r="M1355" s="35" t="s">
        <v>292</v>
      </c>
      <c r="N1355" s="475"/>
      <c r="O1355" s="476">
        <v>0.4861111111111111</v>
      </c>
      <c r="P1355" s="476">
        <v>0.4861111111111111</v>
      </c>
      <c r="Q1355" s="477">
        <v>0.49027777777777776</v>
      </c>
      <c r="R1355" s="472">
        <f>IF(Table6[[#This Row],[Work Start TimeStamp]]="","",(Table6[[#This Row],[Work Start TimeStamp]]-Table6[[#This Row],[Fault Start TimeStamp]])*24)</f>
        <v>0</v>
      </c>
      <c r="S1355" s="472">
        <f>(Table6[[#This Row],[Fault Clearance time]]-Table6[[#This Row],[Work Start TimeStamp]])*24</f>
        <v>9.9999999999999645E-2</v>
      </c>
      <c r="T1355" s="472">
        <f>(Table6[[#This Row],[Fault Clearance time]]-Table6[[#This Row],[Fault Start TimeStamp]])*24</f>
        <v>9.9999999999999645E-2</v>
      </c>
      <c r="U1355" s="35" t="s">
        <v>336</v>
      </c>
      <c r="V1355" s="102" t="s">
        <v>293</v>
      </c>
      <c r="W1355" s="478">
        <f>IFERROR(Table6[[#This Row],[Breakdown Time]]*Table6[[#This Row],[Plant Equivalent Weightage]],"")</f>
        <v>3.8461538461538312E-3</v>
      </c>
      <c r="X1355" s="473" t="s">
        <v>294</v>
      </c>
      <c r="Y1355" s="474" t="s">
        <v>314</v>
      </c>
      <c r="Z1355" s="102">
        <v>54860</v>
      </c>
      <c r="AA1355" s="468">
        <f>(Table6[[#This Row],[Paired WTG Generation for loss calculation]]/24)*Table6[[#This Row],[Breakdown Time]]</f>
        <v>228.58333333333255</v>
      </c>
      <c r="AB1355" s="102"/>
      <c r="AC1355" s="35"/>
      <c r="AD1355" s="35"/>
    </row>
    <row r="1356" spans="1:30">
      <c r="A1356" s="102">
        <f t="shared" si="21"/>
        <v>1355</v>
      </c>
      <c r="B1356" s="468">
        <f>YEAR(Table6[[#This Row],[Date]])+IF(MONTH(Table6[[#This Row],[Date]])&gt;=4,1,0)</f>
        <v>2026</v>
      </c>
      <c r="C1356" s="102">
        <f>YEAR(Table6[[#This Row],[Date]])</f>
        <v>2025</v>
      </c>
      <c r="D1356" s="102" t="s">
        <v>1992</v>
      </c>
      <c r="E1356" s="469">
        <f>Table6[[#This Row],[Date]]-DAY(Table6[[#This Row],[Date]])+1</f>
        <v>45809</v>
      </c>
      <c r="F1356" s="470">
        <v>45836</v>
      </c>
      <c r="G1356" s="35" t="s">
        <v>94</v>
      </c>
      <c r="H1356" s="35" t="str">
        <f>IFERROR(_xlfn.XLOOKUP(Table6[[#This Row],[Affected WTG]],'Basic Data'!$A:$A,'Basic Data'!$B:$B),"")</f>
        <v>TQGXIIPL</v>
      </c>
      <c r="I1356" s="35" t="str">
        <f>IFERROR(_xlfn.XLOOKUP(Table6[[#This Row],[Affected WTG]],'Basic Data'!$A:$A,'Basic Data'!$C:$C),"")</f>
        <v>GEDA</v>
      </c>
      <c r="J1356" s="471">
        <f>IFERROR(_xlfn.XLOOKUP(Table6[[#This Row],[Affected WTG]],'Basic Data'!$A:$A,'Basic Data'!$E:$E),"")</f>
        <v>3.846153846153845E-2</v>
      </c>
      <c r="K1356" s="102">
        <v>4970</v>
      </c>
      <c r="L1356" s="35" t="str">
        <f>IFERROR(_xlfn.XLOOKUP(Table6[[#This Row],[Error Code]],'Basic Data'!$AA:$AA,'Basic Data'!$AB:$AB),"Incorrect Error Code")</f>
        <v>Tower oscillation XF</v>
      </c>
      <c r="M1356" s="35" t="s">
        <v>292</v>
      </c>
      <c r="N1356" s="475"/>
      <c r="O1356" s="476">
        <v>0.4</v>
      </c>
      <c r="P1356" s="476">
        <v>0.4</v>
      </c>
      <c r="Q1356" s="477">
        <v>0.40902777777777777</v>
      </c>
      <c r="R1356" s="472">
        <f>IF(Table6[[#This Row],[Work Start TimeStamp]]="","",(Table6[[#This Row],[Work Start TimeStamp]]-Table6[[#This Row],[Fault Start TimeStamp]])*24)</f>
        <v>0</v>
      </c>
      <c r="S1356" s="472">
        <f>(Table6[[#This Row],[Fault Clearance time]]-Table6[[#This Row],[Work Start TimeStamp]])*24</f>
        <v>0.2166666666666659</v>
      </c>
      <c r="T1356" s="472">
        <f>(Table6[[#This Row],[Fault Clearance time]]-Table6[[#This Row],[Fault Start TimeStamp]])*24</f>
        <v>0.2166666666666659</v>
      </c>
      <c r="U1356" s="35" t="s">
        <v>336</v>
      </c>
      <c r="V1356" s="102" t="s">
        <v>293</v>
      </c>
      <c r="W1356" s="478">
        <f>IFERROR(Table6[[#This Row],[Breakdown Time]]*Table6[[#This Row],[Plant Equivalent Weightage]],"")</f>
        <v>8.333333333333302E-3</v>
      </c>
      <c r="X1356" s="473" t="s">
        <v>294</v>
      </c>
      <c r="Y1356" s="474" t="s">
        <v>319</v>
      </c>
      <c r="Z1356" s="102">
        <v>58092</v>
      </c>
      <c r="AA1356" s="468">
        <f>(Table6[[#This Row],[Paired WTG Generation for loss calculation]]/24)*Table6[[#This Row],[Breakdown Time]]</f>
        <v>524.44166666666479</v>
      </c>
      <c r="AB1356" s="102"/>
      <c r="AC1356" s="35"/>
      <c r="AD1356" s="35"/>
    </row>
    <row r="1357" spans="1:30">
      <c r="A1357" s="102">
        <f t="shared" si="21"/>
        <v>1356</v>
      </c>
      <c r="B1357" s="468">
        <f>YEAR(Table6[[#This Row],[Date]])+IF(MONTH(Table6[[#This Row],[Date]])&gt;=4,1,0)</f>
        <v>2026</v>
      </c>
      <c r="C1357" s="102">
        <f>YEAR(Table6[[#This Row],[Date]])</f>
        <v>2025</v>
      </c>
      <c r="D1357" s="102" t="s">
        <v>1992</v>
      </c>
      <c r="E1357" s="469">
        <f>Table6[[#This Row],[Date]]-DAY(Table6[[#This Row],[Date]])+1</f>
        <v>45809</v>
      </c>
      <c r="F1357" s="470">
        <v>45836</v>
      </c>
      <c r="G1357" s="35" t="s">
        <v>95</v>
      </c>
      <c r="H1357" s="35" t="str">
        <f>IFERROR(_xlfn.XLOOKUP(Table6[[#This Row],[Affected WTG]],'Basic Data'!$A:$A,'Basic Data'!$B:$B),"")</f>
        <v>TQGXIIPL</v>
      </c>
      <c r="I1357" s="35" t="str">
        <f>IFERROR(_xlfn.XLOOKUP(Table6[[#This Row],[Affected WTG]],'Basic Data'!$A:$A,'Basic Data'!$C:$C),"")</f>
        <v>GEDA</v>
      </c>
      <c r="J1357" s="471">
        <f>IFERROR(_xlfn.XLOOKUP(Table6[[#This Row],[Affected WTG]],'Basic Data'!$A:$A,'Basic Data'!$E:$E),"")</f>
        <v>3.846153846153845E-2</v>
      </c>
      <c r="K1357" s="102">
        <v>1070</v>
      </c>
      <c r="L1357" s="35" t="str">
        <f>IFERROR(_xlfn.XLOOKUP(Table6[[#This Row],[Error Code]],'Basic Data'!$AA:$AA,'Basic Data'!$AB:$AB),"Incorrect Error Code")</f>
        <v>Drive train monitor level 2</v>
      </c>
      <c r="M1357" s="35" t="s">
        <v>292</v>
      </c>
      <c r="N1357" s="475"/>
      <c r="O1357" s="476">
        <v>0.60833333333333328</v>
      </c>
      <c r="P1357" s="476">
        <v>0.60833333333333328</v>
      </c>
      <c r="Q1357" s="477">
        <v>0.60902777777777772</v>
      </c>
      <c r="R1357" s="472">
        <f>IF(Table6[[#This Row],[Work Start TimeStamp]]="","",(Table6[[#This Row],[Work Start TimeStamp]]-Table6[[#This Row],[Fault Start TimeStamp]])*24)</f>
        <v>0</v>
      </c>
      <c r="S1357" s="472">
        <f>(Table6[[#This Row],[Fault Clearance time]]-Table6[[#This Row],[Work Start TimeStamp]])*24</f>
        <v>1.6666666666666607E-2</v>
      </c>
      <c r="T1357" s="472">
        <f>(Table6[[#This Row],[Fault Clearance time]]-Table6[[#This Row],[Fault Start TimeStamp]])*24</f>
        <v>1.6666666666666607E-2</v>
      </c>
      <c r="U1357" s="35" t="s">
        <v>336</v>
      </c>
      <c r="V1357" s="102" t="s">
        <v>293</v>
      </c>
      <c r="W1357" s="478">
        <f>IFERROR(Table6[[#This Row],[Breakdown Time]]*Table6[[#This Row],[Plant Equivalent Weightage]],"")</f>
        <v>6.4102564102563853E-4</v>
      </c>
      <c r="X1357" s="473" t="s">
        <v>294</v>
      </c>
      <c r="Y1357" s="474" t="s">
        <v>319</v>
      </c>
      <c r="Z1357" s="102">
        <v>58092</v>
      </c>
      <c r="AA1357" s="468">
        <f>(Table6[[#This Row],[Paired WTG Generation for loss calculation]]/24)*Table6[[#This Row],[Breakdown Time]]</f>
        <v>40.341666666666526</v>
      </c>
      <c r="AB1357" s="102"/>
      <c r="AC1357" s="35"/>
      <c r="AD1357" s="35"/>
    </row>
    <row r="1358" spans="1:30">
      <c r="A1358" s="102">
        <f t="shared" ref="A1358:A1421" si="22">A1357+1</f>
        <v>1357</v>
      </c>
      <c r="B1358" s="468">
        <f>YEAR(Table6[[#This Row],[Date]])+IF(MONTH(Table6[[#This Row],[Date]])&gt;=4,1,0)</f>
        <v>2026</v>
      </c>
      <c r="C1358" s="102">
        <f>YEAR(Table6[[#This Row],[Date]])</f>
        <v>2025</v>
      </c>
      <c r="D1358" s="102" t="s">
        <v>1992</v>
      </c>
      <c r="E1358" s="469">
        <f>Table6[[#This Row],[Date]]-DAY(Table6[[#This Row],[Date]])+1</f>
        <v>45809</v>
      </c>
      <c r="F1358" s="470">
        <v>45836</v>
      </c>
      <c r="G1358" s="35" t="s">
        <v>96</v>
      </c>
      <c r="H1358" s="35" t="str">
        <f>IFERROR(_xlfn.XLOOKUP(Table6[[#This Row],[Affected WTG]],'Basic Data'!$A:$A,'Basic Data'!$B:$B),"")</f>
        <v>TQGXIIPL</v>
      </c>
      <c r="I1358" s="35" t="str">
        <f>IFERROR(_xlfn.XLOOKUP(Table6[[#This Row],[Affected WTG]],'Basic Data'!$A:$A,'Basic Data'!$C:$C),"")</f>
        <v>GEDA</v>
      </c>
      <c r="J1358" s="471">
        <f>IFERROR(_xlfn.XLOOKUP(Table6[[#This Row],[Affected WTG]],'Basic Data'!$A:$A,'Basic Data'!$E:$E),"")</f>
        <v>3.846153846153845E-2</v>
      </c>
      <c r="K1358" s="102">
        <v>4540</v>
      </c>
      <c r="L1358" s="35" t="str">
        <f>IFERROR(_xlfn.XLOOKUP(Table6[[#This Row],[Error Code]],'Basic Data'!$AA:$AA,'Basic Data'!$AB:$AB),"Incorrect Error Code")</f>
        <v>Tower oscillation X level 2</v>
      </c>
      <c r="M1358" s="35" t="s">
        <v>292</v>
      </c>
      <c r="N1358" s="475"/>
      <c r="O1358" s="476">
        <v>0.66874999999999996</v>
      </c>
      <c r="P1358" s="476">
        <v>0.66874999999999996</v>
      </c>
      <c r="Q1358" s="477">
        <v>0.67291666666666672</v>
      </c>
      <c r="R1358" s="472">
        <f>IF(Table6[[#This Row],[Work Start TimeStamp]]="","",(Table6[[#This Row],[Work Start TimeStamp]]-Table6[[#This Row],[Fault Start TimeStamp]])*24)</f>
        <v>0</v>
      </c>
      <c r="S1358" s="472">
        <f>(Table6[[#This Row],[Fault Clearance time]]-Table6[[#This Row],[Work Start TimeStamp]])*24</f>
        <v>0.10000000000000231</v>
      </c>
      <c r="T1358" s="472">
        <f>(Table6[[#This Row],[Fault Clearance time]]-Table6[[#This Row],[Fault Start TimeStamp]])*24</f>
        <v>0.10000000000000231</v>
      </c>
      <c r="U1358" s="35" t="s">
        <v>336</v>
      </c>
      <c r="V1358" s="102" t="s">
        <v>293</v>
      </c>
      <c r="W1358" s="478">
        <f>IFERROR(Table6[[#This Row],[Breakdown Time]]*Table6[[#This Row],[Plant Equivalent Weightage]],"")</f>
        <v>3.846153846153934E-3</v>
      </c>
      <c r="X1358" s="473" t="s">
        <v>294</v>
      </c>
      <c r="Y1358" s="474" t="s">
        <v>313</v>
      </c>
      <c r="Z1358" s="102">
        <v>56457</v>
      </c>
      <c r="AA1358" s="468">
        <f>(Table6[[#This Row],[Paired WTG Generation for loss calculation]]/24)*Table6[[#This Row],[Breakdown Time]]</f>
        <v>235.23750000000544</v>
      </c>
      <c r="AB1358" s="102"/>
      <c r="AC1358" s="35"/>
      <c r="AD1358" s="35"/>
    </row>
    <row r="1359" spans="1:30">
      <c r="A1359" s="102">
        <f t="shared" si="22"/>
        <v>1358</v>
      </c>
      <c r="B1359" s="468">
        <f>YEAR(Table6[[#This Row],[Date]])+IF(MONTH(Table6[[#This Row],[Date]])&gt;=4,1,0)</f>
        <v>2026</v>
      </c>
      <c r="C1359" s="102">
        <f>YEAR(Table6[[#This Row],[Date]])</f>
        <v>2025</v>
      </c>
      <c r="D1359" s="102" t="s">
        <v>1992</v>
      </c>
      <c r="E1359" s="469">
        <f>Table6[[#This Row],[Date]]-DAY(Table6[[#This Row],[Date]])+1</f>
        <v>45809</v>
      </c>
      <c r="F1359" s="470">
        <v>45836</v>
      </c>
      <c r="G1359" s="35" t="s">
        <v>96</v>
      </c>
      <c r="H1359" s="35" t="str">
        <f>IFERROR(_xlfn.XLOOKUP(Table6[[#This Row],[Affected WTG]],'Basic Data'!$A:$A,'Basic Data'!$B:$B),"")</f>
        <v>TQGXIIPL</v>
      </c>
      <c r="I1359" s="35" t="str">
        <f>IFERROR(_xlfn.XLOOKUP(Table6[[#This Row],[Affected WTG]],'Basic Data'!$A:$A,'Basic Data'!$C:$C),"")</f>
        <v>GEDA</v>
      </c>
      <c r="J1359" s="471">
        <f>IFERROR(_xlfn.XLOOKUP(Table6[[#This Row],[Affected WTG]],'Basic Data'!$A:$A,'Basic Data'!$E:$E),"")</f>
        <v>3.846153846153845E-2</v>
      </c>
      <c r="K1359" s="102">
        <v>2520</v>
      </c>
      <c r="L1359" s="35" t="str">
        <f>IFERROR(_xlfn.XLOOKUP(Table6[[#This Row],[Error Code]],'Basic Data'!$AA:$AA,'Basic Data'!$AB:$AB),"Incorrect Error Code")</f>
        <v>Gen.speed analog&lt;&gt;gear.speed</v>
      </c>
      <c r="M1359" s="35" t="s">
        <v>291</v>
      </c>
      <c r="N1359" s="475"/>
      <c r="O1359" s="476">
        <v>0.83333333333333337</v>
      </c>
      <c r="P1359" s="476">
        <v>0.83333333333333337</v>
      </c>
      <c r="Q1359" s="477">
        <v>0.84097222222222223</v>
      </c>
      <c r="R1359" s="472">
        <f>IF(Table6[[#This Row],[Work Start TimeStamp]]="","",(Table6[[#This Row],[Work Start TimeStamp]]-Table6[[#This Row],[Fault Start TimeStamp]])*24)</f>
        <v>0</v>
      </c>
      <c r="S1359" s="472">
        <f>(Table6[[#This Row],[Fault Clearance time]]-Table6[[#This Row],[Work Start TimeStamp]])*24</f>
        <v>0.18333333333333268</v>
      </c>
      <c r="T1359" s="472">
        <f>(Table6[[#This Row],[Fault Clearance time]]-Table6[[#This Row],[Fault Start TimeStamp]])*24</f>
        <v>0.18333333333333268</v>
      </c>
      <c r="U1359" s="35" t="s">
        <v>1924</v>
      </c>
      <c r="V1359" s="102" t="s">
        <v>293</v>
      </c>
      <c r="W1359" s="478">
        <f>IFERROR(Table6[[#This Row],[Breakdown Time]]*Table6[[#This Row],[Plant Equivalent Weightage]],"")</f>
        <v>7.0512820512820245E-3</v>
      </c>
      <c r="X1359" s="473" t="s">
        <v>290</v>
      </c>
      <c r="Y1359" s="474" t="s">
        <v>313</v>
      </c>
      <c r="Z1359" s="102">
        <v>56457</v>
      </c>
      <c r="AA1359" s="468">
        <f>(Table6[[#This Row],[Paired WTG Generation for loss calculation]]/24)*Table6[[#This Row],[Breakdown Time]]</f>
        <v>431.26874999999848</v>
      </c>
      <c r="AB1359" s="102"/>
      <c r="AC1359" s="35"/>
      <c r="AD1359" s="35"/>
    </row>
    <row r="1360" spans="1:30">
      <c r="A1360" s="102">
        <f t="shared" si="22"/>
        <v>1359</v>
      </c>
      <c r="B1360" s="468">
        <f>YEAR(Table6[[#This Row],[Date]])+IF(MONTH(Table6[[#This Row],[Date]])&gt;=4,1,0)</f>
        <v>2026</v>
      </c>
      <c r="C1360" s="102">
        <f>YEAR(Table6[[#This Row],[Date]])</f>
        <v>2025</v>
      </c>
      <c r="D1360" s="102" t="s">
        <v>1992</v>
      </c>
      <c r="E1360" s="469">
        <f>Table6[[#This Row],[Date]]-DAY(Table6[[#This Row],[Date]])+1</f>
        <v>45809</v>
      </c>
      <c r="F1360" s="470">
        <v>45836</v>
      </c>
      <c r="G1360" s="35" t="s">
        <v>97</v>
      </c>
      <c r="H1360" s="35" t="str">
        <f>IFERROR(_xlfn.XLOOKUP(Table6[[#This Row],[Affected WTG]],'Basic Data'!$A:$A,'Basic Data'!$B:$B),"")</f>
        <v>TQGXIIPL</v>
      </c>
      <c r="I1360" s="35" t="str">
        <f>IFERROR(_xlfn.XLOOKUP(Table6[[#This Row],[Affected WTG]],'Basic Data'!$A:$A,'Basic Data'!$C:$C),"")</f>
        <v>GEDA</v>
      </c>
      <c r="J1360" s="471">
        <f>IFERROR(_xlfn.XLOOKUP(Table6[[#This Row],[Affected WTG]],'Basic Data'!$A:$A,'Basic Data'!$E:$E),"")</f>
        <v>3.846153846153845E-2</v>
      </c>
      <c r="K1360" s="102">
        <v>4540</v>
      </c>
      <c r="L1360" s="35" t="str">
        <f>IFERROR(_xlfn.XLOOKUP(Table6[[#This Row],[Error Code]],'Basic Data'!$AA:$AA,'Basic Data'!$AB:$AB),"Incorrect Error Code")</f>
        <v>Tower oscillation X level 2</v>
      </c>
      <c r="M1360" s="35" t="s">
        <v>292</v>
      </c>
      <c r="N1360" s="475"/>
      <c r="O1360" s="476">
        <v>0.58680555555555558</v>
      </c>
      <c r="P1360" s="476">
        <v>0.58680555555555558</v>
      </c>
      <c r="Q1360" s="477">
        <v>0.59236111111111112</v>
      </c>
      <c r="R1360" s="472">
        <f>IF(Table6[[#This Row],[Work Start TimeStamp]]="","",(Table6[[#This Row],[Work Start TimeStamp]]-Table6[[#This Row],[Fault Start TimeStamp]])*24)</f>
        <v>0</v>
      </c>
      <c r="S1360" s="472">
        <f>(Table6[[#This Row],[Fault Clearance time]]-Table6[[#This Row],[Work Start TimeStamp]])*24</f>
        <v>0.13333333333333286</v>
      </c>
      <c r="T1360" s="472">
        <f>(Table6[[#This Row],[Fault Clearance time]]-Table6[[#This Row],[Fault Start TimeStamp]])*24</f>
        <v>0.13333333333333286</v>
      </c>
      <c r="U1360" s="35" t="s">
        <v>336</v>
      </c>
      <c r="V1360" s="102" t="s">
        <v>293</v>
      </c>
      <c r="W1360" s="478">
        <f>IFERROR(Table6[[#This Row],[Breakdown Time]]*Table6[[#This Row],[Plant Equivalent Weightage]],"")</f>
        <v>5.1282051282051083E-3</v>
      </c>
      <c r="X1360" s="473" t="s">
        <v>294</v>
      </c>
      <c r="Y1360" s="474" t="s">
        <v>320</v>
      </c>
      <c r="Z1360" s="102">
        <v>52311</v>
      </c>
      <c r="AA1360" s="468">
        <f>(Table6[[#This Row],[Paired WTG Generation for loss calculation]]/24)*Table6[[#This Row],[Breakdown Time]]</f>
        <v>290.61666666666565</v>
      </c>
      <c r="AB1360" s="102"/>
      <c r="AC1360" s="35"/>
      <c r="AD1360" s="35"/>
    </row>
    <row r="1361" spans="1:30">
      <c r="A1361" s="102">
        <f t="shared" si="22"/>
        <v>1360</v>
      </c>
      <c r="B1361" s="468">
        <f>YEAR(Table6[[#This Row],[Date]])+IF(MONTH(Table6[[#This Row],[Date]])&gt;=4,1,0)</f>
        <v>2026</v>
      </c>
      <c r="C1361" s="102">
        <f>YEAR(Table6[[#This Row],[Date]])</f>
        <v>2025</v>
      </c>
      <c r="D1361" s="102" t="s">
        <v>1992</v>
      </c>
      <c r="E1361" s="469">
        <f>Table6[[#This Row],[Date]]-DAY(Table6[[#This Row],[Date]])+1</f>
        <v>45809</v>
      </c>
      <c r="F1361" s="470">
        <v>45836</v>
      </c>
      <c r="G1361" s="35" t="s">
        <v>77</v>
      </c>
      <c r="H1361" s="35" t="str">
        <f>IFERROR(_xlfn.XLOOKUP(Table6[[#This Row],[Affected WTG]],'Basic Data'!$A:$A,'Basic Data'!$B:$B),"")</f>
        <v>TQGXIIPL</v>
      </c>
      <c r="I1361" s="35" t="str">
        <f>IFERROR(_xlfn.XLOOKUP(Table6[[#This Row],[Affected WTG]],'Basic Data'!$A:$A,'Basic Data'!$C:$C),"")</f>
        <v>GEDA</v>
      </c>
      <c r="J1361" s="471">
        <f>IFERROR(_xlfn.XLOOKUP(Table6[[#This Row],[Affected WTG]],'Basic Data'!$A:$A,'Basic Data'!$E:$E),"")</f>
        <v>3.846153846153845E-2</v>
      </c>
      <c r="K1361" s="102">
        <v>6130</v>
      </c>
      <c r="L1361" s="35" t="str">
        <f>IFERROR(_xlfn.XLOOKUP(Table6[[#This Row],[Error Code]],'Basic Data'!$AA:$AA,'Basic Data'!$AB:$AB),"Incorrect Error Code")</f>
        <v>Yaw speed high</v>
      </c>
      <c r="M1361" s="35" t="s">
        <v>292</v>
      </c>
      <c r="N1361" s="475"/>
      <c r="O1361" s="476">
        <v>0.96527777777777779</v>
      </c>
      <c r="P1361" s="476">
        <v>0.96527777777777779</v>
      </c>
      <c r="Q1361" s="477">
        <v>0.96597222222222223</v>
      </c>
      <c r="R1361" s="472">
        <f>IF(Table6[[#This Row],[Work Start TimeStamp]]="","",(Table6[[#This Row],[Work Start TimeStamp]]-Table6[[#This Row],[Fault Start TimeStamp]])*24)</f>
        <v>0</v>
      </c>
      <c r="S1361" s="472">
        <f>(Table6[[#This Row],[Fault Clearance time]]-Table6[[#This Row],[Work Start TimeStamp]])*24</f>
        <v>1.6666666666666607E-2</v>
      </c>
      <c r="T1361" s="472">
        <f>(Table6[[#This Row],[Fault Clearance time]]-Table6[[#This Row],[Fault Start TimeStamp]])*24</f>
        <v>1.6666666666666607E-2</v>
      </c>
      <c r="U1361" s="35" t="s">
        <v>336</v>
      </c>
      <c r="V1361" s="102" t="s">
        <v>293</v>
      </c>
      <c r="W1361" s="478">
        <f>IFERROR(Table6[[#This Row],[Breakdown Time]]*Table6[[#This Row],[Plant Equivalent Weightage]],"")</f>
        <v>6.4102564102563853E-4</v>
      </c>
      <c r="X1361" s="473" t="s">
        <v>294</v>
      </c>
      <c r="Y1361" s="474" t="s">
        <v>310</v>
      </c>
      <c r="Z1361" s="102">
        <v>53572</v>
      </c>
      <c r="AA1361" s="468">
        <f>(Table6[[#This Row],[Paired WTG Generation for loss calculation]]/24)*Table6[[#This Row],[Breakdown Time]]</f>
        <v>37.202777777777641</v>
      </c>
      <c r="AB1361" s="102"/>
      <c r="AC1361" s="35"/>
      <c r="AD1361" s="35"/>
    </row>
    <row r="1362" spans="1:30">
      <c r="A1362" s="102">
        <f t="shared" si="22"/>
        <v>1361</v>
      </c>
      <c r="B1362" s="468">
        <f>YEAR(Table6[[#This Row],[Date]])+IF(MONTH(Table6[[#This Row],[Date]])&gt;=4,1,0)</f>
        <v>2026</v>
      </c>
      <c r="C1362" s="102">
        <f>YEAR(Table6[[#This Row],[Date]])</f>
        <v>2025</v>
      </c>
      <c r="D1362" s="102" t="s">
        <v>1992</v>
      </c>
      <c r="E1362" s="469">
        <f>Table6[[#This Row],[Date]]-DAY(Table6[[#This Row],[Date]])+1</f>
        <v>45809</v>
      </c>
      <c r="F1362" s="470">
        <v>45836</v>
      </c>
      <c r="G1362" s="35" t="s">
        <v>81</v>
      </c>
      <c r="H1362" s="35" t="str">
        <f>IFERROR(_xlfn.XLOOKUP(Table6[[#This Row],[Affected WTG]],'Basic Data'!$A:$A,'Basic Data'!$B:$B),"")</f>
        <v>TQGXIIPL</v>
      </c>
      <c r="I1362" s="35" t="str">
        <f>IFERROR(_xlfn.XLOOKUP(Table6[[#This Row],[Affected WTG]],'Basic Data'!$A:$A,'Basic Data'!$C:$C),"")</f>
        <v>GEDA</v>
      </c>
      <c r="J1362" s="471">
        <f>IFERROR(_xlfn.XLOOKUP(Table6[[#This Row],[Affected WTG]],'Basic Data'!$A:$A,'Basic Data'!$E:$E),"")</f>
        <v>3.846153846153845E-2</v>
      </c>
      <c r="K1362" s="102">
        <v>641</v>
      </c>
      <c r="L1362" s="35" t="str">
        <f>IFERROR(_xlfn.XLOOKUP(Table6[[#This Row],[Error Code]],'Basic Data'!$AA:$AA,'Basic Data'!$AB:$AB),"Incorrect Error Code")</f>
        <v>Sim.angle E enc. &lt;&gt; act.angle 1</v>
      </c>
      <c r="M1362" s="35" t="s">
        <v>291</v>
      </c>
      <c r="N1362" s="475"/>
      <c r="O1362" s="476">
        <v>0.98750000000000004</v>
      </c>
      <c r="P1362" s="476">
        <v>0.98750000000000004</v>
      </c>
      <c r="Q1362" s="477">
        <v>0.99097222222222225</v>
      </c>
      <c r="R1362" s="472">
        <f>IF(Table6[[#This Row],[Work Start TimeStamp]]="","",(Table6[[#This Row],[Work Start TimeStamp]]-Table6[[#This Row],[Fault Start TimeStamp]])*24)</f>
        <v>0</v>
      </c>
      <c r="S1362" s="472">
        <f>(Table6[[#This Row],[Fault Clearance time]]-Table6[[#This Row],[Work Start TimeStamp]])*24</f>
        <v>8.3333333333333037E-2</v>
      </c>
      <c r="T1362" s="472">
        <f>(Table6[[#This Row],[Fault Clearance time]]-Table6[[#This Row],[Fault Start TimeStamp]])*24</f>
        <v>8.3333333333333037E-2</v>
      </c>
      <c r="U1362" s="35" t="s">
        <v>1924</v>
      </c>
      <c r="V1362" s="102" t="s">
        <v>293</v>
      </c>
      <c r="W1362" s="478">
        <f>IFERROR(Table6[[#This Row],[Breakdown Time]]*Table6[[#This Row],[Plant Equivalent Weightage]],"")</f>
        <v>3.2051282051281929E-3</v>
      </c>
      <c r="X1362" s="473" t="s">
        <v>290</v>
      </c>
      <c r="Y1362" s="474" t="s">
        <v>321</v>
      </c>
      <c r="Z1362" s="102">
        <v>55344</v>
      </c>
      <c r="AA1362" s="468">
        <f>(Table6[[#This Row],[Paired WTG Generation for loss calculation]]/24)*Table6[[#This Row],[Breakdown Time]]</f>
        <v>192.16666666666598</v>
      </c>
      <c r="AB1362" s="102"/>
      <c r="AC1362" s="35"/>
      <c r="AD1362" s="35"/>
    </row>
    <row r="1363" spans="1:30">
      <c r="A1363" s="102">
        <f t="shared" si="22"/>
        <v>1362</v>
      </c>
      <c r="B1363" s="468">
        <f>YEAR(Table6[[#This Row],[Date]])+IF(MONTH(Table6[[#This Row],[Date]])&gt;=4,1,0)</f>
        <v>2026</v>
      </c>
      <c r="C1363" s="102">
        <f>YEAR(Table6[[#This Row],[Date]])</f>
        <v>2025</v>
      </c>
      <c r="D1363" s="102" t="s">
        <v>1992</v>
      </c>
      <c r="E1363" s="469">
        <f>Table6[[#This Row],[Date]]-DAY(Table6[[#This Row],[Date]])+1</f>
        <v>45809</v>
      </c>
      <c r="F1363" s="470">
        <v>45836</v>
      </c>
      <c r="G1363" s="35" t="s">
        <v>90</v>
      </c>
      <c r="H1363" s="35" t="str">
        <f>IFERROR(_xlfn.XLOOKUP(Table6[[#This Row],[Affected WTG]],'Basic Data'!$A:$A,'Basic Data'!$B:$B),"")</f>
        <v>TQGXIIPL</v>
      </c>
      <c r="I1363" s="35" t="str">
        <f>IFERROR(_xlfn.XLOOKUP(Table6[[#This Row],[Affected WTG]],'Basic Data'!$A:$A,'Basic Data'!$C:$C),"")</f>
        <v>GEDA</v>
      </c>
      <c r="J1363" s="471">
        <f>IFERROR(_xlfn.XLOOKUP(Table6[[#This Row],[Affected WTG]],'Basic Data'!$A:$A,'Basic Data'!$E:$E),"")</f>
        <v>3.846153846153845E-2</v>
      </c>
      <c r="K1363" s="102">
        <v>3000</v>
      </c>
      <c r="L1363" s="35" t="str">
        <f>IFERROR(_xlfn.XLOOKUP(Table6[[#This Row],[Error Code]],'Basic Data'!$AA:$AA,'Basic Data'!$AB:$AB),"Incorrect Error Code")</f>
        <v>Frequency converter not ready</v>
      </c>
      <c r="M1363" s="35" t="s">
        <v>291</v>
      </c>
      <c r="N1363" s="475"/>
      <c r="O1363" s="476">
        <v>0.98750000000000004</v>
      </c>
      <c r="P1363" s="476">
        <v>0.98750000000000004</v>
      </c>
      <c r="Q1363" s="477">
        <v>0.9916666666666667</v>
      </c>
      <c r="R1363" s="472">
        <f>IF(Table6[[#This Row],[Work Start TimeStamp]]="","",(Table6[[#This Row],[Work Start TimeStamp]]-Table6[[#This Row],[Fault Start TimeStamp]])*24)</f>
        <v>0</v>
      </c>
      <c r="S1363" s="472">
        <f>(Table6[[#This Row],[Fault Clearance time]]-Table6[[#This Row],[Work Start TimeStamp]])*24</f>
        <v>9.9999999999999645E-2</v>
      </c>
      <c r="T1363" s="472">
        <f>(Table6[[#This Row],[Fault Clearance time]]-Table6[[#This Row],[Fault Start TimeStamp]])*24</f>
        <v>9.9999999999999645E-2</v>
      </c>
      <c r="U1363" s="35" t="s">
        <v>1924</v>
      </c>
      <c r="V1363" s="102" t="s">
        <v>293</v>
      </c>
      <c r="W1363" s="478">
        <f>IFERROR(Table6[[#This Row],[Breakdown Time]]*Table6[[#This Row],[Plant Equivalent Weightage]],"")</f>
        <v>3.8461538461538312E-3</v>
      </c>
      <c r="X1363" s="473" t="s">
        <v>290</v>
      </c>
      <c r="Y1363" s="474" t="s">
        <v>339</v>
      </c>
      <c r="Z1363" s="102">
        <v>58011</v>
      </c>
      <c r="AA1363" s="468">
        <f>(Table6[[#This Row],[Paired WTG Generation for loss calculation]]/24)*Table6[[#This Row],[Breakdown Time]]</f>
        <v>241.71249999999915</v>
      </c>
      <c r="AB1363" s="102"/>
      <c r="AC1363" s="35"/>
      <c r="AD1363" s="35"/>
    </row>
    <row r="1364" spans="1:30">
      <c r="A1364" s="102">
        <f t="shared" si="22"/>
        <v>1363</v>
      </c>
      <c r="B1364" s="468">
        <f>YEAR(Table6[[#This Row],[Date]])+IF(MONTH(Table6[[#This Row],[Date]])&gt;=4,1,0)</f>
        <v>2026</v>
      </c>
      <c r="C1364" s="102">
        <f>YEAR(Table6[[#This Row],[Date]])</f>
        <v>2025</v>
      </c>
      <c r="D1364" s="102" t="s">
        <v>1992</v>
      </c>
      <c r="E1364" s="469">
        <f>Table6[[#This Row],[Date]]-DAY(Table6[[#This Row],[Date]])+1</f>
        <v>45809</v>
      </c>
      <c r="F1364" s="470">
        <v>45837</v>
      </c>
      <c r="G1364" s="35" t="s">
        <v>74</v>
      </c>
      <c r="H1364" s="35" t="str">
        <f>IFERROR(_xlfn.XLOOKUP(Table6[[#This Row],[Affected WTG]],'Basic Data'!$A:$A,'Basic Data'!$B:$B),"")</f>
        <v>TQGXIIPL</v>
      </c>
      <c r="I1364" s="35" t="str">
        <f>IFERROR(_xlfn.XLOOKUP(Table6[[#This Row],[Affected WTG]],'Basic Data'!$A:$A,'Basic Data'!$C:$C),"")</f>
        <v>GEDA</v>
      </c>
      <c r="J1364" s="471">
        <f>IFERROR(_xlfn.XLOOKUP(Table6[[#This Row],[Affected WTG]],'Basic Data'!$A:$A,'Basic Data'!$E:$E),"")</f>
        <v>3.846153846153845E-2</v>
      </c>
      <c r="K1364" s="102">
        <v>6130</v>
      </c>
      <c r="L1364" s="35" t="str">
        <f>IFERROR(_xlfn.XLOOKUP(Table6[[#This Row],[Error Code]],'Basic Data'!$AA:$AA,'Basic Data'!$AB:$AB),"Incorrect Error Code")</f>
        <v>Yaw speed high</v>
      </c>
      <c r="M1364" s="35" t="s">
        <v>291</v>
      </c>
      <c r="N1364" s="475"/>
      <c r="O1364" s="476">
        <v>0.42708333333333331</v>
      </c>
      <c r="P1364" s="476">
        <v>0.42708333333333331</v>
      </c>
      <c r="Q1364" s="477">
        <v>0.43125000000000002</v>
      </c>
      <c r="R1364" s="472">
        <f>IF(Table6[[#This Row],[Work Start TimeStamp]]="","",(Table6[[#This Row],[Work Start TimeStamp]]-Table6[[#This Row],[Fault Start TimeStamp]])*24)</f>
        <v>0</v>
      </c>
      <c r="S1364" s="472">
        <f>(Table6[[#This Row],[Fault Clearance time]]-Table6[[#This Row],[Work Start TimeStamp]])*24</f>
        <v>0.10000000000000098</v>
      </c>
      <c r="T1364" s="472">
        <f>(Table6[[#This Row],[Fault Clearance time]]-Table6[[#This Row],[Fault Start TimeStamp]])*24</f>
        <v>0.10000000000000098</v>
      </c>
      <c r="U1364" s="35" t="s">
        <v>336</v>
      </c>
      <c r="V1364" s="102" t="s">
        <v>293</v>
      </c>
      <c r="W1364" s="478">
        <f>IFERROR(Table6[[#This Row],[Breakdown Time]]*Table6[[#This Row],[Plant Equivalent Weightage]],"")</f>
        <v>3.8461538461538824E-3</v>
      </c>
      <c r="X1364" s="473" t="s">
        <v>294</v>
      </c>
      <c r="Y1364" s="474" t="s">
        <v>99</v>
      </c>
      <c r="Z1364" s="102">
        <v>55208</v>
      </c>
      <c r="AA1364" s="468">
        <f>(Table6[[#This Row],[Paired WTG Generation for loss calculation]]/24)*Table6[[#This Row],[Breakdown Time]]</f>
        <v>230.03333333333561</v>
      </c>
      <c r="AB1364" s="102"/>
      <c r="AC1364" s="35"/>
      <c r="AD1364" s="35"/>
    </row>
    <row r="1365" spans="1:30">
      <c r="A1365" s="102">
        <f t="shared" si="22"/>
        <v>1364</v>
      </c>
      <c r="B1365" s="468">
        <f>YEAR(Table6[[#This Row],[Date]])+IF(MONTH(Table6[[#This Row],[Date]])&gt;=4,1,0)</f>
        <v>2026</v>
      </c>
      <c r="C1365" s="102">
        <f>YEAR(Table6[[#This Row],[Date]])</f>
        <v>2025</v>
      </c>
      <c r="D1365" s="102" t="s">
        <v>1992</v>
      </c>
      <c r="E1365" s="469">
        <f>Table6[[#This Row],[Date]]-DAY(Table6[[#This Row],[Date]])+1</f>
        <v>45809</v>
      </c>
      <c r="F1365" s="470">
        <v>45837</v>
      </c>
      <c r="G1365" s="35" t="s">
        <v>76</v>
      </c>
      <c r="H1365" s="35" t="str">
        <f>IFERROR(_xlfn.XLOOKUP(Table6[[#This Row],[Affected WTG]],'Basic Data'!$A:$A,'Basic Data'!$B:$B),"")</f>
        <v>TQGXIIPL</v>
      </c>
      <c r="I1365" s="35" t="str">
        <f>IFERROR(_xlfn.XLOOKUP(Table6[[#This Row],[Affected WTG]],'Basic Data'!$A:$A,'Basic Data'!$C:$C),"")</f>
        <v>GEDA</v>
      </c>
      <c r="J1365" s="471">
        <f>IFERROR(_xlfn.XLOOKUP(Table6[[#This Row],[Affected WTG]],'Basic Data'!$A:$A,'Basic Data'!$E:$E),"")</f>
        <v>3.846153846153845E-2</v>
      </c>
      <c r="K1365" s="102">
        <v>4540</v>
      </c>
      <c r="L1365" s="35" t="str">
        <f>IFERROR(_xlfn.XLOOKUP(Table6[[#This Row],[Error Code]],'Basic Data'!$AA:$AA,'Basic Data'!$AB:$AB),"Incorrect Error Code")</f>
        <v>Tower oscillation X level 2</v>
      </c>
      <c r="M1365" s="35" t="s">
        <v>291</v>
      </c>
      <c r="N1365" s="475"/>
      <c r="O1365" s="476">
        <v>0.12222222222222222</v>
      </c>
      <c r="P1365" s="476">
        <v>0.12222222222222222</v>
      </c>
      <c r="Q1365" s="477">
        <v>0.125</v>
      </c>
      <c r="R1365" s="472">
        <f>IF(Table6[[#This Row],[Work Start TimeStamp]]="","",(Table6[[#This Row],[Work Start TimeStamp]]-Table6[[#This Row],[Fault Start TimeStamp]])*24)</f>
        <v>0</v>
      </c>
      <c r="S1365" s="472">
        <f>(Table6[[#This Row],[Fault Clearance time]]-Table6[[#This Row],[Work Start TimeStamp]])*24</f>
        <v>6.6666666666666763E-2</v>
      </c>
      <c r="T1365" s="472">
        <f>(Table6[[#This Row],[Fault Clearance time]]-Table6[[#This Row],[Fault Start TimeStamp]])*24</f>
        <v>6.6666666666666763E-2</v>
      </c>
      <c r="U1365" s="35" t="s">
        <v>336</v>
      </c>
      <c r="V1365" s="102" t="s">
        <v>293</v>
      </c>
      <c r="W1365" s="478">
        <f>IFERROR(Table6[[#This Row],[Breakdown Time]]*Table6[[#This Row],[Plant Equivalent Weightage]],"")</f>
        <v>2.5641025641025671E-3</v>
      </c>
      <c r="X1365" s="473" t="s">
        <v>294</v>
      </c>
      <c r="Y1365" s="474" t="s">
        <v>82</v>
      </c>
      <c r="Z1365" s="102">
        <v>45425</v>
      </c>
      <c r="AA1365" s="468">
        <f>(Table6[[#This Row],[Paired WTG Generation for loss calculation]]/24)*Table6[[#This Row],[Breakdown Time]]</f>
        <v>126.18055555555573</v>
      </c>
      <c r="AB1365" s="102"/>
      <c r="AC1365" s="35"/>
      <c r="AD1365" s="35"/>
    </row>
    <row r="1366" spans="1:30">
      <c r="A1366" s="102">
        <f t="shared" si="22"/>
        <v>1365</v>
      </c>
      <c r="B1366" s="468">
        <f>YEAR(Table6[[#This Row],[Date]])+IF(MONTH(Table6[[#This Row],[Date]])&gt;=4,1,0)</f>
        <v>2026</v>
      </c>
      <c r="C1366" s="102">
        <f>YEAR(Table6[[#This Row],[Date]])</f>
        <v>2025</v>
      </c>
      <c r="D1366" s="102" t="s">
        <v>1992</v>
      </c>
      <c r="E1366" s="469">
        <f>Table6[[#This Row],[Date]]-DAY(Table6[[#This Row],[Date]])+1</f>
        <v>45809</v>
      </c>
      <c r="F1366" s="470">
        <v>45837</v>
      </c>
      <c r="G1366" s="35" t="s">
        <v>78</v>
      </c>
      <c r="H1366" s="35" t="str">
        <f>IFERROR(_xlfn.XLOOKUP(Table6[[#This Row],[Affected WTG]],'Basic Data'!$A:$A,'Basic Data'!$B:$B),"")</f>
        <v>TQGXIIPL</v>
      </c>
      <c r="I1366" s="35" t="str">
        <f>IFERROR(_xlfn.XLOOKUP(Table6[[#This Row],[Affected WTG]],'Basic Data'!$A:$A,'Basic Data'!$C:$C),"")</f>
        <v>GEDA</v>
      </c>
      <c r="J1366" s="471">
        <f>IFERROR(_xlfn.XLOOKUP(Table6[[#This Row],[Affected WTG]],'Basic Data'!$A:$A,'Basic Data'!$E:$E),"")</f>
        <v>3.846153846153845E-2</v>
      </c>
      <c r="K1366" s="102">
        <v>3211</v>
      </c>
      <c r="L1366" s="35" t="str">
        <f>IFERROR(_xlfn.XLOOKUP(Table6[[#This Row],[Error Code]],'Basic Data'!$AA:$AA,'Basic Data'!$AB:$AB),"Incorrect Error Code")</f>
        <v>Conv. load shedding (CAN)</v>
      </c>
      <c r="M1366" s="35" t="s">
        <v>291</v>
      </c>
      <c r="N1366" s="475"/>
      <c r="O1366" s="476">
        <v>2.2916666666666665E-2</v>
      </c>
      <c r="P1366" s="476">
        <v>2.2916666666666665E-2</v>
      </c>
      <c r="Q1366" s="477">
        <v>2.4305555555555556E-2</v>
      </c>
      <c r="R1366" s="472">
        <f>IF(Table6[[#This Row],[Work Start TimeStamp]]="","",(Table6[[#This Row],[Work Start TimeStamp]]-Table6[[#This Row],[Fault Start TimeStamp]])*24)</f>
        <v>0</v>
      </c>
      <c r="S1366" s="472">
        <f>(Table6[[#This Row],[Fault Clearance time]]-Table6[[#This Row],[Work Start TimeStamp]])*24</f>
        <v>3.3333333333333381E-2</v>
      </c>
      <c r="T1366" s="472">
        <f>(Table6[[#This Row],[Fault Clearance time]]-Table6[[#This Row],[Fault Start TimeStamp]])*24</f>
        <v>3.3333333333333381E-2</v>
      </c>
      <c r="U1366" s="35" t="s">
        <v>1924</v>
      </c>
      <c r="V1366" s="102" t="s">
        <v>293</v>
      </c>
      <c r="W1366" s="478">
        <f>IFERROR(Table6[[#This Row],[Breakdown Time]]*Table6[[#This Row],[Plant Equivalent Weightage]],"")</f>
        <v>1.2820512820512836E-3</v>
      </c>
      <c r="X1366" s="473" t="s">
        <v>290</v>
      </c>
      <c r="Y1366" s="474" t="s">
        <v>75</v>
      </c>
      <c r="Z1366" s="102">
        <v>56261</v>
      </c>
      <c r="AA1366" s="468">
        <f>(Table6[[#This Row],[Paired WTG Generation for loss calculation]]/24)*Table6[[#This Row],[Breakdown Time]]</f>
        <v>78.140277777777897</v>
      </c>
      <c r="AB1366" s="102"/>
      <c r="AC1366" s="35"/>
      <c r="AD1366" s="35"/>
    </row>
    <row r="1367" spans="1:30">
      <c r="A1367" s="102">
        <f t="shared" si="22"/>
        <v>1366</v>
      </c>
      <c r="B1367" s="468">
        <f>YEAR(Table6[[#This Row],[Date]])+IF(MONTH(Table6[[#This Row],[Date]])&gt;=4,1,0)</f>
        <v>2026</v>
      </c>
      <c r="C1367" s="102">
        <f>YEAR(Table6[[#This Row],[Date]])</f>
        <v>2025</v>
      </c>
      <c r="D1367" s="102" t="s">
        <v>1992</v>
      </c>
      <c r="E1367" s="469">
        <f>Table6[[#This Row],[Date]]-DAY(Table6[[#This Row],[Date]])+1</f>
        <v>45809</v>
      </c>
      <c r="F1367" s="470">
        <v>45837</v>
      </c>
      <c r="G1367" s="35" t="s">
        <v>78</v>
      </c>
      <c r="H1367" s="35" t="str">
        <f>IFERROR(_xlfn.XLOOKUP(Table6[[#This Row],[Affected WTG]],'Basic Data'!$A:$A,'Basic Data'!$B:$B),"")</f>
        <v>TQGXIIPL</v>
      </c>
      <c r="I1367" s="35" t="str">
        <f>IFERROR(_xlfn.XLOOKUP(Table6[[#This Row],[Affected WTG]],'Basic Data'!$A:$A,'Basic Data'!$C:$C),"")</f>
        <v>GEDA</v>
      </c>
      <c r="J1367" s="471">
        <f>IFERROR(_xlfn.XLOOKUP(Table6[[#This Row],[Affected WTG]],'Basic Data'!$A:$A,'Basic Data'!$E:$E),"")</f>
        <v>3.846153846153845E-2</v>
      </c>
      <c r="K1367" s="102">
        <v>3211</v>
      </c>
      <c r="L1367" s="35" t="str">
        <f>IFERROR(_xlfn.XLOOKUP(Table6[[#This Row],[Error Code]],'Basic Data'!$AA:$AA,'Basic Data'!$AB:$AB),"Incorrect Error Code")</f>
        <v>Conv. load shedding (CAN)</v>
      </c>
      <c r="M1367" s="35" t="s">
        <v>291</v>
      </c>
      <c r="N1367" s="475"/>
      <c r="O1367" s="476">
        <v>0.13263888888888889</v>
      </c>
      <c r="P1367" s="476">
        <v>0.13263888888888889</v>
      </c>
      <c r="Q1367" s="477">
        <v>0.13402777777777777</v>
      </c>
      <c r="R1367" s="472">
        <f>IF(Table6[[#This Row],[Work Start TimeStamp]]="","",(Table6[[#This Row],[Work Start TimeStamp]]-Table6[[#This Row],[Fault Start TimeStamp]])*24)</f>
        <v>0</v>
      </c>
      <c r="S1367" s="472">
        <f>(Table6[[#This Row],[Fault Clearance time]]-Table6[[#This Row],[Work Start TimeStamp]])*24</f>
        <v>3.3333333333333215E-2</v>
      </c>
      <c r="T1367" s="472">
        <f>(Table6[[#This Row],[Fault Clearance time]]-Table6[[#This Row],[Fault Start TimeStamp]])*24</f>
        <v>3.3333333333333215E-2</v>
      </c>
      <c r="U1367" s="35" t="s">
        <v>1924</v>
      </c>
      <c r="V1367" s="102" t="s">
        <v>293</v>
      </c>
      <c r="W1367" s="478">
        <f>IFERROR(Table6[[#This Row],[Breakdown Time]]*Table6[[#This Row],[Plant Equivalent Weightage]],"")</f>
        <v>1.2820512820512771E-3</v>
      </c>
      <c r="X1367" s="473" t="s">
        <v>290</v>
      </c>
      <c r="Y1367" s="474" t="s">
        <v>75</v>
      </c>
      <c r="Z1367" s="102">
        <v>56261</v>
      </c>
      <c r="AA1367" s="468">
        <f>(Table6[[#This Row],[Paired WTG Generation for loss calculation]]/24)*Table6[[#This Row],[Breakdown Time]]</f>
        <v>78.140277777777499</v>
      </c>
      <c r="AB1367" s="102"/>
      <c r="AC1367" s="35"/>
      <c r="AD1367" s="35"/>
    </row>
    <row r="1368" spans="1:30">
      <c r="A1368" s="102">
        <f t="shared" si="22"/>
        <v>1367</v>
      </c>
      <c r="B1368" s="468">
        <f>YEAR(Table6[[#This Row],[Date]])+IF(MONTH(Table6[[#This Row],[Date]])&gt;=4,1,0)</f>
        <v>2026</v>
      </c>
      <c r="C1368" s="102">
        <f>YEAR(Table6[[#This Row],[Date]])</f>
        <v>2025</v>
      </c>
      <c r="D1368" s="102" t="s">
        <v>1992</v>
      </c>
      <c r="E1368" s="469">
        <f>Table6[[#This Row],[Date]]-DAY(Table6[[#This Row],[Date]])+1</f>
        <v>45809</v>
      </c>
      <c r="F1368" s="470">
        <v>45837</v>
      </c>
      <c r="G1368" s="35" t="s">
        <v>78</v>
      </c>
      <c r="H1368" s="35" t="str">
        <f>IFERROR(_xlfn.XLOOKUP(Table6[[#This Row],[Affected WTG]],'Basic Data'!$A:$A,'Basic Data'!$B:$B),"")</f>
        <v>TQGXIIPL</v>
      </c>
      <c r="I1368" s="35" t="str">
        <f>IFERROR(_xlfn.XLOOKUP(Table6[[#This Row],[Affected WTG]],'Basic Data'!$A:$A,'Basic Data'!$C:$C),"")</f>
        <v>GEDA</v>
      </c>
      <c r="J1368" s="471">
        <f>IFERROR(_xlfn.XLOOKUP(Table6[[#This Row],[Affected WTG]],'Basic Data'!$A:$A,'Basic Data'!$E:$E),"")</f>
        <v>3.846153846153845E-2</v>
      </c>
      <c r="K1368" s="102">
        <v>3211</v>
      </c>
      <c r="L1368" s="35" t="str">
        <f>IFERROR(_xlfn.XLOOKUP(Table6[[#This Row],[Error Code]],'Basic Data'!$AA:$AA,'Basic Data'!$AB:$AB),"Incorrect Error Code")</f>
        <v>Conv. load shedding (CAN)</v>
      </c>
      <c r="M1368" s="35" t="s">
        <v>291</v>
      </c>
      <c r="N1368" s="475"/>
      <c r="O1368" s="476">
        <v>0.19236111111111112</v>
      </c>
      <c r="P1368" s="476">
        <v>0.19236111111111112</v>
      </c>
      <c r="Q1368" s="477">
        <v>0.19444444444444445</v>
      </c>
      <c r="R1368" s="472">
        <f>IF(Table6[[#This Row],[Work Start TimeStamp]]="","",(Table6[[#This Row],[Work Start TimeStamp]]-Table6[[#This Row],[Fault Start TimeStamp]])*24)</f>
        <v>0</v>
      </c>
      <c r="S1368" s="472">
        <f>(Table6[[#This Row],[Fault Clearance time]]-Table6[[#This Row],[Work Start TimeStamp]])*24</f>
        <v>4.9999999999999822E-2</v>
      </c>
      <c r="T1368" s="472">
        <f>(Table6[[#This Row],[Fault Clearance time]]-Table6[[#This Row],[Fault Start TimeStamp]])*24</f>
        <v>4.9999999999999822E-2</v>
      </c>
      <c r="U1368" s="35" t="s">
        <v>1924</v>
      </c>
      <c r="V1368" s="102" t="s">
        <v>293</v>
      </c>
      <c r="W1368" s="478">
        <f>IFERROR(Table6[[#This Row],[Breakdown Time]]*Table6[[#This Row],[Plant Equivalent Weightage]],"")</f>
        <v>1.9230769230769156E-3</v>
      </c>
      <c r="X1368" s="473" t="s">
        <v>290</v>
      </c>
      <c r="Y1368" s="474" t="s">
        <v>75</v>
      </c>
      <c r="Z1368" s="102">
        <v>56261</v>
      </c>
      <c r="AA1368" s="468">
        <f>(Table6[[#This Row],[Paired WTG Generation for loss calculation]]/24)*Table6[[#This Row],[Breakdown Time]]</f>
        <v>117.21041666666626</v>
      </c>
      <c r="AB1368" s="102"/>
      <c r="AC1368" s="35"/>
      <c r="AD1368" s="35"/>
    </row>
    <row r="1369" spans="1:30">
      <c r="A1369" s="102">
        <f t="shared" si="22"/>
        <v>1368</v>
      </c>
      <c r="B1369" s="468">
        <f>YEAR(Table6[[#This Row],[Date]])+IF(MONTH(Table6[[#This Row],[Date]])&gt;=4,1,0)</f>
        <v>2026</v>
      </c>
      <c r="C1369" s="102">
        <f>YEAR(Table6[[#This Row],[Date]])</f>
        <v>2025</v>
      </c>
      <c r="D1369" s="102" t="s">
        <v>1992</v>
      </c>
      <c r="E1369" s="469">
        <f>Table6[[#This Row],[Date]]-DAY(Table6[[#This Row],[Date]])+1</f>
        <v>45809</v>
      </c>
      <c r="F1369" s="470">
        <v>45837</v>
      </c>
      <c r="G1369" s="35" t="s">
        <v>78</v>
      </c>
      <c r="H1369" s="35" t="str">
        <f>IFERROR(_xlfn.XLOOKUP(Table6[[#This Row],[Affected WTG]],'Basic Data'!$A:$A,'Basic Data'!$B:$B),"")</f>
        <v>TQGXIIPL</v>
      </c>
      <c r="I1369" s="35" t="str">
        <f>IFERROR(_xlfn.XLOOKUP(Table6[[#This Row],[Affected WTG]],'Basic Data'!$A:$A,'Basic Data'!$C:$C),"")</f>
        <v>GEDA</v>
      </c>
      <c r="J1369" s="471">
        <f>IFERROR(_xlfn.XLOOKUP(Table6[[#This Row],[Affected WTG]],'Basic Data'!$A:$A,'Basic Data'!$E:$E),"")</f>
        <v>3.846153846153845E-2</v>
      </c>
      <c r="K1369" s="102">
        <v>3211</v>
      </c>
      <c r="L1369" s="35" t="str">
        <f>IFERROR(_xlfn.XLOOKUP(Table6[[#This Row],[Error Code]],'Basic Data'!$AA:$AA,'Basic Data'!$AB:$AB),"Incorrect Error Code")</f>
        <v>Conv. load shedding (CAN)</v>
      </c>
      <c r="M1369" s="35" t="s">
        <v>291</v>
      </c>
      <c r="N1369" s="475"/>
      <c r="O1369" s="476">
        <v>0.83333333333333337</v>
      </c>
      <c r="P1369" s="476">
        <v>0.83333333333333337</v>
      </c>
      <c r="Q1369" s="477">
        <v>0.83888888888888891</v>
      </c>
      <c r="R1369" s="472">
        <f>IF(Table6[[#This Row],[Work Start TimeStamp]]="","",(Table6[[#This Row],[Work Start TimeStamp]]-Table6[[#This Row],[Fault Start TimeStamp]])*24)</f>
        <v>0</v>
      </c>
      <c r="S1369" s="472">
        <f>(Table6[[#This Row],[Fault Clearance time]]-Table6[[#This Row],[Work Start TimeStamp]])*24</f>
        <v>0.13333333333333286</v>
      </c>
      <c r="T1369" s="472">
        <f>(Table6[[#This Row],[Fault Clearance time]]-Table6[[#This Row],[Fault Start TimeStamp]])*24</f>
        <v>0.13333333333333286</v>
      </c>
      <c r="U1369" s="35" t="s">
        <v>1924</v>
      </c>
      <c r="V1369" s="102" t="s">
        <v>293</v>
      </c>
      <c r="W1369" s="478">
        <f>IFERROR(Table6[[#This Row],[Breakdown Time]]*Table6[[#This Row],[Plant Equivalent Weightage]],"")</f>
        <v>5.1282051282051083E-3</v>
      </c>
      <c r="X1369" s="473" t="s">
        <v>290</v>
      </c>
      <c r="Y1369" s="474" t="s">
        <v>75</v>
      </c>
      <c r="Z1369" s="102">
        <v>56261</v>
      </c>
      <c r="AA1369" s="468">
        <f>(Table6[[#This Row],[Paired WTG Generation for loss calculation]]/24)*Table6[[#This Row],[Breakdown Time]]</f>
        <v>312.56111111110999</v>
      </c>
      <c r="AB1369" s="102"/>
      <c r="AC1369" s="35"/>
      <c r="AD1369" s="35"/>
    </row>
    <row r="1370" spans="1:30">
      <c r="A1370" s="102">
        <f t="shared" si="22"/>
        <v>1369</v>
      </c>
      <c r="B1370" s="468">
        <f>YEAR(Table6[[#This Row],[Date]])+IF(MONTH(Table6[[#This Row],[Date]])&gt;=4,1,0)</f>
        <v>2026</v>
      </c>
      <c r="C1370" s="102">
        <f>YEAR(Table6[[#This Row],[Date]])</f>
        <v>2025</v>
      </c>
      <c r="D1370" s="102" t="s">
        <v>1992</v>
      </c>
      <c r="E1370" s="469">
        <f>Table6[[#This Row],[Date]]-DAY(Table6[[#This Row],[Date]])+1</f>
        <v>45809</v>
      </c>
      <c r="F1370" s="470">
        <v>45837</v>
      </c>
      <c r="G1370" s="35" t="s">
        <v>78</v>
      </c>
      <c r="H1370" s="35" t="str">
        <f>IFERROR(_xlfn.XLOOKUP(Table6[[#This Row],[Affected WTG]],'Basic Data'!$A:$A,'Basic Data'!$B:$B),"")</f>
        <v>TQGXIIPL</v>
      </c>
      <c r="I1370" s="35" t="str">
        <f>IFERROR(_xlfn.XLOOKUP(Table6[[#This Row],[Affected WTG]],'Basic Data'!$A:$A,'Basic Data'!$C:$C),"")</f>
        <v>GEDA</v>
      </c>
      <c r="J1370" s="471">
        <f>IFERROR(_xlfn.XLOOKUP(Table6[[#This Row],[Affected WTG]],'Basic Data'!$A:$A,'Basic Data'!$E:$E),"")</f>
        <v>3.846153846153845E-2</v>
      </c>
      <c r="K1370" s="102">
        <v>3211</v>
      </c>
      <c r="L1370" s="35" t="str">
        <f>IFERROR(_xlfn.XLOOKUP(Table6[[#This Row],[Error Code]],'Basic Data'!$AA:$AA,'Basic Data'!$AB:$AB),"Incorrect Error Code")</f>
        <v>Conv. load shedding (CAN)</v>
      </c>
      <c r="M1370" s="35" t="s">
        <v>291</v>
      </c>
      <c r="N1370" s="475"/>
      <c r="O1370" s="476">
        <v>0.86111111111111116</v>
      </c>
      <c r="P1370" s="476">
        <v>0.86111111111111116</v>
      </c>
      <c r="Q1370" s="477">
        <v>0.86250000000000004</v>
      </c>
      <c r="R1370" s="472">
        <f>IF(Table6[[#This Row],[Work Start TimeStamp]]="","",(Table6[[#This Row],[Work Start TimeStamp]]-Table6[[#This Row],[Fault Start TimeStamp]])*24)</f>
        <v>0</v>
      </c>
      <c r="S1370" s="472">
        <f>(Table6[[#This Row],[Fault Clearance time]]-Table6[[#This Row],[Work Start TimeStamp]])*24</f>
        <v>3.3333333333333215E-2</v>
      </c>
      <c r="T1370" s="472">
        <f>(Table6[[#This Row],[Fault Clearance time]]-Table6[[#This Row],[Fault Start TimeStamp]])*24</f>
        <v>3.3333333333333215E-2</v>
      </c>
      <c r="U1370" s="35" t="s">
        <v>1924</v>
      </c>
      <c r="V1370" s="102" t="s">
        <v>293</v>
      </c>
      <c r="W1370" s="478">
        <f>IFERROR(Table6[[#This Row],[Breakdown Time]]*Table6[[#This Row],[Plant Equivalent Weightage]],"")</f>
        <v>1.2820512820512771E-3</v>
      </c>
      <c r="X1370" s="473" t="s">
        <v>290</v>
      </c>
      <c r="Y1370" s="474" t="s">
        <v>75</v>
      </c>
      <c r="Z1370" s="102">
        <v>56261</v>
      </c>
      <c r="AA1370" s="468">
        <f>(Table6[[#This Row],[Paired WTG Generation for loss calculation]]/24)*Table6[[#This Row],[Breakdown Time]]</f>
        <v>78.140277777777499</v>
      </c>
      <c r="AB1370" s="102"/>
      <c r="AC1370" s="35"/>
      <c r="AD1370" s="35"/>
    </row>
    <row r="1371" spans="1:30">
      <c r="A1371" s="102">
        <f t="shared" si="22"/>
        <v>1370</v>
      </c>
      <c r="B1371" s="468">
        <f>YEAR(Table6[[#This Row],[Date]])+IF(MONTH(Table6[[#This Row],[Date]])&gt;=4,1,0)</f>
        <v>2026</v>
      </c>
      <c r="C1371" s="102">
        <f>YEAR(Table6[[#This Row],[Date]])</f>
        <v>2025</v>
      </c>
      <c r="D1371" s="102" t="s">
        <v>1992</v>
      </c>
      <c r="E1371" s="469">
        <f>Table6[[#This Row],[Date]]-DAY(Table6[[#This Row],[Date]])+1</f>
        <v>45809</v>
      </c>
      <c r="F1371" s="470">
        <v>45837</v>
      </c>
      <c r="G1371" s="35" t="s">
        <v>81</v>
      </c>
      <c r="H1371" s="35" t="str">
        <f>IFERROR(_xlfn.XLOOKUP(Table6[[#This Row],[Affected WTG]],'Basic Data'!$A:$A,'Basic Data'!$B:$B),"")</f>
        <v>TQGXIIPL</v>
      </c>
      <c r="I1371" s="35" t="str">
        <f>IFERROR(_xlfn.XLOOKUP(Table6[[#This Row],[Affected WTG]],'Basic Data'!$A:$A,'Basic Data'!$C:$C),"")</f>
        <v>GEDA</v>
      </c>
      <c r="J1371" s="471">
        <f>IFERROR(_xlfn.XLOOKUP(Table6[[#This Row],[Affected WTG]],'Basic Data'!$A:$A,'Basic Data'!$E:$E),"")</f>
        <v>3.846153846153845E-2</v>
      </c>
      <c r="K1371" s="102">
        <v>4540</v>
      </c>
      <c r="L1371" s="35" t="str">
        <f>IFERROR(_xlfn.XLOOKUP(Table6[[#This Row],[Error Code]],'Basic Data'!$AA:$AA,'Basic Data'!$AB:$AB),"Incorrect Error Code")</f>
        <v>Tower oscillation X level 2</v>
      </c>
      <c r="M1371" s="35" t="s">
        <v>291</v>
      </c>
      <c r="N1371" s="475"/>
      <c r="O1371" s="476">
        <v>6.5972222222222224E-2</v>
      </c>
      <c r="P1371" s="476">
        <v>6.5972222222222224E-2</v>
      </c>
      <c r="Q1371" s="477">
        <v>6.8750000000000006E-2</v>
      </c>
      <c r="R1371" s="472">
        <f>IF(Table6[[#This Row],[Work Start TimeStamp]]="","",(Table6[[#This Row],[Work Start TimeStamp]]-Table6[[#This Row],[Fault Start TimeStamp]])*24)</f>
        <v>0</v>
      </c>
      <c r="S1371" s="472">
        <f>(Table6[[#This Row],[Fault Clearance time]]-Table6[[#This Row],[Work Start TimeStamp]])*24</f>
        <v>6.6666666666666763E-2</v>
      </c>
      <c r="T1371" s="472">
        <f>(Table6[[#This Row],[Fault Clearance time]]-Table6[[#This Row],[Fault Start TimeStamp]])*24</f>
        <v>6.6666666666666763E-2</v>
      </c>
      <c r="U1371" s="35" t="s">
        <v>336</v>
      </c>
      <c r="V1371" s="102" t="s">
        <v>293</v>
      </c>
      <c r="W1371" s="478">
        <f>IFERROR(Table6[[#This Row],[Breakdown Time]]*Table6[[#This Row],[Plant Equivalent Weightage]],"")</f>
        <v>2.5641025641025671E-3</v>
      </c>
      <c r="X1371" s="473" t="s">
        <v>294</v>
      </c>
      <c r="Y1371" s="474" t="s">
        <v>99</v>
      </c>
      <c r="Z1371" s="102">
        <v>55208</v>
      </c>
      <c r="AA1371" s="468">
        <f>(Table6[[#This Row],[Paired WTG Generation for loss calculation]]/24)*Table6[[#This Row],[Breakdown Time]]</f>
        <v>153.35555555555578</v>
      </c>
      <c r="AB1371" s="102"/>
      <c r="AC1371" s="35"/>
      <c r="AD1371" s="35"/>
    </row>
    <row r="1372" spans="1:30">
      <c r="A1372" s="102">
        <f t="shared" si="22"/>
        <v>1371</v>
      </c>
      <c r="B1372" s="468">
        <f>YEAR(Table6[[#This Row],[Date]])+IF(MONTH(Table6[[#This Row],[Date]])&gt;=4,1,0)</f>
        <v>2026</v>
      </c>
      <c r="C1372" s="102">
        <f>YEAR(Table6[[#This Row],[Date]])</f>
        <v>2025</v>
      </c>
      <c r="D1372" s="102" t="s">
        <v>1992</v>
      </c>
      <c r="E1372" s="469">
        <f>Table6[[#This Row],[Date]]-DAY(Table6[[#This Row],[Date]])+1</f>
        <v>45809</v>
      </c>
      <c r="F1372" s="470">
        <v>45837</v>
      </c>
      <c r="G1372" s="35" t="s">
        <v>81</v>
      </c>
      <c r="H1372" s="35" t="str">
        <f>IFERROR(_xlfn.XLOOKUP(Table6[[#This Row],[Affected WTG]],'Basic Data'!$A:$A,'Basic Data'!$B:$B),"")</f>
        <v>TQGXIIPL</v>
      </c>
      <c r="I1372" s="35" t="str">
        <f>IFERROR(_xlfn.XLOOKUP(Table6[[#This Row],[Affected WTG]],'Basic Data'!$A:$A,'Basic Data'!$C:$C),"")</f>
        <v>GEDA</v>
      </c>
      <c r="J1372" s="471">
        <f>IFERROR(_xlfn.XLOOKUP(Table6[[#This Row],[Affected WTG]],'Basic Data'!$A:$A,'Basic Data'!$E:$E),"")</f>
        <v>3.846153846153845E-2</v>
      </c>
      <c r="K1372" s="102">
        <v>665</v>
      </c>
      <c r="L1372" s="35" t="str">
        <f>IFERROR(_xlfn.XLOOKUP(Table6[[#This Row],[Error Code]],'Basic Data'!$AA:$AA,'Basic Data'!$AB:$AB),"Incorrect Error Code")</f>
        <v>Pitch error</v>
      </c>
      <c r="M1372" s="35" t="s">
        <v>291</v>
      </c>
      <c r="N1372" s="475"/>
      <c r="O1372" s="476">
        <v>7.6388888888888895E-2</v>
      </c>
      <c r="P1372" s="476">
        <v>7.6388888888888895E-2</v>
      </c>
      <c r="Q1372" s="477">
        <v>7.7777777777777779E-2</v>
      </c>
      <c r="R1372" s="472">
        <f>IF(Table6[[#This Row],[Work Start TimeStamp]]="","",(Table6[[#This Row],[Work Start TimeStamp]]-Table6[[#This Row],[Fault Start TimeStamp]])*24)</f>
        <v>0</v>
      </c>
      <c r="S1372" s="472">
        <f>(Table6[[#This Row],[Fault Clearance time]]-Table6[[#This Row],[Work Start TimeStamp]])*24</f>
        <v>3.3333333333333215E-2</v>
      </c>
      <c r="T1372" s="472">
        <f>(Table6[[#This Row],[Fault Clearance time]]-Table6[[#This Row],[Fault Start TimeStamp]])*24</f>
        <v>3.3333333333333215E-2</v>
      </c>
      <c r="U1372" s="35" t="s">
        <v>1924</v>
      </c>
      <c r="V1372" s="102" t="s">
        <v>293</v>
      </c>
      <c r="W1372" s="478">
        <f>IFERROR(Table6[[#This Row],[Breakdown Time]]*Table6[[#This Row],[Plant Equivalent Weightage]],"")</f>
        <v>1.2820512820512771E-3</v>
      </c>
      <c r="X1372" s="473" t="s">
        <v>290</v>
      </c>
      <c r="Y1372" s="474" t="s">
        <v>99</v>
      </c>
      <c r="Z1372" s="102">
        <v>55208</v>
      </c>
      <c r="AA1372" s="468">
        <f>(Table6[[#This Row],[Paired WTG Generation for loss calculation]]/24)*Table6[[#This Row],[Breakdown Time]]</f>
        <v>76.677777777777507</v>
      </c>
      <c r="AB1372" s="102"/>
      <c r="AC1372" s="35"/>
      <c r="AD1372" s="35"/>
    </row>
    <row r="1373" spans="1:30">
      <c r="A1373" s="102">
        <f t="shared" si="22"/>
        <v>1372</v>
      </c>
      <c r="B1373" s="468">
        <f>YEAR(Table6[[#This Row],[Date]])+IF(MONTH(Table6[[#This Row],[Date]])&gt;=4,1,0)</f>
        <v>2026</v>
      </c>
      <c r="C1373" s="102">
        <f>YEAR(Table6[[#This Row],[Date]])</f>
        <v>2025</v>
      </c>
      <c r="D1373" s="102" t="s">
        <v>1992</v>
      </c>
      <c r="E1373" s="469">
        <f>Table6[[#This Row],[Date]]-DAY(Table6[[#This Row],[Date]])+1</f>
        <v>45809</v>
      </c>
      <c r="F1373" s="470">
        <v>45837</v>
      </c>
      <c r="G1373" s="35" t="s">
        <v>81</v>
      </c>
      <c r="H1373" s="35" t="str">
        <f>IFERROR(_xlfn.XLOOKUP(Table6[[#This Row],[Affected WTG]],'Basic Data'!$A:$A,'Basic Data'!$B:$B),"")</f>
        <v>TQGXIIPL</v>
      </c>
      <c r="I1373" s="35" t="str">
        <f>IFERROR(_xlfn.XLOOKUP(Table6[[#This Row],[Affected WTG]],'Basic Data'!$A:$A,'Basic Data'!$C:$C),"")</f>
        <v>GEDA</v>
      </c>
      <c r="J1373" s="471">
        <f>IFERROR(_xlfn.XLOOKUP(Table6[[#This Row],[Affected WTG]],'Basic Data'!$A:$A,'Basic Data'!$E:$E),"")</f>
        <v>3.846153846153845E-2</v>
      </c>
      <c r="K1373" s="102">
        <v>665</v>
      </c>
      <c r="L1373" s="35" t="str">
        <f>IFERROR(_xlfn.XLOOKUP(Table6[[#This Row],[Error Code]],'Basic Data'!$AA:$AA,'Basic Data'!$AB:$AB),"Incorrect Error Code")</f>
        <v>Pitch error</v>
      </c>
      <c r="M1373" s="35" t="s">
        <v>291</v>
      </c>
      <c r="N1373" s="475"/>
      <c r="O1373" s="476">
        <v>0.28472222222222221</v>
      </c>
      <c r="P1373" s="476">
        <v>0.28472222222222221</v>
      </c>
      <c r="Q1373" s="477">
        <v>0.28819444444444442</v>
      </c>
      <c r="R1373" s="472">
        <f>IF(Table6[[#This Row],[Work Start TimeStamp]]="","",(Table6[[#This Row],[Work Start TimeStamp]]-Table6[[#This Row],[Fault Start TimeStamp]])*24)</f>
        <v>0</v>
      </c>
      <c r="S1373" s="472">
        <f>(Table6[[#This Row],[Fault Clearance time]]-Table6[[#This Row],[Work Start TimeStamp]])*24</f>
        <v>8.3333333333333037E-2</v>
      </c>
      <c r="T1373" s="472">
        <f>(Table6[[#This Row],[Fault Clearance time]]-Table6[[#This Row],[Fault Start TimeStamp]])*24</f>
        <v>8.3333333333333037E-2</v>
      </c>
      <c r="U1373" s="35" t="s">
        <v>1924</v>
      </c>
      <c r="V1373" s="102" t="s">
        <v>293</v>
      </c>
      <c r="W1373" s="478">
        <f>IFERROR(Table6[[#This Row],[Breakdown Time]]*Table6[[#This Row],[Plant Equivalent Weightage]],"")</f>
        <v>3.2051282051281929E-3</v>
      </c>
      <c r="X1373" s="473" t="s">
        <v>290</v>
      </c>
      <c r="Y1373" s="474" t="s">
        <v>99</v>
      </c>
      <c r="Z1373" s="102">
        <v>55208</v>
      </c>
      <c r="AA1373" s="468">
        <f>(Table6[[#This Row],[Paired WTG Generation for loss calculation]]/24)*Table6[[#This Row],[Breakdown Time]]</f>
        <v>191.69444444444377</v>
      </c>
      <c r="AB1373" s="102"/>
      <c r="AC1373" s="35"/>
      <c r="AD1373" s="35"/>
    </row>
    <row r="1374" spans="1:30">
      <c r="A1374" s="102">
        <f t="shared" si="22"/>
        <v>1373</v>
      </c>
      <c r="B1374" s="468">
        <f>YEAR(Table6[[#This Row],[Date]])+IF(MONTH(Table6[[#This Row],[Date]])&gt;=4,1,0)</f>
        <v>2026</v>
      </c>
      <c r="C1374" s="102">
        <f>YEAR(Table6[[#This Row],[Date]])</f>
        <v>2025</v>
      </c>
      <c r="D1374" s="102" t="s">
        <v>1992</v>
      </c>
      <c r="E1374" s="469">
        <f>Table6[[#This Row],[Date]]-DAY(Table6[[#This Row],[Date]])+1</f>
        <v>45809</v>
      </c>
      <c r="F1374" s="470">
        <v>45837</v>
      </c>
      <c r="G1374" s="35" t="s">
        <v>81</v>
      </c>
      <c r="H1374" s="35" t="str">
        <f>IFERROR(_xlfn.XLOOKUP(Table6[[#This Row],[Affected WTG]],'Basic Data'!$A:$A,'Basic Data'!$B:$B),"")</f>
        <v>TQGXIIPL</v>
      </c>
      <c r="I1374" s="35" t="str">
        <f>IFERROR(_xlfn.XLOOKUP(Table6[[#This Row],[Affected WTG]],'Basic Data'!$A:$A,'Basic Data'!$C:$C),"")</f>
        <v>GEDA</v>
      </c>
      <c r="J1374" s="471">
        <f>IFERROR(_xlfn.XLOOKUP(Table6[[#This Row],[Affected WTG]],'Basic Data'!$A:$A,'Basic Data'!$E:$E),"")</f>
        <v>3.846153846153845E-2</v>
      </c>
      <c r="K1374" s="102">
        <v>665</v>
      </c>
      <c r="L1374" s="35" t="str">
        <f>IFERROR(_xlfn.XLOOKUP(Table6[[#This Row],[Error Code]],'Basic Data'!$AA:$AA,'Basic Data'!$AB:$AB),"Incorrect Error Code")</f>
        <v>Pitch error</v>
      </c>
      <c r="M1374" s="35" t="s">
        <v>291</v>
      </c>
      <c r="N1374" s="475"/>
      <c r="O1374" s="476">
        <v>0.3215277777777778</v>
      </c>
      <c r="P1374" s="476">
        <v>0.3215277777777778</v>
      </c>
      <c r="Q1374" s="477">
        <v>0.32500000000000001</v>
      </c>
      <c r="R1374" s="472">
        <f>IF(Table6[[#This Row],[Work Start TimeStamp]]="","",(Table6[[#This Row],[Work Start TimeStamp]]-Table6[[#This Row],[Fault Start TimeStamp]])*24)</f>
        <v>0</v>
      </c>
      <c r="S1374" s="472">
        <f>(Table6[[#This Row],[Fault Clearance time]]-Table6[[#This Row],[Work Start TimeStamp]])*24</f>
        <v>8.3333333333333037E-2</v>
      </c>
      <c r="T1374" s="472">
        <f>(Table6[[#This Row],[Fault Clearance time]]-Table6[[#This Row],[Fault Start TimeStamp]])*24</f>
        <v>8.3333333333333037E-2</v>
      </c>
      <c r="U1374" s="35" t="s">
        <v>1924</v>
      </c>
      <c r="V1374" s="102" t="s">
        <v>293</v>
      </c>
      <c r="W1374" s="478">
        <f>IFERROR(Table6[[#This Row],[Breakdown Time]]*Table6[[#This Row],[Plant Equivalent Weightage]],"")</f>
        <v>3.2051282051281929E-3</v>
      </c>
      <c r="X1374" s="473" t="s">
        <v>290</v>
      </c>
      <c r="Y1374" s="474" t="s">
        <v>99</v>
      </c>
      <c r="Z1374" s="102">
        <v>55208</v>
      </c>
      <c r="AA1374" s="468">
        <f>(Table6[[#This Row],[Paired WTG Generation for loss calculation]]/24)*Table6[[#This Row],[Breakdown Time]]</f>
        <v>191.69444444444377</v>
      </c>
      <c r="AB1374" s="102"/>
      <c r="AC1374" s="35"/>
      <c r="AD1374" s="35"/>
    </row>
    <row r="1375" spans="1:30">
      <c r="A1375" s="102">
        <f t="shared" si="22"/>
        <v>1374</v>
      </c>
      <c r="B1375" s="468">
        <f>YEAR(Table6[[#This Row],[Date]])+IF(MONTH(Table6[[#This Row],[Date]])&gt;=4,1,0)</f>
        <v>2026</v>
      </c>
      <c r="C1375" s="102">
        <f>YEAR(Table6[[#This Row],[Date]])</f>
        <v>2025</v>
      </c>
      <c r="D1375" s="102" t="s">
        <v>1992</v>
      </c>
      <c r="E1375" s="469">
        <f>Table6[[#This Row],[Date]]-DAY(Table6[[#This Row],[Date]])+1</f>
        <v>45809</v>
      </c>
      <c r="F1375" s="470">
        <v>45837</v>
      </c>
      <c r="G1375" s="35" t="s">
        <v>81</v>
      </c>
      <c r="H1375" s="35" t="str">
        <f>IFERROR(_xlfn.XLOOKUP(Table6[[#This Row],[Affected WTG]],'Basic Data'!$A:$A,'Basic Data'!$B:$B),"")</f>
        <v>TQGXIIPL</v>
      </c>
      <c r="I1375" s="35" t="str">
        <f>IFERROR(_xlfn.XLOOKUP(Table6[[#This Row],[Affected WTG]],'Basic Data'!$A:$A,'Basic Data'!$C:$C),"")</f>
        <v>GEDA</v>
      </c>
      <c r="J1375" s="471">
        <f>IFERROR(_xlfn.XLOOKUP(Table6[[#This Row],[Affected WTG]],'Basic Data'!$A:$A,'Basic Data'!$E:$E),"")</f>
        <v>3.846153846153845E-2</v>
      </c>
      <c r="K1375" s="102">
        <v>665</v>
      </c>
      <c r="L1375" s="35" t="str">
        <f>IFERROR(_xlfn.XLOOKUP(Table6[[#This Row],[Error Code]],'Basic Data'!$AA:$AA,'Basic Data'!$AB:$AB),"Incorrect Error Code")</f>
        <v>Pitch error</v>
      </c>
      <c r="M1375" s="35" t="s">
        <v>291</v>
      </c>
      <c r="N1375" s="475"/>
      <c r="O1375" s="476">
        <v>0.42638888888888887</v>
      </c>
      <c r="P1375" s="476">
        <v>0.42638888888888887</v>
      </c>
      <c r="Q1375" s="477">
        <v>0.4375</v>
      </c>
      <c r="R1375" s="472">
        <f>IF(Table6[[#This Row],[Work Start TimeStamp]]="","",(Table6[[#This Row],[Work Start TimeStamp]]-Table6[[#This Row],[Fault Start TimeStamp]])*24)</f>
        <v>0</v>
      </c>
      <c r="S1375" s="472">
        <f>(Table6[[#This Row],[Fault Clearance time]]-Table6[[#This Row],[Work Start TimeStamp]])*24</f>
        <v>0.26666666666666705</v>
      </c>
      <c r="T1375" s="472">
        <f>(Table6[[#This Row],[Fault Clearance time]]-Table6[[#This Row],[Fault Start TimeStamp]])*24</f>
        <v>0.26666666666666705</v>
      </c>
      <c r="U1375" s="35" t="s">
        <v>1924</v>
      </c>
      <c r="V1375" s="102" t="s">
        <v>293</v>
      </c>
      <c r="W1375" s="478">
        <f>IFERROR(Table6[[#This Row],[Breakdown Time]]*Table6[[#This Row],[Plant Equivalent Weightage]],"")</f>
        <v>1.0256410256410269E-2</v>
      </c>
      <c r="X1375" s="473" t="s">
        <v>290</v>
      </c>
      <c r="Y1375" s="474" t="s">
        <v>99</v>
      </c>
      <c r="Z1375" s="102">
        <v>55208</v>
      </c>
      <c r="AA1375" s="468">
        <f>(Table6[[#This Row],[Paired WTG Generation for loss calculation]]/24)*Table6[[#This Row],[Breakdown Time]]</f>
        <v>613.42222222222313</v>
      </c>
      <c r="AB1375" s="102"/>
      <c r="AC1375" s="35"/>
      <c r="AD1375" s="35"/>
    </row>
    <row r="1376" spans="1:30">
      <c r="A1376" s="102">
        <f t="shared" si="22"/>
        <v>1375</v>
      </c>
      <c r="B1376" s="468">
        <f>YEAR(Table6[[#This Row],[Date]])+IF(MONTH(Table6[[#This Row],[Date]])&gt;=4,1,0)</f>
        <v>2026</v>
      </c>
      <c r="C1376" s="102">
        <f>YEAR(Table6[[#This Row],[Date]])</f>
        <v>2025</v>
      </c>
      <c r="D1376" s="102" t="s">
        <v>1992</v>
      </c>
      <c r="E1376" s="469">
        <f>Table6[[#This Row],[Date]]-DAY(Table6[[#This Row],[Date]])+1</f>
        <v>45809</v>
      </c>
      <c r="F1376" s="470">
        <v>45837</v>
      </c>
      <c r="G1376" s="35" t="s">
        <v>81</v>
      </c>
      <c r="H1376" s="35" t="str">
        <f>IFERROR(_xlfn.XLOOKUP(Table6[[#This Row],[Affected WTG]],'Basic Data'!$A:$A,'Basic Data'!$B:$B),"")</f>
        <v>TQGXIIPL</v>
      </c>
      <c r="I1376" s="35" t="str">
        <f>IFERROR(_xlfn.XLOOKUP(Table6[[#This Row],[Affected WTG]],'Basic Data'!$A:$A,'Basic Data'!$C:$C),"")</f>
        <v>GEDA</v>
      </c>
      <c r="J1376" s="471">
        <f>IFERROR(_xlfn.XLOOKUP(Table6[[#This Row],[Affected WTG]],'Basic Data'!$A:$A,'Basic Data'!$E:$E),"")</f>
        <v>3.846153846153845E-2</v>
      </c>
      <c r="K1376" s="102">
        <v>665</v>
      </c>
      <c r="L1376" s="35" t="str">
        <f>IFERROR(_xlfn.XLOOKUP(Table6[[#This Row],[Error Code]],'Basic Data'!$AA:$AA,'Basic Data'!$AB:$AB),"Incorrect Error Code")</f>
        <v>Pitch error</v>
      </c>
      <c r="M1376" s="35" t="s">
        <v>291</v>
      </c>
      <c r="N1376" s="475"/>
      <c r="O1376" s="476">
        <v>0.49166666666666664</v>
      </c>
      <c r="P1376" s="476">
        <v>0.49166666666666664</v>
      </c>
      <c r="Q1376" s="477">
        <v>0.49861111111111112</v>
      </c>
      <c r="R1376" s="472">
        <f>IF(Table6[[#This Row],[Work Start TimeStamp]]="","",(Table6[[#This Row],[Work Start TimeStamp]]-Table6[[#This Row],[Fault Start TimeStamp]])*24)</f>
        <v>0</v>
      </c>
      <c r="S1376" s="472">
        <f>(Table6[[#This Row],[Fault Clearance time]]-Table6[[#This Row],[Work Start TimeStamp]])*24</f>
        <v>0.16666666666666741</v>
      </c>
      <c r="T1376" s="472">
        <f>(Table6[[#This Row],[Fault Clearance time]]-Table6[[#This Row],[Fault Start TimeStamp]])*24</f>
        <v>0.16666666666666741</v>
      </c>
      <c r="U1376" s="35" t="s">
        <v>1924</v>
      </c>
      <c r="V1376" s="102" t="s">
        <v>293</v>
      </c>
      <c r="W1376" s="478">
        <f>IFERROR(Table6[[#This Row],[Breakdown Time]]*Table6[[#This Row],[Plant Equivalent Weightage]],"")</f>
        <v>6.4102564102564369E-3</v>
      </c>
      <c r="X1376" s="473" t="s">
        <v>290</v>
      </c>
      <c r="Y1376" s="474" t="s">
        <v>99</v>
      </c>
      <c r="Z1376" s="102">
        <v>55208</v>
      </c>
      <c r="AA1376" s="468">
        <f>(Table6[[#This Row],[Paired WTG Generation for loss calculation]]/24)*Table6[[#This Row],[Breakdown Time]]</f>
        <v>383.38888888889062</v>
      </c>
      <c r="AB1376" s="102"/>
      <c r="AC1376" s="35"/>
      <c r="AD1376" s="35"/>
    </row>
    <row r="1377" spans="1:30">
      <c r="A1377" s="102">
        <f t="shared" si="22"/>
        <v>1376</v>
      </c>
      <c r="B1377" s="468">
        <f>YEAR(Table6[[#This Row],[Date]])+IF(MONTH(Table6[[#This Row],[Date]])&gt;=4,1,0)</f>
        <v>2026</v>
      </c>
      <c r="C1377" s="102">
        <f>YEAR(Table6[[#This Row],[Date]])</f>
        <v>2025</v>
      </c>
      <c r="D1377" s="102" t="s">
        <v>1992</v>
      </c>
      <c r="E1377" s="469">
        <f>Table6[[#This Row],[Date]]-DAY(Table6[[#This Row],[Date]])+1</f>
        <v>45809</v>
      </c>
      <c r="F1377" s="470">
        <v>45837</v>
      </c>
      <c r="G1377" s="35" t="s">
        <v>81</v>
      </c>
      <c r="H1377" s="35" t="str">
        <f>IFERROR(_xlfn.XLOOKUP(Table6[[#This Row],[Affected WTG]],'Basic Data'!$A:$A,'Basic Data'!$B:$B),"")</f>
        <v>TQGXIIPL</v>
      </c>
      <c r="I1377" s="35" t="str">
        <f>IFERROR(_xlfn.XLOOKUP(Table6[[#This Row],[Affected WTG]],'Basic Data'!$A:$A,'Basic Data'!$C:$C),"")</f>
        <v>GEDA</v>
      </c>
      <c r="J1377" s="471">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291</v>
      </c>
      <c r="N1377" s="475"/>
      <c r="O1377" s="476">
        <v>0.58333333333333337</v>
      </c>
      <c r="P1377" s="476">
        <v>0.58333333333333337</v>
      </c>
      <c r="Q1377" s="477">
        <v>0.60069444444444442</v>
      </c>
      <c r="R1377" s="472">
        <f>IF(Table6[[#This Row],[Work Start TimeStamp]]="","",(Table6[[#This Row],[Work Start TimeStamp]]-Table6[[#This Row],[Fault Start TimeStamp]])*24)</f>
        <v>0</v>
      </c>
      <c r="S1377" s="472">
        <f>(Table6[[#This Row],[Fault Clearance time]]-Table6[[#This Row],[Work Start TimeStamp]])*24</f>
        <v>0.41666666666666519</v>
      </c>
      <c r="T1377" s="472">
        <f>(Table6[[#This Row],[Fault Clearance time]]-Table6[[#This Row],[Fault Start TimeStamp]])*24</f>
        <v>0.41666666666666519</v>
      </c>
      <c r="U1377" s="35" t="s">
        <v>1924</v>
      </c>
      <c r="V1377" s="102" t="s">
        <v>293</v>
      </c>
      <c r="W1377" s="478">
        <f>IFERROR(Table6[[#This Row],[Breakdown Time]]*Table6[[#This Row],[Plant Equivalent Weightage]],"")</f>
        <v>1.6025641025640965E-2</v>
      </c>
      <c r="X1377" s="473" t="s">
        <v>290</v>
      </c>
      <c r="Y1377" s="474" t="s">
        <v>99</v>
      </c>
      <c r="Z1377" s="102">
        <v>55208</v>
      </c>
      <c r="AA1377" s="468">
        <f>(Table6[[#This Row],[Paired WTG Generation for loss calculation]]/24)*Table6[[#This Row],[Breakdown Time]]</f>
        <v>958.47222222221887</v>
      </c>
      <c r="AB1377" s="102"/>
      <c r="AC1377" s="35"/>
      <c r="AD1377" s="35"/>
    </row>
    <row r="1378" spans="1:30">
      <c r="A1378" s="102">
        <f t="shared" si="22"/>
        <v>1377</v>
      </c>
      <c r="B1378" s="468">
        <f>YEAR(Table6[[#This Row],[Date]])+IF(MONTH(Table6[[#This Row],[Date]])&gt;=4,1,0)</f>
        <v>2026</v>
      </c>
      <c r="C1378" s="102">
        <f>YEAR(Table6[[#This Row],[Date]])</f>
        <v>2025</v>
      </c>
      <c r="D1378" s="102" t="s">
        <v>1992</v>
      </c>
      <c r="E1378" s="469">
        <f>Table6[[#This Row],[Date]]-DAY(Table6[[#This Row],[Date]])+1</f>
        <v>45809</v>
      </c>
      <c r="F1378" s="470">
        <v>45837</v>
      </c>
      <c r="G1378" s="35" t="s">
        <v>81</v>
      </c>
      <c r="H1378" s="35" t="str">
        <f>IFERROR(_xlfn.XLOOKUP(Table6[[#This Row],[Affected WTG]],'Basic Data'!$A:$A,'Basic Data'!$B:$B),"")</f>
        <v>TQGXIIPL</v>
      </c>
      <c r="I1378" s="35" t="str">
        <f>IFERROR(_xlfn.XLOOKUP(Table6[[#This Row],[Affected WTG]],'Basic Data'!$A:$A,'Basic Data'!$C:$C),"")</f>
        <v>GEDA</v>
      </c>
      <c r="J1378" s="471">
        <f>IFERROR(_xlfn.XLOOKUP(Table6[[#This Row],[Affected WTG]],'Basic Data'!$A:$A,'Basic Data'!$E:$E),"")</f>
        <v>3.846153846153845E-2</v>
      </c>
      <c r="K1378" s="102">
        <v>641</v>
      </c>
      <c r="L1378" s="35" t="str">
        <f>IFERROR(_xlfn.XLOOKUP(Table6[[#This Row],[Error Code]],'Basic Data'!$AA:$AA,'Basic Data'!$AB:$AB),"Incorrect Error Code")</f>
        <v>Sim.angle E enc. &lt;&gt; act.angle 1</v>
      </c>
      <c r="M1378" s="35" t="s">
        <v>291</v>
      </c>
      <c r="N1378" s="475"/>
      <c r="O1378" s="476">
        <v>0.78888888888888886</v>
      </c>
      <c r="P1378" s="476">
        <v>0.78888888888888886</v>
      </c>
      <c r="Q1378" s="477">
        <v>0.80208333333333337</v>
      </c>
      <c r="R1378" s="472">
        <f>IF(Table6[[#This Row],[Work Start TimeStamp]]="","",(Table6[[#This Row],[Work Start TimeStamp]]-Table6[[#This Row],[Fault Start TimeStamp]])*24)</f>
        <v>0</v>
      </c>
      <c r="S1378" s="472">
        <f>(Table6[[#This Row],[Fault Clearance time]]-Table6[[#This Row],[Work Start TimeStamp]])*24</f>
        <v>0.31666666666666821</v>
      </c>
      <c r="T1378" s="472">
        <f>(Table6[[#This Row],[Fault Clearance time]]-Table6[[#This Row],[Fault Start TimeStamp]])*24</f>
        <v>0.31666666666666821</v>
      </c>
      <c r="U1378" s="35" t="s">
        <v>1924</v>
      </c>
      <c r="V1378" s="102" t="s">
        <v>293</v>
      </c>
      <c r="W1378" s="478">
        <f>IFERROR(Table6[[#This Row],[Breakdown Time]]*Table6[[#This Row],[Plant Equivalent Weightage]],"")</f>
        <v>1.2179487179487235E-2</v>
      </c>
      <c r="X1378" s="473" t="s">
        <v>290</v>
      </c>
      <c r="Y1378" s="474" t="s">
        <v>99</v>
      </c>
      <c r="Z1378" s="102">
        <v>55208</v>
      </c>
      <c r="AA1378" s="468">
        <f>(Table6[[#This Row],[Paired WTG Generation for loss calculation]]/24)*Table6[[#This Row],[Breakdown Time]]</f>
        <v>728.43888888889251</v>
      </c>
      <c r="AB1378" s="102"/>
      <c r="AC1378" s="35"/>
      <c r="AD1378" s="35"/>
    </row>
    <row r="1379" spans="1:30">
      <c r="A1379" s="102">
        <f t="shared" si="22"/>
        <v>1378</v>
      </c>
      <c r="B1379" s="468">
        <f>YEAR(Table6[[#This Row],[Date]])+IF(MONTH(Table6[[#This Row],[Date]])&gt;=4,1,0)</f>
        <v>2026</v>
      </c>
      <c r="C1379" s="102">
        <f>YEAR(Table6[[#This Row],[Date]])</f>
        <v>2025</v>
      </c>
      <c r="D1379" s="102" t="s">
        <v>1992</v>
      </c>
      <c r="E1379" s="469">
        <f>Table6[[#This Row],[Date]]-DAY(Table6[[#This Row],[Date]])+1</f>
        <v>45809</v>
      </c>
      <c r="F1379" s="470">
        <v>45837</v>
      </c>
      <c r="G1379" s="35" t="s">
        <v>81</v>
      </c>
      <c r="H1379" s="35" t="str">
        <f>IFERROR(_xlfn.XLOOKUP(Table6[[#This Row],[Affected WTG]],'Basic Data'!$A:$A,'Basic Data'!$B:$B),"")</f>
        <v>TQGXIIPL</v>
      </c>
      <c r="I1379" s="35" t="str">
        <f>IFERROR(_xlfn.XLOOKUP(Table6[[#This Row],[Affected WTG]],'Basic Data'!$A:$A,'Basic Data'!$C:$C),"")</f>
        <v>GEDA</v>
      </c>
      <c r="J1379" s="471">
        <f>IFERROR(_xlfn.XLOOKUP(Table6[[#This Row],[Affected WTG]],'Basic Data'!$A:$A,'Basic Data'!$E:$E),"")</f>
        <v>3.846153846153845E-2</v>
      </c>
      <c r="K1379" s="102">
        <v>665</v>
      </c>
      <c r="L1379" s="35" t="str">
        <f>IFERROR(_xlfn.XLOOKUP(Table6[[#This Row],[Error Code]],'Basic Data'!$AA:$AA,'Basic Data'!$AB:$AB),"Incorrect Error Code")</f>
        <v>Pitch error</v>
      </c>
      <c r="M1379" s="35" t="s">
        <v>291</v>
      </c>
      <c r="N1379" s="475"/>
      <c r="O1379" s="476">
        <v>0.81597222222222221</v>
      </c>
      <c r="P1379" s="476">
        <v>0.81597222222222221</v>
      </c>
      <c r="Q1379" s="477">
        <v>0.82916666666666672</v>
      </c>
      <c r="R1379" s="472">
        <f>IF(Table6[[#This Row],[Work Start TimeStamp]]="","",(Table6[[#This Row],[Work Start TimeStamp]]-Table6[[#This Row],[Fault Start TimeStamp]])*24)</f>
        <v>0</v>
      </c>
      <c r="S1379" s="472">
        <f>(Table6[[#This Row],[Fault Clearance time]]-Table6[[#This Row],[Work Start TimeStamp]])*24</f>
        <v>0.31666666666666821</v>
      </c>
      <c r="T1379" s="472">
        <f>(Table6[[#This Row],[Fault Clearance time]]-Table6[[#This Row],[Fault Start TimeStamp]])*24</f>
        <v>0.31666666666666821</v>
      </c>
      <c r="U1379" s="35" t="s">
        <v>1924</v>
      </c>
      <c r="V1379" s="102" t="s">
        <v>293</v>
      </c>
      <c r="W1379" s="478">
        <f>IFERROR(Table6[[#This Row],[Breakdown Time]]*Table6[[#This Row],[Plant Equivalent Weightage]],"")</f>
        <v>1.2179487179487235E-2</v>
      </c>
      <c r="X1379" s="473" t="s">
        <v>290</v>
      </c>
      <c r="Y1379" s="474" t="s">
        <v>99</v>
      </c>
      <c r="Z1379" s="102">
        <v>55208</v>
      </c>
      <c r="AA1379" s="468">
        <f>(Table6[[#This Row],[Paired WTG Generation for loss calculation]]/24)*Table6[[#This Row],[Breakdown Time]]</f>
        <v>728.43888888889251</v>
      </c>
      <c r="AB1379" s="102"/>
      <c r="AC1379" s="35"/>
      <c r="AD1379" s="35"/>
    </row>
    <row r="1380" spans="1:30">
      <c r="A1380" s="102">
        <f t="shared" si="22"/>
        <v>1379</v>
      </c>
      <c r="B1380" s="468">
        <f>YEAR(Table6[[#This Row],[Date]])+IF(MONTH(Table6[[#This Row],[Date]])&gt;=4,1,0)</f>
        <v>2026</v>
      </c>
      <c r="C1380" s="102">
        <f>YEAR(Table6[[#This Row],[Date]])</f>
        <v>2025</v>
      </c>
      <c r="D1380" s="102" t="s">
        <v>1992</v>
      </c>
      <c r="E1380" s="469">
        <f>Table6[[#This Row],[Date]]-DAY(Table6[[#This Row],[Date]])+1</f>
        <v>45809</v>
      </c>
      <c r="F1380" s="470">
        <v>45837</v>
      </c>
      <c r="G1380" s="35" t="s">
        <v>82</v>
      </c>
      <c r="H1380" s="35" t="str">
        <f>IFERROR(_xlfn.XLOOKUP(Table6[[#This Row],[Affected WTG]],'Basic Data'!$A:$A,'Basic Data'!$B:$B),"")</f>
        <v>TQGXIIPL</v>
      </c>
      <c r="I1380" s="35" t="str">
        <f>IFERROR(_xlfn.XLOOKUP(Table6[[#This Row],[Affected WTG]],'Basic Data'!$A:$A,'Basic Data'!$C:$C),"")</f>
        <v>GEDA</v>
      </c>
      <c r="J1380" s="471">
        <f>IFERROR(_xlfn.XLOOKUP(Table6[[#This Row],[Affected WTG]],'Basic Data'!$A:$A,'Basic Data'!$E:$E),"")</f>
        <v>3.846153846153845E-2</v>
      </c>
      <c r="K1380" s="102">
        <v>4970</v>
      </c>
      <c r="L1380" s="35" t="str">
        <f>IFERROR(_xlfn.XLOOKUP(Table6[[#This Row],[Error Code]],'Basic Data'!$AA:$AA,'Basic Data'!$AB:$AB),"Incorrect Error Code")</f>
        <v>Tower oscillation XF</v>
      </c>
      <c r="M1380" s="35" t="s">
        <v>291</v>
      </c>
      <c r="N1380" s="475"/>
      <c r="O1380" s="476">
        <v>0.52430555555555558</v>
      </c>
      <c r="P1380" s="476">
        <v>0.52430555555555558</v>
      </c>
      <c r="Q1380" s="477">
        <v>0.53541666666666665</v>
      </c>
      <c r="R1380" s="472">
        <f>IF(Table6[[#This Row],[Work Start TimeStamp]]="","",(Table6[[#This Row],[Work Start TimeStamp]]-Table6[[#This Row],[Fault Start TimeStamp]])*24)</f>
        <v>0</v>
      </c>
      <c r="S1380" s="472">
        <f>(Table6[[#This Row],[Fault Clearance time]]-Table6[[#This Row],[Work Start TimeStamp]])*24</f>
        <v>0.26666666666666572</v>
      </c>
      <c r="T1380" s="472">
        <f>(Table6[[#This Row],[Fault Clearance time]]-Table6[[#This Row],[Fault Start TimeStamp]])*24</f>
        <v>0.26666666666666572</v>
      </c>
      <c r="U1380" s="35" t="s">
        <v>336</v>
      </c>
      <c r="V1380" s="102" t="s">
        <v>293</v>
      </c>
      <c r="W1380" s="478">
        <f>IFERROR(Table6[[#This Row],[Breakdown Time]]*Table6[[#This Row],[Plant Equivalent Weightage]],"")</f>
        <v>1.0256410256410217E-2</v>
      </c>
      <c r="X1380" s="473" t="s">
        <v>294</v>
      </c>
      <c r="Y1380" s="474" t="s">
        <v>76</v>
      </c>
      <c r="Z1380" s="102">
        <v>53336</v>
      </c>
      <c r="AA1380" s="468">
        <f>(Table6[[#This Row],[Paired WTG Generation for loss calculation]]/24)*Table6[[#This Row],[Breakdown Time]]</f>
        <v>592.6222222222201</v>
      </c>
      <c r="AB1380" s="102"/>
      <c r="AC1380" s="35"/>
      <c r="AD1380" s="35"/>
    </row>
    <row r="1381" spans="1:30">
      <c r="A1381" s="102">
        <f t="shared" si="22"/>
        <v>1380</v>
      </c>
      <c r="B1381" s="468">
        <f>YEAR(Table6[[#This Row],[Date]])+IF(MONTH(Table6[[#This Row],[Date]])&gt;=4,1,0)</f>
        <v>2026</v>
      </c>
      <c r="C1381" s="102">
        <f>YEAR(Table6[[#This Row],[Date]])</f>
        <v>2025</v>
      </c>
      <c r="D1381" s="102" t="s">
        <v>1992</v>
      </c>
      <c r="E1381" s="469">
        <f>Table6[[#This Row],[Date]]-DAY(Table6[[#This Row],[Date]])+1</f>
        <v>45809</v>
      </c>
      <c r="F1381" s="470">
        <v>45837</v>
      </c>
      <c r="G1381" s="35" t="s">
        <v>82</v>
      </c>
      <c r="H1381" s="35" t="str">
        <f>IFERROR(_xlfn.XLOOKUP(Table6[[#This Row],[Affected WTG]],'Basic Data'!$A:$A,'Basic Data'!$B:$B),"")</f>
        <v>TQGXIIPL</v>
      </c>
      <c r="I1381" s="35" t="str">
        <f>IFERROR(_xlfn.XLOOKUP(Table6[[#This Row],[Affected WTG]],'Basic Data'!$A:$A,'Basic Data'!$C:$C),"")</f>
        <v>GEDA</v>
      </c>
      <c r="J1381" s="471">
        <f>IFERROR(_xlfn.XLOOKUP(Table6[[#This Row],[Affected WTG]],'Basic Data'!$A:$A,'Basic Data'!$E:$E),"")</f>
        <v>3.846153846153845E-2</v>
      </c>
      <c r="K1381" s="102">
        <v>3110</v>
      </c>
      <c r="L1381" s="35" t="str">
        <f>IFERROR(_xlfn.XLOOKUP(Table6[[#This Row],[Error Code]],'Basic Data'!$AA:$AA,'Basic Data'!$AB:$AB),"Incorrect Error Code")</f>
        <v>Frequency converter error</v>
      </c>
      <c r="M1381" s="35" t="s">
        <v>291</v>
      </c>
      <c r="N1381" s="475"/>
      <c r="O1381" s="476">
        <v>0.53819444444444442</v>
      </c>
      <c r="P1381" s="476">
        <v>0.53819444444444442</v>
      </c>
      <c r="Q1381" s="477">
        <v>0.5395833333333333</v>
      </c>
      <c r="R1381" s="472">
        <f>IF(Table6[[#This Row],[Work Start TimeStamp]]="","",(Table6[[#This Row],[Work Start TimeStamp]]-Table6[[#This Row],[Fault Start TimeStamp]])*24)</f>
        <v>0</v>
      </c>
      <c r="S1381" s="472">
        <f>(Table6[[#This Row],[Fault Clearance time]]-Table6[[#This Row],[Work Start TimeStamp]])*24</f>
        <v>3.3333333333333215E-2</v>
      </c>
      <c r="T1381" s="472">
        <f>(Table6[[#This Row],[Fault Clearance time]]-Table6[[#This Row],[Fault Start TimeStamp]])*24</f>
        <v>3.3333333333333215E-2</v>
      </c>
      <c r="U1381" s="35" t="s">
        <v>1924</v>
      </c>
      <c r="V1381" s="102" t="s">
        <v>293</v>
      </c>
      <c r="W1381" s="478">
        <f>IFERROR(Table6[[#This Row],[Breakdown Time]]*Table6[[#This Row],[Plant Equivalent Weightage]],"")</f>
        <v>1.2820512820512771E-3</v>
      </c>
      <c r="X1381" s="473" t="s">
        <v>290</v>
      </c>
      <c r="Y1381" s="474" t="s">
        <v>76</v>
      </c>
      <c r="Z1381" s="102">
        <v>53336</v>
      </c>
      <c r="AA1381" s="468">
        <f>(Table6[[#This Row],[Paired WTG Generation for loss calculation]]/24)*Table6[[#This Row],[Breakdown Time]]</f>
        <v>74.077777777777513</v>
      </c>
      <c r="AB1381" s="102"/>
      <c r="AC1381" s="35"/>
      <c r="AD1381" s="35"/>
    </row>
    <row r="1382" spans="1:30">
      <c r="A1382" s="102">
        <f t="shared" si="22"/>
        <v>1381</v>
      </c>
      <c r="B1382" s="468">
        <f>YEAR(Table6[[#This Row],[Date]])+IF(MONTH(Table6[[#This Row],[Date]])&gt;=4,1,0)</f>
        <v>2026</v>
      </c>
      <c r="C1382" s="102">
        <f>YEAR(Table6[[#This Row],[Date]])</f>
        <v>2025</v>
      </c>
      <c r="D1382" s="102" t="s">
        <v>1992</v>
      </c>
      <c r="E1382" s="469">
        <f>Table6[[#This Row],[Date]]-DAY(Table6[[#This Row],[Date]])+1</f>
        <v>45809</v>
      </c>
      <c r="F1382" s="470">
        <v>45837</v>
      </c>
      <c r="G1382" s="35" t="s">
        <v>82</v>
      </c>
      <c r="H1382" s="35" t="str">
        <f>IFERROR(_xlfn.XLOOKUP(Table6[[#This Row],[Affected WTG]],'Basic Data'!$A:$A,'Basic Data'!$B:$B),"")</f>
        <v>TQGXIIPL</v>
      </c>
      <c r="I1382" s="35" t="str">
        <f>IFERROR(_xlfn.XLOOKUP(Table6[[#This Row],[Affected WTG]],'Basic Data'!$A:$A,'Basic Data'!$C:$C),"")</f>
        <v>GEDA</v>
      </c>
      <c r="J1382" s="471">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291</v>
      </c>
      <c r="N1382" s="475"/>
      <c r="O1382" s="476">
        <v>0.80486111111111114</v>
      </c>
      <c r="P1382" s="476">
        <v>0.80486111111111114</v>
      </c>
      <c r="Q1382" s="477">
        <v>0.81319444444444444</v>
      </c>
      <c r="R1382" s="472">
        <f>IF(Table6[[#This Row],[Work Start TimeStamp]]="","",(Table6[[#This Row],[Work Start TimeStamp]]-Table6[[#This Row],[Fault Start TimeStamp]])*24)</f>
        <v>0</v>
      </c>
      <c r="S1382" s="472">
        <f>(Table6[[#This Row],[Fault Clearance time]]-Table6[[#This Row],[Work Start TimeStamp]])*24</f>
        <v>0.19999999999999929</v>
      </c>
      <c r="T1382" s="472">
        <f>(Table6[[#This Row],[Fault Clearance time]]-Table6[[#This Row],[Fault Start TimeStamp]])*24</f>
        <v>0.19999999999999929</v>
      </c>
      <c r="U1382" s="35" t="s">
        <v>1924</v>
      </c>
      <c r="V1382" s="102" t="s">
        <v>293</v>
      </c>
      <c r="W1382" s="478">
        <f>IFERROR(Table6[[#This Row],[Breakdown Time]]*Table6[[#This Row],[Plant Equivalent Weightage]],"")</f>
        <v>7.6923076923076624E-3</v>
      </c>
      <c r="X1382" s="473" t="s">
        <v>290</v>
      </c>
      <c r="Y1382" s="474" t="s">
        <v>76</v>
      </c>
      <c r="Z1382" s="102">
        <v>53336</v>
      </c>
      <c r="AA1382" s="468">
        <f>(Table6[[#This Row],[Paired WTG Generation for loss calculation]]/24)*Table6[[#This Row],[Breakdown Time]]</f>
        <v>444.46666666666511</v>
      </c>
      <c r="AB1382" s="102"/>
      <c r="AC1382" s="35"/>
      <c r="AD1382" s="35"/>
    </row>
    <row r="1383" spans="1:30">
      <c r="A1383" s="102">
        <f t="shared" si="22"/>
        <v>1382</v>
      </c>
      <c r="B1383" s="468">
        <f>YEAR(Table6[[#This Row],[Date]])+IF(MONTH(Table6[[#This Row],[Date]])&gt;=4,1,0)</f>
        <v>2026</v>
      </c>
      <c r="C1383" s="102">
        <f>YEAR(Table6[[#This Row],[Date]])</f>
        <v>2025</v>
      </c>
      <c r="D1383" s="102" t="s">
        <v>1992</v>
      </c>
      <c r="E1383" s="469">
        <f>Table6[[#This Row],[Date]]-DAY(Table6[[#This Row],[Date]])+1</f>
        <v>45809</v>
      </c>
      <c r="F1383" s="470">
        <v>45837</v>
      </c>
      <c r="G1383" s="35" t="s">
        <v>82</v>
      </c>
      <c r="H1383" s="35" t="str">
        <f>IFERROR(_xlfn.XLOOKUP(Table6[[#This Row],[Affected WTG]],'Basic Data'!$A:$A,'Basic Data'!$B:$B),"")</f>
        <v>TQGXIIPL</v>
      </c>
      <c r="I1383" s="35" t="str">
        <f>IFERROR(_xlfn.XLOOKUP(Table6[[#This Row],[Affected WTG]],'Basic Data'!$A:$A,'Basic Data'!$C:$C),"")</f>
        <v>GEDA</v>
      </c>
      <c r="J1383" s="471">
        <f>IFERROR(_xlfn.XLOOKUP(Table6[[#This Row],[Affected WTG]],'Basic Data'!$A:$A,'Basic Data'!$E:$E),"")</f>
        <v>3.846153846153845E-2</v>
      </c>
      <c r="K1383" s="102">
        <v>551</v>
      </c>
      <c r="L1383" s="35" t="str">
        <f>IFERROR(_xlfn.XLOOKUP(Table6[[#This Row],[Error Code]],'Basic Data'!$AA:$AA,'Basic Data'!$AB:$AB),"Incorrect Error Code")</f>
        <v>Pitch motor current too high</v>
      </c>
      <c r="M1383" s="35" t="s">
        <v>291</v>
      </c>
      <c r="N1383" s="475"/>
      <c r="O1383" s="476">
        <v>0.875</v>
      </c>
      <c r="P1383" s="476">
        <v>0.91666666666666663</v>
      </c>
      <c r="Q1383" s="477">
        <v>0.99998842592592596</v>
      </c>
      <c r="R1383" s="472">
        <f>IF(Table6[[#This Row],[Work Start TimeStamp]]="","",(Table6[[#This Row],[Work Start TimeStamp]]-Table6[[#This Row],[Fault Start TimeStamp]])*24)</f>
        <v>0.99999999999999911</v>
      </c>
      <c r="S1383" s="472">
        <f>(Table6[[#This Row],[Fault Clearance time]]-Table6[[#This Row],[Work Start TimeStamp]])*24</f>
        <v>1.999722222222224</v>
      </c>
      <c r="T1383" s="472">
        <f>(Table6[[#This Row],[Fault Clearance time]]-Table6[[#This Row],[Fault Start TimeStamp]])*24</f>
        <v>2.9997222222222231</v>
      </c>
      <c r="U1383" s="35" t="s">
        <v>2022</v>
      </c>
      <c r="V1383" s="102" t="s">
        <v>289</v>
      </c>
      <c r="W1383" s="478">
        <f>IFERROR(Table6[[#This Row],[Breakdown Time]]*Table6[[#This Row],[Plant Equivalent Weightage]],"")</f>
        <v>0.11537393162393163</v>
      </c>
      <c r="X1383" s="473" t="s">
        <v>290</v>
      </c>
      <c r="Y1383" s="474" t="s">
        <v>76</v>
      </c>
      <c r="Z1383" s="102">
        <v>53336</v>
      </c>
      <c r="AA1383" s="468">
        <f>(Table6[[#This Row],[Paired WTG Generation for loss calculation]]/24)*Table6[[#This Row],[Breakdown Time]]</f>
        <v>6666.3826851851873</v>
      </c>
      <c r="AB1383" s="102"/>
      <c r="AC1383" s="35"/>
      <c r="AD1383" s="35"/>
    </row>
    <row r="1384" spans="1:30">
      <c r="A1384" s="102">
        <f t="shared" si="22"/>
        <v>1383</v>
      </c>
      <c r="B1384" s="468">
        <f>YEAR(Table6[[#This Row],[Date]])+IF(MONTH(Table6[[#This Row],[Date]])&gt;=4,1,0)</f>
        <v>2026</v>
      </c>
      <c r="C1384" s="102">
        <f>YEAR(Table6[[#This Row],[Date]])</f>
        <v>2025</v>
      </c>
      <c r="D1384" s="102" t="s">
        <v>1992</v>
      </c>
      <c r="E1384" s="469">
        <f>Table6[[#This Row],[Date]]-DAY(Table6[[#This Row],[Date]])+1</f>
        <v>45809</v>
      </c>
      <c r="F1384" s="470">
        <v>45837</v>
      </c>
      <c r="G1384" s="35" t="s">
        <v>83</v>
      </c>
      <c r="H1384" s="35" t="str">
        <f>IFERROR(_xlfn.XLOOKUP(Table6[[#This Row],[Affected WTG]],'Basic Data'!$A:$A,'Basic Data'!$B:$B),"")</f>
        <v>TQGXIIPL</v>
      </c>
      <c r="I1384" s="35" t="str">
        <f>IFERROR(_xlfn.XLOOKUP(Table6[[#This Row],[Affected WTG]],'Basic Data'!$A:$A,'Basic Data'!$C:$C),"")</f>
        <v>GEDA</v>
      </c>
      <c r="J1384" s="471">
        <f>IFERROR(_xlfn.XLOOKUP(Table6[[#This Row],[Affected WTG]],'Basic Data'!$A:$A,'Basic Data'!$E:$E),"")</f>
        <v>3.846153846153845E-2</v>
      </c>
      <c r="K1384" s="102">
        <v>3271</v>
      </c>
      <c r="L1384" s="35" t="str">
        <f>IFERROR(_xlfn.XLOOKUP(Table6[[#This Row],[Error Code]],'Basic Data'!$AA:$AA,'Basic Data'!$AB:$AB),"Incorrect Error Code")</f>
        <v>Converter torque monitor level 1</v>
      </c>
      <c r="M1384" s="35" t="s">
        <v>291</v>
      </c>
      <c r="N1384" s="475"/>
      <c r="O1384" s="476">
        <v>0.81388888888888888</v>
      </c>
      <c r="P1384" s="476">
        <v>0.81388888888888888</v>
      </c>
      <c r="Q1384" s="477">
        <v>0.81527777777777777</v>
      </c>
      <c r="R1384" s="472">
        <f>IF(Table6[[#This Row],[Work Start TimeStamp]]="","",(Table6[[#This Row],[Work Start TimeStamp]]-Table6[[#This Row],[Fault Start TimeStamp]])*24)</f>
        <v>0</v>
      </c>
      <c r="S1384" s="472">
        <f>(Table6[[#This Row],[Fault Clearance time]]-Table6[[#This Row],[Work Start TimeStamp]])*24</f>
        <v>3.3333333333333215E-2</v>
      </c>
      <c r="T1384" s="472">
        <f>(Table6[[#This Row],[Fault Clearance time]]-Table6[[#This Row],[Fault Start TimeStamp]])*24</f>
        <v>3.3333333333333215E-2</v>
      </c>
      <c r="U1384" s="35" t="s">
        <v>1924</v>
      </c>
      <c r="V1384" s="102" t="s">
        <v>293</v>
      </c>
      <c r="W1384" s="478">
        <f>IFERROR(Table6[[#This Row],[Breakdown Time]]*Table6[[#This Row],[Plant Equivalent Weightage]],"")</f>
        <v>1.2820512820512771E-3</v>
      </c>
      <c r="X1384" s="473" t="s">
        <v>290</v>
      </c>
      <c r="Y1384" s="474" t="s">
        <v>88</v>
      </c>
      <c r="Z1384" s="102">
        <v>56720</v>
      </c>
      <c r="AA1384" s="468">
        <f>(Table6[[#This Row],[Paired WTG Generation for loss calculation]]/24)*Table6[[#This Row],[Breakdown Time]]</f>
        <v>78.777777777777501</v>
      </c>
      <c r="AB1384" s="102"/>
      <c r="AC1384" s="35"/>
      <c r="AD1384" s="35"/>
    </row>
    <row r="1385" spans="1:30">
      <c r="A1385" s="102">
        <f t="shared" si="22"/>
        <v>1384</v>
      </c>
      <c r="B1385" s="468">
        <f>YEAR(Table6[[#This Row],[Date]])+IF(MONTH(Table6[[#This Row],[Date]])&gt;=4,1,0)</f>
        <v>2026</v>
      </c>
      <c r="C1385" s="102">
        <f>YEAR(Table6[[#This Row],[Date]])</f>
        <v>2025</v>
      </c>
      <c r="D1385" s="102" t="s">
        <v>1992</v>
      </c>
      <c r="E1385" s="469">
        <f>Table6[[#This Row],[Date]]-DAY(Table6[[#This Row],[Date]])+1</f>
        <v>45809</v>
      </c>
      <c r="F1385" s="470">
        <v>45837</v>
      </c>
      <c r="G1385" s="35" t="s">
        <v>85</v>
      </c>
      <c r="H1385" s="35" t="str">
        <f>IFERROR(_xlfn.XLOOKUP(Table6[[#This Row],[Affected WTG]],'Basic Data'!$A:$A,'Basic Data'!$B:$B),"")</f>
        <v>TQGXIIPL</v>
      </c>
      <c r="I1385" s="35" t="str">
        <f>IFERROR(_xlfn.XLOOKUP(Table6[[#This Row],[Affected WTG]],'Basic Data'!$A:$A,'Basic Data'!$C:$C),"")</f>
        <v>GEDA</v>
      </c>
      <c r="J1385" s="471">
        <f>IFERROR(_xlfn.XLOOKUP(Table6[[#This Row],[Affected WTG]],'Basic Data'!$A:$A,'Basic Data'!$E:$E),"")</f>
        <v>3.846153846153845E-2</v>
      </c>
      <c r="K1385" s="102">
        <v>55</v>
      </c>
      <c r="L1385" s="35" t="str">
        <f>IFERROR(_xlfn.XLOOKUP(Table6[[#This Row],[Error Code]],'Basic Data'!$AA:$AA,'Basic Data'!$AB:$AB),"Incorrect Error Code")</f>
        <v>WTG shut down</v>
      </c>
      <c r="M1385" s="35" t="s">
        <v>295</v>
      </c>
      <c r="N1385" s="475"/>
      <c r="O1385" s="476">
        <v>0</v>
      </c>
      <c r="P1385" s="476">
        <v>0</v>
      </c>
      <c r="Q1385" s="477">
        <v>0.99998842592592596</v>
      </c>
      <c r="R1385" s="472">
        <f>IF(Table6[[#This Row],[Work Start TimeStamp]]="","",(Table6[[#This Row],[Work Start TimeStamp]]-Table6[[#This Row],[Fault Start TimeStamp]])*24)</f>
        <v>0</v>
      </c>
      <c r="S1385" s="472">
        <f>(Table6[[#This Row],[Fault Clearance time]]-Table6[[#This Row],[Work Start TimeStamp]])*24</f>
        <v>23.999722222222225</v>
      </c>
      <c r="T1385" s="472">
        <f>(Table6[[#This Row],[Fault Clearance time]]-Table6[[#This Row],[Fault Start TimeStamp]])*24</f>
        <v>23.999722222222225</v>
      </c>
      <c r="U1385" s="35" t="s">
        <v>2023</v>
      </c>
      <c r="V1385" s="102" t="s">
        <v>289</v>
      </c>
      <c r="W1385" s="478">
        <f>IFERROR(Table6[[#This Row],[Breakdown Time]]*Table6[[#This Row],[Plant Equivalent Weightage]],"")</f>
        <v>0.9230662393162391</v>
      </c>
      <c r="X1385" s="473" t="s">
        <v>523</v>
      </c>
      <c r="Y1385" s="474" t="s">
        <v>87</v>
      </c>
      <c r="Z1385" s="102">
        <v>58023</v>
      </c>
      <c r="AA1385" s="468">
        <f>(Table6[[#This Row],[Paired WTG Generation for loss calculation]]/24)*Table6[[#This Row],[Breakdown Time]]</f>
        <v>58022.328437500008</v>
      </c>
      <c r="AB1385" s="102"/>
      <c r="AC1385" s="35"/>
      <c r="AD1385" s="35"/>
    </row>
    <row r="1386" spans="1:30">
      <c r="A1386" s="102">
        <f t="shared" si="22"/>
        <v>1385</v>
      </c>
      <c r="B1386" s="468">
        <f>YEAR(Table6[[#This Row],[Date]])+IF(MONTH(Table6[[#This Row],[Date]])&gt;=4,1,0)</f>
        <v>2026</v>
      </c>
      <c r="C1386" s="102">
        <f>YEAR(Table6[[#This Row],[Date]])</f>
        <v>2025</v>
      </c>
      <c r="D1386" s="102" t="s">
        <v>1992</v>
      </c>
      <c r="E1386" s="469">
        <f>Table6[[#This Row],[Date]]-DAY(Table6[[#This Row],[Date]])+1</f>
        <v>45809</v>
      </c>
      <c r="F1386" s="470">
        <v>45837</v>
      </c>
      <c r="G1386" s="35" t="s">
        <v>89</v>
      </c>
      <c r="H1386" s="35" t="str">
        <f>IFERROR(_xlfn.XLOOKUP(Table6[[#This Row],[Affected WTG]],'Basic Data'!$A:$A,'Basic Data'!$B:$B),"")</f>
        <v>TQGXIIPL</v>
      </c>
      <c r="I1386" s="35" t="str">
        <f>IFERROR(_xlfn.XLOOKUP(Table6[[#This Row],[Affected WTG]],'Basic Data'!$A:$A,'Basic Data'!$C:$C),"")</f>
        <v>GEDA</v>
      </c>
      <c r="J1386" s="471">
        <f>IFERROR(_xlfn.XLOOKUP(Table6[[#This Row],[Affected WTG]],'Basic Data'!$A:$A,'Basic Data'!$E:$E),"")</f>
        <v>3.846153846153845E-2</v>
      </c>
      <c r="K1386" s="102">
        <v>175</v>
      </c>
      <c r="L1386" s="35" t="str">
        <f>IFERROR(_xlfn.XLOOKUP(Table6[[#This Row],[Error Code]],'Basic Data'!$AA:$AA,'Basic Data'!$AB:$AB),"Incorrect Error Code")</f>
        <v>SLC error</v>
      </c>
      <c r="M1386" s="35" t="s">
        <v>291</v>
      </c>
      <c r="N1386" s="475"/>
      <c r="O1386" s="476">
        <v>4.1666666666666664E-2</v>
      </c>
      <c r="P1386" s="476">
        <v>4.1666666666666664E-2</v>
      </c>
      <c r="Q1386" s="477">
        <v>4.2361111111111113E-2</v>
      </c>
      <c r="R1386" s="472">
        <f>IF(Table6[[#This Row],[Work Start TimeStamp]]="","",(Table6[[#This Row],[Work Start TimeStamp]]-Table6[[#This Row],[Fault Start TimeStamp]])*24)</f>
        <v>0</v>
      </c>
      <c r="S1386" s="472">
        <f>(Table6[[#This Row],[Fault Clearance time]]-Table6[[#This Row],[Work Start TimeStamp]])*24</f>
        <v>1.6666666666666774E-2</v>
      </c>
      <c r="T1386" s="472">
        <f>(Table6[[#This Row],[Fault Clearance time]]-Table6[[#This Row],[Fault Start TimeStamp]])*24</f>
        <v>1.6666666666666774E-2</v>
      </c>
      <c r="U1386" s="35" t="s">
        <v>1924</v>
      </c>
      <c r="V1386" s="102" t="s">
        <v>293</v>
      </c>
      <c r="W1386" s="478">
        <f>IFERROR(Table6[[#This Row],[Breakdown Time]]*Table6[[#This Row],[Plant Equivalent Weightage]],"")</f>
        <v>6.4102564102564493E-4</v>
      </c>
      <c r="X1386" s="473" t="s">
        <v>290</v>
      </c>
      <c r="Y1386" s="474" t="s">
        <v>94</v>
      </c>
      <c r="Z1386" s="102">
        <v>62347</v>
      </c>
      <c r="AA1386" s="468">
        <f>(Table6[[#This Row],[Paired WTG Generation for loss calculation]]/24)*Table6[[#This Row],[Breakdown Time]]</f>
        <v>43.296527777778053</v>
      </c>
      <c r="AB1386" s="102"/>
      <c r="AC1386" s="35"/>
      <c r="AD1386" s="35"/>
    </row>
    <row r="1387" spans="1:30">
      <c r="A1387" s="102">
        <f t="shared" si="22"/>
        <v>1386</v>
      </c>
      <c r="B1387" s="468">
        <f>YEAR(Table6[[#This Row],[Date]])+IF(MONTH(Table6[[#This Row],[Date]])&gt;=4,1,0)</f>
        <v>2026</v>
      </c>
      <c r="C1387" s="102">
        <f>YEAR(Table6[[#This Row],[Date]])</f>
        <v>2025</v>
      </c>
      <c r="D1387" s="102" t="s">
        <v>1992</v>
      </c>
      <c r="E1387" s="469">
        <f>Table6[[#This Row],[Date]]-DAY(Table6[[#This Row],[Date]])+1</f>
        <v>45809</v>
      </c>
      <c r="F1387" s="470">
        <v>45837</v>
      </c>
      <c r="G1387" s="35" t="s">
        <v>90</v>
      </c>
      <c r="H1387" s="35" t="str">
        <f>IFERROR(_xlfn.XLOOKUP(Table6[[#This Row],[Affected WTG]],'Basic Data'!$A:$A,'Basic Data'!$B:$B),"")</f>
        <v>TQGXIIPL</v>
      </c>
      <c r="I1387" s="35" t="str">
        <f>IFERROR(_xlfn.XLOOKUP(Table6[[#This Row],[Affected WTG]],'Basic Data'!$A:$A,'Basic Data'!$C:$C),"")</f>
        <v>GEDA</v>
      </c>
      <c r="J1387" s="471">
        <f>IFERROR(_xlfn.XLOOKUP(Table6[[#This Row],[Affected WTG]],'Basic Data'!$A:$A,'Basic Data'!$E:$E),"")</f>
        <v>3.846153846153845E-2</v>
      </c>
      <c r="K1387" s="102">
        <v>3211</v>
      </c>
      <c r="L1387" s="35" t="str">
        <f>IFERROR(_xlfn.XLOOKUP(Table6[[#This Row],[Error Code]],'Basic Data'!$AA:$AA,'Basic Data'!$AB:$AB),"Incorrect Error Code")</f>
        <v>Conv. load shedding (CAN)</v>
      </c>
      <c r="M1387" s="35" t="s">
        <v>291</v>
      </c>
      <c r="N1387" s="475"/>
      <c r="O1387" s="476">
        <v>8.2638888888888887E-2</v>
      </c>
      <c r="P1387" s="476">
        <v>8.2638888888888887E-2</v>
      </c>
      <c r="Q1387" s="477">
        <v>8.4027777777777785E-2</v>
      </c>
      <c r="R1387" s="472">
        <f>IF(Table6[[#This Row],[Work Start TimeStamp]]="","",(Table6[[#This Row],[Work Start TimeStamp]]-Table6[[#This Row],[Fault Start TimeStamp]])*24)</f>
        <v>0</v>
      </c>
      <c r="S1387" s="472">
        <f>(Table6[[#This Row],[Fault Clearance time]]-Table6[[#This Row],[Work Start TimeStamp]])*24</f>
        <v>3.3333333333333548E-2</v>
      </c>
      <c r="T1387" s="472">
        <f>(Table6[[#This Row],[Fault Clearance time]]-Table6[[#This Row],[Fault Start TimeStamp]])*24</f>
        <v>3.3333333333333548E-2</v>
      </c>
      <c r="U1387" s="35" t="s">
        <v>1924</v>
      </c>
      <c r="V1387" s="102" t="s">
        <v>293</v>
      </c>
      <c r="W1387" s="478">
        <f>IFERROR(Table6[[#This Row],[Breakdown Time]]*Table6[[#This Row],[Plant Equivalent Weightage]],"")</f>
        <v>1.2820512820512899E-3</v>
      </c>
      <c r="X1387" s="473" t="s">
        <v>290</v>
      </c>
      <c r="Y1387" s="474" t="s">
        <v>95</v>
      </c>
      <c r="Z1387" s="102">
        <v>63422</v>
      </c>
      <c r="AA1387" s="468">
        <f>(Table6[[#This Row],[Paired WTG Generation for loss calculation]]/24)*Table6[[#This Row],[Breakdown Time]]</f>
        <v>88.086111111111677</v>
      </c>
      <c r="AB1387" s="102"/>
      <c r="AC1387" s="35"/>
      <c r="AD1387" s="35"/>
    </row>
    <row r="1388" spans="1:30">
      <c r="A1388" s="102">
        <f t="shared" si="22"/>
        <v>1387</v>
      </c>
      <c r="B1388" s="468">
        <f>YEAR(Table6[[#This Row],[Date]])+IF(MONTH(Table6[[#This Row],[Date]])&gt;=4,1,0)</f>
        <v>2026</v>
      </c>
      <c r="C1388" s="102">
        <f>YEAR(Table6[[#This Row],[Date]])</f>
        <v>2025</v>
      </c>
      <c r="D1388" s="102" t="s">
        <v>1992</v>
      </c>
      <c r="E1388" s="469">
        <f>Table6[[#This Row],[Date]]-DAY(Table6[[#This Row],[Date]])+1</f>
        <v>45809</v>
      </c>
      <c r="F1388" s="470">
        <v>45837</v>
      </c>
      <c r="G1388" s="35" t="s">
        <v>90</v>
      </c>
      <c r="H1388" s="35" t="str">
        <f>IFERROR(_xlfn.XLOOKUP(Table6[[#This Row],[Affected WTG]],'Basic Data'!$A:$A,'Basic Data'!$B:$B),"")</f>
        <v>TQGXIIPL</v>
      </c>
      <c r="I1388" s="35" t="str">
        <f>IFERROR(_xlfn.XLOOKUP(Table6[[#This Row],[Affected WTG]],'Basic Data'!$A:$A,'Basic Data'!$C:$C),"")</f>
        <v>GEDA</v>
      </c>
      <c r="J1388" s="471">
        <f>IFERROR(_xlfn.XLOOKUP(Table6[[#This Row],[Affected WTG]],'Basic Data'!$A:$A,'Basic Data'!$E:$E),"")</f>
        <v>3.846153846153845E-2</v>
      </c>
      <c r="K1388" s="102">
        <v>3211</v>
      </c>
      <c r="L1388" s="35" t="str">
        <f>IFERROR(_xlfn.XLOOKUP(Table6[[#This Row],[Error Code]],'Basic Data'!$AA:$AA,'Basic Data'!$AB:$AB),"Incorrect Error Code")</f>
        <v>Conv. load shedding (CAN)</v>
      </c>
      <c r="M1388" s="35" t="s">
        <v>291</v>
      </c>
      <c r="N1388" s="475"/>
      <c r="O1388" s="476">
        <v>0.10347222222222222</v>
      </c>
      <c r="P1388" s="476">
        <v>0.10347222222222222</v>
      </c>
      <c r="Q1388" s="477">
        <v>0.10555555555555556</v>
      </c>
      <c r="R1388" s="472">
        <f>IF(Table6[[#This Row],[Work Start TimeStamp]]="","",(Table6[[#This Row],[Work Start TimeStamp]]-Table6[[#This Row],[Fault Start TimeStamp]])*24)</f>
        <v>0</v>
      </c>
      <c r="S1388" s="472">
        <f>(Table6[[#This Row],[Fault Clearance time]]-Table6[[#This Row],[Work Start TimeStamp]])*24</f>
        <v>5.0000000000000155E-2</v>
      </c>
      <c r="T1388" s="472">
        <f>(Table6[[#This Row],[Fault Clearance time]]-Table6[[#This Row],[Fault Start TimeStamp]])*24</f>
        <v>5.0000000000000155E-2</v>
      </c>
      <c r="U1388" s="35" t="s">
        <v>1924</v>
      </c>
      <c r="V1388" s="102" t="s">
        <v>293</v>
      </c>
      <c r="W1388" s="478">
        <f>IFERROR(Table6[[#This Row],[Breakdown Time]]*Table6[[#This Row],[Plant Equivalent Weightage]],"")</f>
        <v>1.9230769230769284E-3</v>
      </c>
      <c r="X1388" s="473" t="s">
        <v>290</v>
      </c>
      <c r="Y1388" s="474" t="s">
        <v>95</v>
      </c>
      <c r="Z1388" s="102">
        <v>63422</v>
      </c>
      <c r="AA1388" s="468">
        <f>(Table6[[#This Row],[Paired WTG Generation for loss calculation]]/24)*Table6[[#This Row],[Breakdown Time]]</f>
        <v>132.12916666666709</v>
      </c>
      <c r="AB1388" s="102"/>
      <c r="AC1388" s="35"/>
      <c r="AD1388" s="35"/>
    </row>
    <row r="1389" spans="1:30">
      <c r="A1389" s="102">
        <f t="shared" si="22"/>
        <v>1388</v>
      </c>
      <c r="B1389" s="468">
        <f>YEAR(Table6[[#This Row],[Date]])+IF(MONTH(Table6[[#This Row],[Date]])&gt;=4,1,0)</f>
        <v>2026</v>
      </c>
      <c r="C1389" s="102">
        <f>YEAR(Table6[[#This Row],[Date]])</f>
        <v>2025</v>
      </c>
      <c r="D1389" s="102" t="s">
        <v>1992</v>
      </c>
      <c r="E1389" s="469">
        <f>Table6[[#This Row],[Date]]-DAY(Table6[[#This Row],[Date]])+1</f>
        <v>45809</v>
      </c>
      <c r="F1389" s="470">
        <v>45837</v>
      </c>
      <c r="G1389" s="35" t="s">
        <v>90</v>
      </c>
      <c r="H1389" s="35" t="str">
        <f>IFERROR(_xlfn.XLOOKUP(Table6[[#This Row],[Affected WTG]],'Basic Data'!$A:$A,'Basic Data'!$B:$B),"")</f>
        <v>TQGXIIPL</v>
      </c>
      <c r="I1389" s="35" t="str">
        <f>IFERROR(_xlfn.XLOOKUP(Table6[[#This Row],[Affected WTG]],'Basic Data'!$A:$A,'Basic Data'!$C:$C),"")</f>
        <v>GEDA</v>
      </c>
      <c r="J1389" s="471">
        <f>IFERROR(_xlfn.XLOOKUP(Table6[[#This Row],[Affected WTG]],'Basic Data'!$A:$A,'Basic Data'!$E:$E),"")</f>
        <v>3.846153846153845E-2</v>
      </c>
      <c r="K1389" s="102">
        <v>3211</v>
      </c>
      <c r="L1389" s="35" t="str">
        <f>IFERROR(_xlfn.XLOOKUP(Table6[[#This Row],[Error Code]],'Basic Data'!$AA:$AA,'Basic Data'!$AB:$AB),"Incorrect Error Code")</f>
        <v>Conv. load shedding (CAN)</v>
      </c>
      <c r="M1389" s="35" t="s">
        <v>291</v>
      </c>
      <c r="N1389" s="475"/>
      <c r="O1389" s="476">
        <v>0.22013888888888888</v>
      </c>
      <c r="P1389" s="476">
        <v>0.22013888888888888</v>
      </c>
      <c r="Q1389" s="477">
        <v>0.22152777777777777</v>
      </c>
      <c r="R1389" s="472">
        <f>IF(Table6[[#This Row],[Work Start TimeStamp]]="","",(Table6[[#This Row],[Work Start TimeStamp]]-Table6[[#This Row],[Fault Start TimeStamp]])*24)</f>
        <v>0</v>
      </c>
      <c r="S1389" s="472">
        <f>(Table6[[#This Row],[Fault Clearance time]]-Table6[[#This Row],[Work Start TimeStamp]])*24</f>
        <v>3.3333333333333215E-2</v>
      </c>
      <c r="T1389" s="472">
        <f>(Table6[[#This Row],[Fault Clearance time]]-Table6[[#This Row],[Fault Start TimeStamp]])*24</f>
        <v>3.3333333333333215E-2</v>
      </c>
      <c r="U1389" s="35" t="s">
        <v>1924</v>
      </c>
      <c r="V1389" s="102" t="s">
        <v>293</v>
      </c>
      <c r="W1389" s="478">
        <f>IFERROR(Table6[[#This Row],[Breakdown Time]]*Table6[[#This Row],[Plant Equivalent Weightage]],"")</f>
        <v>1.2820512820512771E-3</v>
      </c>
      <c r="X1389" s="473" t="s">
        <v>290</v>
      </c>
      <c r="Y1389" s="474" t="s">
        <v>95</v>
      </c>
      <c r="Z1389" s="102">
        <v>63422</v>
      </c>
      <c r="AA1389" s="468">
        <f>(Table6[[#This Row],[Paired WTG Generation for loss calculation]]/24)*Table6[[#This Row],[Breakdown Time]]</f>
        <v>88.08611111111081</v>
      </c>
      <c r="AB1389" s="102"/>
      <c r="AC1389" s="35"/>
      <c r="AD1389" s="35"/>
    </row>
    <row r="1390" spans="1:30">
      <c r="A1390" s="102">
        <f t="shared" si="22"/>
        <v>1389</v>
      </c>
      <c r="B1390" s="468">
        <f>YEAR(Table6[[#This Row],[Date]])+IF(MONTH(Table6[[#This Row],[Date]])&gt;=4,1,0)</f>
        <v>2026</v>
      </c>
      <c r="C1390" s="102">
        <f>YEAR(Table6[[#This Row],[Date]])</f>
        <v>2025</v>
      </c>
      <c r="D1390" s="102" t="s">
        <v>1992</v>
      </c>
      <c r="E1390" s="469">
        <f>Table6[[#This Row],[Date]]-DAY(Table6[[#This Row],[Date]])+1</f>
        <v>45809</v>
      </c>
      <c r="F1390" s="470">
        <v>45837</v>
      </c>
      <c r="G1390" s="35" t="s">
        <v>90</v>
      </c>
      <c r="H1390" s="35" t="str">
        <f>IFERROR(_xlfn.XLOOKUP(Table6[[#This Row],[Affected WTG]],'Basic Data'!$A:$A,'Basic Data'!$B:$B),"")</f>
        <v>TQGXIIPL</v>
      </c>
      <c r="I1390" s="35" t="str">
        <f>IFERROR(_xlfn.XLOOKUP(Table6[[#This Row],[Affected WTG]],'Basic Data'!$A:$A,'Basic Data'!$C:$C),"")</f>
        <v>GEDA</v>
      </c>
      <c r="J1390" s="471">
        <f>IFERROR(_xlfn.XLOOKUP(Table6[[#This Row],[Affected WTG]],'Basic Data'!$A:$A,'Basic Data'!$E:$E),"")</f>
        <v>3.846153846153845E-2</v>
      </c>
      <c r="K1390" s="102">
        <v>3211</v>
      </c>
      <c r="L1390" s="35" t="str">
        <f>IFERROR(_xlfn.XLOOKUP(Table6[[#This Row],[Error Code]],'Basic Data'!$AA:$AA,'Basic Data'!$AB:$AB),"Incorrect Error Code")</f>
        <v>Conv. load shedding (CAN)</v>
      </c>
      <c r="M1390" s="35" t="s">
        <v>291</v>
      </c>
      <c r="N1390" s="475"/>
      <c r="O1390" s="476">
        <v>0.24652777777777779</v>
      </c>
      <c r="P1390" s="476">
        <v>0.24652777777777779</v>
      </c>
      <c r="Q1390" s="477">
        <v>0.24930555555555556</v>
      </c>
      <c r="R1390" s="472">
        <f>IF(Table6[[#This Row],[Work Start TimeStamp]]="","",(Table6[[#This Row],[Work Start TimeStamp]]-Table6[[#This Row],[Fault Start TimeStamp]])*24)</f>
        <v>0</v>
      </c>
      <c r="S1390" s="472">
        <f>(Table6[[#This Row],[Fault Clearance time]]-Table6[[#This Row],[Work Start TimeStamp]])*24</f>
        <v>6.666666666666643E-2</v>
      </c>
      <c r="T1390" s="472">
        <f>(Table6[[#This Row],[Fault Clearance time]]-Table6[[#This Row],[Fault Start TimeStamp]])*24</f>
        <v>6.666666666666643E-2</v>
      </c>
      <c r="U1390" s="35" t="s">
        <v>1924</v>
      </c>
      <c r="V1390" s="102" t="s">
        <v>293</v>
      </c>
      <c r="W1390" s="478">
        <f>IFERROR(Table6[[#This Row],[Breakdown Time]]*Table6[[#This Row],[Plant Equivalent Weightage]],"")</f>
        <v>2.5641025641025541E-3</v>
      </c>
      <c r="X1390" s="473" t="s">
        <v>290</v>
      </c>
      <c r="Y1390" s="474" t="s">
        <v>95</v>
      </c>
      <c r="Z1390" s="102">
        <v>63422</v>
      </c>
      <c r="AA1390" s="468">
        <f>(Table6[[#This Row],[Paired WTG Generation for loss calculation]]/24)*Table6[[#This Row],[Breakdown Time]]</f>
        <v>176.17222222222162</v>
      </c>
      <c r="AB1390" s="102"/>
      <c r="AC1390" s="35"/>
      <c r="AD1390" s="35"/>
    </row>
    <row r="1391" spans="1:30">
      <c r="A1391" s="102">
        <f t="shared" si="22"/>
        <v>1390</v>
      </c>
      <c r="B1391" s="468">
        <f>YEAR(Table6[[#This Row],[Date]])+IF(MONTH(Table6[[#This Row],[Date]])&gt;=4,1,0)</f>
        <v>2026</v>
      </c>
      <c r="C1391" s="102">
        <f>YEAR(Table6[[#This Row],[Date]])</f>
        <v>2025</v>
      </c>
      <c r="D1391" s="102" t="s">
        <v>1992</v>
      </c>
      <c r="E1391" s="469">
        <f>Table6[[#This Row],[Date]]-DAY(Table6[[#This Row],[Date]])+1</f>
        <v>45809</v>
      </c>
      <c r="F1391" s="470">
        <v>45837</v>
      </c>
      <c r="G1391" s="35" t="s">
        <v>90</v>
      </c>
      <c r="H1391" s="35" t="str">
        <f>IFERROR(_xlfn.XLOOKUP(Table6[[#This Row],[Affected WTG]],'Basic Data'!$A:$A,'Basic Data'!$B:$B),"")</f>
        <v>TQGXIIPL</v>
      </c>
      <c r="I1391" s="35" t="str">
        <f>IFERROR(_xlfn.XLOOKUP(Table6[[#This Row],[Affected WTG]],'Basic Data'!$A:$A,'Basic Data'!$C:$C),"")</f>
        <v>GEDA</v>
      </c>
      <c r="J1391" s="471">
        <f>IFERROR(_xlfn.XLOOKUP(Table6[[#This Row],[Affected WTG]],'Basic Data'!$A:$A,'Basic Data'!$E:$E),"")</f>
        <v>3.846153846153845E-2</v>
      </c>
      <c r="K1391" s="102">
        <v>3211</v>
      </c>
      <c r="L1391" s="35" t="str">
        <f>IFERROR(_xlfn.XLOOKUP(Table6[[#This Row],[Error Code]],'Basic Data'!$AA:$AA,'Basic Data'!$AB:$AB),"Incorrect Error Code")</f>
        <v>Conv. load shedding (CAN)</v>
      </c>
      <c r="M1391" s="35" t="s">
        <v>291</v>
      </c>
      <c r="N1391" s="475"/>
      <c r="O1391" s="476">
        <v>0.26874999999999999</v>
      </c>
      <c r="P1391" s="476">
        <v>0.26874999999999999</v>
      </c>
      <c r="Q1391" s="477">
        <v>0.27152777777777776</v>
      </c>
      <c r="R1391" s="472">
        <f>IF(Table6[[#This Row],[Work Start TimeStamp]]="","",(Table6[[#This Row],[Work Start TimeStamp]]-Table6[[#This Row],[Fault Start TimeStamp]])*24)</f>
        <v>0</v>
      </c>
      <c r="S1391" s="472">
        <f>(Table6[[#This Row],[Fault Clearance time]]-Table6[[#This Row],[Work Start TimeStamp]])*24</f>
        <v>6.666666666666643E-2</v>
      </c>
      <c r="T1391" s="472">
        <f>(Table6[[#This Row],[Fault Clearance time]]-Table6[[#This Row],[Fault Start TimeStamp]])*24</f>
        <v>6.666666666666643E-2</v>
      </c>
      <c r="U1391" s="35" t="s">
        <v>1924</v>
      </c>
      <c r="V1391" s="102" t="s">
        <v>293</v>
      </c>
      <c r="W1391" s="478">
        <f>IFERROR(Table6[[#This Row],[Breakdown Time]]*Table6[[#This Row],[Plant Equivalent Weightage]],"")</f>
        <v>2.5641025641025541E-3</v>
      </c>
      <c r="X1391" s="473" t="s">
        <v>290</v>
      </c>
      <c r="Y1391" s="474" t="s">
        <v>95</v>
      </c>
      <c r="Z1391" s="102">
        <v>63422</v>
      </c>
      <c r="AA1391" s="468">
        <f>(Table6[[#This Row],[Paired WTG Generation for loss calculation]]/24)*Table6[[#This Row],[Breakdown Time]]</f>
        <v>176.17222222222162</v>
      </c>
      <c r="AB1391" s="102"/>
      <c r="AC1391" s="35"/>
      <c r="AD1391" s="35"/>
    </row>
    <row r="1392" spans="1:30">
      <c r="A1392" s="102">
        <f t="shared" si="22"/>
        <v>1391</v>
      </c>
      <c r="B1392" s="468">
        <f>YEAR(Table6[[#This Row],[Date]])+IF(MONTH(Table6[[#This Row],[Date]])&gt;=4,1,0)</f>
        <v>2026</v>
      </c>
      <c r="C1392" s="102">
        <f>YEAR(Table6[[#This Row],[Date]])</f>
        <v>2025</v>
      </c>
      <c r="D1392" s="102" t="s">
        <v>1992</v>
      </c>
      <c r="E1392" s="469">
        <f>Table6[[#This Row],[Date]]-DAY(Table6[[#This Row],[Date]])+1</f>
        <v>45809</v>
      </c>
      <c r="F1392" s="470">
        <v>45837</v>
      </c>
      <c r="G1392" s="35" t="s">
        <v>90</v>
      </c>
      <c r="H1392" s="35" t="str">
        <f>IFERROR(_xlfn.XLOOKUP(Table6[[#This Row],[Affected WTG]],'Basic Data'!$A:$A,'Basic Data'!$B:$B),"")</f>
        <v>TQGXIIPL</v>
      </c>
      <c r="I1392" s="35" t="str">
        <f>IFERROR(_xlfn.XLOOKUP(Table6[[#This Row],[Affected WTG]],'Basic Data'!$A:$A,'Basic Data'!$C:$C),"")</f>
        <v>GEDA</v>
      </c>
      <c r="J1392" s="471">
        <f>IFERROR(_xlfn.XLOOKUP(Table6[[#This Row],[Affected WTG]],'Basic Data'!$A:$A,'Basic Data'!$E:$E),"")</f>
        <v>3.846153846153845E-2</v>
      </c>
      <c r="K1392" s="102">
        <v>3211</v>
      </c>
      <c r="L1392" s="35" t="str">
        <f>IFERROR(_xlfn.XLOOKUP(Table6[[#This Row],[Error Code]],'Basic Data'!$AA:$AA,'Basic Data'!$AB:$AB),"Incorrect Error Code")</f>
        <v>Conv. load shedding (CAN)</v>
      </c>
      <c r="M1392" s="35" t="s">
        <v>291</v>
      </c>
      <c r="N1392" s="475"/>
      <c r="O1392" s="476">
        <v>0.84375</v>
      </c>
      <c r="P1392" s="476">
        <v>0.84375</v>
      </c>
      <c r="Q1392" s="477">
        <v>0.84930555555555554</v>
      </c>
      <c r="R1392" s="472">
        <f>IF(Table6[[#This Row],[Work Start TimeStamp]]="","",(Table6[[#This Row],[Work Start TimeStamp]]-Table6[[#This Row],[Fault Start TimeStamp]])*24)</f>
        <v>0</v>
      </c>
      <c r="S1392" s="472">
        <f>(Table6[[#This Row],[Fault Clearance time]]-Table6[[#This Row],[Work Start TimeStamp]])*24</f>
        <v>0.13333333333333286</v>
      </c>
      <c r="T1392" s="472">
        <f>(Table6[[#This Row],[Fault Clearance time]]-Table6[[#This Row],[Fault Start TimeStamp]])*24</f>
        <v>0.13333333333333286</v>
      </c>
      <c r="U1392" s="35" t="s">
        <v>1924</v>
      </c>
      <c r="V1392" s="102" t="s">
        <v>293</v>
      </c>
      <c r="W1392" s="478">
        <f>IFERROR(Table6[[#This Row],[Breakdown Time]]*Table6[[#This Row],[Plant Equivalent Weightage]],"")</f>
        <v>5.1282051282051083E-3</v>
      </c>
      <c r="X1392" s="473" t="s">
        <v>290</v>
      </c>
      <c r="Y1392" s="474" t="s">
        <v>95</v>
      </c>
      <c r="Z1392" s="102">
        <v>63422</v>
      </c>
      <c r="AA1392" s="468">
        <f>(Table6[[#This Row],[Paired WTG Generation for loss calculation]]/24)*Table6[[#This Row],[Breakdown Time]]</f>
        <v>352.34444444444324</v>
      </c>
      <c r="AB1392" s="102"/>
      <c r="AC1392" s="35"/>
      <c r="AD1392" s="35"/>
    </row>
    <row r="1393" spans="1:30">
      <c r="A1393" s="102">
        <f t="shared" si="22"/>
        <v>1392</v>
      </c>
      <c r="B1393" s="468">
        <f>YEAR(Table6[[#This Row],[Date]])+IF(MONTH(Table6[[#This Row],[Date]])&gt;=4,1,0)</f>
        <v>2026</v>
      </c>
      <c r="C1393" s="102">
        <f>YEAR(Table6[[#This Row],[Date]])</f>
        <v>2025</v>
      </c>
      <c r="D1393" s="102" t="s">
        <v>1992</v>
      </c>
      <c r="E1393" s="469">
        <f>Table6[[#This Row],[Date]]-DAY(Table6[[#This Row],[Date]])+1</f>
        <v>45809</v>
      </c>
      <c r="F1393" s="470">
        <v>45837</v>
      </c>
      <c r="G1393" s="35" t="s">
        <v>92</v>
      </c>
      <c r="H1393" s="35" t="str">
        <f>IFERROR(_xlfn.XLOOKUP(Table6[[#This Row],[Affected WTG]],'Basic Data'!$A:$A,'Basic Data'!$B:$B),"")</f>
        <v>TQGXIIPL</v>
      </c>
      <c r="I1393" s="35" t="str">
        <f>IFERROR(_xlfn.XLOOKUP(Table6[[#This Row],[Affected WTG]],'Basic Data'!$A:$A,'Basic Data'!$C:$C),"")</f>
        <v>GEDA</v>
      </c>
      <c r="J1393" s="471">
        <f>IFERROR(_xlfn.XLOOKUP(Table6[[#This Row],[Affected WTG]],'Basic Data'!$A:$A,'Basic Data'!$E:$E),"")</f>
        <v>3.846153846153845E-2</v>
      </c>
      <c r="K1393" s="102">
        <v>4540</v>
      </c>
      <c r="L1393" s="35" t="str">
        <f>IFERROR(_xlfn.XLOOKUP(Table6[[#This Row],[Error Code]],'Basic Data'!$AA:$AA,'Basic Data'!$AB:$AB),"Incorrect Error Code")</f>
        <v>Tower oscillation X level 2</v>
      </c>
      <c r="M1393" s="35" t="s">
        <v>291</v>
      </c>
      <c r="N1393" s="475"/>
      <c r="O1393" s="476">
        <v>0.52013888888888893</v>
      </c>
      <c r="P1393" s="476">
        <v>0.52013888888888893</v>
      </c>
      <c r="Q1393" s="477">
        <v>0.52569444444444446</v>
      </c>
      <c r="R1393" s="472">
        <f>IF(Table6[[#This Row],[Work Start TimeStamp]]="","",(Table6[[#This Row],[Work Start TimeStamp]]-Table6[[#This Row],[Fault Start TimeStamp]])*24)</f>
        <v>0</v>
      </c>
      <c r="S1393" s="472">
        <f>(Table6[[#This Row],[Fault Clearance time]]-Table6[[#This Row],[Work Start TimeStamp]])*24</f>
        <v>0.13333333333333286</v>
      </c>
      <c r="T1393" s="472">
        <f>(Table6[[#This Row],[Fault Clearance time]]-Table6[[#This Row],[Fault Start TimeStamp]])*24</f>
        <v>0.13333333333333286</v>
      </c>
      <c r="U1393" s="35" t="s">
        <v>1924</v>
      </c>
      <c r="V1393" s="102" t="s">
        <v>293</v>
      </c>
      <c r="W1393" s="478">
        <f>IFERROR(Table6[[#This Row],[Breakdown Time]]*Table6[[#This Row],[Plant Equivalent Weightage]],"")</f>
        <v>5.1282051282051083E-3</v>
      </c>
      <c r="X1393" s="473" t="s">
        <v>290</v>
      </c>
      <c r="Y1393" s="474" t="s">
        <v>80</v>
      </c>
      <c r="Z1393" s="102">
        <v>57606</v>
      </c>
      <c r="AA1393" s="468">
        <f>(Table6[[#This Row],[Paired WTG Generation for loss calculation]]/24)*Table6[[#This Row],[Breakdown Time]]</f>
        <v>320.03333333333222</v>
      </c>
      <c r="AB1393" s="102"/>
      <c r="AC1393" s="35"/>
      <c r="AD1393" s="35"/>
    </row>
    <row r="1394" spans="1:30">
      <c r="A1394" s="102">
        <f t="shared" si="22"/>
        <v>1393</v>
      </c>
      <c r="B1394" s="468">
        <f>YEAR(Table6[[#This Row],[Date]])+IF(MONTH(Table6[[#This Row],[Date]])&gt;=4,1,0)</f>
        <v>2026</v>
      </c>
      <c r="C1394" s="102">
        <f>YEAR(Table6[[#This Row],[Date]])</f>
        <v>2025</v>
      </c>
      <c r="D1394" s="102" t="s">
        <v>1992</v>
      </c>
      <c r="E1394" s="469">
        <f>Table6[[#This Row],[Date]]-DAY(Table6[[#This Row],[Date]])+1</f>
        <v>45809</v>
      </c>
      <c r="F1394" s="470">
        <v>45837</v>
      </c>
      <c r="G1394" s="35" t="s">
        <v>94</v>
      </c>
      <c r="H1394" s="35" t="str">
        <f>IFERROR(_xlfn.XLOOKUP(Table6[[#This Row],[Affected WTG]],'Basic Data'!$A:$A,'Basic Data'!$B:$B),"")</f>
        <v>TQGXIIPL</v>
      </c>
      <c r="I1394" s="35" t="str">
        <f>IFERROR(_xlfn.XLOOKUP(Table6[[#This Row],[Affected WTG]],'Basic Data'!$A:$A,'Basic Data'!$C:$C),"")</f>
        <v>GEDA</v>
      </c>
      <c r="J1394" s="471">
        <f>IFERROR(_xlfn.XLOOKUP(Table6[[#This Row],[Affected WTG]],'Basic Data'!$A:$A,'Basic Data'!$E:$E),"")</f>
        <v>3.846153846153845E-2</v>
      </c>
      <c r="K1394" s="102">
        <v>6130</v>
      </c>
      <c r="L1394" s="35" t="str">
        <f>IFERROR(_xlfn.XLOOKUP(Table6[[#This Row],[Error Code]],'Basic Data'!$AA:$AA,'Basic Data'!$AB:$AB),"Incorrect Error Code")</f>
        <v>Yaw speed high</v>
      </c>
      <c r="M1394" s="35" t="s">
        <v>291</v>
      </c>
      <c r="N1394" s="475"/>
      <c r="O1394" s="476">
        <v>0.88402777777777775</v>
      </c>
      <c r="P1394" s="476">
        <v>0.88402777777777775</v>
      </c>
      <c r="Q1394" s="477">
        <v>0.88472222222222219</v>
      </c>
      <c r="R1394" s="472">
        <f>IF(Table6[[#This Row],[Work Start TimeStamp]]="","",(Table6[[#This Row],[Work Start TimeStamp]]-Table6[[#This Row],[Fault Start TimeStamp]])*24)</f>
        <v>0</v>
      </c>
      <c r="S1394" s="472">
        <f>(Table6[[#This Row],[Fault Clearance time]]-Table6[[#This Row],[Work Start TimeStamp]])*24</f>
        <v>1.6666666666666607E-2</v>
      </c>
      <c r="T1394" s="472">
        <f>(Table6[[#This Row],[Fault Clearance time]]-Table6[[#This Row],[Fault Start TimeStamp]])*24</f>
        <v>1.6666666666666607E-2</v>
      </c>
      <c r="U1394" s="35" t="s">
        <v>336</v>
      </c>
      <c r="V1394" s="102" t="s">
        <v>293</v>
      </c>
      <c r="W1394" s="478">
        <f>IFERROR(Table6[[#This Row],[Breakdown Time]]*Table6[[#This Row],[Plant Equivalent Weightage]],"")</f>
        <v>6.4102564102563853E-4</v>
      </c>
      <c r="X1394" s="473" t="s">
        <v>294</v>
      </c>
      <c r="Y1394" s="474" t="s">
        <v>79</v>
      </c>
      <c r="Z1394" s="102">
        <v>62725</v>
      </c>
      <c r="AA1394" s="468">
        <f>(Table6[[#This Row],[Paired WTG Generation for loss calculation]]/24)*Table6[[#This Row],[Breakdown Time]]</f>
        <v>43.559027777777622</v>
      </c>
      <c r="AB1394" s="102"/>
      <c r="AC1394" s="35"/>
      <c r="AD1394" s="35"/>
    </row>
    <row r="1395" spans="1:30">
      <c r="A1395" s="102">
        <f t="shared" si="22"/>
        <v>1394</v>
      </c>
      <c r="B1395" s="468">
        <f>YEAR(Table6[[#This Row],[Date]])+IF(MONTH(Table6[[#This Row],[Date]])&gt;=4,1,0)</f>
        <v>2026</v>
      </c>
      <c r="C1395" s="102">
        <f>YEAR(Table6[[#This Row],[Date]])</f>
        <v>2025</v>
      </c>
      <c r="D1395" s="102" t="s">
        <v>1992</v>
      </c>
      <c r="E1395" s="469">
        <f>Table6[[#This Row],[Date]]-DAY(Table6[[#This Row],[Date]])+1</f>
        <v>45809</v>
      </c>
      <c r="F1395" s="470">
        <v>45837</v>
      </c>
      <c r="G1395" s="35" t="s">
        <v>96</v>
      </c>
      <c r="H1395" s="35" t="str">
        <f>IFERROR(_xlfn.XLOOKUP(Table6[[#This Row],[Affected WTG]],'Basic Data'!$A:$A,'Basic Data'!$B:$B),"")</f>
        <v>TQGXIIPL</v>
      </c>
      <c r="I1395" s="35" t="str">
        <f>IFERROR(_xlfn.XLOOKUP(Table6[[#This Row],[Affected WTG]],'Basic Data'!$A:$A,'Basic Data'!$C:$C),"")</f>
        <v>GEDA</v>
      </c>
      <c r="J1395" s="471">
        <f>IFERROR(_xlfn.XLOOKUP(Table6[[#This Row],[Affected WTG]],'Basic Data'!$A:$A,'Basic Data'!$E:$E),"")</f>
        <v>3.846153846153845E-2</v>
      </c>
      <c r="K1395" s="102">
        <v>1732</v>
      </c>
      <c r="L1395" s="35" t="str">
        <f>IFERROR(_xlfn.XLOOKUP(Table6[[#This Row],[Error Code]],'Basic Data'!$AA:$AA,'Basic Data'!$AB:$AB),"Incorrect Error Code")</f>
        <v>Max. oil temperature gearbox input</v>
      </c>
      <c r="M1395" s="35" t="s">
        <v>291</v>
      </c>
      <c r="N1395" s="475"/>
      <c r="O1395" s="476">
        <v>0.81805555555555554</v>
      </c>
      <c r="P1395" s="476">
        <v>0.81805555555555554</v>
      </c>
      <c r="Q1395" s="477">
        <v>0.82986111111111116</v>
      </c>
      <c r="R1395" s="472">
        <f>IF(Table6[[#This Row],[Work Start TimeStamp]]="","",(Table6[[#This Row],[Work Start TimeStamp]]-Table6[[#This Row],[Fault Start TimeStamp]])*24)</f>
        <v>0</v>
      </c>
      <c r="S1395" s="472">
        <f>(Table6[[#This Row],[Fault Clearance time]]-Table6[[#This Row],[Work Start TimeStamp]])*24</f>
        <v>0.28333333333333499</v>
      </c>
      <c r="T1395" s="472">
        <f>(Table6[[#This Row],[Fault Clearance time]]-Table6[[#This Row],[Fault Start TimeStamp]])*24</f>
        <v>0.28333333333333499</v>
      </c>
      <c r="U1395" s="35" t="s">
        <v>2024</v>
      </c>
      <c r="V1395" s="102" t="s">
        <v>293</v>
      </c>
      <c r="W1395" s="478">
        <f>IFERROR(Table6[[#This Row],[Breakdown Time]]*Table6[[#This Row],[Plant Equivalent Weightage]],"")</f>
        <v>1.0897435897435958E-2</v>
      </c>
      <c r="X1395" s="473" t="s">
        <v>290</v>
      </c>
      <c r="Y1395" s="474" t="s">
        <v>84</v>
      </c>
      <c r="Z1395" s="102">
        <v>57284</v>
      </c>
      <c r="AA1395" s="468">
        <f>(Table6[[#This Row],[Paired WTG Generation for loss calculation]]/24)*Table6[[#This Row],[Breakdown Time]]</f>
        <v>676.26944444444848</v>
      </c>
      <c r="AB1395" s="102"/>
      <c r="AC1395" s="35"/>
      <c r="AD1395" s="35"/>
    </row>
    <row r="1396" spans="1:30">
      <c r="A1396" s="102">
        <f t="shared" si="22"/>
        <v>1395</v>
      </c>
      <c r="B1396" s="468">
        <f>YEAR(Table6[[#This Row],[Date]])+IF(MONTH(Table6[[#This Row],[Date]])&gt;=4,1,0)</f>
        <v>2026</v>
      </c>
      <c r="C1396" s="102">
        <f>YEAR(Table6[[#This Row],[Date]])</f>
        <v>2025</v>
      </c>
      <c r="D1396" s="102" t="s">
        <v>1992</v>
      </c>
      <c r="E1396" s="469">
        <f>Table6[[#This Row],[Date]]-DAY(Table6[[#This Row],[Date]])+1</f>
        <v>45809</v>
      </c>
      <c r="F1396" s="470">
        <v>45838</v>
      </c>
      <c r="G1396" s="35" t="s">
        <v>78</v>
      </c>
      <c r="H1396" s="35" t="str">
        <f>IFERROR(_xlfn.XLOOKUP(Table6[[#This Row],[Affected WTG]],'Basic Data'!$A:$A,'Basic Data'!$B:$B),"")</f>
        <v>TQGXIIPL</v>
      </c>
      <c r="I1396" s="35" t="str">
        <f>IFERROR(_xlfn.XLOOKUP(Table6[[#This Row],[Affected WTG]],'Basic Data'!$A:$A,'Basic Data'!$C:$C),"")</f>
        <v>GEDA</v>
      </c>
      <c r="J1396" s="471">
        <f>IFERROR(_xlfn.XLOOKUP(Table6[[#This Row],[Affected WTG]],'Basic Data'!$A:$A,'Basic Data'!$E:$E),"")</f>
        <v>3.846153846153845E-2</v>
      </c>
      <c r="K1396" s="102">
        <v>3211</v>
      </c>
      <c r="L1396" s="35" t="str">
        <f>IFERROR(_xlfn.XLOOKUP(Table6[[#This Row],[Error Code]],'Basic Data'!$AA:$AA,'Basic Data'!$AB:$AB),"Incorrect Error Code")</f>
        <v>Conv. load shedding (CAN)</v>
      </c>
      <c r="M1396" s="35" t="s">
        <v>291</v>
      </c>
      <c r="N1396" s="475"/>
      <c r="O1396" s="476">
        <v>0.55069444444444449</v>
      </c>
      <c r="P1396" s="476">
        <v>0.55069444444444449</v>
      </c>
      <c r="Q1396" s="477">
        <v>0.55694444444444446</v>
      </c>
      <c r="R1396" s="472">
        <f>IF(Table6[[#This Row],[Work Start TimeStamp]]="","",(Table6[[#This Row],[Work Start TimeStamp]]-Table6[[#This Row],[Fault Start TimeStamp]])*24)</f>
        <v>0</v>
      </c>
      <c r="S1396" s="472">
        <f>(Table6[[#This Row],[Fault Clearance time]]-Table6[[#This Row],[Work Start TimeStamp]])*24</f>
        <v>0.14999999999999947</v>
      </c>
      <c r="T1396" s="472">
        <f>(Table6[[#This Row],[Fault Clearance time]]-Table6[[#This Row],[Fault Start TimeStamp]])*24</f>
        <v>0.14999999999999947</v>
      </c>
      <c r="U1396" s="35" t="s">
        <v>1924</v>
      </c>
      <c r="V1396" s="102" t="s">
        <v>293</v>
      </c>
      <c r="W1396" s="478">
        <f>IFERROR(Table6[[#This Row],[Breakdown Time]]*Table6[[#This Row],[Plant Equivalent Weightage]],"")</f>
        <v>5.769230769230747E-3</v>
      </c>
      <c r="X1396" s="473" t="s">
        <v>290</v>
      </c>
      <c r="Y1396" s="474" t="s">
        <v>333</v>
      </c>
      <c r="Z1396" s="102">
        <v>53878</v>
      </c>
      <c r="AA1396" s="468">
        <f>(Table6[[#This Row],[Paired WTG Generation for loss calculation]]/24)*Table6[[#This Row],[Breakdown Time]]</f>
        <v>336.73749999999876</v>
      </c>
      <c r="AB1396" s="102"/>
      <c r="AC1396" s="35"/>
      <c r="AD1396" s="35"/>
    </row>
    <row r="1397" spans="1:30">
      <c r="A1397" s="102">
        <f t="shared" si="22"/>
        <v>1396</v>
      </c>
      <c r="B1397" s="468">
        <f>YEAR(Table6[[#This Row],[Date]])+IF(MONTH(Table6[[#This Row],[Date]])&gt;=4,1,0)</f>
        <v>2026</v>
      </c>
      <c r="C1397" s="102">
        <f>YEAR(Table6[[#This Row],[Date]])</f>
        <v>2025</v>
      </c>
      <c r="D1397" s="102" t="s">
        <v>1992</v>
      </c>
      <c r="E1397" s="469">
        <f>Table6[[#This Row],[Date]]-DAY(Table6[[#This Row],[Date]])+1</f>
        <v>45809</v>
      </c>
      <c r="F1397" s="470">
        <v>45838</v>
      </c>
      <c r="G1397" s="35" t="s">
        <v>78</v>
      </c>
      <c r="H1397" s="35" t="str">
        <f>IFERROR(_xlfn.XLOOKUP(Table6[[#This Row],[Affected WTG]],'Basic Data'!$A:$A,'Basic Data'!$B:$B),"")</f>
        <v>TQGXIIPL</v>
      </c>
      <c r="I1397" s="35" t="str">
        <f>IFERROR(_xlfn.XLOOKUP(Table6[[#This Row],[Affected WTG]],'Basic Data'!$A:$A,'Basic Data'!$C:$C),"")</f>
        <v>GEDA</v>
      </c>
      <c r="J1397" s="471">
        <f>IFERROR(_xlfn.XLOOKUP(Table6[[#This Row],[Affected WTG]],'Basic Data'!$A:$A,'Basic Data'!$E:$E),"")</f>
        <v>3.846153846153845E-2</v>
      </c>
      <c r="K1397" s="102">
        <v>305</v>
      </c>
      <c r="L1397" s="35" t="str">
        <f>IFERROR(_xlfn.XLOOKUP(Table6[[#This Row],[Error Code]],'Basic Data'!$AA:$AA,'Basic Data'!$AB:$AB),"Incorrect Error Code")</f>
        <v>Brake control</v>
      </c>
      <c r="M1397" s="35" t="s">
        <v>292</v>
      </c>
      <c r="N1397" s="475"/>
      <c r="O1397" s="476">
        <v>0.55763888888888891</v>
      </c>
      <c r="P1397" s="476">
        <v>0.55763888888888891</v>
      </c>
      <c r="Q1397" s="477">
        <v>0.55833333333333335</v>
      </c>
      <c r="R1397" s="472">
        <f>IF(Table6[[#This Row],[Work Start TimeStamp]]="","",(Table6[[#This Row],[Work Start TimeStamp]]-Table6[[#This Row],[Fault Start TimeStamp]])*24)</f>
        <v>0</v>
      </c>
      <c r="S1397" s="472">
        <f>(Table6[[#This Row],[Fault Clearance time]]-Table6[[#This Row],[Work Start TimeStamp]])*24</f>
        <v>1.6666666666666607E-2</v>
      </c>
      <c r="T1397" s="472">
        <f>(Table6[[#This Row],[Fault Clearance time]]-Table6[[#This Row],[Fault Start TimeStamp]])*24</f>
        <v>1.6666666666666607E-2</v>
      </c>
      <c r="U1397" s="35" t="s">
        <v>336</v>
      </c>
      <c r="V1397" s="102" t="s">
        <v>293</v>
      </c>
      <c r="W1397" s="478">
        <f>IFERROR(Table6[[#This Row],[Breakdown Time]]*Table6[[#This Row],[Plant Equivalent Weightage]],"")</f>
        <v>6.4102564102563853E-4</v>
      </c>
      <c r="X1397" s="473" t="s">
        <v>294</v>
      </c>
      <c r="Y1397" s="474" t="s">
        <v>333</v>
      </c>
      <c r="Z1397" s="102">
        <v>53878</v>
      </c>
      <c r="AA1397" s="468">
        <f>(Table6[[#This Row],[Paired WTG Generation for loss calculation]]/24)*Table6[[#This Row],[Breakdown Time]]</f>
        <v>37.415277777777639</v>
      </c>
      <c r="AB1397" s="102"/>
      <c r="AC1397" s="35"/>
      <c r="AD1397" s="35"/>
    </row>
    <row r="1398" spans="1:30">
      <c r="A1398" s="102">
        <f t="shared" si="22"/>
        <v>1397</v>
      </c>
      <c r="B1398" s="468">
        <f>YEAR(Table6[[#This Row],[Date]])+IF(MONTH(Table6[[#This Row],[Date]])&gt;=4,1,0)</f>
        <v>2026</v>
      </c>
      <c r="C1398" s="102">
        <f>YEAR(Table6[[#This Row],[Date]])</f>
        <v>2025</v>
      </c>
      <c r="D1398" s="102" t="s">
        <v>1992</v>
      </c>
      <c r="E1398" s="469">
        <f>Table6[[#This Row],[Date]]-DAY(Table6[[#This Row],[Date]])+1</f>
        <v>45809</v>
      </c>
      <c r="F1398" s="470">
        <v>45838</v>
      </c>
      <c r="G1398" s="35" t="s">
        <v>78</v>
      </c>
      <c r="H1398" s="35" t="str">
        <f>IFERROR(_xlfn.XLOOKUP(Table6[[#This Row],[Affected WTG]],'Basic Data'!$A:$A,'Basic Data'!$B:$B),"")</f>
        <v>TQGXIIPL</v>
      </c>
      <c r="I1398" s="35" t="str">
        <f>IFERROR(_xlfn.XLOOKUP(Table6[[#This Row],[Affected WTG]],'Basic Data'!$A:$A,'Basic Data'!$C:$C),"")</f>
        <v>GEDA</v>
      </c>
      <c r="J1398" s="471">
        <f>IFERROR(_xlfn.XLOOKUP(Table6[[#This Row],[Affected WTG]],'Basic Data'!$A:$A,'Basic Data'!$E:$E),"")</f>
        <v>3.846153846153845E-2</v>
      </c>
      <c r="K1398" s="102">
        <v>6130</v>
      </c>
      <c r="L1398" s="35" t="str">
        <f>IFERROR(_xlfn.XLOOKUP(Table6[[#This Row],[Error Code]],'Basic Data'!$AA:$AA,'Basic Data'!$AB:$AB),"Incorrect Error Code")</f>
        <v>Yaw speed high</v>
      </c>
      <c r="M1398" s="35" t="s">
        <v>292</v>
      </c>
      <c r="N1398" s="475"/>
      <c r="O1398" s="476">
        <v>0.56458333333333333</v>
      </c>
      <c r="P1398" s="476">
        <v>0.56458333333333333</v>
      </c>
      <c r="Q1398" s="477">
        <v>0.56874999999999998</v>
      </c>
      <c r="R1398" s="472">
        <f>IF(Table6[[#This Row],[Work Start TimeStamp]]="","",(Table6[[#This Row],[Work Start TimeStamp]]-Table6[[#This Row],[Fault Start TimeStamp]])*24)</f>
        <v>0</v>
      </c>
      <c r="S1398" s="472">
        <f>(Table6[[#This Row],[Fault Clearance time]]-Table6[[#This Row],[Work Start TimeStamp]])*24</f>
        <v>9.9999999999999645E-2</v>
      </c>
      <c r="T1398" s="472">
        <f>(Table6[[#This Row],[Fault Clearance time]]-Table6[[#This Row],[Fault Start TimeStamp]])*24</f>
        <v>9.9999999999999645E-2</v>
      </c>
      <c r="U1398" s="35" t="s">
        <v>336</v>
      </c>
      <c r="V1398" s="102" t="s">
        <v>293</v>
      </c>
      <c r="W1398" s="478">
        <f>IFERROR(Table6[[#This Row],[Breakdown Time]]*Table6[[#This Row],[Plant Equivalent Weightage]],"")</f>
        <v>3.8461538461538312E-3</v>
      </c>
      <c r="X1398" s="473" t="s">
        <v>294</v>
      </c>
      <c r="Y1398" s="474" t="s">
        <v>333</v>
      </c>
      <c r="Z1398" s="102">
        <v>53878</v>
      </c>
      <c r="AA1398" s="468">
        <f>(Table6[[#This Row],[Paired WTG Generation for loss calculation]]/24)*Table6[[#This Row],[Breakdown Time]]</f>
        <v>224.49166666666585</v>
      </c>
      <c r="AB1398" s="102"/>
      <c r="AC1398" s="35"/>
      <c r="AD1398" s="35"/>
    </row>
    <row r="1399" spans="1:30">
      <c r="A1399" s="102">
        <f t="shared" si="22"/>
        <v>1398</v>
      </c>
      <c r="B1399" s="468">
        <f>YEAR(Table6[[#This Row],[Date]])+IF(MONTH(Table6[[#This Row],[Date]])&gt;=4,1,0)</f>
        <v>2026</v>
      </c>
      <c r="C1399" s="102">
        <f>YEAR(Table6[[#This Row],[Date]])</f>
        <v>2025</v>
      </c>
      <c r="D1399" s="102" t="s">
        <v>1992</v>
      </c>
      <c r="E1399" s="469">
        <f>Table6[[#This Row],[Date]]-DAY(Table6[[#This Row],[Date]])+1</f>
        <v>45809</v>
      </c>
      <c r="F1399" s="470">
        <v>45838</v>
      </c>
      <c r="G1399" s="35" t="s">
        <v>78</v>
      </c>
      <c r="H1399" s="35" t="str">
        <f>IFERROR(_xlfn.XLOOKUP(Table6[[#This Row],[Affected WTG]],'Basic Data'!$A:$A,'Basic Data'!$B:$B),"")</f>
        <v>TQGXIIPL</v>
      </c>
      <c r="I1399" s="35" t="str">
        <f>IFERROR(_xlfn.XLOOKUP(Table6[[#This Row],[Affected WTG]],'Basic Data'!$A:$A,'Basic Data'!$C:$C),"")</f>
        <v>GEDA</v>
      </c>
      <c r="J1399" s="471">
        <f>IFERROR(_xlfn.XLOOKUP(Table6[[#This Row],[Affected WTG]],'Basic Data'!$A:$A,'Basic Data'!$E:$E),"")</f>
        <v>3.846153846153845E-2</v>
      </c>
      <c r="K1399" s="102">
        <v>55</v>
      </c>
      <c r="L1399" s="35" t="str">
        <f>IFERROR(_xlfn.XLOOKUP(Table6[[#This Row],[Error Code]],'Basic Data'!$AA:$AA,'Basic Data'!$AB:$AB),"Incorrect Error Code")</f>
        <v>WTG shut down</v>
      </c>
      <c r="M1399" s="35" t="s">
        <v>1956</v>
      </c>
      <c r="N1399" s="475"/>
      <c r="O1399" s="476">
        <v>0.63472222222222219</v>
      </c>
      <c r="P1399" s="476">
        <v>0.63472222222222219</v>
      </c>
      <c r="Q1399" s="477">
        <v>0.64375000000000004</v>
      </c>
      <c r="R1399" s="472">
        <f>IF(Table6[[#This Row],[Work Start TimeStamp]]="","",(Table6[[#This Row],[Work Start TimeStamp]]-Table6[[#This Row],[Fault Start TimeStamp]])*24)</f>
        <v>0</v>
      </c>
      <c r="S1399" s="472">
        <f>(Table6[[#This Row],[Fault Clearance time]]-Table6[[#This Row],[Work Start TimeStamp]])*24</f>
        <v>0.21666666666666856</v>
      </c>
      <c r="T1399" s="472">
        <f>(Table6[[#This Row],[Fault Clearance time]]-Table6[[#This Row],[Fault Start TimeStamp]])*24</f>
        <v>0.21666666666666856</v>
      </c>
      <c r="U1399" s="35" t="s">
        <v>2025</v>
      </c>
      <c r="V1399" s="102" t="s">
        <v>293</v>
      </c>
      <c r="W1399" s="478">
        <f>IFERROR(Table6[[#This Row],[Breakdown Time]]*Table6[[#This Row],[Plant Equivalent Weightage]],"")</f>
        <v>8.3333333333334043E-3</v>
      </c>
      <c r="X1399" s="473" t="s">
        <v>290</v>
      </c>
      <c r="Y1399" s="474" t="s">
        <v>333</v>
      </c>
      <c r="Z1399" s="102">
        <v>53878</v>
      </c>
      <c r="AA1399" s="468">
        <f>(Table6[[#This Row],[Paired WTG Generation for loss calculation]]/24)*Table6[[#This Row],[Breakdown Time]]</f>
        <v>486.39861111111531</v>
      </c>
      <c r="AB1399" s="102"/>
      <c r="AC1399" s="35"/>
      <c r="AD1399" s="35"/>
    </row>
    <row r="1400" spans="1:30">
      <c r="A1400" s="102">
        <f t="shared" si="22"/>
        <v>1399</v>
      </c>
      <c r="B1400" s="468">
        <f>YEAR(Table6[[#This Row],[Date]])+IF(MONTH(Table6[[#This Row],[Date]])&gt;=4,1,0)</f>
        <v>2026</v>
      </c>
      <c r="C1400" s="102">
        <f>YEAR(Table6[[#This Row],[Date]])</f>
        <v>2025</v>
      </c>
      <c r="D1400" s="102" t="s">
        <v>1992</v>
      </c>
      <c r="E1400" s="469">
        <f>Table6[[#This Row],[Date]]-DAY(Table6[[#This Row],[Date]])+1</f>
        <v>45809</v>
      </c>
      <c r="F1400" s="470">
        <v>45838</v>
      </c>
      <c r="G1400" s="35" t="s">
        <v>78</v>
      </c>
      <c r="H1400" s="35" t="str">
        <f>IFERROR(_xlfn.XLOOKUP(Table6[[#This Row],[Affected WTG]],'Basic Data'!$A:$A,'Basic Data'!$B:$B),"")</f>
        <v>TQGXIIPL</v>
      </c>
      <c r="I1400" s="35" t="str">
        <f>IFERROR(_xlfn.XLOOKUP(Table6[[#This Row],[Affected WTG]],'Basic Data'!$A:$A,'Basic Data'!$C:$C),"")</f>
        <v>GEDA</v>
      </c>
      <c r="J1400" s="471">
        <f>IFERROR(_xlfn.XLOOKUP(Table6[[#This Row],[Affected WTG]],'Basic Data'!$A:$A,'Basic Data'!$E:$E),"")</f>
        <v>3.846153846153845E-2</v>
      </c>
      <c r="K1400" s="102">
        <v>3211</v>
      </c>
      <c r="L1400" s="35" t="str">
        <f>IFERROR(_xlfn.XLOOKUP(Table6[[#This Row],[Error Code]],'Basic Data'!$AA:$AA,'Basic Data'!$AB:$AB),"Incorrect Error Code")</f>
        <v>Conv. load shedding (CAN)</v>
      </c>
      <c r="M1400" s="35" t="s">
        <v>291</v>
      </c>
      <c r="N1400" s="475"/>
      <c r="O1400" s="476">
        <v>0.71388888888888891</v>
      </c>
      <c r="P1400" s="476">
        <v>0.71388888888888891</v>
      </c>
      <c r="Q1400" s="477">
        <v>0.72152777777777777</v>
      </c>
      <c r="R1400" s="472">
        <f>IF(Table6[[#This Row],[Work Start TimeStamp]]="","",(Table6[[#This Row],[Work Start TimeStamp]]-Table6[[#This Row],[Fault Start TimeStamp]])*24)</f>
        <v>0</v>
      </c>
      <c r="S1400" s="472">
        <f>(Table6[[#This Row],[Fault Clearance time]]-Table6[[#This Row],[Work Start TimeStamp]])*24</f>
        <v>0.18333333333333268</v>
      </c>
      <c r="T1400" s="472">
        <f>(Table6[[#This Row],[Fault Clearance time]]-Table6[[#This Row],[Fault Start TimeStamp]])*24</f>
        <v>0.18333333333333268</v>
      </c>
      <c r="U1400" s="35" t="s">
        <v>1924</v>
      </c>
      <c r="V1400" s="102" t="s">
        <v>293</v>
      </c>
      <c r="W1400" s="478">
        <f>IFERROR(Table6[[#This Row],[Breakdown Time]]*Table6[[#This Row],[Plant Equivalent Weightage]],"")</f>
        <v>7.0512820512820245E-3</v>
      </c>
      <c r="X1400" s="473" t="s">
        <v>290</v>
      </c>
      <c r="Y1400" s="474" t="s">
        <v>333</v>
      </c>
      <c r="Z1400" s="102">
        <v>53878</v>
      </c>
      <c r="AA1400" s="468">
        <f>(Table6[[#This Row],[Paired WTG Generation for loss calculation]]/24)*Table6[[#This Row],[Breakdown Time]]</f>
        <v>411.56805555555405</v>
      </c>
      <c r="AB1400" s="102"/>
      <c r="AC1400" s="35"/>
      <c r="AD1400" s="35"/>
    </row>
    <row r="1401" spans="1:30">
      <c r="A1401" s="102">
        <f t="shared" si="22"/>
        <v>1400</v>
      </c>
      <c r="B1401" s="468">
        <f>YEAR(Table6[[#This Row],[Date]])+IF(MONTH(Table6[[#This Row],[Date]])&gt;=4,1,0)</f>
        <v>2026</v>
      </c>
      <c r="C1401" s="102">
        <f>YEAR(Table6[[#This Row],[Date]])</f>
        <v>2025</v>
      </c>
      <c r="D1401" s="102" t="s">
        <v>1992</v>
      </c>
      <c r="E1401" s="469">
        <f>Table6[[#This Row],[Date]]-DAY(Table6[[#This Row],[Date]])+1</f>
        <v>45809</v>
      </c>
      <c r="F1401" s="470">
        <v>45838</v>
      </c>
      <c r="G1401" s="35" t="s">
        <v>81</v>
      </c>
      <c r="H1401" s="35" t="str">
        <f>IFERROR(_xlfn.XLOOKUP(Table6[[#This Row],[Affected WTG]],'Basic Data'!$A:$A,'Basic Data'!$B:$B),"")</f>
        <v>TQGXIIPL</v>
      </c>
      <c r="I1401" s="35" t="str">
        <f>IFERROR(_xlfn.XLOOKUP(Table6[[#This Row],[Affected WTG]],'Basic Data'!$A:$A,'Basic Data'!$C:$C),"")</f>
        <v>GEDA</v>
      </c>
      <c r="J1401" s="471">
        <f>IFERROR(_xlfn.XLOOKUP(Table6[[#This Row],[Affected WTG]],'Basic Data'!$A:$A,'Basic Data'!$E:$E),"")</f>
        <v>3.846153846153845E-2</v>
      </c>
      <c r="K1401" s="102">
        <v>741</v>
      </c>
      <c r="L1401" s="35" t="str">
        <f>IFERROR(_xlfn.XLOOKUP(Table6[[#This Row],[Error Code]],'Basic Data'!$AA:$AA,'Basic Data'!$AB:$AB),"Incorrect Error Code")</f>
        <v>Battery drive trigger by HC</v>
      </c>
      <c r="M1401" s="35" t="s">
        <v>291</v>
      </c>
      <c r="N1401" s="475"/>
      <c r="O1401" s="476">
        <v>5.6250000000000001E-2</v>
      </c>
      <c r="P1401" s="476">
        <v>5.6250000000000001E-2</v>
      </c>
      <c r="Q1401" s="477">
        <v>6.458333333333334E-2</v>
      </c>
      <c r="R1401" s="472">
        <f>IF(Table6[[#This Row],[Work Start TimeStamp]]="","",(Table6[[#This Row],[Work Start TimeStamp]]-Table6[[#This Row],[Fault Start TimeStamp]])*24)</f>
        <v>0</v>
      </c>
      <c r="S1401" s="472">
        <f>(Table6[[#This Row],[Fault Clearance time]]-Table6[[#This Row],[Work Start TimeStamp]])*24</f>
        <v>0.20000000000000012</v>
      </c>
      <c r="T1401" s="472">
        <f>(Table6[[#This Row],[Fault Clearance time]]-Table6[[#This Row],[Fault Start TimeStamp]])*24</f>
        <v>0.20000000000000012</v>
      </c>
      <c r="U1401" s="35" t="s">
        <v>1924</v>
      </c>
      <c r="V1401" s="102" t="s">
        <v>293</v>
      </c>
      <c r="W1401" s="478">
        <f>IFERROR(Table6[[#This Row],[Breakdown Time]]*Table6[[#This Row],[Plant Equivalent Weightage]],"")</f>
        <v>7.6923076923076945E-3</v>
      </c>
      <c r="X1401" s="473" t="s">
        <v>290</v>
      </c>
      <c r="Y1401" s="474" t="s">
        <v>321</v>
      </c>
      <c r="Z1401" s="102">
        <v>53074</v>
      </c>
      <c r="AA1401" s="468">
        <f>(Table6[[#This Row],[Paired WTG Generation for loss calculation]]/24)*Table6[[#This Row],[Breakdown Time]]</f>
        <v>442.28333333333359</v>
      </c>
      <c r="AB1401" s="102"/>
      <c r="AC1401" s="35"/>
      <c r="AD1401" s="35"/>
    </row>
    <row r="1402" spans="1:30">
      <c r="A1402" s="102">
        <f t="shared" si="22"/>
        <v>1401</v>
      </c>
      <c r="B1402" s="468">
        <f>YEAR(Table6[[#This Row],[Date]])+IF(MONTH(Table6[[#This Row],[Date]])&gt;=4,1,0)</f>
        <v>2026</v>
      </c>
      <c r="C1402" s="102">
        <f>YEAR(Table6[[#This Row],[Date]])</f>
        <v>2025</v>
      </c>
      <c r="D1402" s="102" t="s">
        <v>1992</v>
      </c>
      <c r="E1402" s="469">
        <f>Table6[[#This Row],[Date]]-DAY(Table6[[#This Row],[Date]])+1</f>
        <v>45809</v>
      </c>
      <c r="F1402" s="470">
        <v>45838</v>
      </c>
      <c r="G1402" s="35" t="s">
        <v>81</v>
      </c>
      <c r="H1402" s="35" t="str">
        <f>IFERROR(_xlfn.XLOOKUP(Table6[[#This Row],[Affected WTG]],'Basic Data'!$A:$A,'Basic Data'!$B:$B),"")</f>
        <v>TQGXIIPL</v>
      </c>
      <c r="I1402" s="35" t="str">
        <f>IFERROR(_xlfn.XLOOKUP(Table6[[#This Row],[Affected WTG]],'Basic Data'!$A:$A,'Basic Data'!$C:$C),"")</f>
        <v>GEDA</v>
      </c>
      <c r="J1402" s="471">
        <f>IFERROR(_xlfn.XLOOKUP(Table6[[#This Row],[Affected WTG]],'Basic Data'!$A:$A,'Basic Data'!$E:$E),"")</f>
        <v>3.846153846153845E-2</v>
      </c>
      <c r="K1402" s="102">
        <v>641</v>
      </c>
      <c r="L1402" s="35" t="str">
        <f>IFERROR(_xlfn.XLOOKUP(Table6[[#This Row],[Error Code]],'Basic Data'!$AA:$AA,'Basic Data'!$AB:$AB),"Incorrect Error Code")</f>
        <v>Sim.angle E enc. &lt;&gt; act.angle 1</v>
      </c>
      <c r="M1402" s="35" t="s">
        <v>291</v>
      </c>
      <c r="N1402" s="475"/>
      <c r="O1402" s="476">
        <v>0.19513888888888889</v>
      </c>
      <c r="P1402" s="476">
        <v>0.19513888888888889</v>
      </c>
      <c r="Q1402" s="477">
        <v>0.19583333333333333</v>
      </c>
      <c r="R1402" s="472">
        <f>IF(Table6[[#This Row],[Work Start TimeStamp]]="","",(Table6[[#This Row],[Work Start TimeStamp]]-Table6[[#This Row],[Fault Start TimeStamp]])*24)</f>
        <v>0</v>
      </c>
      <c r="S1402" s="472">
        <f>(Table6[[#This Row],[Fault Clearance time]]-Table6[[#This Row],[Work Start TimeStamp]])*24</f>
        <v>1.6666666666666607E-2</v>
      </c>
      <c r="T1402" s="472">
        <f>(Table6[[#This Row],[Fault Clearance time]]-Table6[[#This Row],[Fault Start TimeStamp]])*24</f>
        <v>1.6666666666666607E-2</v>
      </c>
      <c r="U1402" s="35" t="s">
        <v>1924</v>
      </c>
      <c r="V1402" s="102" t="s">
        <v>293</v>
      </c>
      <c r="W1402" s="478">
        <f>IFERROR(Table6[[#This Row],[Breakdown Time]]*Table6[[#This Row],[Plant Equivalent Weightage]],"")</f>
        <v>6.4102564102563853E-4</v>
      </c>
      <c r="X1402" s="473" t="s">
        <v>290</v>
      </c>
      <c r="Y1402" s="474" t="s">
        <v>321</v>
      </c>
      <c r="Z1402" s="102">
        <v>53074</v>
      </c>
      <c r="AA1402" s="468">
        <f>(Table6[[#This Row],[Paired WTG Generation for loss calculation]]/24)*Table6[[#This Row],[Breakdown Time]]</f>
        <v>36.856944444444309</v>
      </c>
      <c r="AB1402" s="102"/>
      <c r="AC1402" s="35"/>
      <c r="AD1402" s="35"/>
    </row>
    <row r="1403" spans="1:30">
      <c r="A1403" s="102">
        <f t="shared" si="22"/>
        <v>1402</v>
      </c>
      <c r="B1403" s="468">
        <f>YEAR(Table6[[#This Row],[Date]])+IF(MONTH(Table6[[#This Row],[Date]])&gt;=4,1,0)</f>
        <v>2026</v>
      </c>
      <c r="C1403" s="102">
        <f>YEAR(Table6[[#This Row],[Date]])</f>
        <v>2025</v>
      </c>
      <c r="D1403" s="102" t="s">
        <v>1992</v>
      </c>
      <c r="E1403" s="469">
        <f>Table6[[#This Row],[Date]]-DAY(Table6[[#This Row],[Date]])+1</f>
        <v>45809</v>
      </c>
      <c r="F1403" s="470">
        <v>45838</v>
      </c>
      <c r="G1403" s="35" t="s">
        <v>81</v>
      </c>
      <c r="H1403" s="35" t="str">
        <f>IFERROR(_xlfn.XLOOKUP(Table6[[#This Row],[Affected WTG]],'Basic Data'!$A:$A,'Basic Data'!$B:$B),"")</f>
        <v>TQGXIIPL</v>
      </c>
      <c r="I1403" s="35" t="str">
        <f>IFERROR(_xlfn.XLOOKUP(Table6[[#This Row],[Affected WTG]],'Basic Data'!$A:$A,'Basic Data'!$C:$C),"")</f>
        <v>GEDA</v>
      </c>
      <c r="J1403" s="471">
        <f>IFERROR(_xlfn.XLOOKUP(Table6[[#This Row],[Affected WTG]],'Basic Data'!$A:$A,'Basic Data'!$E:$E),"")</f>
        <v>3.846153846153845E-2</v>
      </c>
      <c r="K1403" s="102">
        <v>665</v>
      </c>
      <c r="L1403" s="35" t="str">
        <f>IFERROR(_xlfn.XLOOKUP(Table6[[#This Row],[Error Code]],'Basic Data'!$AA:$AA,'Basic Data'!$AB:$AB),"Incorrect Error Code")</f>
        <v>Pitch error</v>
      </c>
      <c r="M1403" s="35" t="s">
        <v>291</v>
      </c>
      <c r="N1403" s="475"/>
      <c r="O1403" s="476">
        <v>0.44722222222222224</v>
      </c>
      <c r="P1403" s="476">
        <v>0.44722222222222224</v>
      </c>
      <c r="Q1403" s="477">
        <v>0.46041666666666664</v>
      </c>
      <c r="R1403" s="472">
        <f>IF(Table6[[#This Row],[Work Start TimeStamp]]="","",(Table6[[#This Row],[Work Start TimeStamp]]-Table6[[#This Row],[Fault Start TimeStamp]])*24)</f>
        <v>0</v>
      </c>
      <c r="S1403" s="472">
        <f>(Table6[[#This Row],[Fault Clearance time]]-Table6[[#This Row],[Work Start TimeStamp]])*24</f>
        <v>0.31666666666666554</v>
      </c>
      <c r="T1403" s="472">
        <f>(Table6[[#This Row],[Fault Clearance time]]-Table6[[#This Row],[Fault Start TimeStamp]])*24</f>
        <v>0.31666666666666554</v>
      </c>
      <c r="U1403" s="35" t="s">
        <v>1924</v>
      </c>
      <c r="V1403" s="102" t="s">
        <v>293</v>
      </c>
      <c r="W1403" s="478">
        <f>IFERROR(Table6[[#This Row],[Breakdown Time]]*Table6[[#This Row],[Plant Equivalent Weightage]],"")</f>
        <v>1.2179487179487133E-2</v>
      </c>
      <c r="X1403" s="473" t="s">
        <v>290</v>
      </c>
      <c r="Y1403" s="474" t="s">
        <v>321</v>
      </c>
      <c r="Z1403" s="102">
        <v>53074</v>
      </c>
      <c r="AA1403" s="468">
        <f>(Table6[[#This Row],[Paired WTG Generation for loss calculation]]/24)*Table6[[#This Row],[Breakdown Time]]</f>
        <v>700.28194444444193</v>
      </c>
      <c r="AB1403" s="102"/>
      <c r="AC1403" s="35"/>
      <c r="AD1403" s="35"/>
    </row>
    <row r="1404" spans="1:30">
      <c r="A1404" s="102">
        <f t="shared" si="22"/>
        <v>1403</v>
      </c>
      <c r="B1404" s="468">
        <f>YEAR(Table6[[#This Row],[Date]])+IF(MONTH(Table6[[#This Row],[Date]])&gt;=4,1,0)</f>
        <v>2026</v>
      </c>
      <c r="C1404" s="102">
        <f>YEAR(Table6[[#This Row],[Date]])</f>
        <v>2025</v>
      </c>
      <c r="D1404" s="102" t="s">
        <v>1992</v>
      </c>
      <c r="E1404" s="469">
        <f>Table6[[#This Row],[Date]]-DAY(Table6[[#This Row],[Date]])+1</f>
        <v>45809</v>
      </c>
      <c r="F1404" s="470">
        <v>45838</v>
      </c>
      <c r="G1404" s="35" t="s">
        <v>81</v>
      </c>
      <c r="H1404" s="35" t="str">
        <f>IFERROR(_xlfn.XLOOKUP(Table6[[#This Row],[Affected WTG]],'Basic Data'!$A:$A,'Basic Data'!$B:$B),"")</f>
        <v>TQGXIIPL</v>
      </c>
      <c r="I1404" s="35" t="str">
        <f>IFERROR(_xlfn.XLOOKUP(Table6[[#This Row],[Affected WTG]],'Basic Data'!$A:$A,'Basic Data'!$C:$C),"")</f>
        <v>GEDA</v>
      </c>
      <c r="J1404" s="471">
        <f>IFERROR(_xlfn.XLOOKUP(Table6[[#This Row],[Affected WTG]],'Basic Data'!$A:$A,'Basic Data'!$E:$E),"")</f>
        <v>3.846153846153845E-2</v>
      </c>
      <c r="K1404" s="102">
        <v>665</v>
      </c>
      <c r="L1404" s="35" t="str">
        <f>IFERROR(_xlfn.XLOOKUP(Table6[[#This Row],[Error Code]],'Basic Data'!$AA:$AA,'Basic Data'!$AB:$AB),"Incorrect Error Code")</f>
        <v>Pitch error</v>
      </c>
      <c r="M1404" s="35" t="s">
        <v>291</v>
      </c>
      <c r="N1404" s="475"/>
      <c r="O1404" s="476">
        <v>0.46180555555555558</v>
      </c>
      <c r="P1404" s="476">
        <v>0.46180555555555558</v>
      </c>
      <c r="Q1404" s="477">
        <v>0.70416666666666672</v>
      </c>
      <c r="R1404" s="472">
        <f>IF(Table6[[#This Row],[Work Start TimeStamp]]="","",(Table6[[#This Row],[Work Start TimeStamp]]-Table6[[#This Row],[Fault Start TimeStamp]])*24)</f>
        <v>0</v>
      </c>
      <c r="S1404" s="472">
        <f>(Table6[[#This Row],[Fault Clearance time]]-Table6[[#This Row],[Work Start TimeStamp]])*24</f>
        <v>5.8166666666666673</v>
      </c>
      <c r="T1404" s="472">
        <f>(Table6[[#This Row],[Fault Clearance time]]-Table6[[#This Row],[Fault Start TimeStamp]])*24</f>
        <v>5.8166666666666673</v>
      </c>
      <c r="U1404" s="35" t="s">
        <v>2026</v>
      </c>
      <c r="V1404" s="102" t="s">
        <v>293</v>
      </c>
      <c r="W1404" s="478">
        <f>IFERROR(Table6[[#This Row],[Breakdown Time]]*Table6[[#This Row],[Plant Equivalent Weightage]],"")</f>
        <v>0.22371794871794867</v>
      </c>
      <c r="X1404" s="473" t="s">
        <v>290</v>
      </c>
      <c r="Y1404" s="474" t="s">
        <v>321</v>
      </c>
      <c r="Z1404" s="102">
        <v>53074</v>
      </c>
      <c r="AA1404" s="468">
        <f>(Table6[[#This Row],[Paired WTG Generation for loss calculation]]/24)*Table6[[#This Row],[Breakdown Time]]</f>
        <v>12863.073611111111</v>
      </c>
      <c r="AB1404" s="102"/>
      <c r="AC1404" s="35"/>
      <c r="AD1404" s="35"/>
    </row>
    <row r="1405" spans="1:30">
      <c r="A1405" s="102">
        <f t="shared" si="22"/>
        <v>1404</v>
      </c>
      <c r="B1405" s="468">
        <f>YEAR(Table6[[#This Row],[Date]])+IF(MONTH(Table6[[#This Row],[Date]])&gt;=4,1,0)</f>
        <v>2026</v>
      </c>
      <c r="C1405" s="102">
        <f>YEAR(Table6[[#This Row],[Date]])</f>
        <v>2025</v>
      </c>
      <c r="D1405" s="102" t="s">
        <v>1992</v>
      </c>
      <c r="E1405" s="469">
        <f>Table6[[#This Row],[Date]]-DAY(Table6[[#This Row],[Date]])+1</f>
        <v>45809</v>
      </c>
      <c r="F1405" s="470">
        <v>45838</v>
      </c>
      <c r="G1405" s="35" t="s">
        <v>81</v>
      </c>
      <c r="H1405" s="35" t="str">
        <f>IFERROR(_xlfn.XLOOKUP(Table6[[#This Row],[Affected WTG]],'Basic Data'!$A:$A,'Basic Data'!$B:$B),"")</f>
        <v>TQGXIIPL</v>
      </c>
      <c r="I1405" s="35" t="str">
        <f>IFERROR(_xlfn.XLOOKUP(Table6[[#This Row],[Affected WTG]],'Basic Data'!$A:$A,'Basic Data'!$C:$C),"")</f>
        <v>GEDA</v>
      </c>
      <c r="J1405" s="471">
        <f>IFERROR(_xlfn.XLOOKUP(Table6[[#This Row],[Affected WTG]],'Basic Data'!$A:$A,'Basic Data'!$E:$E),"")</f>
        <v>3.846153846153845E-2</v>
      </c>
      <c r="K1405" s="102">
        <v>152</v>
      </c>
      <c r="L1405" s="35" t="str">
        <f>IFERROR(_xlfn.XLOOKUP(Table6[[#This Row],[Error Code]],'Basic Data'!$AA:$AA,'Basic Data'!$AB:$AB),"Incorrect Error Code")</f>
        <v>SLC app. not in SAFE mode</v>
      </c>
      <c r="M1405" s="35" t="s">
        <v>291</v>
      </c>
      <c r="N1405" s="475"/>
      <c r="O1405" s="476">
        <v>0.71458333333333335</v>
      </c>
      <c r="P1405" s="476">
        <v>0.71458333333333335</v>
      </c>
      <c r="Q1405" s="477">
        <v>0.72152777777777777</v>
      </c>
      <c r="R1405" s="472">
        <f>IF(Table6[[#This Row],[Work Start TimeStamp]]="","",(Table6[[#This Row],[Work Start TimeStamp]]-Table6[[#This Row],[Fault Start TimeStamp]])*24)</f>
        <v>0</v>
      </c>
      <c r="S1405" s="472">
        <f>(Table6[[#This Row],[Fault Clearance time]]-Table6[[#This Row],[Work Start TimeStamp]])*24</f>
        <v>0.16666666666666607</v>
      </c>
      <c r="T1405" s="472">
        <f>(Table6[[#This Row],[Fault Clearance time]]-Table6[[#This Row],[Fault Start TimeStamp]])*24</f>
        <v>0.16666666666666607</v>
      </c>
      <c r="U1405" s="35" t="s">
        <v>1924</v>
      </c>
      <c r="V1405" s="102" t="s">
        <v>293</v>
      </c>
      <c r="W1405" s="478">
        <f>IFERROR(Table6[[#This Row],[Breakdown Time]]*Table6[[#This Row],[Plant Equivalent Weightage]],"")</f>
        <v>6.4102564102563857E-3</v>
      </c>
      <c r="X1405" s="473" t="s">
        <v>290</v>
      </c>
      <c r="Y1405" s="474" t="s">
        <v>321</v>
      </c>
      <c r="Z1405" s="102">
        <v>53074</v>
      </c>
      <c r="AA1405" s="468">
        <f>(Table6[[#This Row],[Paired WTG Generation for loss calculation]]/24)*Table6[[#This Row],[Breakdown Time]]</f>
        <v>368.56944444444309</v>
      </c>
      <c r="AB1405" s="102"/>
      <c r="AC1405" s="35"/>
      <c r="AD1405" s="35"/>
    </row>
    <row r="1406" spans="1:30">
      <c r="A1406" s="102">
        <f t="shared" si="22"/>
        <v>1405</v>
      </c>
      <c r="B1406" s="468">
        <f>YEAR(Table6[[#This Row],[Date]])+IF(MONTH(Table6[[#This Row],[Date]])&gt;=4,1,0)</f>
        <v>2026</v>
      </c>
      <c r="C1406" s="102">
        <f>YEAR(Table6[[#This Row],[Date]])</f>
        <v>2025</v>
      </c>
      <c r="D1406" s="102" t="s">
        <v>1992</v>
      </c>
      <c r="E1406" s="469">
        <f>Table6[[#This Row],[Date]]-DAY(Table6[[#This Row],[Date]])+1</f>
        <v>45809</v>
      </c>
      <c r="F1406" s="470">
        <v>45838</v>
      </c>
      <c r="G1406" s="35" t="s">
        <v>82</v>
      </c>
      <c r="H1406" s="35" t="str">
        <f>IFERROR(_xlfn.XLOOKUP(Table6[[#This Row],[Affected WTG]],'Basic Data'!$A:$A,'Basic Data'!$B:$B),"")</f>
        <v>TQGXIIPL</v>
      </c>
      <c r="I1406" s="35" t="str">
        <f>IFERROR(_xlfn.XLOOKUP(Table6[[#This Row],[Affected WTG]],'Basic Data'!$A:$A,'Basic Data'!$C:$C),"")</f>
        <v>GEDA</v>
      </c>
      <c r="J1406" s="471">
        <f>IFERROR(_xlfn.XLOOKUP(Table6[[#This Row],[Affected WTG]],'Basic Data'!$A:$A,'Basic Data'!$E:$E),"")</f>
        <v>3.846153846153845E-2</v>
      </c>
      <c r="K1406" s="102">
        <v>551</v>
      </c>
      <c r="L1406" s="35" t="str">
        <f>IFERROR(_xlfn.XLOOKUP(Table6[[#This Row],[Error Code]],'Basic Data'!$AA:$AA,'Basic Data'!$AB:$AB),"Incorrect Error Code")</f>
        <v>Pitch motor current too high</v>
      </c>
      <c r="M1406" s="35" t="s">
        <v>291</v>
      </c>
      <c r="N1406" s="475"/>
      <c r="O1406" s="476">
        <v>0</v>
      </c>
      <c r="P1406" s="476">
        <v>0</v>
      </c>
      <c r="Q1406" s="477">
        <v>0.10347222222222222</v>
      </c>
      <c r="R1406" s="472">
        <f>IF(Table6[[#This Row],[Work Start TimeStamp]]="","",(Table6[[#This Row],[Work Start TimeStamp]]-Table6[[#This Row],[Fault Start TimeStamp]])*24)</f>
        <v>0</v>
      </c>
      <c r="S1406" s="472">
        <f>(Table6[[#This Row],[Fault Clearance time]]-Table6[[#This Row],[Work Start TimeStamp]])*24</f>
        <v>2.4833333333333334</v>
      </c>
      <c r="T1406" s="472">
        <f>(Table6[[#This Row],[Fault Clearance time]]-Table6[[#This Row],[Fault Start TimeStamp]])*24</f>
        <v>2.4833333333333334</v>
      </c>
      <c r="U1406" s="35" t="s">
        <v>2027</v>
      </c>
      <c r="V1406" s="102" t="s">
        <v>293</v>
      </c>
      <c r="W1406" s="478">
        <f>IFERROR(Table6[[#This Row],[Breakdown Time]]*Table6[[#This Row],[Plant Equivalent Weightage]],"")</f>
        <v>9.5512820512820493E-2</v>
      </c>
      <c r="X1406" s="473" t="s">
        <v>290</v>
      </c>
      <c r="Y1406" s="474" t="s">
        <v>332</v>
      </c>
      <c r="Z1406" s="102">
        <v>52369</v>
      </c>
      <c r="AA1406" s="468">
        <f>(Table6[[#This Row],[Paired WTG Generation for loss calculation]]/24)*Table6[[#This Row],[Breakdown Time]]</f>
        <v>5418.7368055555553</v>
      </c>
      <c r="AB1406" s="102"/>
      <c r="AC1406" s="35"/>
      <c r="AD1406" s="35"/>
    </row>
    <row r="1407" spans="1:30">
      <c r="A1407" s="102">
        <f t="shared" si="22"/>
        <v>1406</v>
      </c>
      <c r="B1407" s="468">
        <f>YEAR(Table6[[#This Row],[Date]])+IF(MONTH(Table6[[#This Row],[Date]])&gt;=4,1,0)</f>
        <v>2026</v>
      </c>
      <c r="C1407" s="102">
        <f>YEAR(Table6[[#This Row],[Date]])</f>
        <v>2025</v>
      </c>
      <c r="D1407" s="102" t="s">
        <v>1992</v>
      </c>
      <c r="E1407" s="469">
        <f>Table6[[#This Row],[Date]]-DAY(Table6[[#This Row],[Date]])+1</f>
        <v>45809</v>
      </c>
      <c r="F1407" s="470">
        <v>45838</v>
      </c>
      <c r="G1407" s="35" t="s">
        <v>83</v>
      </c>
      <c r="H1407" s="35" t="str">
        <f>IFERROR(_xlfn.XLOOKUP(Table6[[#This Row],[Affected WTG]],'Basic Data'!$A:$A,'Basic Data'!$B:$B),"")</f>
        <v>TQGXIIPL</v>
      </c>
      <c r="I1407" s="35" t="str">
        <f>IFERROR(_xlfn.XLOOKUP(Table6[[#This Row],[Affected WTG]],'Basic Data'!$A:$A,'Basic Data'!$C:$C),"")</f>
        <v>GEDA</v>
      </c>
      <c r="J1407" s="471">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291</v>
      </c>
      <c r="N1407" s="475"/>
      <c r="O1407" s="476">
        <v>0.44027777777777777</v>
      </c>
      <c r="P1407" s="476">
        <v>0.44027777777777777</v>
      </c>
      <c r="Q1407" s="477">
        <v>0.45416666666666666</v>
      </c>
      <c r="R1407" s="472">
        <f>IF(Table6[[#This Row],[Work Start TimeStamp]]="","",(Table6[[#This Row],[Work Start TimeStamp]]-Table6[[#This Row],[Fault Start TimeStamp]])*24)</f>
        <v>0</v>
      </c>
      <c r="S1407" s="472">
        <f>(Table6[[#This Row],[Fault Clearance time]]-Table6[[#This Row],[Work Start TimeStamp]])*24</f>
        <v>0.33333333333333348</v>
      </c>
      <c r="T1407" s="472">
        <f>(Table6[[#This Row],[Fault Clearance time]]-Table6[[#This Row],[Fault Start TimeStamp]])*24</f>
        <v>0.33333333333333348</v>
      </c>
      <c r="U1407" s="35" t="s">
        <v>1924</v>
      </c>
      <c r="V1407" s="102" t="s">
        <v>293</v>
      </c>
      <c r="W1407" s="478">
        <f>IFERROR(Table6[[#This Row],[Breakdown Time]]*Table6[[#This Row],[Plant Equivalent Weightage]],"")</f>
        <v>1.2820512820512822E-2</v>
      </c>
      <c r="X1407" s="473" t="s">
        <v>290</v>
      </c>
      <c r="Y1407" s="474" t="s">
        <v>312</v>
      </c>
      <c r="Z1407" s="102">
        <v>51323</v>
      </c>
      <c r="AA1407" s="468">
        <f>(Table6[[#This Row],[Paired WTG Generation for loss calculation]]/24)*Table6[[#This Row],[Breakdown Time]]</f>
        <v>712.8194444444448</v>
      </c>
      <c r="AB1407" s="102"/>
      <c r="AC1407" s="35"/>
      <c r="AD1407" s="35"/>
    </row>
    <row r="1408" spans="1:30">
      <c r="A1408" s="102">
        <f t="shared" si="22"/>
        <v>1407</v>
      </c>
      <c r="B1408" s="468">
        <f>YEAR(Table6[[#This Row],[Date]])+IF(MONTH(Table6[[#This Row],[Date]])&gt;=4,1,0)</f>
        <v>2026</v>
      </c>
      <c r="C1408" s="102">
        <f>YEAR(Table6[[#This Row],[Date]])</f>
        <v>2025</v>
      </c>
      <c r="D1408" s="102" t="s">
        <v>1992</v>
      </c>
      <c r="E1408" s="469">
        <f>Table6[[#This Row],[Date]]-DAY(Table6[[#This Row],[Date]])+1</f>
        <v>45809</v>
      </c>
      <c r="F1408" s="470">
        <v>45838</v>
      </c>
      <c r="G1408" s="35" t="s">
        <v>83</v>
      </c>
      <c r="H1408" s="35" t="str">
        <f>IFERROR(_xlfn.XLOOKUP(Table6[[#This Row],[Affected WTG]],'Basic Data'!$A:$A,'Basic Data'!$B:$B),"")</f>
        <v>TQGXIIPL</v>
      </c>
      <c r="I1408" s="35" t="str">
        <f>IFERROR(_xlfn.XLOOKUP(Table6[[#This Row],[Affected WTG]],'Basic Data'!$A:$A,'Basic Data'!$C:$C),"")</f>
        <v>GEDA</v>
      </c>
      <c r="J1408" s="471">
        <f>IFERROR(_xlfn.XLOOKUP(Table6[[#This Row],[Affected WTG]],'Basic Data'!$A:$A,'Basic Data'!$E:$E),"")</f>
        <v>3.846153846153845E-2</v>
      </c>
      <c r="K1408" s="102">
        <v>1070</v>
      </c>
      <c r="L1408" s="35" t="str">
        <f>IFERROR(_xlfn.XLOOKUP(Table6[[#This Row],[Error Code]],'Basic Data'!$AA:$AA,'Basic Data'!$AB:$AB),"Incorrect Error Code")</f>
        <v>Drive train monitor level 2</v>
      </c>
      <c r="M1408" s="35" t="s">
        <v>291</v>
      </c>
      <c r="N1408" s="475"/>
      <c r="O1408" s="476">
        <v>0.68680555555555556</v>
      </c>
      <c r="P1408" s="476">
        <v>0.68680555555555556</v>
      </c>
      <c r="Q1408" s="477">
        <v>0.68819444444444444</v>
      </c>
      <c r="R1408" s="472">
        <f>IF(Table6[[#This Row],[Work Start TimeStamp]]="","",(Table6[[#This Row],[Work Start TimeStamp]]-Table6[[#This Row],[Fault Start TimeStamp]])*24)</f>
        <v>0</v>
      </c>
      <c r="S1408" s="472">
        <f>(Table6[[#This Row],[Fault Clearance time]]-Table6[[#This Row],[Work Start TimeStamp]])*24</f>
        <v>3.3333333333333215E-2</v>
      </c>
      <c r="T1408" s="472">
        <f>(Table6[[#This Row],[Fault Clearance time]]-Table6[[#This Row],[Fault Start TimeStamp]])*24</f>
        <v>3.3333333333333215E-2</v>
      </c>
      <c r="U1408" s="35" t="s">
        <v>1924</v>
      </c>
      <c r="V1408" s="102" t="s">
        <v>293</v>
      </c>
      <c r="W1408" s="478">
        <f>IFERROR(Table6[[#This Row],[Breakdown Time]]*Table6[[#This Row],[Plant Equivalent Weightage]],"")</f>
        <v>1.2820512820512771E-3</v>
      </c>
      <c r="X1408" s="473" t="s">
        <v>290</v>
      </c>
      <c r="Y1408" s="474" t="s">
        <v>312</v>
      </c>
      <c r="Z1408" s="102">
        <v>51323</v>
      </c>
      <c r="AA1408" s="468">
        <f>(Table6[[#This Row],[Paired WTG Generation for loss calculation]]/24)*Table6[[#This Row],[Breakdown Time]]</f>
        <v>71.281944444444193</v>
      </c>
      <c r="AB1408" s="102"/>
      <c r="AC1408" s="35"/>
      <c r="AD1408" s="35"/>
    </row>
    <row r="1409" spans="1:30">
      <c r="A1409" s="102">
        <f t="shared" si="22"/>
        <v>1408</v>
      </c>
      <c r="B1409" s="468">
        <f>YEAR(Table6[[#This Row],[Date]])+IF(MONTH(Table6[[#This Row],[Date]])&gt;=4,1,0)</f>
        <v>2026</v>
      </c>
      <c r="C1409" s="102">
        <f>YEAR(Table6[[#This Row],[Date]])</f>
        <v>2025</v>
      </c>
      <c r="D1409" s="102" t="s">
        <v>1992</v>
      </c>
      <c r="E1409" s="469">
        <f>Table6[[#This Row],[Date]]-DAY(Table6[[#This Row],[Date]])+1</f>
        <v>45809</v>
      </c>
      <c r="F1409" s="470">
        <v>45838</v>
      </c>
      <c r="G1409" s="35" t="s">
        <v>89</v>
      </c>
      <c r="H1409" s="35" t="str">
        <f>IFERROR(_xlfn.XLOOKUP(Table6[[#This Row],[Affected WTG]],'Basic Data'!$A:$A,'Basic Data'!$B:$B),"")</f>
        <v>TQGXIIPL</v>
      </c>
      <c r="I1409" s="35" t="str">
        <f>IFERROR(_xlfn.XLOOKUP(Table6[[#This Row],[Affected WTG]],'Basic Data'!$A:$A,'Basic Data'!$C:$C),"")</f>
        <v>GEDA</v>
      </c>
      <c r="J1409" s="471">
        <f>IFERROR(_xlfn.XLOOKUP(Table6[[#This Row],[Affected WTG]],'Basic Data'!$A:$A,'Basic Data'!$E:$E),"")</f>
        <v>3.846153846153845E-2</v>
      </c>
      <c r="K1409" s="102">
        <v>4970</v>
      </c>
      <c r="L1409" s="35" t="str">
        <f>IFERROR(_xlfn.XLOOKUP(Table6[[#This Row],[Error Code]],'Basic Data'!$AA:$AA,'Basic Data'!$AB:$AB),"Incorrect Error Code")</f>
        <v>Tower oscillation XF</v>
      </c>
      <c r="M1409" s="35" t="s">
        <v>292</v>
      </c>
      <c r="N1409" s="475"/>
      <c r="O1409" s="476">
        <v>0.84166666666666667</v>
      </c>
      <c r="P1409" s="476">
        <v>0.84166666666666667</v>
      </c>
      <c r="Q1409" s="477">
        <v>0.85277777777777775</v>
      </c>
      <c r="R1409" s="472">
        <f>IF(Table6[[#This Row],[Work Start TimeStamp]]="","",(Table6[[#This Row],[Work Start TimeStamp]]-Table6[[#This Row],[Fault Start TimeStamp]])*24)</f>
        <v>0</v>
      </c>
      <c r="S1409" s="472">
        <f>(Table6[[#This Row],[Fault Clearance time]]-Table6[[#This Row],[Work Start TimeStamp]])*24</f>
        <v>0.26666666666666572</v>
      </c>
      <c r="T1409" s="472">
        <f>(Table6[[#This Row],[Fault Clearance time]]-Table6[[#This Row],[Fault Start TimeStamp]])*24</f>
        <v>0.26666666666666572</v>
      </c>
      <c r="U1409" s="35" t="s">
        <v>336</v>
      </c>
      <c r="V1409" s="102" t="s">
        <v>293</v>
      </c>
      <c r="W1409" s="478">
        <f>IFERROR(Table6[[#This Row],[Breakdown Time]]*Table6[[#This Row],[Plant Equivalent Weightage]],"")</f>
        <v>1.0256410256410217E-2</v>
      </c>
      <c r="X1409" s="473" t="s">
        <v>294</v>
      </c>
      <c r="Y1409" s="474" t="s">
        <v>325</v>
      </c>
      <c r="Z1409" s="102">
        <v>59418</v>
      </c>
      <c r="AA1409" s="468">
        <f>(Table6[[#This Row],[Paired WTG Generation for loss calculation]]/24)*Table6[[#This Row],[Breakdown Time]]</f>
        <v>660.19999999999766</v>
      </c>
      <c r="AB1409" s="102"/>
      <c r="AC1409" s="35"/>
      <c r="AD1409" s="35"/>
    </row>
    <row r="1410" spans="1:30">
      <c r="A1410" s="102">
        <f t="shared" si="22"/>
        <v>1409</v>
      </c>
      <c r="B1410" s="468">
        <f>YEAR(Table6[[#This Row],[Date]])+IF(MONTH(Table6[[#This Row],[Date]])&gt;=4,1,0)</f>
        <v>2026</v>
      </c>
      <c r="C1410" s="102">
        <f>YEAR(Table6[[#This Row],[Date]])</f>
        <v>2025</v>
      </c>
      <c r="D1410" s="102" t="s">
        <v>1992</v>
      </c>
      <c r="E1410" s="469">
        <f>Table6[[#This Row],[Date]]-DAY(Table6[[#This Row],[Date]])+1</f>
        <v>45809</v>
      </c>
      <c r="F1410" s="470">
        <v>45838</v>
      </c>
      <c r="G1410" s="35" t="s">
        <v>89</v>
      </c>
      <c r="H1410" s="35" t="str">
        <f>IFERROR(_xlfn.XLOOKUP(Table6[[#This Row],[Affected WTG]],'Basic Data'!$A:$A,'Basic Data'!$B:$B),"")</f>
        <v>TQGXIIPL</v>
      </c>
      <c r="I1410" s="35" t="str">
        <f>IFERROR(_xlfn.XLOOKUP(Table6[[#This Row],[Affected WTG]],'Basic Data'!$A:$A,'Basic Data'!$C:$C),"")</f>
        <v>GEDA</v>
      </c>
      <c r="J1410" s="471">
        <f>IFERROR(_xlfn.XLOOKUP(Table6[[#This Row],[Affected WTG]],'Basic Data'!$A:$A,'Basic Data'!$E:$E),"")</f>
        <v>3.846153846153845E-2</v>
      </c>
      <c r="K1410" s="102">
        <v>4970</v>
      </c>
      <c r="L1410" s="35" t="str">
        <f>IFERROR(_xlfn.XLOOKUP(Table6[[#This Row],[Error Code]],'Basic Data'!$AA:$AA,'Basic Data'!$AB:$AB),"Incorrect Error Code")</f>
        <v>Tower oscillation XF</v>
      </c>
      <c r="M1410" s="35" t="s">
        <v>292</v>
      </c>
      <c r="N1410" s="475"/>
      <c r="O1410" s="476">
        <v>0.86458333333333337</v>
      </c>
      <c r="P1410" s="476">
        <v>0.86458333333333337</v>
      </c>
      <c r="Q1410" s="477">
        <v>0.87291666666666667</v>
      </c>
      <c r="R1410" s="472">
        <f>IF(Table6[[#This Row],[Work Start TimeStamp]]="","",(Table6[[#This Row],[Work Start TimeStamp]]-Table6[[#This Row],[Fault Start TimeStamp]])*24)</f>
        <v>0</v>
      </c>
      <c r="S1410" s="472">
        <f>(Table6[[#This Row],[Fault Clearance time]]-Table6[[#This Row],[Work Start TimeStamp]])*24</f>
        <v>0.19999999999999929</v>
      </c>
      <c r="T1410" s="472">
        <f>(Table6[[#This Row],[Fault Clearance time]]-Table6[[#This Row],[Fault Start TimeStamp]])*24</f>
        <v>0.19999999999999929</v>
      </c>
      <c r="U1410" s="35" t="s">
        <v>336</v>
      </c>
      <c r="V1410" s="102" t="s">
        <v>293</v>
      </c>
      <c r="W1410" s="478">
        <f>IFERROR(Table6[[#This Row],[Breakdown Time]]*Table6[[#This Row],[Plant Equivalent Weightage]],"")</f>
        <v>7.6923076923076624E-3</v>
      </c>
      <c r="X1410" s="473" t="s">
        <v>294</v>
      </c>
      <c r="Y1410" s="474" t="s">
        <v>325</v>
      </c>
      <c r="Z1410" s="102">
        <v>59418</v>
      </c>
      <c r="AA1410" s="468">
        <f>(Table6[[#This Row],[Paired WTG Generation for loss calculation]]/24)*Table6[[#This Row],[Breakdown Time]]</f>
        <v>495.14999999999822</v>
      </c>
      <c r="AB1410" s="102"/>
      <c r="AC1410" s="35"/>
      <c r="AD1410" s="35"/>
    </row>
    <row r="1411" spans="1:30">
      <c r="A1411" s="102">
        <f t="shared" si="22"/>
        <v>1410</v>
      </c>
      <c r="B1411" s="468">
        <f>YEAR(Table6[[#This Row],[Date]])+IF(MONTH(Table6[[#This Row],[Date]])&gt;=4,1,0)</f>
        <v>2026</v>
      </c>
      <c r="C1411" s="102">
        <f>YEAR(Table6[[#This Row],[Date]])</f>
        <v>2025</v>
      </c>
      <c r="D1411" s="102" t="s">
        <v>1992</v>
      </c>
      <c r="E1411" s="469">
        <f>Table6[[#This Row],[Date]]-DAY(Table6[[#This Row],[Date]])+1</f>
        <v>45809</v>
      </c>
      <c r="F1411" s="470">
        <v>45838</v>
      </c>
      <c r="G1411" s="35" t="s">
        <v>90</v>
      </c>
      <c r="H1411" s="35" t="str">
        <f>IFERROR(_xlfn.XLOOKUP(Table6[[#This Row],[Affected WTG]],'Basic Data'!$A:$A,'Basic Data'!$B:$B),"")</f>
        <v>TQGXIIPL</v>
      </c>
      <c r="I1411" s="35" t="str">
        <f>IFERROR(_xlfn.XLOOKUP(Table6[[#This Row],[Affected WTG]],'Basic Data'!$A:$A,'Basic Data'!$C:$C),"")</f>
        <v>GEDA</v>
      </c>
      <c r="J1411" s="471">
        <f>IFERROR(_xlfn.XLOOKUP(Table6[[#This Row],[Affected WTG]],'Basic Data'!$A:$A,'Basic Data'!$E:$E),"")</f>
        <v>3.846153846153845E-2</v>
      </c>
      <c r="K1411" s="102">
        <v>3211</v>
      </c>
      <c r="L1411" s="35" t="str">
        <f>IFERROR(_xlfn.XLOOKUP(Table6[[#This Row],[Error Code]],'Basic Data'!$AA:$AA,'Basic Data'!$AB:$AB),"Incorrect Error Code")</f>
        <v>Conv. load shedding (CAN)</v>
      </c>
      <c r="M1411" s="35" t="s">
        <v>291</v>
      </c>
      <c r="N1411" s="475"/>
      <c r="O1411" s="476">
        <v>3.9583333333333331E-2</v>
      </c>
      <c r="P1411" s="476">
        <v>3.9583333333333331E-2</v>
      </c>
      <c r="Q1411" s="477">
        <v>4.1666666666666664E-2</v>
      </c>
      <c r="R1411" s="472">
        <f>IF(Table6[[#This Row],[Work Start TimeStamp]]="","",(Table6[[#This Row],[Work Start TimeStamp]]-Table6[[#This Row],[Fault Start TimeStamp]])*24)</f>
        <v>0</v>
      </c>
      <c r="S1411" s="472">
        <f>(Table6[[#This Row],[Fault Clearance time]]-Table6[[#This Row],[Work Start TimeStamp]])*24</f>
        <v>4.9999999999999989E-2</v>
      </c>
      <c r="T1411" s="472">
        <f>(Table6[[#This Row],[Fault Clearance time]]-Table6[[#This Row],[Fault Start TimeStamp]])*24</f>
        <v>4.9999999999999989E-2</v>
      </c>
      <c r="U1411" s="35" t="s">
        <v>1924</v>
      </c>
      <c r="V1411" s="102" t="s">
        <v>293</v>
      </c>
      <c r="W1411" s="478">
        <f>IFERROR(Table6[[#This Row],[Breakdown Time]]*Table6[[#This Row],[Plant Equivalent Weightage]],"")</f>
        <v>1.9230769230769221E-3</v>
      </c>
      <c r="X1411" s="473" t="s">
        <v>290</v>
      </c>
      <c r="Y1411" s="474" t="s">
        <v>339</v>
      </c>
      <c r="Z1411" s="102">
        <v>58811</v>
      </c>
      <c r="AA1411" s="468">
        <f>(Table6[[#This Row],[Paired WTG Generation for loss calculation]]/24)*Table6[[#This Row],[Breakdown Time]]</f>
        <v>122.52291666666665</v>
      </c>
      <c r="AB1411" s="102"/>
      <c r="AC1411" s="35"/>
      <c r="AD1411" s="35"/>
    </row>
    <row r="1412" spans="1:30">
      <c r="A1412" s="102">
        <f t="shared" si="22"/>
        <v>1411</v>
      </c>
      <c r="B1412" s="468">
        <f>YEAR(Table6[[#This Row],[Date]])+IF(MONTH(Table6[[#This Row],[Date]])&gt;=4,1,0)</f>
        <v>2026</v>
      </c>
      <c r="C1412" s="102">
        <f>YEAR(Table6[[#This Row],[Date]])</f>
        <v>2025</v>
      </c>
      <c r="D1412" s="102" t="s">
        <v>1992</v>
      </c>
      <c r="E1412" s="469">
        <f>Table6[[#This Row],[Date]]-DAY(Table6[[#This Row],[Date]])+1</f>
        <v>45809</v>
      </c>
      <c r="F1412" s="470">
        <v>45838</v>
      </c>
      <c r="G1412" s="35" t="s">
        <v>90</v>
      </c>
      <c r="H1412" s="35" t="str">
        <f>IFERROR(_xlfn.XLOOKUP(Table6[[#This Row],[Affected WTG]],'Basic Data'!$A:$A,'Basic Data'!$B:$B),"")</f>
        <v>TQGXIIPL</v>
      </c>
      <c r="I1412" s="35" t="str">
        <f>IFERROR(_xlfn.XLOOKUP(Table6[[#This Row],[Affected WTG]],'Basic Data'!$A:$A,'Basic Data'!$C:$C),"")</f>
        <v>GEDA</v>
      </c>
      <c r="J1412" s="471">
        <f>IFERROR(_xlfn.XLOOKUP(Table6[[#This Row],[Affected WTG]],'Basic Data'!$A:$A,'Basic Data'!$E:$E),"")</f>
        <v>3.846153846153845E-2</v>
      </c>
      <c r="K1412" s="102">
        <v>3211</v>
      </c>
      <c r="L1412" s="35" t="str">
        <f>IFERROR(_xlfn.XLOOKUP(Table6[[#This Row],[Error Code]],'Basic Data'!$AA:$AA,'Basic Data'!$AB:$AB),"Incorrect Error Code")</f>
        <v>Conv. load shedding (CAN)</v>
      </c>
      <c r="M1412" s="35" t="s">
        <v>291</v>
      </c>
      <c r="N1412" s="475"/>
      <c r="O1412" s="476">
        <v>0.19166666666666668</v>
      </c>
      <c r="P1412" s="476">
        <v>0.19166666666666668</v>
      </c>
      <c r="Q1412" s="477">
        <v>0.19444444444444445</v>
      </c>
      <c r="R1412" s="472">
        <f>IF(Table6[[#This Row],[Work Start TimeStamp]]="","",(Table6[[#This Row],[Work Start TimeStamp]]-Table6[[#This Row],[Fault Start TimeStamp]])*24)</f>
        <v>0</v>
      </c>
      <c r="S1412" s="472">
        <f>(Table6[[#This Row],[Fault Clearance time]]-Table6[[#This Row],[Work Start TimeStamp]])*24</f>
        <v>6.666666666666643E-2</v>
      </c>
      <c r="T1412" s="472">
        <f>(Table6[[#This Row],[Fault Clearance time]]-Table6[[#This Row],[Fault Start TimeStamp]])*24</f>
        <v>6.666666666666643E-2</v>
      </c>
      <c r="U1412" s="35" t="s">
        <v>1924</v>
      </c>
      <c r="V1412" s="102" t="s">
        <v>293</v>
      </c>
      <c r="W1412" s="478">
        <f>IFERROR(Table6[[#This Row],[Breakdown Time]]*Table6[[#This Row],[Plant Equivalent Weightage]],"")</f>
        <v>2.5641025641025541E-3</v>
      </c>
      <c r="X1412" s="473" t="s">
        <v>290</v>
      </c>
      <c r="Y1412" s="474" t="s">
        <v>339</v>
      </c>
      <c r="Z1412" s="102">
        <v>58811</v>
      </c>
      <c r="AA1412" s="468">
        <f>(Table6[[#This Row],[Paired WTG Generation for loss calculation]]/24)*Table6[[#This Row],[Breakdown Time]]</f>
        <v>163.36388888888831</v>
      </c>
      <c r="AB1412" s="102"/>
      <c r="AC1412" s="35"/>
      <c r="AD1412" s="35"/>
    </row>
    <row r="1413" spans="1:30">
      <c r="A1413" s="102">
        <f t="shared" si="22"/>
        <v>1412</v>
      </c>
      <c r="B1413" s="468">
        <f>YEAR(Table6[[#This Row],[Date]])+IF(MONTH(Table6[[#This Row],[Date]])&gt;=4,1,0)</f>
        <v>2026</v>
      </c>
      <c r="C1413" s="102">
        <f>YEAR(Table6[[#This Row],[Date]])</f>
        <v>2025</v>
      </c>
      <c r="D1413" s="102" t="s">
        <v>1992</v>
      </c>
      <c r="E1413" s="469">
        <f>Table6[[#This Row],[Date]]-DAY(Table6[[#This Row],[Date]])+1</f>
        <v>45809</v>
      </c>
      <c r="F1413" s="470">
        <v>45838</v>
      </c>
      <c r="G1413" s="35" t="s">
        <v>90</v>
      </c>
      <c r="H1413" s="35" t="str">
        <f>IFERROR(_xlfn.XLOOKUP(Table6[[#This Row],[Affected WTG]],'Basic Data'!$A:$A,'Basic Data'!$B:$B),"")</f>
        <v>TQGXIIPL</v>
      </c>
      <c r="I1413" s="35" t="str">
        <f>IFERROR(_xlfn.XLOOKUP(Table6[[#This Row],[Affected WTG]],'Basic Data'!$A:$A,'Basic Data'!$C:$C),"")</f>
        <v>GEDA</v>
      </c>
      <c r="J1413" s="471">
        <f>IFERROR(_xlfn.XLOOKUP(Table6[[#This Row],[Affected WTG]],'Basic Data'!$A:$A,'Basic Data'!$E:$E),"")</f>
        <v>3.846153846153845E-2</v>
      </c>
      <c r="K1413" s="102">
        <v>3211</v>
      </c>
      <c r="L1413" s="35" t="str">
        <f>IFERROR(_xlfn.XLOOKUP(Table6[[#This Row],[Error Code]],'Basic Data'!$AA:$AA,'Basic Data'!$AB:$AB),"Incorrect Error Code")</f>
        <v>Conv. load shedding (CAN)</v>
      </c>
      <c r="M1413" s="35" t="s">
        <v>291</v>
      </c>
      <c r="N1413" s="475"/>
      <c r="O1413" s="476">
        <v>0.21736111111111112</v>
      </c>
      <c r="P1413" s="476">
        <v>0.21736111111111112</v>
      </c>
      <c r="Q1413" s="477">
        <v>0.22569444444444445</v>
      </c>
      <c r="R1413" s="472">
        <f>IF(Table6[[#This Row],[Work Start TimeStamp]]="","",(Table6[[#This Row],[Work Start TimeStamp]]-Table6[[#This Row],[Fault Start TimeStamp]])*24)</f>
        <v>0</v>
      </c>
      <c r="S1413" s="472">
        <f>(Table6[[#This Row],[Fault Clearance time]]-Table6[[#This Row],[Work Start TimeStamp]])*24</f>
        <v>0.19999999999999996</v>
      </c>
      <c r="T1413" s="472">
        <f>(Table6[[#This Row],[Fault Clearance time]]-Table6[[#This Row],[Fault Start TimeStamp]])*24</f>
        <v>0.19999999999999996</v>
      </c>
      <c r="U1413" s="35" t="s">
        <v>1924</v>
      </c>
      <c r="V1413" s="102" t="s">
        <v>293</v>
      </c>
      <c r="W1413" s="478">
        <f>IFERROR(Table6[[#This Row],[Breakdown Time]]*Table6[[#This Row],[Plant Equivalent Weightage]],"")</f>
        <v>7.6923076923076884E-3</v>
      </c>
      <c r="X1413" s="473" t="s">
        <v>290</v>
      </c>
      <c r="Y1413" s="474" t="s">
        <v>339</v>
      </c>
      <c r="Z1413" s="102">
        <v>58811</v>
      </c>
      <c r="AA1413" s="468">
        <f>(Table6[[#This Row],[Paired WTG Generation for loss calculation]]/24)*Table6[[#This Row],[Breakdown Time]]</f>
        <v>490.09166666666658</v>
      </c>
      <c r="AB1413" s="102"/>
      <c r="AC1413" s="35"/>
      <c r="AD1413" s="35"/>
    </row>
    <row r="1414" spans="1:30">
      <c r="A1414" s="102">
        <f t="shared" si="22"/>
        <v>1413</v>
      </c>
      <c r="B1414" s="468">
        <f>YEAR(Table6[[#This Row],[Date]])+IF(MONTH(Table6[[#This Row],[Date]])&gt;=4,1,0)</f>
        <v>2026</v>
      </c>
      <c r="C1414" s="102">
        <f>YEAR(Table6[[#This Row],[Date]])</f>
        <v>2025</v>
      </c>
      <c r="D1414" s="102" t="s">
        <v>1992</v>
      </c>
      <c r="E1414" s="469">
        <f>Table6[[#This Row],[Date]]-DAY(Table6[[#This Row],[Date]])+1</f>
        <v>45809</v>
      </c>
      <c r="F1414" s="470">
        <v>45838</v>
      </c>
      <c r="G1414" s="35" t="s">
        <v>90</v>
      </c>
      <c r="H1414" s="35" t="str">
        <f>IFERROR(_xlfn.XLOOKUP(Table6[[#This Row],[Affected WTG]],'Basic Data'!$A:$A,'Basic Data'!$B:$B),"")</f>
        <v>TQGXIIPL</v>
      </c>
      <c r="I1414" s="35" t="str">
        <f>IFERROR(_xlfn.XLOOKUP(Table6[[#This Row],[Affected WTG]],'Basic Data'!$A:$A,'Basic Data'!$C:$C),"")</f>
        <v>GEDA</v>
      </c>
      <c r="J1414" s="471">
        <f>IFERROR(_xlfn.XLOOKUP(Table6[[#This Row],[Affected WTG]],'Basic Data'!$A:$A,'Basic Data'!$E:$E),"")</f>
        <v>3.846153846153845E-2</v>
      </c>
      <c r="K1414" s="102">
        <v>55</v>
      </c>
      <c r="L1414" s="35" t="str">
        <f>IFERROR(_xlfn.XLOOKUP(Table6[[#This Row],[Error Code]],'Basic Data'!$AA:$AA,'Basic Data'!$AB:$AB),"Incorrect Error Code")</f>
        <v>WTG shut down</v>
      </c>
      <c r="M1414" s="35" t="s">
        <v>1956</v>
      </c>
      <c r="N1414" s="475"/>
      <c r="O1414" s="476">
        <v>0.49444444444444446</v>
      </c>
      <c r="P1414" s="476">
        <v>0.49444444444444446</v>
      </c>
      <c r="Q1414" s="477">
        <v>0.50416666666666665</v>
      </c>
      <c r="R1414" s="472">
        <f>IF(Table6[[#This Row],[Work Start TimeStamp]]="","",(Table6[[#This Row],[Work Start TimeStamp]]-Table6[[#This Row],[Fault Start TimeStamp]])*24)</f>
        <v>0</v>
      </c>
      <c r="S1414" s="472">
        <f>(Table6[[#This Row],[Fault Clearance time]]-Table6[[#This Row],[Work Start TimeStamp]])*24</f>
        <v>0.2333333333333325</v>
      </c>
      <c r="T1414" s="472">
        <f>(Table6[[#This Row],[Fault Clearance time]]-Table6[[#This Row],[Fault Start TimeStamp]])*24</f>
        <v>0.2333333333333325</v>
      </c>
      <c r="U1414" s="35" t="s">
        <v>2025</v>
      </c>
      <c r="V1414" s="102" t="s">
        <v>293</v>
      </c>
      <c r="W1414" s="478">
        <f>IFERROR(Table6[[#This Row],[Breakdown Time]]*Table6[[#This Row],[Plant Equivalent Weightage]],"")</f>
        <v>8.974358974358939E-3</v>
      </c>
      <c r="X1414" s="473" t="s">
        <v>290</v>
      </c>
      <c r="Y1414" s="474" t="s">
        <v>339</v>
      </c>
      <c r="Z1414" s="102">
        <v>58811</v>
      </c>
      <c r="AA1414" s="468">
        <f>(Table6[[#This Row],[Paired WTG Generation for loss calculation]]/24)*Table6[[#This Row],[Breakdown Time]]</f>
        <v>571.77361111110906</v>
      </c>
      <c r="AB1414" s="102"/>
      <c r="AC1414" s="35"/>
      <c r="AD1414" s="35"/>
    </row>
    <row r="1415" spans="1:30">
      <c r="A1415" s="102">
        <f t="shared" si="22"/>
        <v>1414</v>
      </c>
      <c r="B1415" s="468">
        <f>YEAR(Table6[[#This Row],[Date]])+IF(MONTH(Table6[[#This Row],[Date]])&gt;=4,1,0)</f>
        <v>2026</v>
      </c>
      <c r="C1415" s="102">
        <f>YEAR(Table6[[#This Row],[Date]])</f>
        <v>2025</v>
      </c>
      <c r="D1415" s="102" t="s">
        <v>1992</v>
      </c>
      <c r="E1415" s="469">
        <f>Table6[[#This Row],[Date]]-DAY(Table6[[#This Row],[Date]])+1</f>
        <v>45809</v>
      </c>
      <c r="F1415" s="470">
        <v>45838</v>
      </c>
      <c r="G1415" s="35" t="s">
        <v>93</v>
      </c>
      <c r="H1415" s="35" t="str">
        <f>IFERROR(_xlfn.XLOOKUP(Table6[[#This Row],[Affected WTG]],'Basic Data'!$A:$A,'Basic Data'!$B:$B),"")</f>
        <v>TQGXIIPL</v>
      </c>
      <c r="I1415" s="35" t="str">
        <f>IFERROR(_xlfn.XLOOKUP(Table6[[#This Row],[Affected WTG]],'Basic Data'!$A:$A,'Basic Data'!$C:$C),"")</f>
        <v>GEDA</v>
      </c>
      <c r="J1415" s="471">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291</v>
      </c>
      <c r="N1415" s="475"/>
      <c r="O1415" s="476">
        <v>0.44097222222222221</v>
      </c>
      <c r="P1415" s="476">
        <v>0.44097222222222221</v>
      </c>
      <c r="Q1415" s="477">
        <v>0.44236111111111109</v>
      </c>
      <c r="R1415" s="472">
        <f>IF(Table6[[#This Row],[Work Start TimeStamp]]="","",(Table6[[#This Row],[Work Start TimeStamp]]-Table6[[#This Row],[Fault Start TimeStamp]])*24)</f>
        <v>0</v>
      </c>
      <c r="S1415" s="472">
        <f>(Table6[[#This Row],[Fault Clearance time]]-Table6[[#This Row],[Work Start TimeStamp]])*24</f>
        <v>3.3333333333333215E-2</v>
      </c>
      <c r="T1415" s="472">
        <f>(Table6[[#This Row],[Fault Clearance time]]-Table6[[#This Row],[Fault Start TimeStamp]])*24</f>
        <v>3.3333333333333215E-2</v>
      </c>
      <c r="U1415" s="35" t="s">
        <v>1924</v>
      </c>
      <c r="V1415" s="102" t="s">
        <v>293</v>
      </c>
      <c r="W1415" s="478">
        <f>IFERROR(Table6[[#This Row],[Breakdown Time]]*Table6[[#This Row],[Plant Equivalent Weightage]],"")</f>
        <v>1.2820512820512771E-3</v>
      </c>
      <c r="X1415" s="473" t="s">
        <v>290</v>
      </c>
      <c r="Y1415" s="474" t="s">
        <v>314</v>
      </c>
      <c r="Z1415" s="102">
        <v>55787</v>
      </c>
      <c r="AA1415" s="468">
        <f>(Table6[[#This Row],[Paired WTG Generation for loss calculation]]/24)*Table6[[#This Row],[Breakdown Time]]</f>
        <v>77.481944444444167</v>
      </c>
      <c r="AB1415" s="102"/>
      <c r="AC1415" s="35"/>
      <c r="AD1415" s="35"/>
    </row>
    <row r="1416" spans="1:30">
      <c r="A1416" s="102">
        <f t="shared" si="22"/>
        <v>1415</v>
      </c>
      <c r="B1416" s="468">
        <f>YEAR(Table6[[#This Row],[Date]])+IF(MONTH(Table6[[#This Row],[Date]])&gt;=4,1,0)</f>
        <v>2026</v>
      </c>
      <c r="C1416" s="102">
        <f>YEAR(Table6[[#This Row],[Date]])</f>
        <v>2025</v>
      </c>
      <c r="D1416" s="102" t="s">
        <v>1992</v>
      </c>
      <c r="E1416" s="469">
        <f>Table6[[#This Row],[Date]]-DAY(Table6[[#This Row],[Date]])+1</f>
        <v>45809</v>
      </c>
      <c r="F1416" s="470">
        <v>45838</v>
      </c>
      <c r="G1416" s="35" t="s">
        <v>97</v>
      </c>
      <c r="H1416" s="35" t="str">
        <f>IFERROR(_xlfn.XLOOKUP(Table6[[#This Row],[Affected WTG]],'Basic Data'!$A:$A,'Basic Data'!$B:$B),"")</f>
        <v>TQGXIIPL</v>
      </c>
      <c r="I1416" s="35" t="str">
        <f>IFERROR(_xlfn.XLOOKUP(Table6[[#This Row],[Affected WTG]],'Basic Data'!$A:$A,'Basic Data'!$C:$C),"")</f>
        <v>GEDA</v>
      </c>
      <c r="J1416" s="471">
        <f>IFERROR(_xlfn.XLOOKUP(Table6[[#This Row],[Affected WTG]],'Basic Data'!$A:$A,'Basic Data'!$E:$E),"")</f>
        <v>3.846153846153845E-2</v>
      </c>
      <c r="K1416" s="102">
        <v>1070</v>
      </c>
      <c r="L1416" s="35" t="str">
        <f>IFERROR(_xlfn.XLOOKUP(Table6[[#This Row],[Error Code]],'Basic Data'!$AA:$AA,'Basic Data'!$AB:$AB),"Incorrect Error Code")</f>
        <v>Drive train monitor level 2</v>
      </c>
      <c r="M1416" s="35" t="s">
        <v>291</v>
      </c>
      <c r="N1416" s="475"/>
      <c r="O1416" s="476">
        <v>0.44027777777777777</v>
      </c>
      <c r="P1416" s="476">
        <v>0.44027777777777777</v>
      </c>
      <c r="Q1416" s="477">
        <v>0.44166666666666665</v>
      </c>
      <c r="R1416" s="472">
        <f>IF(Table6[[#This Row],[Work Start TimeStamp]]="","",(Table6[[#This Row],[Work Start TimeStamp]]-Table6[[#This Row],[Fault Start TimeStamp]])*24)</f>
        <v>0</v>
      </c>
      <c r="S1416" s="472">
        <f>(Table6[[#This Row],[Fault Clearance time]]-Table6[[#This Row],[Work Start TimeStamp]])*24</f>
        <v>3.3333333333333215E-2</v>
      </c>
      <c r="T1416" s="472">
        <f>(Table6[[#This Row],[Fault Clearance time]]-Table6[[#This Row],[Fault Start TimeStamp]])*24</f>
        <v>3.3333333333333215E-2</v>
      </c>
      <c r="U1416" s="35" t="s">
        <v>1924</v>
      </c>
      <c r="V1416" s="102" t="s">
        <v>293</v>
      </c>
      <c r="W1416" s="478">
        <f>IFERROR(Table6[[#This Row],[Breakdown Time]]*Table6[[#This Row],[Plant Equivalent Weightage]],"")</f>
        <v>1.2820512820512771E-3</v>
      </c>
      <c r="X1416" s="473" t="s">
        <v>290</v>
      </c>
      <c r="Y1416" s="474" t="s">
        <v>320</v>
      </c>
      <c r="Z1416" s="102">
        <v>55431</v>
      </c>
      <c r="AA1416" s="468">
        <f>(Table6[[#This Row],[Paired WTG Generation for loss calculation]]/24)*Table6[[#This Row],[Breakdown Time]]</f>
        <v>76.987499999999727</v>
      </c>
      <c r="AB1416" s="102"/>
      <c r="AC1416" s="35"/>
      <c r="AD1416" s="35"/>
    </row>
    <row r="1417" spans="1:30">
      <c r="A1417" s="102">
        <f t="shared" si="22"/>
        <v>1416</v>
      </c>
      <c r="B1417" s="468">
        <f>YEAR(Table6[[#This Row],[Date]])+IF(MONTH(Table6[[#This Row],[Date]])&gt;=4,1,0)</f>
        <v>2026</v>
      </c>
      <c r="C1417" s="102">
        <f>YEAR(Table6[[#This Row],[Date]])</f>
        <v>2025</v>
      </c>
      <c r="D1417" s="102" t="s">
        <v>1992</v>
      </c>
      <c r="E1417" s="469">
        <f>Table6[[#This Row],[Date]]-DAY(Table6[[#This Row],[Date]])+1</f>
        <v>45809</v>
      </c>
      <c r="F1417" s="470">
        <v>45838</v>
      </c>
      <c r="G1417" s="35" t="s">
        <v>97</v>
      </c>
      <c r="H1417" s="35" t="str">
        <f>IFERROR(_xlfn.XLOOKUP(Table6[[#This Row],[Affected WTG]],'Basic Data'!$A:$A,'Basic Data'!$B:$B),"")</f>
        <v>TQGXIIPL</v>
      </c>
      <c r="I1417" s="35" t="str">
        <f>IFERROR(_xlfn.XLOOKUP(Table6[[#This Row],[Affected WTG]],'Basic Data'!$A:$A,'Basic Data'!$C:$C),"")</f>
        <v>GEDA</v>
      </c>
      <c r="J1417" s="471">
        <f>IFERROR(_xlfn.XLOOKUP(Table6[[#This Row],[Affected WTG]],'Basic Data'!$A:$A,'Basic Data'!$E:$E),"")</f>
        <v>3.846153846153845E-2</v>
      </c>
      <c r="K1417" s="102">
        <v>4540</v>
      </c>
      <c r="L1417" s="35" t="str">
        <f>IFERROR(_xlfn.XLOOKUP(Table6[[#This Row],[Error Code]],'Basic Data'!$AA:$AA,'Basic Data'!$AB:$AB),"Incorrect Error Code")</f>
        <v>Tower oscillation X level 2</v>
      </c>
      <c r="M1417" s="35" t="s">
        <v>292</v>
      </c>
      <c r="N1417" s="475"/>
      <c r="O1417" s="476">
        <v>0.57499999999999996</v>
      </c>
      <c r="P1417" s="476">
        <v>0.57499999999999996</v>
      </c>
      <c r="Q1417" s="477">
        <v>0.58402777777777781</v>
      </c>
      <c r="R1417" s="472">
        <f>IF(Table6[[#This Row],[Work Start TimeStamp]]="","",(Table6[[#This Row],[Work Start TimeStamp]]-Table6[[#This Row],[Fault Start TimeStamp]])*24)</f>
        <v>0</v>
      </c>
      <c r="S1417" s="472">
        <f>(Table6[[#This Row],[Fault Clearance time]]-Table6[[#This Row],[Work Start TimeStamp]])*24</f>
        <v>0.21666666666666856</v>
      </c>
      <c r="T1417" s="472">
        <f>(Table6[[#This Row],[Fault Clearance time]]-Table6[[#This Row],[Fault Start TimeStamp]])*24</f>
        <v>0.21666666666666856</v>
      </c>
      <c r="U1417" s="35" t="s">
        <v>336</v>
      </c>
      <c r="V1417" s="102" t="s">
        <v>293</v>
      </c>
      <c r="W1417" s="478">
        <f>IFERROR(Table6[[#This Row],[Breakdown Time]]*Table6[[#This Row],[Plant Equivalent Weightage]],"")</f>
        <v>8.3333333333334043E-3</v>
      </c>
      <c r="X1417" s="473" t="s">
        <v>294</v>
      </c>
      <c r="Y1417" s="474" t="s">
        <v>320</v>
      </c>
      <c r="Z1417" s="102">
        <v>55431</v>
      </c>
      <c r="AA1417" s="468">
        <f>(Table6[[#This Row],[Paired WTG Generation for loss calculation]]/24)*Table6[[#This Row],[Breakdown Time]]</f>
        <v>500.41875000000437</v>
      </c>
      <c r="AB1417" s="102"/>
      <c r="AC1417" s="35"/>
      <c r="AD1417" s="35"/>
    </row>
    <row r="1418" spans="1:30">
      <c r="A1418" s="102">
        <f t="shared" si="22"/>
        <v>1417</v>
      </c>
      <c r="B1418" s="468">
        <f>YEAR(Table6[[#This Row],[Date]])+IF(MONTH(Table6[[#This Row],[Date]])&gt;=4,1,0)</f>
        <v>2026</v>
      </c>
      <c r="C1418" s="102">
        <f>YEAR(Table6[[#This Row],[Date]])</f>
        <v>2025</v>
      </c>
      <c r="D1418" s="102" t="s">
        <v>1992</v>
      </c>
      <c r="E1418" s="469">
        <f>Table6[[#This Row],[Date]]-DAY(Table6[[#This Row],[Date]])+1</f>
        <v>45809</v>
      </c>
      <c r="F1418" s="470">
        <v>45838</v>
      </c>
      <c r="G1418" s="35" t="s">
        <v>85</v>
      </c>
      <c r="H1418" s="35" t="str">
        <f>IFERROR(_xlfn.XLOOKUP(Table6[[#This Row],[Affected WTG]],'Basic Data'!$A:$A,'Basic Data'!$B:$B),"")</f>
        <v>TQGXIIPL</v>
      </c>
      <c r="I1418" s="35" t="str">
        <f>IFERROR(_xlfn.XLOOKUP(Table6[[#This Row],[Affected WTG]],'Basic Data'!$A:$A,'Basic Data'!$C:$C),"")</f>
        <v>GEDA</v>
      </c>
      <c r="J1418" s="471">
        <f>IFERROR(_xlfn.XLOOKUP(Table6[[#This Row],[Affected WTG]],'Basic Data'!$A:$A,'Basic Data'!$E:$E),"")</f>
        <v>3.846153846153845E-2</v>
      </c>
      <c r="K1418" s="102">
        <v>55</v>
      </c>
      <c r="L1418" s="35" t="str">
        <f>IFERROR(_xlfn.XLOOKUP(Table6[[#This Row],[Error Code]],'Basic Data'!$AA:$AA,'Basic Data'!$AB:$AB),"Incorrect Error Code")</f>
        <v>WTG shut down</v>
      </c>
      <c r="M1418" s="35" t="s">
        <v>295</v>
      </c>
      <c r="N1418" s="475"/>
      <c r="O1418" s="476">
        <v>0</v>
      </c>
      <c r="P1418" s="476">
        <v>0</v>
      </c>
      <c r="Q1418" s="477">
        <v>0.99998842592592596</v>
      </c>
      <c r="R1418" s="472">
        <f>IF(Table6[[#This Row],[Work Start TimeStamp]]="","",(Table6[[#This Row],[Work Start TimeStamp]]-Table6[[#This Row],[Fault Start TimeStamp]])*24)</f>
        <v>0</v>
      </c>
      <c r="S1418" s="472">
        <f>(Table6[[#This Row],[Fault Clearance time]]-Table6[[#This Row],[Work Start TimeStamp]])*24</f>
        <v>23.999722222222225</v>
      </c>
      <c r="T1418" s="472">
        <f>(Table6[[#This Row],[Fault Clearance time]]-Table6[[#This Row],[Fault Start TimeStamp]])*24</f>
        <v>23.999722222222225</v>
      </c>
      <c r="U1418" s="35" t="s">
        <v>2028</v>
      </c>
      <c r="V1418" s="102" t="s">
        <v>293</v>
      </c>
      <c r="W1418" s="478">
        <f>IFERROR(Table6[[#This Row],[Breakdown Time]]*Table6[[#This Row],[Plant Equivalent Weightage]],"")</f>
        <v>0.9230662393162391</v>
      </c>
      <c r="X1418" s="473" t="s">
        <v>523</v>
      </c>
      <c r="Y1418" s="474" t="s">
        <v>322</v>
      </c>
      <c r="Z1418" s="102">
        <v>53754</v>
      </c>
      <c r="AA1418" s="468">
        <f>(Table6[[#This Row],[Paired WTG Generation for loss calculation]]/24)*Table6[[#This Row],[Breakdown Time]]</f>
        <v>53753.377847222226</v>
      </c>
      <c r="AB1418" s="102"/>
      <c r="AC1418" s="35"/>
      <c r="AD1418" s="35"/>
    </row>
    <row r="1419" spans="1:30">
      <c r="A1419" s="102">
        <f t="shared" si="22"/>
        <v>1418</v>
      </c>
      <c r="B1419" s="468">
        <f>YEAR(Table6[[#This Row],[Date]])+IF(MONTH(Table6[[#This Row],[Date]])&gt;=4,1,0)</f>
        <v>2026</v>
      </c>
      <c r="C1419" s="102">
        <f>YEAR(Table6[[#This Row],[Date]])</f>
        <v>2025</v>
      </c>
      <c r="D1419" s="102" t="s">
        <v>1992</v>
      </c>
      <c r="E1419" s="469">
        <f>Table6[[#This Row],[Date]]-DAY(Table6[[#This Row],[Date]])+1</f>
        <v>45839</v>
      </c>
      <c r="F1419" s="470">
        <v>45839</v>
      </c>
      <c r="G1419" s="35" t="s">
        <v>75</v>
      </c>
      <c r="H1419" s="35" t="str">
        <f>IFERROR(_xlfn.XLOOKUP(Table6[[#This Row],[Affected WTG]],'Basic Data'!$A:$A,'Basic Data'!$B:$B),"")</f>
        <v>TQGXIIPL</v>
      </c>
      <c r="I1419" s="35" t="str">
        <f>IFERROR(_xlfn.XLOOKUP(Table6[[#This Row],[Affected WTG]],'Basic Data'!$A:$A,'Basic Data'!$C:$C),"")</f>
        <v>GEDA</v>
      </c>
      <c r="J1419" s="471">
        <f>IFERROR(_xlfn.XLOOKUP(Table6[[#This Row],[Affected WTG]],'Basic Data'!$A:$A,'Basic Data'!$E:$E),"")</f>
        <v>3.846153846153845E-2</v>
      </c>
      <c r="K1419" s="102">
        <v>650</v>
      </c>
      <c r="L1419" s="35" t="str">
        <f>IFERROR(_xlfn.XLOOKUP(Table6[[#This Row],[Error Code]],'Basic Data'!$AA:$AA,'Basic Data'!$AB:$AB),"Incorrect Error Code")</f>
        <v>Pitch controller communication error</v>
      </c>
      <c r="M1419" s="35" t="s">
        <v>291</v>
      </c>
      <c r="N1419" s="475"/>
      <c r="O1419" s="476">
        <v>0.55763888888888891</v>
      </c>
      <c r="P1419" s="476">
        <v>0.55763888888888891</v>
      </c>
      <c r="Q1419" s="477">
        <v>0.57013888888888886</v>
      </c>
      <c r="R1419" s="472">
        <f>IF(Table6[[#This Row],[Work Start TimeStamp]]="","",(Table6[[#This Row],[Work Start TimeStamp]]-Table6[[#This Row],[Fault Start TimeStamp]])*24)</f>
        <v>0</v>
      </c>
      <c r="S1419" s="472">
        <f>(Table6[[#This Row],[Fault Clearance time]]-Table6[[#This Row],[Work Start TimeStamp]])*24</f>
        <v>0.29999999999999893</v>
      </c>
      <c r="T1419" s="472">
        <f>(Table6[[#This Row],[Fault Clearance time]]-Table6[[#This Row],[Fault Start TimeStamp]])*24</f>
        <v>0.29999999999999893</v>
      </c>
      <c r="U1419" s="35" t="s">
        <v>372</v>
      </c>
      <c r="V1419" s="102" t="s">
        <v>293</v>
      </c>
      <c r="W1419" s="478">
        <f>IFERROR(Table6[[#This Row],[Breakdown Time]]*Table6[[#This Row],[Plant Equivalent Weightage]],"")</f>
        <v>1.1538461538461494E-2</v>
      </c>
      <c r="X1419" s="473" t="s">
        <v>290</v>
      </c>
      <c r="Y1419" s="474" t="s">
        <v>318</v>
      </c>
      <c r="Z1419" s="102">
        <v>37135</v>
      </c>
      <c r="AA1419" s="468">
        <f>(Table6[[#This Row],[Paired WTG Generation for loss calculation]]/24)*Table6[[#This Row],[Breakdown Time]]</f>
        <v>464.18749999999835</v>
      </c>
      <c r="AB1419" s="102"/>
      <c r="AC1419" s="35"/>
      <c r="AD1419" s="35"/>
    </row>
    <row r="1420" spans="1:30">
      <c r="A1420" s="102">
        <f t="shared" si="22"/>
        <v>1419</v>
      </c>
      <c r="B1420" s="468">
        <f>YEAR(Table6[[#This Row],[Date]])+IF(MONTH(Table6[[#This Row],[Date]])&gt;=4,1,0)</f>
        <v>2026</v>
      </c>
      <c r="C1420" s="102">
        <f>YEAR(Table6[[#This Row],[Date]])</f>
        <v>2025</v>
      </c>
      <c r="D1420" s="102" t="s">
        <v>1992</v>
      </c>
      <c r="E1420" s="469">
        <f>Table6[[#This Row],[Date]]-DAY(Table6[[#This Row],[Date]])+1</f>
        <v>45839</v>
      </c>
      <c r="F1420" s="470">
        <v>45839</v>
      </c>
      <c r="G1420" s="35" t="s">
        <v>75</v>
      </c>
      <c r="H1420" s="35" t="str">
        <f>IFERROR(_xlfn.XLOOKUP(Table6[[#This Row],[Affected WTG]],'Basic Data'!$A:$A,'Basic Data'!$B:$B),"")</f>
        <v>TQGXIIPL</v>
      </c>
      <c r="I1420" s="35" t="str">
        <f>IFERROR(_xlfn.XLOOKUP(Table6[[#This Row],[Affected WTG]],'Basic Data'!$A:$A,'Basic Data'!$C:$C),"")</f>
        <v>GEDA</v>
      </c>
      <c r="J1420" s="471">
        <f>IFERROR(_xlfn.XLOOKUP(Table6[[#This Row],[Affected WTG]],'Basic Data'!$A:$A,'Basic Data'!$E:$E),"")</f>
        <v>3.846153846153845E-2</v>
      </c>
      <c r="K1420" s="102">
        <v>3211</v>
      </c>
      <c r="L1420" s="35" t="str">
        <f>IFERROR(_xlfn.XLOOKUP(Table6[[#This Row],[Error Code]],'Basic Data'!$AA:$AA,'Basic Data'!$AB:$AB),"Incorrect Error Code")</f>
        <v>Conv. load shedding (CAN)</v>
      </c>
      <c r="M1420" s="35" t="s">
        <v>291</v>
      </c>
      <c r="N1420" s="475"/>
      <c r="O1420" s="476">
        <v>0.64861111111111114</v>
      </c>
      <c r="P1420" s="476">
        <v>0.64861111111111114</v>
      </c>
      <c r="Q1420" s="477">
        <v>0.65208333333333335</v>
      </c>
      <c r="R1420" s="472">
        <f>IF(Table6[[#This Row],[Work Start TimeStamp]]="","",(Table6[[#This Row],[Work Start TimeStamp]]-Table6[[#This Row],[Fault Start TimeStamp]])*24)</f>
        <v>0</v>
      </c>
      <c r="S1420" s="472">
        <f>(Table6[[#This Row],[Fault Clearance time]]-Table6[[#This Row],[Work Start TimeStamp]])*24</f>
        <v>8.3333333333333037E-2</v>
      </c>
      <c r="T1420" s="472">
        <f>(Table6[[#This Row],[Fault Clearance time]]-Table6[[#This Row],[Fault Start TimeStamp]])*24</f>
        <v>8.3333333333333037E-2</v>
      </c>
      <c r="U1420" s="35" t="s">
        <v>1924</v>
      </c>
      <c r="V1420" s="102" t="s">
        <v>293</v>
      </c>
      <c r="W1420" s="478">
        <f>IFERROR(Table6[[#This Row],[Breakdown Time]]*Table6[[#This Row],[Plant Equivalent Weightage]],"")</f>
        <v>3.2051282051281929E-3</v>
      </c>
      <c r="X1420" s="473" t="s">
        <v>290</v>
      </c>
      <c r="Y1420" s="474" t="s">
        <v>318</v>
      </c>
      <c r="Z1420" s="102">
        <v>37135</v>
      </c>
      <c r="AA1420" s="468">
        <f>(Table6[[#This Row],[Paired WTG Generation for loss calculation]]/24)*Table6[[#This Row],[Breakdown Time]]</f>
        <v>128.94097222222177</v>
      </c>
      <c r="AB1420" s="102"/>
      <c r="AC1420" s="35"/>
      <c r="AD1420" s="35"/>
    </row>
    <row r="1421" spans="1:30">
      <c r="A1421" s="102">
        <f t="shared" si="22"/>
        <v>1420</v>
      </c>
      <c r="B1421" s="468">
        <f>YEAR(Table6[[#This Row],[Date]])+IF(MONTH(Table6[[#This Row],[Date]])&gt;=4,1,0)</f>
        <v>2026</v>
      </c>
      <c r="C1421" s="102">
        <f>YEAR(Table6[[#This Row],[Date]])</f>
        <v>2025</v>
      </c>
      <c r="D1421" s="102" t="s">
        <v>1992</v>
      </c>
      <c r="E1421" s="469">
        <f>Table6[[#This Row],[Date]]-DAY(Table6[[#This Row],[Date]])+1</f>
        <v>45839</v>
      </c>
      <c r="F1421" s="470">
        <v>45839</v>
      </c>
      <c r="G1421" s="35" t="s">
        <v>76</v>
      </c>
      <c r="H1421" s="35" t="str">
        <f>IFERROR(_xlfn.XLOOKUP(Table6[[#This Row],[Affected WTG]],'Basic Data'!$A:$A,'Basic Data'!$B:$B),"")</f>
        <v>TQGXIIPL</v>
      </c>
      <c r="I1421" s="35" t="str">
        <f>IFERROR(_xlfn.XLOOKUP(Table6[[#This Row],[Affected WTG]],'Basic Data'!$A:$A,'Basic Data'!$C:$C),"")</f>
        <v>GEDA</v>
      </c>
      <c r="J1421" s="471">
        <f>IFERROR(_xlfn.XLOOKUP(Table6[[#This Row],[Affected WTG]],'Basic Data'!$A:$A,'Basic Data'!$E:$E),"")</f>
        <v>3.846153846153845E-2</v>
      </c>
      <c r="K1421" s="102">
        <v>641</v>
      </c>
      <c r="L1421" s="35" t="str">
        <f>IFERROR(_xlfn.XLOOKUP(Table6[[#This Row],[Error Code]],'Basic Data'!$AA:$AA,'Basic Data'!$AB:$AB),"Incorrect Error Code")</f>
        <v>Sim.angle E enc. &lt;&gt; act.angle 1</v>
      </c>
      <c r="M1421" s="35" t="s">
        <v>291</v>
      </c>
      <c r="N1421" s="475"/>
      <c r="O1421" s="476">
        <v>0.55763888888888891</v>
      </c>
      <c r="P1421" s="476">
        <v>0.63888888888888884</v>
      </c>
      <c r="Q1421" s="477">
        <v>0.74097222222222225</v>
      </c>
      <c r="R1421" s="472">
        <f>IF(Table6[[#This Row],[Work Start TimeStamp]]="","",(Table6[[#This Row],[Work Start TimeStamp]]-Table6[[#This Row],[Fault Start TimeStamp]])*24)</f>
        <v>1.9499999999999984</v>
      </c>
      <c r="S1421" s="472">
        <f>(Table6[[#This Row],[Fault Clearance time]]-Table6[[#This Row],[Work Start TimeStamp]])*24</f>
        <v>2.450000000000002</v>
      </c>
      <c r="T1421" s="472">
        <f>(Table6[[#This Row],[Fault Clearance time]]-Table6[[#This Row],[Fault Start TimeStamp]])*24</f>
        <v>4.4000000000000004</v>
      </c>
      <c r="U1421" s="35" t="s">
        <v>2029</v>
      </c>
      <c r="V1421" s="102" t="s">
        <v>293</v>
      </c>
      <c r="W1421" s="478">
        <f>IFERROR(Table6[[#This Row],[Breakdown Time]]*Table6[[#This Row],[Plant Equivalent Weightage]],"")</f>
        <v>0.16923076923076918</v>
      </c>
      <c r="X1421" s="473" t="s">
        <v>290</v>
      </c>
      <c r="Y1421" s="474" t="s">
        <v>309</v>
      </c>
      <c r="Z1421" s="102">
        <v>35286</v>
      </c>
      <c r="AA1421" s="468">
        <f>(Table6[[#This Row],[Paired WTG Generation for loss calculation]]/24)*Table6[[#This Row],[Breakdown Time]]</f>
        <v>6469.1</v>
      </c>
      <c r="AB1421" s="102"/>
      <c r="AC1421" s="35"/>
      <c r="AD1421" s="35"/>
    </row>
    <row r="1422" spans="1:30">
      <c r="A1422" s="102">
        <f t="shared" ref="A1422:A1486" si="23">A1421+1</f>
        <v>1421</v>
      </c>
      <c r="B1422" s="468">
        <f>YEAR(Table6[[#This Row],[Date]])+IF(MONTH(Table6[[#This Row],[Date]])&gt;=4,1,0)</f>
        <v>2026</v>
      </c>
      <c r="C1422" s="102">
        <f>YEAR(Table6[[#This Row],[Date]])</f>
        <v>2025</v>
      </c>
      <c r="D1422" s="102" t="s">
        <v>1992</v>
      </c>
      <c r="E1422" s="469">
        <f>Table6[[#This Row],[Date]]-DAY(Table6[[#This Row],[Date]])+1</f>
        <v>45839</v>
      </c>
      <c r="F1422" s="470">
        <v>45839</v>
      </c>
      <c r="G1422" s="35" t="s">
        <v>77</v>
      </c>
      <c r="H1422" s="35" t="str">
        <f>IFERROR(_xlfn.XLOOKUP(Table6[[#This Row],[Affected WTG]],'Basic Data'!$A:$A,'Basic Data'!$B:$B),"")</f>
        <v>TQGXIIPL</v>
      </c>
      <c r="I1422" s="35" t="str">
        <f>IFERROR(_xlfn.XLOOKUP(Table6[[#This Row],[Affected WTG]],'Basic Data'!$A:$A,'Basic Data'!$C:$C),"")</f>
        <v>GEDA</v>
      </c>
      <c r="J1422" s="471">
        <f>IFERROR(_xlfn.XLOOKUP(Table6[[#This Row],[Affected WTG]],'Basic Data'!$A:$A,'Basic Data'!$E:$E),"")</f>
        <v>3.846153846153845E-2</v>
      </c>
      <c r="K1422" s="102">
        <v>6130</v>
      </c>
      <c r="L1422" s="35" t="str">
        <f>IFERROR(_xlfn.XLOOKUP(Table6[[#This Row],[Error Code]],'Basic Data'!$AA:$AA,'Basic Data'!$AB:$AB),"Incorrect Error Code")</f>
        <v>Yaw speed high</v>
      </c>
      <c r="M1422" s="35" t="s">
        <v>292</v>
      </c>
      <c r="N1422" s="475"/>
      <c r="O1422" s="476">
        <v>0.44791666666666669</v>
      </c>
      <c r="P1422" s="476">
        <v>0.44791666666666669</v>
      </c>
      <c r="Q1422" s="477">
        <v>0.45</v>
      </c>
      <c r="R1422" s="472">
        <f>IF(Table6[[#This Row],[Work Start TimeStamp]]="","",(Table6[[#This Row],[Work Start TimeStamp]]-Table6[[#This Row],[Fault Start TimeStamp]])*24)</f>
        <v>0</v>
      </c>
      <c r="S1422" s="472">
        <f>(Table6[[#This Row],[Fault Clearance time]]-Table6[[#This Row],[Work Start TimeStamp]])*24</f>
        <v>4.9999999999999822E-2</v>
      </c>
      <c r="T1422" s="472">
        <f>(Table6[[#This Row],[Fault Clearance time]]-Table6[[#This Row],[Fault Start TimeStamp]])*24</f>
        <v>4.9999999999999822E-2</v>
      </c>
      <c r="U1422" s="35" t="s">
        <v>336</v>
      </c>
      <c r="V1422" s="102" t="s">
        <v>293</v>
      </c>
      <c r="W1422" s="478">
        <f>IFERROR(Table6[[#This Row],[Breakdown Time]]*Table6[[#This Row],[Plant Equivalent Weightage]],"")</f>
        <v>1.9230769230769156E-3</v>
      </c>
      <c r="X1422" s="473" t="s">
        <v>294</v>
      </c>
      <c r="Y1422" s="474" t="s">
        <v>310</v>
      </c>
      <c r="Z1422" s="102">
        <v>30187</v>
      </c>
      <c r="AA1422" s="468">
        <f>(Table6[[#This Row],[Paired WTG Generation for loss calculation]]/24)*Table6[[#This Row],[Breakdown Time]]</f>
        <v>62.889583333333114</v>
      </c>
      <c r="AB1422" s="102"/>
      <c r="AC1422" s="35"/>
      <c r="AD1422" s="35"/>
    </row>
    <row r="1423" spans="1:30">
      <c r="A1423" s="102">
        <f t="shared" si="23"/>
        <v>1422</v>
      </c>
      <c r="B1423" s="468">
        <f>YEAR(Table6[[#This Row],[Date]])+IF(MONTH(Table6[[#This Row],[Date]])&gt;=4,1,0)</f>
        <v>2026</v>
      </c>
      <c r="C1423" s="102">
        <f>YEAR(Table6[[#This Row],[Date]])</f>
        <v>2025</v>
      </c>
      <c r="D1423" s="102" t="s">
        <v>1992</v>
      </c>
      <c r="E1423" s="469">
        <f>Table6[[#This Row],[Date]]-DAY(Table6[[#This Row],[Date]])+1</f>
        <v>45839</v>
      </c>
      <c r="F1423" s="470">
        <v>45839</v>
      </c>
      <c r="G1423" s="35" t="s">
        <v>78</v>
      </c>
      <c r="H1423" s="35" t="str">
        <f>IFERROR(_xlfn.XLOOKUP(Table6[[#This Row],[Affected WTG]],'Basic Data'!$A:$A,'Basic Data'!$B:$B),"")</f>
        <v>TQGXIIPL</v>
      </c>
      <c r="I1423" s="35" t="str">
        <f>IFERROR(_xlfn.XLOOKUP(Table6[[#This Row],[Affected WTG]],'Basic Data'!$A:$A,'Basic Data'!$C:$C),"")</f>
        <v>GEDA</v>
      </c>
      <c r="J1423" s="471">
        <f>IFERROR(_xlfn.XLOOKUP(Table6[[#This Row],[Affected WTG]],'Basic Data'!$A:$A,'Basic Data'!$E:$E),"")</f>
        <v>3.846153846153845E-2</v>
      </c>
      <c r="K1423" s="102">
        <v>3211</v>
      </c>
      <c r="L1423" s="35" t="str">
        <f>IFERROR(_xlfn.XLOOKUP(Table6[[#This Row],[Error Code]],'Basic Data'!$AA:$AA,'Basic Data'!$AB:$AB),"Incorrect Error Code")</f>
        <v>Conv. load shedding (CAN)</v>
      </c>
      <c r="M1423" s="35" t="s">
        <v>291</v>
      </c>
      <c r="N1423" s="475"/>
      <c r="O1423" s="476">
        <v>0.35555555555555557</v>
      </c>
      <c r="P1423" s="476">
        <v>0.35555555555555557</v>
      </c>
      <c r="Q1423" s="477">
        <v>0.3576388888888889</v>
      </c>
      <c r="R1423" s="472">
        <f>IF(Table6[[#This Row],[Work Start TimeStamp]]="","",(Table6[[#This Row],[Work Start TimeStamp]]-Table6[[#This Row],[Fault Start TimeStamp]])*24)</f>
        <v>0</v>
      </c>
      <c r="S1423" s="472">
        <f>(Table6[[#This Row],[Fault Clearance time]]-Table6[[#This Row],[Work Start TimeStamp]])*24</f>
        <v>4.9999999999999822E-2</v>
      </c>
      <c r="T1423" s="472">
        <f>(Table6[[#This Row],[Fault Clearance time]]-Table6[[#This Row],[Fault Start TimeStamp]])*24</f>
        <v>4.9999999999999822E-2</v>
      </c>
      <c r="U1423" s="35" t="s">
        <v>1924</v>
      </c>
      <c r="V1423" s="102" t="s">
        <v>293</v>
      </c>
      <c r="W1423" s="478">
        <f>IFERROR(Table6[[#This Row],[Breakdown Time]]*Table6[[#This Row],[Plant Equivalent Weightage]],"")</f>
        <v>1.9230769230769156E-3</v>
      </c>
      <c r="X1423" s="473" t="s">
        <v>290</v>
      </c>
      <c r="Y1423" s="474" t="s">
        <v>333</v>
      </c>
      <c r="Z1423" s="102">
        <v>35634</v>
      </c>
      <c r="AA1423" s="468">
        <f>(Table6[[#This Row],[Paired WTG Generation for loss calculation]]/24)*Table6[[#This Row],[Breakdown Time]]</f>
        <v>74.237499999999741</v>
      </c>
      <c r="AB1423" s="102"/>
      <c r="AC1423" s="35"/>
      <c r="AD1423" s="35"/>
    </row>
    <row r="1424" spans="1:30">
      <c r="A1424" s="102">
        <f t="shared" si="23"/>
        <v>1423</v>
      </c>
      <c r="B1424" s="468">
        <f>YEAR(Table6[[#This Row],[Date]])+IF(MONTH(Table6[[#This Row],[Date]])&gt;=4,1,0)</f>
        <v>2026</v>
      </c>
      <c r="C1424" s="102">
        <f>YEAR(Table6[[#This Row],[Date]])</f>
        <v>2025</v>
      </c>
      <c r="D1424" s="102" t="s">
        <v>1992</v>
      </c>
      <c r="E1424" s="469">
        <f>Table6[[#This Row],[Date]]-DAY(Table6[[#This Row],[Date]])+1</f>
        <v>45839</v>
      </c>
      <c r="F1424" s="470">
        <v>45839</v>
      </c>
      <c r="G1424" s="35" t="s">
        <v>79</v>
      </c>
      <c r="H1424" s="35" t="str">
        <f>IFERROR(_xlfn.XLOOKUP(Table6[[#This Row],[Affected WTG]],'Basic Data'!$A:$A,'Basic Data'!$B:$B),"")</f>
        <v>TQGXIIPL</v>
      </c>
      <c r="I1424" s="35" t="str">
        <f>IFERROR(_xlfn.XLOOKUP(Table6[[#This Row],[Affected WTG]],'Basic Data'!$A:$A,'Basic Data'!$C:$C),"")</f>
        <v>GEDA</v>
      </c>
      <c r="J1424" s="471">
        <f>IFERROR(_xlfn.XLOOKUP(Table6[[#This Row],[Affected WTG]],'Basic Data'!$A:$A,'Basic Data'!$E:$E),"")</f>
        <v>3.846153846153845E-2</v>
      </c>
      <c r="K1424" s="102">
        <v>700</v>
      </c>
      <c r="L1424" s="35" t="str">
        <f>IFERROR(_xlfn.XLOOKUP(Table6[[#This Row],[Error Code]],'Basic Data'!$AA:$AA,'Basic Data'!$AB:$AB),"Incorrect Error Code")</f>
        <v>Batt. undervoltage/overvoltage</v>
      </c>
      <c r="M1424" s="35" t="s">
        <v>291</v>
      </c>
      <c r="N1424" s="475"/>
      <c r="O1424" s="476">
        <v>0.35972222222222222</v>
      </c>
      <c r="P1424" s="476">
        <v>0.35972222222222222</v>
      </c>
      <c r="Q1424" s="477">
        <v>0.38680555555555557</v>
      </c>
      <c r="R1424" s="472">
        <f>IF(Table6[[#This Row],[Work Start TimeStamp]]="","",(Table6[[#This Row],[Work Start TimeStamp]]-Table6[[#This Row],[Fault Start TimeStamp]])*24)</f>
        <v>0</v>
      </c>
      <c r="S1424" s="472">
        <f>(Table6[[#This Row],[Fault Clearance time]]-Table6[[#This Row],[Work Start TimeStamp]])*24</f>
        <v>0.65000000000000036</v>
      </c>
      <c r="T1424" s="472">
        <f>(Table6[[#This Row],[Fault Clearance time]]-Table6[[#This Row],[Fault Start TimeStamp]])*24</f>
        <v>0.65000000000000036</v>
      </c>
      <c r="U1424" s="35" t="s">
        <v>1924</v>
      </c>
      <c r="V1424" s="102" t="s">
        <v>293</v>
      </c>
      <c r="W1424" s="478">
        <f>IFERROR(Table6[[#This Row],[Breakdown Time]]*Table6[[#This Row],[Plant Equivalent Weightage]],"")</f>
        <v>2.5000000000000005E-2</v>
      </c>
      <c r="X1424" s="473" t="s">
        <v>290</v>
      </c>
      <c r="Y1424" s="474" t="s">
        <v>325</v>
      </c>
      <c r="Z1424" s="102">
        <v>42013</v>
      </c>
      <c r="AA1424" s="468">
        <f>(Table6[[#This Row],[Paired WTG Generation for loss calculation]]/24)*Table6[[#This Row],[Breakdown Time]]</f>
        <v>1137.8520833333339</v>
      </c>
      <c r="AB1424" s="102"/>
      <c r="AC1424" s="35"/>
      <c r="AD1424" s="35"/>
    </row>
    <row r="1425" spans="1:30">
      <c r="A1425" s="102">
        <f t="shared" si="23"/>
        <v>1424</v>
      </c>
      <c r="B1425" s="468">
        <f>YEAR(Table6[[#This Row],[Date]])+IF(MONTH(Table6[[#This Row],[Date]])&gt;=4,1,0)</f>
        <v>2026</v>
      </c>
      <c r="C1425" s="102">
        <f>YEAR(Table6[[#This Row],[Date]])</f>
        <v>2025</v>
      </c>
      <c r="D1425" s="102" t="s">
        <v>1992</v>
      </c>
      <c r="E1425" s="469">
        <f>Table6[[#This Row],[Date]]-DAY(Table6[[#This Row],[Date]])+1</f>
        <v>45839</v>
      </c>
      <c r="F1425" s="470">
        <v>45839</v>
      </c>
      <c r="G1425" s="35" t="s">
        <v>84</v>
      </c>
      <c r="H1425" s="35" t="str">
        <f>IFERROR(_xlfn.XLOOKUP(Table6[[#This Row],[Affected WTG]],'Basic Data'!$A:$A,'Basic Data'!$B:$B),"")</f>
        <v>TQGXIIPL</v>
      </c>
      <c r="I1425" s="35" t="str">
        <f>IFERROR(_xlfn.XLOOKUP(Table6[[#This Row],[Affected WTG]],'Basic Data'!$A:$A,'Basic Data'!$C:$C),"")</f>
        <v>GEDA</v>
      </c>
      <c r="J1425" s="471">
        <f>IFERROR(_xlfn.XLOOKUP(Table6[[#This Row],[Affected WTG]],'Basic Data'!$A:$A,'Basic Data'!$E:$E),"")</f>
        <v>3.846153846153845E-2</v>
      </c>
      <c r="K1425" s="102">
        <v>665</v>
      </c>
      <c r="L1425" s="35" t="str">
        <f>IFERROR(_xlfn.XLOOKUP(Table6[[#This Row],[Error Code]],'Basic Data'!$AA:$AA,'Basic Data'!$AB:$AB),"Incorrect Error Code")</f>
        <v>Pitch error</v>
      </c>
      <c r="M1425" s="35" t="s">
        <v>291</v>
      </c>
      <c r="N1425" s="475"/>
      <c r="O1425" s="476">
        <v>0.35</v>
      </c>
      <c r="P1425" s="476">
        <v>0.35</v>
      </c>
      <c r="Q1425" s="477">
        <v>0.35347222222222224</v>
      </c>
      <c r="R1425" s="472">
        <f>IF(Table6[[#This Row],[Work Start TimeStamp]]="","",(Table6[[#This Row],[Work Start TimeStamp]]-Table6[[#This Row],[Fault Start TimeStamp]])*24)</f>
        <v>0</v>
      </c>
      <c r="S1425" s="472">
        <f>(Table6[[#This Row],[Fault Clearance time]]-Table6[[#This Row],[Work Start TimeStamp]])*24</f>
        <v>8.333333333333437E-2</v>
      </c>
      <c r="T1425" s="472">
        <f>(Table6[[#This Row],[Fault Clearance time]]-Table6[[#This Row],[Fault Start TimeStamp]])*24</f>
        <v>8.333333333333437E-2</v>
      </c>
      <c r="U1425" s="35" t="s">
        <v>1924</v>
      </c>
      <c r="V1425" s="102" t="s">
        <v>293</v>
      </c>
      <c r="W1425" s="478">
        <f>IFERROR(Table6[[#This Row],[Breakdown Time]]*Table6[[#This Row],[Plant Equivalent Weightage]],"")</f>
        <v>3.205128205128244E-3</v>
      </c>
      <c r="X1425" s="473" t="s">
        <v>290</v>
      </c>
      <c r="Y1425" s="474" t="s">
        <v>326</v>
      </c>
      <c r="Z1425" s="102">
        <v>31527</v>
      </c>
      <c r="AA1425" s="468">
        <f>(Table6[[#This Row],[Paired WTG Generation for loss calculation]]/24)*Table6[[#This Row],[Breakdown Time]]</f>
        <v>109.46875000000136</v>
      </c>
      <c r="AB1425" s="102"/>
      <c r="AC1425" s="35"/>
      <c r="AD1425" s="35"/>
    </row>
    <row r="1426" spans="1:30">
      <c r="A1426" s="102">
        <f t="shared" si="23"/>
        <v>1425</v>
      </c>
      <c r="B1426" s="468">
        <f>YEAR(Table6[[#This Row],[Date]])+IF(MONTH(Table6[[#This Row],[Date]])&gt;=4,1,0)</f>
        <v>2026</v>
      </c>
      <c r="C1426" s="102">
        <f>YEAR(Table6[[#This Row],[Date]])</f>
        <v>2025</v>
      </c>
      <c r="D1426" s="102" t="s">
        <v>1992</v>
      </c>
      <c r="E1426" s="469">
        <f>Table6[[#This Row],[Date]]-DAY(Table6[[#This Row],[Date]])+1</f>
        <v>45839</v>
      </c>
      <c r="F1426" s="470">
        <v>45839</v>
      </c>
      <c r="G1426" s="35" t="s">
        <v>85</v>
      </c>
      <c r="H1426" s="35" t="str">
        <f>IFERROR(_xlfn.XLOOKUP(Table6[[#This Row],[Affected WTG]],'Basic Data'!$A:$A,'Basic Data'!$B:$B),"")</f>
        <v>TQGXIIPL</v>
      </c>
      <c r="I1426" s="35" t="str">
        <f>IFERROR(_xlfn.XLOOKUP(Table6[[#This Row],[Affected WTG]],'Basic Data'!$A:$A,'Basic Data'!$C:$C),"")</f>
        <v>GEDA</v>
      </c>
      <c r="J1426" s="471">
        <f>IFERROR(_xlfn.XLOOKUP(Table6[[#This Row],[Affected WTG]],'Basic Data'!$A:$A,'Basic Data'!$E:$E),"")</f>
        <v>3.846153846153845E-2</v>
      </c>
      <c r="K1426" s="102">
        <v>55</v>
      </c>
      <c r="L1426" s="35" t="str">
        <f>IFERROR(_xlfn.XLOOKUP(Table6[[#This Row],[Error Code]],'Basic Data'!$AA:$AA,'Basic Data'!$AB:$AB),"Incorrect Error Code")</f>
        <v>WTG shut down</v>
      </c>
      <c r="M1426" s="35" t="s">
        <v>295</v>
      </c>
      <c r="N1426" s="475"/>
      <c r="O1426" s="476">
        <v>0</v>
      </c>
      <c r="P1426" s="476">
        <v>0</v>
      </c>
      <c r="Q1426" s="477">
        <v>0.54861111111111116</v>
      </c>
      <c r="R1426" s="472">
        <f>IF(Table6[[#This Row],[Work Start TimeStamp]]="","",(Table6[[#This Row],[Work Start TimeStamp]]-Table6[[#This Row],[Fault Start TimeStamp]])*24)</f>
        <v>0</v>
      </c>
      <c r="S1426" s="472">
        <f>(Table6[[#This Row],[Fault Clearance time]]-Table6[[#This Row],[Work Start TimeStamp]])*24</f>
        <v>13.166666666666668</v>
      </c>
      <c r="T1426" s="472">
        <f>(Table6[[#This Row],[Fault Clearance time]]-Table6[[#This Row],[Fault Start TimeStamp]])*24</f>
        <v>13.166666666666668</v>
      </c>
      <c r="U1426" s="35" t="s">
        <v>2030</v>
      </c>
      <c r="V1426" s="102" t="s">
        <v>289</v>
      </c>
      <c r="W1426" s="478">
        <f>IFERROR(Table6[[#This Row],[Breakdown Time]]*Table6[[#This Row],[Plant Equivalent Weightage]],"")</f>
        <v>0.50641025641025628</v>
      </c>
      <c r="X1426" s="473" t="s">
        <v>523</v>
      </c>
      <c r="Y1426" s="474" t="s">
        <v>322</v>
      </c>
      <c r="Z1426" s="102">
        <v>33961</v>
      </c>
      <c r="AA1426" s="468">
        <f>(Table6[[#This Row],[Paired WTG Generation for loss calculation]]/24)*Table6[[#This Row],[Breakdown Time]]</f>
        <v>18631.381944444449</v>
      </c>
      <c r="AB1426" s="102"/>
      <c r="AC1426" s="35"/>
      <c r="AD1426" s="35"/>
    </row>
    <row r="1427" spans="1:30">
      <c r="A1427" s="102">
        <f t="shared" si="23"/>
        <v>1426</v>
      </c>
      <c r="B1427" s="468">
        <f>YEAR(Table6[[#This Row],[Date]])+IF(MONTH(Table6[[#This Row],[Date]])&gt;=4,1,0)</f>
        <v>2026</v>
      </c>
      <c r="C1427" s="102">
        <f>YEAR(Table6[[#This Row],[Date]])</f>
        <v>2025</v>
      </c>
      <c r="D1427" s="102" t="s">
        <v>1992</v>
      </c>
      <c r="E1427" s="469">
        <f>Table6[[#This Row],[Date]]-DAY(Table6[[#This Row],[Date]])+1</f>
        <v>45839</v>
      </c>
      <c r="F1427" s="470">
        <v>45839</v>
      </c>
      <c r="G1427" s="35" t="s">
        <v>87</v>
      </c>
      <c r="H1427" s="35" t="str">
        <f>IFERROR(_xlfn.XLOOKUP(Table6[[#This Row],[Affected WTG]],'Basic Data'!$A:$A,'Basic Data'!$B:$B),"")</f>
        <v>TQGXIIPL</v>
      </c>
      <c r="I1427" s="35" t="str">
        <f>IFERROR(_xlfn.XLOOKUP(Table6[[#This Row],[Affected WTG]],'Basic Data'!$A:$A,'Basic Data'!$C:$C),"")</f>
        <v>GEDA</v>
      </c>
      <c r="J1427" s="471">
        <f>IFERROR(_xlfn.XLOOKUP(Table6[[#This Row],[Affected WTG]],'Basic Data'!$A:$A,'Basic Data'!$E:$E),"")</f>
        <v>3.846153846153845E-2</v>
      </c>
      <c r="K1427" s="102">
        <v>175</v>
      </c>
      <c r="L1427" s="35" t="str">
        <f>IFERROR(_xlfn.XLOOKUP(Table6[[#This Row],[Error Code]],'Basic Data'!$AA:$AA,'Basic Data'!$AB:$AB),"Incorrect Error Code")</f>
        <v>SLC error</v>
      </c>
      <c r="M1427" s="35" t="s">
        <v>291</v>
      </c>
      <c r="N1427" s="475"/>
      <c r="O1427" s="476">
        <v>0.33402777777777776</v>
      </c>
      <c r="P1427" s="476">
        <v>0.33402777777777776</v>
      </c>
      <c r="Q1427" s="477">
        <v>0.37013888888888891</v>
      </c>
      <c r="R1427" s="472">
        <f>IF(Table6[[#This Row],[Work Start TimeStamp]]="","",(Table6[[#This Row],[Work Start TimeStamp]]-Table6[[#This Row],[Fault Start TimeStamp]])*24)</f>
        <v>0</v>
      </c>
      <c r="S1427" s="472">
        <f>(Table6[[#This Row],[Fault Clearance time]]-Table6[[#This Row],[Work Start TimeStamp]])*24</f>
        <v>0.86666666666666758</v>
      </c>
      <c r="T1427" s="472">
        <f>(Table6[[#This Row],[Fault Clearance time]]-Table6[[#This Row],[Fault Start TimeStamp]])*24</f>
        <v>0.86666666666666758</v>
      </c>
      <c r="U1427" s="35" t="s">
        <v>1924</v>
      </c>
      <c r="V1427" s="102" t="s">
        <v>293</v>
      </c>
      <c r="W1427" s="478">
        <f>IFERROR(Table6[[#This Row],[Breakdown Time]]*Table6[[#This Row],[Plant Equivalent Weightage]],"")</f>
        <v>3.3333333333333361E-2</v>
      </c>
      <c r="X1427" s="473" t="s">
        <v>290</v>
      </c>
      <c r="Y1427" s="474" t="s">
        <v>327</v>
      </c>
      <c r="Z1427" s="102">
        <v>0</v>
      </c>
      <c r="AA1427" s="468">
        <f>(Table6[[#This Row],[Paired WTG Generation for loss calculation]]/24)*Table6[[#This Row],[Breakdown Time]]</f>
        <v>0</v>
      </c>
      <c r="AB1427" s="102"/>
      <c r="AC1427" s="35"/>
      <c r="AD1427" s="35"/>
    </row>
    <row r="1428" spans="1:30">
      <c r="A1428" s="102">
        <f t="shared" si="23"/>
        <v>1427</v>
      </c>
      <c r="B1428" s="468">
        <f>YEAR(Table6[[#This Row],[Date]])+IF(MONTH(Table6[[#This Row],[Date]])&gt;=4,1,0)</f>
        <v>2026</v>
      </c>
      <c r="C1428" s="102">
        <f>YEAR(Table6[[#This Row],[Date]])</f>
        <v>2025</v>
      </c>
      <c r="D1428" s="102" t="s">
        <v>1992</v>
      </c>
      <c r="E1428" s="469">
        <f>Table6[[#This Row],[Date]]-DAY(Table6[[#This Row],[Date]])+1</f>
        <v>45839</v>
      </c>
      <c r="F1428" s="470">
        <v>45839</v>
      </c>
      <c r="G1428" s="35" t="s">
        <v>88</v>
      </c>
      <c r="H1428" s="35" t="str">
        <f>IFERROR(_xlfn.XLOOKUP(Table6[[#This Row],[Affected WTG]],'Basic Data'!$A:$A,'Basic Data'!$B:$B),"")</f>
        <v>TQGXIIPL</v>
      </c>
      <c r="I1428" s="35" t="str">
        <f>IFERROR(_xlfn.XLOOKUP(Table6[[#This Row],[Affected WTG]],'Basic Data'!$A:$A,'Basic Data'!$C:$C),"")</f>
        <v>GEDA</v>
      </c>
      <c r="J1428" s="471">
        <f>IFERROR(_xlfn.XLOOKUP(Table6[[#This Row],[Affected WTG]],'Basic Data'!$A:$A,'Basic Data'!$E:$E),"")</f>
        <v>3.846153846153845E-2</v>
      </c>
      <c r="K1428" s="102">
        <v>780</v>
      </c>
      <c r="L1428" s="35" t="str">
        <f>IFERROR(_xlfn.XLOOKUP(Table6[[#This Row],[Error Code]],'Basic Data'!$AA:$AA,'Basic Data'!$AB:$AB),"Incorrect Error Code")</f>
        <v>Error bridging start-up</v>
      </c>
      <c r="M1428" s="35" t="s">
        <v>291</v>
      </c>
      <c r="N1428" s="475"/>
      <c r="O1428" s="476">
        <v>0.27708333333333335</v>
      </c>
      <c r="P1428" s="476">
        <v>0.27708333333333335</v>
      </c>
      <c r="Q1428" s="477">
        <v>0.27777777777777779</v>
      </c>
      <c r="R1428" s="472">
        <f>IF(Table6[[#This Row],[Work Start TimeStamp]]="","",(Table6[[#This Row],[Work Start TimeStamp]]-Table6[[#This Row],[Fault Start TimeStamp]])*24)</f>
        <v>0</v>
      </c>
      <c r="S1428" s="472">
        <f>(Table6[[#This Row],[Fault Clearance time]]-Table6[[#This Row],[Work Start TimeStamp]])*24</f>
        <v>1.6666666666666607E-2</v>
      </c>
      <c r="T1428" s="472">
        <f>(Table6[[#This Row],[Fault Clearance time]]-Table6[[#This Row],[Fault Start TimeStamp]])*24</f>
        <v>1.6666666666666607E-2</v>
      </c>
      <c r="U1428" s="35" t="s">
        <v>1924</v>
      </c>
      <c r="V1428" s="102" t="s">
        <v>293</v>
      </c>
      <c r="W1428" s="478">
        <f>IFERROR(Table6[[#This Row],[Breakdown Time]]*Table6[[#This Row],[Plant Equivalent Weightage]],"")</f>
        <v>6.4102564102563853E-4</v>
      </c>
      <c r="X1428" s="473" t="s">
        <v>290</v>
      </c>
      <c r="Y1428" s="474" t="s">
        <v>323</v>
      </c>
      <c r="Z1428" s="102">
        <v>34711</v>
      </c>
      <c r="AA1428" s="468">
        <f>(Table6[[#This Row],[Paired WTG Generation for loss calculation]]/24)*Table6[[#This Row],[Breakdown Time]]</f>
        <v>24.104861111111028</v>
      </c>
      <c r="AB1428" s="102"/>
      <c r="AC1428" s="35"/>
      <c r="AD1428" s="35"/>
    </row>
    <row r="1429" spans="1:30">
      <c r="A1429" s="102">
        <f t="shared" si="23"/>
        <v>1428</v>
      </c>
      <c r="B1429" s="468">
        <f>YEAR(Table6[[#This Row],[Date]])+IF(MONTH(Table6[[#This Row],[Date]])&gt;=4,1,0)</f>
        <v>2026</v>
      </c>
      <c r="C1429" s="102">
        <f>YEAR(Table6[[#This Row],[Date]])</f>
        <v>2025</v>
      </c>
      <c r="D1429" s="102" t="s">
        <v>1992</v>
      </c>
      <c r="E1429" s="469">
        <f>Table6[[#This Row],[Date]]-DAY(Table6[[#This Row],[Date]])+1</f>
        <v>45839</v>
      </c>
      <c r="F1429" s="470">
        <v>45839</v>
      </c>
      <c r="G1429" s="35" t="s">
        <v>96</v>
      </c>
      <c r="H1429" s="35" t="str">
        <f>IFERROR(_xlfn.XLOOKUP(Table6[[#This Row],[Affected WTG]],'Basic Data'!$A:$A,'Basic Data'!$B:$B),"")</f>
        <v>TQGXIIPL</v>
      </c>
      <c r="I1429" s="35" t="str">
        <f>IFERROR(_xlfn.XLOOKUP(Table6[[#This Row],[Affected WTG]],'Basic Data'!$A:$A,'Basic Data'!$C:$C),"")</f>
        <v>GEDA</v>
      </c>
      <c r="J1429" s="471">
        <f>IFERROR(_xlfn.XLOOKUP(Table6[[#This Row],[Affected WTG]],'Basic Data'!$A:$A,'Basic Data'!$E:$E),"")</f>
        <v>3.846153846153845E-2</v>
      </c>
      <c r="K1429" s="102">
        <v>55</v>
      </c>
      <c r="L1429" s="35" t="str">
        <f>IFERROR(_xlfn.XLOOKUP(Table6[[#This Row],[Error Code]],'Basic Data'!$AA:$AA,'Basic Data'!$AB:$AB),"Incorrect Error Code")</f>
        <v>WTG shut down</v>
      </c>
      <c r="M1429" s="35" t="s">
        <v>291</v>
      </c>
      <c r="N1429" s="475"/>
      <c r="O1429" s="476">
        <v>0.48680555555555555</v>
      </c>
      <c r="P1429" s="476">
        <v>0.48680555555555555</v>
      </c>
      <c r="Q1429" s="477">
        <v>0.54861111111111116</v>
      </c>
      <c r="R1429" s="472">
        <f>IF(Table6[[#This Row],[Work Start TimeStamp]]="","",(Table6[[#This Row],[Work Start TimeStamp]]-Table6[[#This Row],[Fault Start TimeStamp]])*24)</f>
        <v>0</v>
      </c>
      <c r="S1429" s="472">
        <f>(Table6[[#This Row],[Fault Clearance time]]-Table6[[#This Row],[Work Start TimeStamp]])*24</f>
        <v>1.4833333333333347</v>
      </c>
      <c r="T1429" s="472">
        <f>(Table6[[#This Row],[Fault Clearance time]]-Table6[[#This Row],[Fault Start TimeStamp]])*24</f>
        <v>1.4833333333333347</v>
      </c>
      <c r="U1429" s="35" t="s">
        <v>2034</v>
      </c>
      <c r="V1429" s="102" t="s">
        <v>293</v>
      </c>
      <c r="W1429" s="478">
        <f>IFERROR(Table6[[#This Row],[Breakdown Time]]*Table6[[#This Row],[Plant Equivalent Weightage]],"")</f>
        <v>5.7051282051282085E-2</v>
      </c>
      <c r="X1429" s="473" t="s">
        <v>290</v>
      </c>
      <c r="Y1429" s="474" t="s">
        <v>313</v>
      </c>
      <c r="Z1429" s="102">
        <v>32474</v>
      </c>
      <c r="AA1429" s="468">
        <f>(Table6[[#This Row],[Paired WTG Generation for loss calculation]]/24)*Table6[[#This Row],[Breakdown Time]]</f>
        <v>2007.0736111111128</v>
      </c>
      <c r="AB1429" s="102"/>
      <c r="AC1429" s="35"/>
      <c r="AD1429" s="35"/>
    </row>
    <row r="1430" spans="1:30">
      <c r="A1430" s="102">
        <f t="shared" si="23"/>
        <v>1429</v>
      </c>
      <c r="B1430" s="468">
        <f>YEAR(Table6[[#This Row],[Date]])+IF(MONTH(Table6[[#This Row],[Date]])&gt;=4,1,0)</f>
        <v>2026</v>
      </c>
      <c r="C1430" s="102">
        <f>YEAR(Table6[[#This Row],[Date]])</f>
        <v>2025</v>
      </c>
      <c r="D1430" s="102" t="s">
        <v>1992</v>
      </c>
      <c r="E1430" s="469">
        <f>Table6[[#This Row],[Date]]-DAY(Table6[[#This Row],[Date]])+1</f>
        <v>45839</v>
      </c>
      <c r="F1430" s="470">
        <v>45839</v>
      </c>
      <c r="G1430" s="35" t="s">
        <v>99</v>
      </c>
      <c r="H1430" s="35" t="str">
        <f>IFERROR(_xlfn.XLOOKUP(Table6[[#This Row],[Affected WTG]],'Basic Data'!$A:$A,'Basic Data'!$B:$B),"")</f>
        <v>TQGXIIPL</v>
      </c>
      <c r="I1430" s="35" t="str">
        <f>IFERROR(_xlfn.XLOOKUP(Table6[[#This Row],[Affected WTG]],'Basic Data'!$A:$A,'Basic Data'!$C:$C),"")</f>
        <v>GEDA</v>
      </c>
      <c r="J1430" s="471">
        <f>IFERROR(_xlfn.XLOOKUP(Table6[[#This Row],[Affected WTG]],'Basic Data'!$A:$A,'Basic Data'!$E:$E),"")</f>
        <v>3.846153846153845E-2</v>
      </c>
      <c r="K1430" s="102">
        <v>700</v>
      </c>
      <c r="L1430" s="35" t="str">
        <f>IFERROR(_xlfn.XLOOKUP(Table6[[#This Row],[Error Code]],'Basic Data'!$AA:$AA,'Basic Data'!$AB:$AB),"Incorrect Error Code")</f>
        <v>Batt. undervoltage/overvoltage</v>
      </c>
      <c r="M1430" s="35" t="s">
        <v>291</v>
      </c>
      <c r="N1430" s="475"/>
      <c r="O1430" s="476">
        <v>0.31944444444444442</v>
      </c>
      <c r="P1430" s="476">
        <v>0.31944444444444442</v>
      </c>
      <c r="Q1430" s="477">
        <v>0.33194444444444443</v>
      </c>
      <c r="R1430" s="472">
        <f>IF(Table6[[#This Row],[Work Start TimeStamp]]="","",(Table6[[#This Row],[Work Start TimeStamp]]-Table6[[#This Row],[Fault Start TimeStamp]])*24)</f>
        <v>0</v>
      </c>
      <c r="S1430" s="472">
        <f>(Table6[[#This Row],[Fault Clearance time]]-Table6[[#This Row],[Work Start TimeStamp]])*24</f>
        <v>0.30000000000000027</v>
      </c>
      <c r="T1430" s="472">
        <f>(Table6[[#This Row],[Fault Clearance time]]-Table6[[#This Row],[Fault Start TimeStamp]])*24</f>
        <v>0.30000000000000027</v>
      </c>
      <c r="U1430" s="35" t="s">
        <v>1924</v>
      </c>
      <c r="V1430" s="102" t="s">
        <v>293</v>
      </c>
      <c r="W1430" s="478">
        <f>IFERROR(Table6[[#This Row],[Breakdown Time]]*Table6[[#This Row],[Plant Equivalent Weightage]],"")</f>
        <v>1.1538461538461546E-2</v>
      </c>
      <c r="X1430" s="473" t="s">
        <v>290</v>
      </c>
      <c r="Y1430" s="474" t="s">
        <v>315</v>
      </c>
      <c r="Z1430" s="102">
        <v>33007</v>
      </c>
      <c r="AA1430" s="468">
        <f>(Table6[[#This Row],[Paired WTG Generation for loss calculation]]/24)*Table6[[#This Row],[Breakdown Time]]</f>
        <v>412.58750000000038</v>
      </c>
      <c r="AB1430" s="102"/>
      <c r="AC1430" s="35"/>
      <c r="AD1430" s="35"/>
    </row>
    <row r="1431" spans="1:30">
      <c r="A1431" s="102">
        <f t="shared" si="23"/>
        <v>1430</v>
      </c>
      <c r="B1431" s="468">
        <f>YEAR(Table6[[#This Row],[Date]])+IF(MONTH(Table6[[#This Row],[Date]])&gt;=4,1,0)</f>
        <v>2026</v>
      </c>
      <c r="C1431" s="102">
        <f>YEAR(Table6[[#This Row],[Date]])</f>
        <v>2025</v>
      </c>
      <c r="D1431" s="102" t="s">
        <v>1992</v>
      </c>
      <c r="E1431" s="469">
        <f>Table6[[#This Row],[Date]]-DAY(Table6[[#This Row],[Date]])+1</f>
        <v>45839</v>
      </c>
      <c r="F1431" s="470">
        <v>45839</v>
      </c>
      <c r="G1431" s="35" t="s">
        <v>99</v>
      </c>
      <c r="H1431" s="35" t="str">
        <f>IFERROR(_xlfn.XLOOKUP(Table6[[#This Row],[Affected WTG]],'Basic Data'!$A:$A,'Basic Data'!$B:$B),"")</f>
        <v>TQGXIIPL</v>
      </c>
      <c r="I1431" s="35" t="str">
        <f>IFERROR(_xlfn.XLOOKUP(Table6[[#This Row],[Affected WTG]],'Basic Data'!$A:$A,'Basic Data'!$C:$C),"")</f>
        <v>GEDA</v>
      </c>
      <c r="J1431" s="471">
        <f>IFERROR(_xlfn.XLOOKUP(Table6[[#This Row],[Affected WTG]],'Basic Data'!$A:$A,'Basic Data'!$E:$E),"")</f>
        <v>3.846153846153845E-2</v>
      </c>
      <c r="K1431" s="102">
        <v>175</v>
      </c>
      <c r="L1431" s="35" t="str">
        <f>IFERROR(_xlfn.XLOOKUP(Table6[[#This Row],[Error Code]],'Basic Data'!$AA:$AA,'Basic Data'!$AB:$AB),"Incorrect Error Code")</f>
        <v>SLC error</v>
      </c>
      <c r="M1431" s="35" t="s">
        <v>291</v>
      </c>
      <c r="N1431" s="475"/>
      <c r="O1431" s="476">
        <v>0.33680555555555558</v>
      </c>
      <c r="P1431" s="476">
        <v>0.33680555555555558</v>
      </c>
      <c r="Q1431" s="477">
        <v>0.36875000000000002</v>
      </c>
      <c r="R1431" s="472">
        <f>IF(Table6[[#This Row],[Work Start TimeStamp]]="","",(Table6[[#This Row],[Work Start TimeStamp]]-Table6[[#This Row],[Fault Start TimeStamp]])*24)</f>
        <v>0</v>
      </c>
      <c r="S1431" s="472">
        <f>(Table6[[#This Row],[Fault Clearance time]]-Table6[[#This Row],[Work Start TimeStamp]])*24</f>
        <v>0.76666666666666661</v>
      </c>
      <c r="T1431" s="472">
        <f>(Table6[[#This Row],[Fault Clearance time]]-Table6[[#This Row],[Fault Start TimeStamp]])*24</f>
        <v>0.76666666666666661</v>
      </c>
      <c r="U1431" s="35" t="s">
        <v>1924</v>
      </c>
      <c r="V1431" s="102" t="s">
        <v>293</v>
      </c>
      <c r="W1431" s="478">
        <f>IFERROR(Table6[[#This Row],[Breakdown Time]]*Table6[[#This Row],[Plant Equivalent Weightage]],"")</f>
        <v>2.9487179487179476E-2</v>
      </c>
      <c r="X1431" s="473" t="s">
        <v>290</v>
      </c>
      <c r="Y1431" s="474" t="s">
        <v>315</v>
      </c>
      <c r="Z1431" s="102">
        <v>33007</v>
      </c>
      <c r="AA1431" s="468">
        <f>(Table6[[#This Row],[Paired WTG Generation for loss calculation]]/24)*Table6[[#This Row],[Breakdown Time]]</f>
        <v>1054.3902777777778</v>
      </c>
      <c r="AB1431" s="102"/>
      <c r="AC1431" s="35"/>
      <c r="AD1431" s="35"/>
    </row>
    <row r="1432" spans="1:30">
      <c r="A1432" s="102">
        <f t="shared" si="23"/>
        <v>1431</v>
      </c>
      <c r="B1432" s="468">
        <f>YEAR(Table6[[#This Row],[Date]])+IF(MONTH(Table6[[#This Row],[Date]])&gt;=4,1,0)</f>
        <v>2026</v>
      </c>
      <c r="C1432" s="102">
        <f>YEAR(Table6[[#This Row],[Date]])</f>
        <v>2025</v>
      </c>
      <c r="D1432" s="102" t="s">
        <v>1992</v>
      </c>
      <c r="E1432" s="469">
        <f>Table6[[#This Row],[Date]]-DAY(Table6[[#This Row],[Date]])+1</f>
        <v>45839</v>
      </c>
      <c r="F1432" s="470">
        <v>45839</v>
      </c>
      <c r="G1432" s="35" t="s">
        <v>85</v>
      </c>
      <c r="H1432" s="35" t="str">
        <f>IFERROR(_xlfn.XLOOKUP(Table6[[#This Row],[Affected WTG]],'Basic Data'!$A:$A,'Basic Data'!$B:$B),"")</f>
        <v>TQGXIIPL</v>
      </c>
      <c r="I1432" s="35" t="str">
        <f>IFERROR(_xlfn.XLOOKUP(Table6[[#This Row],[Affected WTG]],'Basic Data'!$A:$A,'Basic Data'!$C:$C),"")</f>
        <v>GEDA</v>
      </c>
      <c r="J1432" s="471">
        <f>IFERROR(_xlfn.XLOOKUP(Table6[[#This Row],[Affected WTG]],'Basic Data'!$A:$A,'Basic Data'!$E:$E),"")</f>
        <v>3.846153846153845E-2</v>
      </c>
      <c r="K1432" s="102">
        <v>55</v>
      </c>
      <c r="L1432" s="35" t="str">
        <f>IFERROR(_xlfn.XLOOKUP(Table6[[#This Row],[Error Code]],'Basic Data'!$AA:$AA,'Basic Data'!$AB:$AB),"Incorrect Error Code")</f>
        <v>WTG shut down</v>
      </c>
      <c r="M1432" s="35" t="s">
        <v>295</v>
      </c>
      <c r="N1432" s="475"/>
      <c r="O1432" s="476">
        <v>0.55763888888888891</v>
      </c>
      <c r="P1432" s="476">
        <v>0.55763888888888891</v>
      </c>
      <c r="Q1432" s="477">
        <v>0.99998842592592596</v>
      </c>
      <c r="R1432" s="472">
        <f>IF(Table6[[#This Row],[Work Start TimeStamp]]="","",(Table6[[#This Row],[Work Start TimeStamp]]-Table6[[#This Row],[Fault Start TimeStamp]])*24)</f>
        <v>0</v>
      </c>
      <c r="S1432" s="472">
        <f>(Table6[[#This Row],[Fault Clearance time]]-Table6[[#This Row],[Work Start TimeStamp]])*24</f>
        <v>10.616388888888888</v>
      </c>
      <c r="T1432" s="472">
        <f>(Table6[[#This Row],[Fault Clearance time]]-Table6[[#This Row],[Fault Start TimeStamp]])*24</f>
        <v>10.616388888888888</v>
      </c>
      <c r="U1432" s="35" t="s">
        <v>2030</v>
      </c>
      <c r="V1432" s="102" t="s">
        <v>289</v>
      </c>
      <c r="W1432" s="478">
        <f>IFERROR(Table6[[#This Row],[Breakdown Time]]*Table6[[#This Row],[Plant Equivalent Weightage]],"")</f>
        <v>0.40832264957264941</v>
      </c>
      <c r="X1432" s="473" t="s">
        <v>523</v>
      </c>
      <c r="Y1432" s="474" t="s">
        <v>87</v>
      </c>
      <c r="Z1432" s="102">
        <v>33961</v>
      </c>
      <c r="AA1432" s="468">
        <f>(Table6[[#This Row],[Paired WTG Generation for loss calculation]]/24)*Table6[[#This Row],[Breakdown Time]]</f>
        <v>15022.632627314815</v>
      </c>
      <c r="AB1432" s="102"/>
      <c r="AC1432" s="35"/>
      <c r="AD1432" s="35"/>
    </row>
    <row r="1433" spans="1:30">
      <c r="A1433" s="102">
        <f t="shared" si="23"/>
        <v>1432</v>
      </c>
      <c r="B1433" s="468">
        <f>YEAR(Table6[[#This Row],[Date]])+IF(MONTH(Table6[[#This Row],[Date]])&gt;=4,1,0)</f>
        <v>2026</v>
      </c>
      <c r="C1433" s="102">
        <f>YEAR(Table6[[#This Row],[Date]])</f>
        <v>2025</v>
      </c>
      <c r="D1433" s="102" t="s">
        <v>1992</v>
      </c>
      <c r="E1433" s="469">
        <f>Table6[[#This Row],[Date]]-DAY(Table6[[#This Row],[Date]])+1</f>
        <v>45839</v>
      </c>
      <c r="F1433" s="470">
        <v>45839</v>
      </c>
      <c r="G1433" s="35" t="s">
        <v>96</v>
      </c>
      <c r="H1433" s="35" t="str">
        <f>IFERROR(_xlfn.XLOOKUP(Table6[[#This Row],[Affected WTG]],'Basic Data'!$A:$A,'Basic Data'!$B:$B),"")</f>
        <v>TQGXIIPL</v>
      </c>
      <c r="I1433" s="35" t="str">
        <f>IFERROR(_xlfn.XLOOKUP(Table6[[#This Row],[Affected WTG]],'Basic Data'!$A:$A,'Basic Data'!$C:$C),"")</f>
        <v>GEDA</v>
      </c>
      <c r="J1433" s="471">
        <f>IFERROR(_xlfn.XLOOKUP(Table6[[#This Row],[Affected WTG]],'Basic Data'!$A:$A,'Basic Data'!$E:$E),"")</f>
        <v>3.846153846153845E-2</v>
      </c>
      <c r="K1433" s="102">
        <v>55</v>
      </c>
      <c r="L1433" s="35" t="str">
        <f>IFERROR(_xlfn.XLOOKUP(Table6[[#This Row],[Error Code]],'Basic Data'!$AA:$AA,'Basic Data'!$AB:$AB),"Incorrect Error Code")</f>
        <v>WTG shut down</v>
      </c>
      <c r="M1433" s="35" t="s">
        <v>291</v>
      </c>
      <c r="N1433" s="475"/>
      <c r="O1433" s="476">
        <v>0.55763888888888891</v>
      </c>
      <c r="P1433" s="476">
        <v>0.55763888888888891</v>
      </c>
      <c r="Q1433" s="477">
        <v>0.56180555555555556</v>
      </c>
      <c r="R1433" s="472">
        <f>IF(Table6[[#This Row],[Work Start TimeStamp]]="","",(Table6[[#This Row],[Work Start TimeStamp]]-Table6[[#This Row],[Fault Start TimeStamp]])*24)</f>
        <v>0</v>
      </c>
      <c r="S1433" s="472">
        <f>(Table6[[#This Row],[Fault Clearance time]]-Table6[[#This Row],[Work Start TimeStamp]])*24</f>
        <v>9.9999999999999645E-2</v>
      </c>
      <c r="T1433" s="472">
        <f>(Table6[[#This Row],[Fault Clearance time]]-Table6[[#This Row],[Fault Start TimeStamp]])*24</f>
        <v>9.9999999999999645E-2</v>
      </c>
      <c r="U1433" s="35" t="s">
        <v>2031</v>
      </c>
      <c r="V1433" s="102" t="s">
        <v>293</v>
      </c>
      <c r="W1433" s="478">
        <f>IFERROR(Table6[[#This Row],[Breakdown Time]]*Table6[[#This Row],[Plant Equivalent Weightage]],"")</f>
        <v>3.8461538461538312E-3</v>
      </c>
      <c r="X1433" s="473" t="s">
        <v>290</v>
      </c>
      <c r="Y1433" s="474" t="s">
        <v>84</v>
      </c>
      <c r="Z1433" s="102">
        <v>32474</v>
      </c>
      <c r="AA1433" s="468">
        <f>(Table6[[#This Row],[Paired WTG Generation for loss calculation]]/24)*Table6[[#This Row],[Breakdown Time]]</f>
        <v>135.30833333333285</v>
      </c>
      <c r="AB1433" s="102"/>
      <c r="AC1433" s="35"/>
      <c r="AD1433" s="35"/>
    </row>
    <row r="1434" spans="1:30">
      <c r="A1434" s="102">
        <f t="shared" si="23"/>
        <v>1433</v>
      </c>
      <c r="B1434" s="468">
        <f>YEAR(Table6[[#This Row],[Date]])+IF(MONTH(Table6[[#This Row],[Date]])&gt;=4,1,0)</f>
        <v>2026</v>
      </c>
      <c r="C1434" s="102">
        <f>YEAR(Table6[[#This Row],[Date]])</f>
        <v>2025</v>
      </c>
      <c r="D1434" s="102" t="s">
        <v>1992</v>
      </c>
      <c r="E1434" s="469">
        <f>Table6[[#This Row],[Date]]-DAY(Table6[[#This Row],[Date]])+1</f>
        <v>45839</v>
      </c>
      <c r="F1434" s="470">
        <v>45840</v>
      </c>
      <c r="G1434" s="35" t="s">
        <v>77</v>
      </c>
      <c r="H1434" s="35" t="str">
        <f>IFERROR(_xlfn.XLOOKUP(Table6[[#This Row],[Affected WTG]],'Basic Data'!$A:$A,'Basic Data'!$B:$B),"")</f>
        <v>TQGXIIPL</v>
      </c>
      <c r="I1434" s="35" t="str">
        <f>IFERROR(_xlfn.XLOOKUP(Table6[[#This Row],[Affected WTG]],'Basic Data'!$A:$A,'Basic Data'!$C:$C),"")</f>
        <v>GEDA</v>
      </c>
      <c r="J1434" s="471">
        <f>IFERROR(_xlfn.XLOOKUP(Table6[[#This Row],[Affected WTG]],'Basic Data'!$A:$A,'Basic Data'!$E:$E),"")</f>
        <v>3.846153846153845E-2</v>
      </c>
      <c r="K1434" s="102">
        <v>6130</v>
      </c>
      <c r="L1434" s="35" t="str">
        <f>IFERROR(_xlfn.XLOOKUP(Table6[[#This Row],[Error Code]],'Basic Data'!$AA:$AA,'Basic Data'!$AB:$AB),"Incorrect Error Code")</f>
        <v>Yaw speed high</v>
      </c>
      <c r="M1434" s="35" t="s">
        <v>291</v>
      </c>
      <c r="N1434" s="475"/>
      <c r="O1434" s="476">
        <v>0.16458333333333333</v>
      </c>
      <c r="P1434" s="476">
        <v>0.16458333333333333</v>
      </c>
      <c r="Q1434" s="477">
        <v>0.17777777777777778</v>
      </c>
      <c r="R1434" s="472">
        <f>IF(Table6[[#This Row],[Work Start TimeStamp]]="","",(Table6[[#This Row],[Work Start TimeStamp]]-Table6[[#This Row],[Fault Start TimeStamp]])*24)</f>
        <v>0</v>
      </c>
      <c r="S1434" s="472">
        <f>(Table6[[#This Row],[Fault Clearance time]]-Table6[[#This Row],[Work Start TimeStamp]])*24</f>
        <v>0.31666666666666687</v>
      </c>
      <c r="T1434" s="472">
        <f>(Table6[[#This Row],[Fault Clearance time]]-Table6[[#This Row],[Fault Start TimeStamp]])*24</f>
        <v>0.31666666666666687</v>
      </c>
      <c r="U1434" s="35" t="s">
        <v>2040</v>
      </c>
      <c r="V1434" s="102" t="s">
        <v>293</v>
      </c>
      <c r="W1434" s="478">
        <f>IFERROR(Table6[[#This Row],[Breakdown Time]]*Table6[[#This Row],[Plant Equivalent Weightage]],"")</f>
        <v>1.2179487179487183E-2</v>
      </c>
      <c r="X1434" s="473" t="s">
        <v>290</v>
      </c>
      <c r="Y1434" s="474" t="s">
        <v>80</v>
      </c>
      <c r="Z1434" s="102">
        <v>29432</v>
      </c>
      <c r="AA1434" s="468">
        <f>(Table6[[#This Row],[Paired WTG Generation for loss calculation]]/24)*Table6[[#This Row],[Breakdown Time]]</f>
        <v>388.33888888888913</v>
      </c>
      <c r="AB1434" s="102"/>
      <c r="AC1434" s="35"/>
      <c r="AD1434" s="35"/>
    </row>
    <row r="1435" spans="1:30">
      <c r="A1435" s="102">
        <f t="shared" si="23"/>
        <v>1434</v>
      </c>
      <c r="B1435" s="468">
        <f>YEAR(Table6[[#This Row],[Date]])+IF(MONTH(Table6[[#This Row],[Date]])&gt;=4,1,0)</f>
        <v>2026</v>
      </c>
      <c r="C1435" s="102">
        <f>YEAR(Table6[[#This Row],[Date]])</f>
        <v>2025</v>
      </c>
      <c r="D1435" s="102" t="s">
        <v>1992</v>
      </c>
      <c r="E1435" s="469">
        <f>Table6[[#This Row],[Date]]-DAY(Table6[[#This Row],[Date]])+1</f>
        <v>45839</v>
      </c>
      <c r="F1435" s="470">
        <v>45840</v>
      </c>
      <c r="G1435" s="35" t="s">
        <v>78</v>
      </c>
      <c r="H1435" s="35" t="str">
        <f>IFERROR(_xlfn.XLOOKUP(Table6[[#This Row],[Affected WTG]],'Basic Data'!$A:$A,'Basic Data'!$B:$B),"")</f>
        <v>TQGXIIPL</v>
      </c>
      <c r="I1435" s="35" t="str">
        <f>IFERROR(_xlfn.XLOOKUP(Table6[[#This Row],[Affected WTG]],'Basic Data'!$A:$A,'Basic Data'!$C:$C),"")</f>
        <v>GEDA</v>
      </c>
      <c r="J1435" s="471">
        <f>IFERROR(_xlfn.XLOOKUP(Table6[[#This Row],[Affected WTG]],'Basic Data'!$A:$A,'Basic Data'!$E:$E),"")</f>
        <v>3.846153846153845E-2</v>
      </c>
      <c r="K1435" s="102">
        <v>3211</v>
      </c>
      <c r="L1435" s="35" t="str">
        <f>IFERROR(_xlfn.XLOOKUP(Table6[[#This Row],[Error Code]],'Basic Data'!$AA:$AA,'Basic Data'!$AB:$AB),"Incorrect Error Code")</f>
        <v>Conv. load shedding (CAN)</v>
      </c>
      <c r="M1435" s="35" t="s">
        <v>291</v>
      </c>
      <c r="N1435" s="475"/>
      <c r="O1435" s="476">
        <v>0.41041666666666665</v>
      </c>
      <c r="P1435" s="476">
        <v>0.41041666666666665</v>
      </c>
      <c r="Q1435" s="477">
        <v>0.41249999999999998</v>
      </c>
      <c r="R1435" s="472">
        <f>IF(Table6[[#This Row],[Work Start TimeStamp]]="","",(Table6[[#This Row],[Work Start TimeStamp]]-Table6[[#This Row],[Fault Start TimeStamp]])*24)</f>
        <v>0</v>
      </c>
      <c r="S1435" s="472">
        <f>(Table6[[#This Row],[Fault Clearance time]]-Table6[[#This Row],[Work Start TimeStamp]])*24</f>
        <v>4.9999999999999822E-2</v>
      </c>
      <c r="T1435" s="472">
        <f>(Table6[[#This Row],[Fault Clearance time]]-Table6[[#This Row],[Fault Start TimeStamp]])*24</f>
        <v>4.9999999999999822E-2</v>
      </c>
      <c r="U1435" s="35" t="s">
        <v>1924</v>
      </c>
      <c r="V1435" s="102" t="s">
        <v>293</v>
      </c>
      <c r="W1435" s="478">
        <f>IFERROR(Table6[[#This Row],[Breakdown Time]]*Table6[[#This Row],[Plant Equivalent Weightage]],"")</f>
        <v>1.9230769230769156E-3</v>
      </c>
      <c r="X1435" s="473" t="s">
        <v>290</v>
      </c>
      <c r="Y1435" s="474" t="s">
        <v>75</v>
      </c>
      <c r="Z1435" s="102">
        <v>35182</v>
      </c>
      <c r="AA1435" s="468">
        <f>(Table6[[#This Row],[Paired WTG Generation for loss calculation]]/24)*Table6[[#This Row],[Breakdown Time]]</f>
        <v>73.295833333333078</v>
      </c>
      <c r="AB1435" s="102"/>
      <c r="AC1435" s="35"/>
      <c r="AD1435" s="35"/>
    </row>
    <row r="1436" spans="1:30">
      <c r="A1436" s="102">
        <f t="shared" si="23"/>
        <v>1435</v>
      </c>
      <c r="B1436" s="468">
        <f>YEAR(Table6[[#This Row],[Date]])+IF(MONTH(Table6[[#This Row],[Date]])&gt;=4,1,0)</f>
        <v>2026</v>
      </c>
      <c r="C1436" s="102">
        <f>YEAR(Table6[[#This Row],[Date]])</f>
        <v>2025</v>
      </c>
      <c r="D1436" s="102" t="s">
        <v>1992</v>
      </c>
      <c r="E1436" s="469">
        <f>Table6[[#This Row],[Date]]-DAY(Table6[[#This Row],[Date]])+1</f>
        <v>45839</v>
      </c>
      <c r="F1436" s="470">
        <v>45840</v>
      </c>
      <c r="G1436" s="35" t="s">
        <v>79</v>
      </c>
      <c r="H1436" s="35" t="str">
        <f>IFERROR(_xlfn.XLOOKUP(Table6[[#This Row],[Affected WTG]],'Basic Data'!$A:$A,'Basic Data'!$B:$B),"")</f>
        <v>TQGXIIPL</v>
      </c>
      <c r="I1436" s="35" t="str">
        <f>IFERROR(_xlfn.XLOOKUP(Table6[[#This Row],[Affected WTG]],'Basic Data'!$A:$A,'Basic Data'!$C:$C),"")</f>
        <v>GEDA</v>
      </c>
      <c r="J1436" s="471">
        <f>IFERROR(_xlfn.XLOOKUP(Table6[[#This Row],[Affected WTG]],'Basic Data'!$A:$A,'Basic Data'!$E:$E),"")</f>
        <v>3.846153846153845E-2</v>
      </c>
      <c r="K1436" s="102">
        <v>178</v>
      </c>
      <c r="L1436" s="35" t="str">
        <f>IFERROR(_xlfn.XLOOKUP(Table6[[#This Row],[Error Code]],'Basic Data'!$AA:$AA,'Basic Data'!$AB:$AB),"Incorrect Error Code")</f>
        <v>SLC MF safe operation speed limit</v>
      </c>
      <c r="M1436" s="35" t="s">
        <v>291</v>
      </c>
      <c r="N1436" s="475"/>
      <c r="O1436" s="476">
        <v>0.75555555555555554</v>
      </c>
      <c r="P1436" s="476">
        <v>0.75555555555555554</v>
      </c>
      <c r="Q1436" s="477">
        <v>0.77222222222222225</v>
      </c>
      <c r="R1436" s="472">
        <f>IF(Table6[[#This Row],[Work Start TimeStamp]]="","",(Table6[[#This Row],[Work Start TimeStamp]]-Table6[[#This Row],[Fault Start TimeStamp]])*24)</f>
        <v>0</v>
      </c>
      <c r="S1436" s="472">
        <f>(Table6[[#This Row],[Fault Clearance time]]-Table6[[#This Row],[Work Start TimeStamp]])*24</f>
        <v>0.40000000000000124</v>
      </c>
      <c r="T1436" s="472">
        <f>(Table6[[#This Row],[Fault Clearance time]]-Table6[[#This Row],[Fault Start TimeStamp]])*24</f>
        <v>0.40000000000000124</v>
      </c>
      <c r="U1436" s="35" t="s">
        <v>2041</v>
      </c>
      <c r="V1436" s="102" t="s">
        <v>293</v>
      </c>
      <c r="W1436" s="478">
        <f>IFERROR(Table6[[#This Row],[Breakdown Time]]*Table6[[#This Row],[Plant Equivalent Weightage]],"")</f>
        <v>1.5384615384615427E-2</v>
      </c>
      <c r="X1436" s="473" t="s">
        <v>290</v>
      </c>
      <c r="Y1436" s="474" t="s">
        <v>94</v>
      </c>
      <c r="Z1436" s="102">
        <v>30365</v>
      </c>
      <c r="AA1436" s="468">
        <f>(Table6[[#This Row],[Paired WTG Generation for loss calculation]]/24)*Table6[[#This Row],[Breakdown Time]]</f>
        <v>506.08333333333485</v>
      </c>
      <c r="AB1436" s="102"/>
      <c r="AC1436" s="35"/>
      <c r="AD1436" s="35"/>
    </row>
    <row r="1437" spans="1:30">
      <c r="A1437" s="102">
        <f t="shared" si="23"/>
        <v>1436</v>
      </c>
      <c r="B1437" s="468">
        <f>YEAR(Table6[[#This Row],[Date]])+IF(MONTH(Table6[[#This Row],[Date]])&gt;=4,1,0)</f>
        <v>2026</v>
      </c>
      <c r="C1437" s="102">
        <f>YEAR(Table6[[#This Row],[Date]])</f>
        <v>2025</v>
      </c>
      <c r="D1437" s="102" t="s">
        <v>1992</v>
      </c>
      <c r="E1437" s="469">
        <f>Table6[[#This Row],[Date]]-DAY(Table6[[#This Row],[Date]])+1</f>
        <v>45839</v>
      </c>
      <c r="F1437" s="470">
        <v>45840</v>
      </c>
      <c r="G1437" s="35" t="s">
        <v>80</v>
      </c>
      <c r="H1437" s="35" t="str">
        <f>IFERROR(_xlfn.XLOOKUP(Table6[[#This Row],[Affected WTG]],'Basic Data'!$A:$A,'Basic Data'!$B:$B),"")</f>
        <v>TQGXIIPL</v>
      </c>
      <c r="I1437" s="35" t="str">
        <f>IFERROR(_xlfn.XLOOKUP(Table6[[#This Row],[Affected WTG]],'Basic Data'!$A:$A,'Basic Data'!$C:$C),"")</f>
        <v>GEDA</v>
      </c>
      <c r="J1437" s="471">
        <f>IFERROR(_xlfn.XLOOKUP(Table6[[#This Row],[Affected WTG]],'Basic Data'!$A:$A,'Basic Data'!$E:$E),"")</f>
        <v>3.846153846153845E-2</v>
      </c>
      <c r="K1437" s="102">
        <v>175</v>
      </c>
      <c r="L1437" s="35" t="str">
        <f>IFERROR(_xlfn.XLOOKUP(Table6[[#This Row],[Error Code]],'Basic Data'!$AA:$AA,'Basic Data'!$AB:$AB),"Incorrect Error Code")</f>
        <v>SLC error</v>
      </c>
      <c r="M1437" s="35" t="s">
        <v>291</v>
      </c>
      <c r="N1437" s="475"/>
      <c r="O1437" s="476">
        <v>0.75555555555555554</v>
      </c>
      <c r="P1437" s="476">
        <v>0.75555555555555554</v>
      </c>
      <c r="Q1437" s="477">
        <v>0.8</v>
      </c>
      <c r="R1437" s="472">
        <f>IF(Table6[[#This Row],[Work Start TimeStamp]]="","",(Table6[[#This Row],[Work Start TimeStamp]]-Table6[[#This Row],[Fault Start TimeStamp]])*24)</f>
        <v>0</v>
      </c>
      <c r="S1437" s="472">
        <f>(Table6[[#This Row],[Fault Clearance time]]-Table6[[#This Row],[Work Start TimeStamp]])*24</f>
        <v>1.0666666666666682</v>
      </c>
      <c r="T1437" s="472">
        <f>(Table6[[#This Row],[Fault Clearance time]]-Table6[[#This Row],[Fault Start TimeStamp]])*24</f>
        <v>1.0666666666666682</v>
      </c>
      <c r="U1437" s="35" t="s">
        <v>2040</v>
      </c>
      <c r="V1437" s="102" t="s">
        <v>293</v>
      </c>
      <c r="W1437" s="478">
        <f>IFERROR(Table6[[#This Row],[Breakdown Time]]*Table6[[#This Row],[Plant Equivalent Weightage]],"")</f>
        <v>4.1025641025641074E-2</v>
      </c>
      <c r="X1437" s="473" t="s">
        <v>290</v>
      </c>
      <c r="Y1437" s="474" t="s">
        <v>77</v>
      </c>
      <c r="Z1437" s="102">
        <v>30431</v>
      </c>
      <c r="AA1437" s="468">
        <f>(Table6[[#This Row],[Paired WTG Generation for loss calculation]]/24)*Table6[[#This Row],[Breakdown Time]]</f>
        <v>1352.4888888888909</v>
      </c>
      <c r="AB1437" s="102"/>
      <c r="AC1437" s="35"/>
      <c r="AD1437" s="35"/>
    </row>
    <row r="1438" spans="1:30">
      <c r="A1438" s="102">
        <f t="shared" si="23"/>
        <v>1437</v>
      </c>
      <c r="B1438" s="468">
        <f>YEAR(Table6[[#This Row],[Date]])+IF(MONTH(Table6[[#This Row],[Date]])&gt;=4,1,0)</f>
        <v>2026</v>
      </c>
      <c r="C1438" s="102">
        <f>YEAR(Table6[[#This Row],[Date]])</f>
        <v>2025</v>
      </c>
      <c r="D1438" s="102" t="s">
        <v>1992</v>
      </c>
      <c r="E1438" s="469">
        <f>Table6[[#This Row],[Date]]-DAY(Table6[[#This Row],[Date]])+1</f>
        <v>45839</v>
      </c>
      <c r="F1438" s="470">
        <v>45840</v>
      </c>
      <c r="G1438" s="35" t="s">
        <v>89</v>
      </c>
      <c r="H1438" s="35" t="str">
        <f>IFERROR(_xlfn.XLOOKUP(Table6[[#This Row],[Affected WTG]],'Basic Data'!$A:$A,'Basic Data'!$B:$B),"")</f>
        <v>TQGXIIPL</v>
      </c>
      <c r="I1438" s="35" t="str">
        <f>IFERROR(_xlfn.XLOOKUP(Table6[[#This Row],[Affected WTG]],'Basic Data'!$A:$A,'Basic Data'!$C:$C),"")</f>
        <v>GEDA</v>
      </c>
      <c r="J1438" s="471">
        <f>IFERROR(_xlfn.XLOOKUP(Table6[[#This Row],[Affected WTG]],'Basic Data'!$A:$A,'Basic Data'!$E:$E),"")</f>
        <v>3.846153846153845E-2</v>
      </c>
      <c r="K1438" s="102">
        <v>5510</v>
      </c>
      <c r="L1438" s="35" t="str">
        <f>IFERROR(_xlfn.XLOOKUP(Table6[[#This Row],[Error Code]],'Basic Data'!$AA:$AA,'Basic Data'!$AB:$AB),"Incorrect Error Code")</f>
        <v>Low hydraulic pressure</v>
      </c>
      <c r="M1438" s="35" t="s">
        <v>291</v>
      </c>
      <c r="N1438" s="475"/>
      <c r="O1438" s="476">
        <v>0.75694444444444442</v>
      </c>
      <c r="P1438" s="476">
        <v>0.75694444444444442</v>
      </c>
      <c r="Q1438" s="477">
        <v>0.75902777777777775</v>
      </c>
      <c r="R1438" s="472">
        <f>IF(Table6[[#This Row],[Work Start TimeStamp]]="","",(Table6[[#This Row],[Work Start TimeStamp]]-Table6[[#This Row],[Fault Start TimeStamp]])*24)</f>
        <v>0</v>
      </c>
      <c r="S1438" s="472">
        <f>(Table6[[#This Row],[Fault Clearance time]]-Table6[[#This Row],[Work Start TimeStamp]])*24</f>
        <v>4.9999999999999822E-2</v>
      </c>
      <c r="T1438" s="472">
        <f>(Table6[[#This Row],[Fault Clearance time]]-Table6[[#This Row],[Fault Start TimeStamp]])*24</f>
        <v>4.9999999999999822E-2</v>
      </c>
      <c r="U1438" s="35" t="s">
        <v>1924</v>
      </c>
      <c r="V1438" s="102" t="s">
        <v>293</v>
      </c>
      <c r="W1438" s="478">
        <f>IFERROR(Table6[[#This Row],[Breakdown Time]]*Table6[[#This Row],[Plant Equivalent Weightage]],"")</f>
        <v>1.9230769230769156E-3</v>
      </c>
      <c r="X1438" s="473" t="s">
        <v>290</v>
      </c>
      <c r="Y1438" s="474" t="s">
        <v>94</v>
      </c>
      <c r="Z1438" s="102">
        <v>30365</v>
      </c>
      <c r="AA1438" s="468">
        <f>(Table6[[#This Row],[Paired WTG Generation for loss calculation]]/24)*Table6[[#This Row],[Breakdown Time]]</f>
        <v>63.260416666666437</v>
      </c>
      <c r="AB1438" s="102"/>
      <c r="AC1438" s="35"/>
      <c r="AD1438" s="35"/>
    </row>
    <row r="1439" spans="1:30">
      <c r="A1439" s="102">
        <f t="shared" si="23"/>
        <v>1438</v>
      </c>
      <c r="B1439" s="468">
        <f>YEAR(Table6[[#This Row],[Date]])+IF(MONTH(Table6[[#This Row],[Date]])&gt;=4,1,0)</f>
        <v>2026</v>
      </c>
      <c r="C1439" s="102">
        <f>YEAR(Table6[[#This Row],[Date]])</f>
        <v>2025</v>
      </c>
      <c r="D1439" s="102" t="s">
        <v>1992</v>
      </c>
      <c r="E1439" s="469">
        <f>Table6[[#This Row],[Date]]-DAY(Table6[[#This Row],[Date]])+1</f>
        <v>45839</v>
      </c>
      <c r="F1439" s="470">
        <v>45840</v>
      </c>
      <c r="G1439" s="35" t="s">
        <v>94</v>
      </c>
      <c r="H1439" s="35" t="str">
        <f>IFERROR(_xlfn.XLOOKUP(Table6[[#This Row],[Affected WTG]],'Basic Data'!$A:$A,'Basic Data'!$B:$B),"")</f>
        <v>TQGXIIPL</v>
      </c>
      <c r="I1439" s="35" t="str">
        <f>IFERROR(_xlfn.XLOOKUP(Table6[[#This Row],[Affected WTG]],'Basic Data'!$A:$A,'Basic Data'!$C:$C),"")</f>
        <v>GEDA</v>
      </c>
      <c r="J1439" s="471">
        <f>IFERROR(_xlfn.XLOOKUP(Table6[[#This Row],[Affected WTG]],'Basic Data'!$A:$A,'Basic Data'!$E:$E),"")</f>
        <v>3.846153846153845E-2</v>
      </c>
      <c r="K1439" s="102">
        <v>3211</v>
      </c>
      <c r="L1439" s="35" t="str">
        <f>IFERROR(_xlfn.XLOOKUP(Table6[[#This Row],[Error Code]],'Basic Data'!$AA:$AA,'Basic Data'!$AB:$AB),"Incorrect Error Code")</f>
        <v>Conv. load shedding (CAN)</v>
      </c>
      <c r="M1439" s="35" t="s">
        <v>291</v>
      </c>
      <c r="N1439" s="475"/>
      <c r="O1439" s="476">
        <v>0.53055555555555556</v>
      </c>
      <c r="P1439" s="476">
        <v>0.53055555555555556</v>
      </c>
      <c r="Q1439" s="477">
        <v>0.53402777777777777</v>
      </c>
      <c r="R1439" s="472">
        <f>IF(Table6[[#This Row],[Work Start TimeStamp]]="","",(Table6[[#This Row],[Work Start TimeStamp]]-Table6[[#This Row],[Fault Start TimeStamp]])*24)</f>
        <v>0</v>
      </c>
      <c r="S1439" s="472">
        <f>(Table6[[#This Row],[Fault Clearance time]]-Table6[[#This Row],[Work Start TimeStamp]])*24</f>
        <v>8.3333333333333037E-2</v>
      </c>
      <c r="T1439" s="472">
        <f>(Table6[[#This Row],[Fault Clearance time]]-Table6[[#This Row],[Fault Start TimeStamp]])*24</f>
        <v>8.3333333333333037E-2</v>
      </c>
      <c r="U1439" s="35" t="s">
        <v>1924</v>
      </c>
      <c r="V1439" s="102" t="s">
        <v>293</v>
      </c>
      <c r="W1439" s="478">
        <f>IFERROR(Table6[[#This Row],[Breakdown Time]]*Table6[[#This Row],[Plant Equivalent Weightage]],"")</f>
        <v>3.2051282051281929E-3</v>
      </c>
      <c r="X1439" s="473" t="s">
        <v>290</v>
      </c>
      <c r="Y1439" s="474" t="s">
        <v>79</v>
      </c>
      <c r="Z1439" s="102">
        <v>29022</v>
      </c>
      <c r="AA1439" s="468">
        <f>(Table6[[#This Row],[Paired WTG Generation for loss calculation]]/24)*Table6[[#This Row],[Breakdown Time]]</f>
        <v>100.77083333333297</v>
      </c>
      <c r="AB1439" s="102"/>
      <c r="AC1439" s="35"/>
      <c r="AD1439" s="35"/>
    </row>
    <row r="1440" spans="1:30">
      <c r="A1440" s="102">
        <f t="shared" si="23"/>
        <v>1439</v>
      </c>
      <c r="B1440" s="468">
        <f>YEAR(Table6[[#This Row],[Date]])+IF(MONTH(Table6[[#This Row],[Date]])&gt;=4,1,0)</f>
        <v>2026</v>
      </c>
      <c r="C1440" s="102">
        <f>YEAR(Table6[[#This Row],[Date]])</f>
        <v>2025</v>
      </c>
      <c r="D1440" s="102" t="s">
        <v>1992</v>
      </c>
      <c r="E1440" s="469">
        <f>Table6[[#This Row],[Date]]-DAY(Table6[[#This Row],[Date]])+1</f>
        <v>45839</v>
      </c>
      <c r="F1440" s="470">
        <v>45840</v>
      </c>
      <c r="G1440" s="35" t="s">
        <v>98</v>
      </c>
      <c r="H1440" s="35" t="str">
        <f>IFERROR(_xlfn.XLOOKUP(Table6[[#This Row],[Affected WTG]],'Basic Data'!$A:$A,'Basic Data'!$B:$B),"")</f>
        <v>TQGXIIPL</v>
      </c>
      <c r="I1440" s="35" t="str">
        <f>IFERROR(_xlfn.XLOOKUP(Table6[[#This Row],[Affected WTG]],'Basic Data'!$A:$A,'Basic Data'!$C:$C),"")</f>
        <v>GEDA</v>
      </c>
      <c r="J1440" s="471">
        <f>IFERROR(_xlfn.XLOOKUP(Table6[[#This Row],[Affected WTG]],'Basic Data'!$A:$A,'Basic Data'!$E:$E),"")</f>
        <v>3.846153846153845E-2</v>
      </c>
      <c r="K1440" s="102">
        <v>551</v>
      </c>
      <c r="L1440" s="35" t="str">
        <f>IFERROR(_xlfn.XLOOKUP(Table6[[#This Row],[Error Code]],'Basic Data'!$AA:$AA,'Basic Data'!$AB:$AB),"Incorrect Error Code")</f>
        <v>Pitch motor current too high</v>
      </c>
      <c r="M1440" s="35" t="s">
        <v>291</v>
      </c>
      <c r="N1440" s="475"/>
      <c r="O1440" s="476">
        <v>0.83402777777777781</v>
      </c>
      <c r="P1440" s="476">
        <v>0.83402777777777781</v>
      </c>
      <c r="Q1440" s="477">
        <v>0.8354166666666667</v>
      </c>
      <c r="R1440" s="472">
        <f>IF(Table6[[#This Row],[Work Start TimeStamp]]="","",(Table6[[#This Row],[Work Start TimeStamp]]-Table6[[#This Row],[Fault Start TimeStamp]])*24)</f>
        <v>0</v>
      </c>
      <c r="S1440" s="472">
        <f>(Table6[[#This Row],[Fault Clearance time]]-Table6[[#This Row],[Work Start TimeStamp]])*24</f>
        <v>3.3333333333333215E-2</v>
      </c>
      <c r="T1440" s="472">
        <f>(Table6[[#This Row],[Fault Clearance time]]-Table6[[#This Row],[Fault Start TimeStamp]])*24</f>
        <v>3.3333333333333215E-2</v>
      </c>
      <c r="U1440" s="35" t="s">
        <v>1924</v>
      </c>
      <c r="V1440" s="102" t="s">
        <v>293</v>
      </c>
      <c r="W1440" s="478">
        <f>IFERROR(Table6[[#This Row],[Breakdown Time]]*Table6[[#This Row],[Plant Equivalent Weightage]],"")</f>
        <v>1.2820512820512771E-3</v>
      </c>
      <c r="X1440" s="473" t="s">
        <v>290</v>
      </c>
      <c r="Y1440" s="474" t="s">
        <v>74</v>
      </c>
      <c r="Z1440" s="102">
        <v>29644</v>
      </c>
      <c r="AA1440" s="468">
        <f>(Table6[[#This Row],[Paired WTG Generation for loss calculation]]/24)*Table6[[#This Row],[Breakdown Time]]</f>
        <v>41.172222222222075</v>
      </c>
      <c r="AB1440" s="102"/>
      <c r="AC1440" s="35"/>
      <c r="AD1440" s="35"/>
    </row>
    <row r="1441" spans="1:30">
      <c r="A1441" s="102">
        <f t="shared" si="23"/>
        <v>1440</v>
      </c>
      <c r="B1441" s="468">
        <f>YEAR(Table6[[#This Row],[Date]])+IF(MONTH(Table6[[#This Row],[Date]])&gt;=4,1,0)</f>
        <v>2026</v>
      </c>
      <c r="C1441" s="102">
        <f>YEAR(Table6[[#This Row],[Date]])</f>
        <v>2025</v>
      </c>
      <c r="D1441" s="102" t="s">
        <v>1992</v>
      </c>
      <c r="E1441" s="469">
        <f>Table6[[#This Row],[Date]]-DAY(Table6[[#This Row],[Date]])+1</f>
        <v>45839</v>
      </c>
      <c r="F1441" s="470">
        <v>45840</v>
      </c>
      <c r="G1441" s="35" t="s">
        <v>85</v>
      </c>
      <c r="H1441" s="35" t="str">
        <f>IFERROR(_xlfn.XLOOKUP(Table6[[#This Row],[Affected WTG]],'Basic Data'!$A:$A,'Basic Data'!$B:$B),"")</f>
        <v>TQGXIIPL</v>
      </c>
      <c r="I1441" s="35" t="str">
        <f>IFERROR(_xlfn.XLOOKUP(Table6[[#This Row],[Affected WTG]],'Basic Data'!$A:$A,'Basic Data'!$C:$C),"")</f>
        <v>GEDA</v>
      </c>
      <c r="J1441" s="471">
        <f>IFERROR(_xlfn.XLOOKUP(Table6[[#This Row],[Affected WTG]],'Basic Data'!$A:$A,'Basic Data'!$E:$E),"")</f>
        <v>3.846153846153845E-2</v>
      </c>
      <c r="K1441" s="102">
        <v>55</v>
      </c>
      <c r="L1441" s="35" t="str">
        <f>IFERROR(_xlfn.XLOOKUP(Table6[[#This Row],[Error Code]],'Basic Data'!$AA:$AA,'Basic Data'!$AB:$AB),"Incorrect Error Code")</f>
        <v>WTG shut down</v>
      </c>
      <c r="M1441" s="35" t="s">
        <v>295</v>
      </c>
      <c r="N1441" s="475"/>
      <c r="O1441" s="476">
        <v>0</v>
      </c>
      <c r="P1441" s="476">
        <v>0.35069444444444442</v>
      </c>
      <c r="Q1441" s="477">
        <v>0.99998842592592596</v>
      </c>
      <c r="R1441" s="548">
        <f>IF(Table6[[#This Row],[Work Start TimeStamp]]="","",(Table6[[#This Row],[Work Start TimeStamp]]-Table6[[#This Row],[Fault Start TimeStamp]])*24)</f>
        <v>8.4166666666666661</v>
      </c>
      <c r="S1441" s="548">
        <f>(Table6[[#This Row],[Fault Clearance time]]-Table6[[#This Row],[Work Start TimeStamp]])*24</f>
        <v>15.583055555555557</v>
      </c>
      <c r="T1441" s="548">
        <f>(Table6[[#This Row],[Fault Clearance time]]-Table6[[#This Row],[Fault Start TimeStamp]])*24</f>
        <v>23.999722222222225</v>
      </c>
      <c r="U1441" s="35" t="s">
        <v>2042</v>
      </c>
      <c r="V1441" s="102" t="s">
        <v>289</v>
      </c>
      <c r="W1441" s="549">
        <f>IFERROR(Table6[[#This Row],[Breakdown Time]]*Table6[[#This Row],[Plant Equivalent Weightage]],"")</f>
        <v>0.9230662393162391</v>
      </c>
      <c r="X1441" s="473" t="s">
        <v>523</v>
      </c>
      <c r="Y1441" s="474" t="s">
        <v>87</v>
      </c>
      <c r="Z1441" s="102">
        <v>32433</v>
      </c>
      <c r="AA1441" s="468">
        <f>(Table6[[#This Row],[Paired WTG Generation for loss calculation]]/24)*Table6[[#This Row],[Breakdown Time]]</f>
        <v>32432.624618055561</v>
      </c>
      <c r="AB1441" s="102"/>
      <c r="AC1441" s="35"/>
      <c r="AD1441" s="35"/>
    </row>
    <row r="1442" spans="1:30">
      <c r="A1442" s="102">
        <f t="shared" si="23"/>
        <v>1441</v>
      </c>
      <c r="B1442" s="468">
        <f>YEAR(Table6[[#This Row],[Date]])+IF(MONTH(Table6[[#This Row],[Date]])&gt;=4,1,0)</f>
        <v>2026</v>
      </c>
      <c r="C1442" s="102">
        <f>YEAR(Table6[[#This Row],[Date]])</f>
        <v>2025</v>
      </c>
      <c r="D1442" s="102" t="s">
        <v>1992</v>
      </c>
      <c r="E1442" s="469">
        <f>Table6[[#This Row],[Date]]-DAY(Table6[[#This Row],[Date]])+1</f>
        <v>45839</v>
      </c>
      <c r="F1442" s="470">
        <v>45841</v>
      </c>
      <c r="G1442" s="35" t="s">
        <v>75</v>
      </c>
      <c r="H1442" s="35" t="str">
        <f>IFERROR(_xlfn.XLOOKUP(Table6[[#This Row],[Affected WTG]],'Basic Data'!$A:$A,'Basic Data'!$B:$B),"")</f>
        <v>TQGXIIPL</v>
      </c>
      <c r="I1442" s="35" t="str">
        <f>IFERROR(_xlfn.XLOOKUP(Table6[[#This Row],[Affected WTG]],'Basic Data'!$A:$A,'Basic Data'!$C:$C),"")</f>
        <v>GEDA</v>
      </c>
      <c r="J1442" s="471">
        <f>IFERROR(_xlfn.XLOOKUP(Table6[[#This Row],[Affected WTG]],'Basic Data'!$A:$A,'Basic Data'!$E:$E),"")</f>
        <v>3.846153846153845E-2</v>
      </c>
      <c r="K1442" s="102">
        <v>3211</v>
      </c>
      <c r="L1442" s="35" t="str">
        <f>IFERROR(_xlfn.XLOOKUP(Table6[[#This Row],[Error Code]],'Basic Data'!$AA:$AA,'Basic Data'!$AB:$AB),"Incorrect Error Code")</f>
        <v>Conv. load shedding (CAN)</v>
      </c>
      <c r="M1442" s="35" t="s">
        <v>291</v>
      </c>
      <c r="N1442" s="475"/>
      <c r="O1442" s="476">
        <v>0.75486111111111109</v>
      </c>
      <c r="P1442" s="476">
        <v>0.75486111111111109</v>
      </c>
      <c r="Q1442" s="477">
        <v>0.75972222222222219</v>
      </c>
      <c r="R1442" s="472">
        <f>IF(Table6[[#This Row],[Work Start TimeStamp]]="","",(Table6[[#This Row],[Work Start TimeStamp]]-Table6[[#This Row],[Fault Start TimeStamp]])*24)</f>
        <v>0</v>
      </c>
      <c r="S1442" s="472">
        <f>(Table6[[#This Row],[Fault Clearance time]]-Table6[[#This Row],[Work Start TimeStamp]])*24</f>
        <v>0.11666666666666625</v>
      </c>
      <c r="T1442" s="472">
        <f>(Table6[[#This Row],[Fault Clearance time]]-Table6[[#This Row],[Fault Start TimeStamp]])*24</f>
        <v>0.11666666666666625</v>
      </c>
      <c r="U1442" s="35" t="s">
        <v>2041</v>
      </c>
      <c r="V1442" s="102" t="s">
        <v>293</v>
      </c>
      <c r="W1442" s="549">
        <f>IFERROR(Table6[[#This Row],[Breakdown Time]]*Table6[[#This Row],[Plant Equivalent Weightage]],"")</f>
        <v>4.4871794871794695E-3</v>
      </c>
      <c r="X1442" s="473" t="s">
        <v>290</v>
      </c>
      <c r="Y1442" s="474" t="s">
        <v>78</v>
      </c>
      <c r="Z1442" s="102">
        <v>31756</v>
      </c>
      <c r="AA1442" s="468">
        <f>(Table6[[#This Row],[Paired WTG Generation for loss calculation]]/24)*Table6[[#This Row],[Breakdown Time]]</f>
        <v>154.3694444444439</v>
      </c>
      <c r="AB1442" s="102"/>
      <c r="AC1442" s="35"/>
      <c r="AD1442" s="35"/>
    </row>
    <row r="1443" spans="1:30">
      <c r="A1443" s="102">
        <f t="shared" si="23"/>
        <v>1442</v>
      </c>
      <c r="B1443" s="468">
        <f>YEAR(Table6[[#This Row],[Date]])+IF(MONTH(Table6[[#This Row],[Date]])&gt;=4,1,0)</f>
        <v>2026</v>
      </c>
      <c r="C1443" s="102">
        <f>YEAR(Table6[[#This Row],[Date]])</f>
        <v>2025</v>
      </c>
      <c r="D1443" s="102" t="s">
        <v>1992</v>
      </c>
      <c r="E1443" s="469">
        <f>Table6[[#This Row],[Date]]-DAY(Table6[[#This Row],[Date]])+1</f>
        <v>45839</v>
      </c>
      <c r="F1443" s="470">
        <v>45841</v>
      </c>
      <c r="G1443" s="35" t="s">
        <v>78</v>
      </c>
      <c r="H1443" s="35" t="str">
        <f>IFERROR(_xlfn.XLOOKUP(Table6[[#This Row],[Affected WTG]],'Basic Data'!$A:$A,'Basic Data'!$B:$B),"")</f>
        <v>TQGXIIPL</v>
      </c>
      <c r="I1443" s="35" t="str">
        <f>IFERROR(_xlfn.XLOOKUP(Table6[[#This Row],[Affected WTG]],'Basic Data'!$A:$A,'Basic Data'!$C:$C),"")</f>
        <v>GEDA</v>
      </c>
      <c r="J1443" s="471">
        <f>IFERROR(_xlfn.XLOOKUP(Table6[[#This Row],[Affected WTG]],'Basic Data'!$A:$A,'Basic Data'!$E:$E),"")</f>
        <v>3.846153846153845E-2</v>
      </c>
      <c r="K1443" s="102">
        <v>3211</v>
      </c>
      <c r="L1443" s="35" t="str">
        <f>IFERROR(_xlfn.XLOOKUP(Table6[[#This Row],[Error Code]],'Basic Data'!$AA:$AA,'Basic Data'!$AB:$AB),"Incorrect Error Code")</f>
        <v>Conv. load shedding (CAN)</v>
      </c>
      <c r="M1443" s="35" t="s">
        <v>292</v>
      </c>
      <c r="N1443" s="475"/>
      <c r="O1443" s="476">
        <v>0.73958333333333337</v>
      </c>
      <c r="P1443" s="476">
        <v>0.73958333333333337</v>
      </c>
      <c r="Q1443" s="477">
        <v>0.74097222222222225</v>
      </c>
      <c r="R1443" s="472">
        <f>IF(Table6[[#This Row],[Work Start TimeStamp]]="","",(Table6[[#This Row],[Work Start TimeStamp]]-Table6[[#This Row],[Fault Start TimeStamp]])*24)</f>
        <v>0</v>
      </c>
      <c r="S1443" s="472">
        <f>(Table6[[#This Row],[Fault Clearance time]]-Table6[[#This Row],[Work Start TimeStamp]])*24</f>
        <v>3.3333333333333215E-2</v>
      </c>
      <c r="T1443" s="472">
        <f>(Table6[[#This Row],[Fault Clearance time]]-Table6[[#This Row],[Fault Start TimeStamp]])*24</f>
        <v>3.3333333333333215E-2</v>
      </c>
      <c r="U1443" s="35" t="s">
        <v>336</v>
      </c>
      <c r="V1443" s="102" t="s">
        <v>293</v>
      </c>
      <c r="W1443" s="549">
        <f>IFERROR(Table6[[#This Row],[Breakdown Time]]*Table6[[#This Row],[Plant Equivalent Weightage]],"")</f>
        <v>1.2820512820512771E-3</v>
      </c>
      <c r="X1443" s="473" t="s">
        <v>290</v>
      </c>
      <c r="Y1443" s="474" t="s">
        <v>75</v>
      </c>
      <c r="Z1443" s="102">
        <v>31434</v>
      </c>
      <c r="AA1443" s="468">
        <f>(Table6[[#This Row],[Paired WTG Generation for loss calculation]]/24)*Table6[[#This Row],[Breakdown Time]]</f>
        <v>43.658333333333175</v>
      </c>
      <c r="AB1443" s="102"/>
      <c r="AC1443" s="35"/>
      <c r="AD1443" s="35"/>
    </row>
    <row r="1444" spans="1:30">
      <c r="A1444" s="102">
        <f t="shared" si="23"/>
        <v>1443</v>
      </c>
      <c r="B1444" s="468">
        <f>YEAR(Table6[[#This Row],[Date]])+IF(MONTH(Table6[[#This Row],[Date]])&gt;=4,1,0)</f>
        <v>2026</v>
      </c>
      <c r="C1444" s="102">
        <f>YEAR(Table6[[#This Row],[Date]])</f>
        <v>2025</v>
      </c>
      <c r="D1444" s="102" t="s">
        <v>1992</v>
      </c>
      <c r="E1444" s="469">
        <f>Table6[[#This Row],[Date]]-DAY(Table6[[#This Row],[Date]])+1</f>
        <v>45839</v>
      </c>
      <c r="F1444" s="470">
        <v>45841</v>
      </c>
      <c r="G1444" s="35" t="s">
        <v>85</v>
      </c>
      <c r="H1444" s="35" t="str">
        <f>IFERROR(_xlfn.XLOOKUP(Table6[[#This Row],[Affected WTG]],'Basic Data'!$A:$A,'Basic Data'!$B:$B),"")</f>
        <v>TQGXIIPL</v>
      </c>
      <c r="I1444" s="35" t="str">
        <f>IFERROR(_xlfn.XLOOKUP(Table6[[#This Row],[Affected WTG]],'Basic Data'!$A:$A,'Basic Data'!$C:$C),"")</f>
        <v>GEDA</v>
      </c>
      <c r="J1444" s="471">
        <f>IFERROR(_xlfn.XLOOKUP(Table6[[#This Row],[Affected WTG]],'Basic Data'!$A:$A,'Basic Data'!$E:$E),"")</f>
        <v>3.846153846153845E-2</v>
      </c>
      <c r="K1444" s="102">
        <v>55</v>
      </c>
      <c r="L1444" s="35" t="str">
        <f>IFERROR(_xlfn.XLOOKUP(Table6[[#This Row],[Error Code]],'Basic Data'!$AA:$AA,'Basic Data'!$AB:$AB),"Incorrect Error Code")</f>
        <v>WTG shut down</v>
      </c>
      <c r="M1444" s="35" t="s">
        <v>295</v>
      </c>
      <c r="N1444" s="475"/>
      <c r="O1444" s="476">
        <v>0</v>
      </c>
      <c r="P1444" s="476">
        <v>0.35416666666666669</v>
      </c>
      <c r="Q1444" s="477">
        <v>1</v>
      </c>
      <c r="R1444" s="472">
        <f>IF(Table6[[#This Row],[Work Start TimeStamp]]="","",(Table6[[#This Row],[Work Start TimeStamp]]-Table6[[#This Row],[Fault Start TimeStamp]])*24)</f>
        <v>8.5</v>
      </c>
      <c r="S1444" s="472">
        <f>(Table6[[#This Row],[Fault Clearance time]]-Table6[[#This Row],[Work Start TimeStamp]])*24</f>
        <v>15.499999999999998</v>
      </c>
      <c r="T1444" s="472">
        <f>(Table6[[#This Row],[Fault Clearance time]]-Table6[[#This Row],[Fault Start TimeStamp]])*24</f>
        <v>24</v>
      </c>
      <c r="U1444" s="35" t="s">
        <v>2046</v>
      </c>
      <c r="V1444" s="102" t="s">
        <v>289</v>
      </c>
      <c r="W1444" s="549">
        <f>IFERROR(Table6[[#This Row],[Breakdown Time]]*Table6[[#This Row],[Plant Equivalent Weightage]],"")</f>
        <v>0.9230769230769228</v>
      </c>
      <c r="X1444" s="473" t="s">
        <v>523</v>
      </c>
      <c r="Y1444" s="474" t="s">
        <v>87</v>
      </c>
      <c r="Z1444" s="102">
        <v>31450</v>
      </c>
      <c r="AA1444" s="468">
        <f>(Table6[[#This Row],[Paired WTG Generation for loss calculation]]/24)*Table6[[#This Row],[Breakdown Time]]</f>
        <v>31450</v>
      </c>
      <c r="AB1444" s="102"/>
      <c r="AC1444" s="35"/>
      <c r="AD1444" s="35"/>
    </row>
    <row r="1445" spans="1:30">
      <c r="A1445" s="102">
        <f t="shared" si="23"/>
        <v>1444</v>
      </c>
      <c r="B1445" s="468">
        <f>YEAR(Table6[[#This Row],[Date]])+IF(MONTH(Table6[[#This Row],[Date]])&gt;=4,1,0)</f>
        <v>2026</v>
      </c>
      <c r="C1445" s="102">
        <f>YEAR(Table6[[#This Row],[Date]])</f>
        <v>2025</v>
      </c>
      <c r="D1445" s="102" t="s">
        <v>1992</v>
      </c>
      <c r="E1445" s="469">
        <f>Table6[[#This Row],[Date]]-DAY(Table6[[#This Row],[Date]])+1</f>
        <v>45839</v>
      </c>
      <c r="F1445" s="470">
        <v>45842</v>
      </c>
      <c r="G1445" s="35" t="s">
        <v>85</v>
      </c>
      <c r="H1445" s="35" t="str">
        <f>IFERROR(_xlfn.XLOOKUP(Table6[[#This Row],[Affected WTG]],'Basic Data'!$A:$A,'Basic Data'!$B:$B),"")</f>
        <v>TQGXIIPL</v>
      </c>
      <c r="I1445" s="35" t="str">
        <f>IFERROR(_xlfn.XLOOKUP(Table6[[#This Row],[Affected WTG]],'Basic Data'!$A:$A,'Basic Data'!$C:$C),"")</f>
        <v>GEDA</v>
      </c>
      <c r="J1445" s="471">
        <f>IFERROR(_xlfn.XLOOKUP(Table6[[#This Row],[Affected WTG]],'Basic Data'!$A:$A,'Basic Data'!$E:$E),"")</f>
        <v>3.846153846153845E-2</v>
      </c>
      <c r="K1445" s="102">
        <v>55</v>
      </c>
      <c r="L1445" s="35" t="str">
        <f>IFERROR(_xlfn.XLOOKUP(Table6[[#This Row],[Error Code]],'Basic Data'!$AA:$AA,'Basic Data'!$AB:$AB),"Incorrect Error Code")</f>
        <v>WTG shut down</v>
      </c>
      <c r="M1445" s="35" t="s">
        <v>295</v>
      </c>
      <c r="N1445" s="475"/>
      <c r="O1445" s="476">
        <v>0</v>
      </c>
      <c r="P1445" s="476">
        <v>0.34722222222222221</v>
      </c>
      <c r="Q1445" s="477">
        <v>1</v>
      </c>
      <c r="R1445" s="472">
        <f>IF(Table6[[#This Row],[Work Start TimeStamp]]="","",(Table6[[#This Row],[Work Start TimeStamp]]-Table6[[#This Row],[Fault Start TimeStamp]])*24)</f>
        <v>8.3333333333333321</v>
      </c>
      <c r="S1445" s="472">
        <f>(Table6[[#This Row],[Fault Clearance time]]-Table6[[#This Row],[Work Start TimeStamp]])*24</f>
        <v>15.666666666666668</v>
      </c>
      <c r="T1445" s="472">
        <f>(Table6[[#This Row],[Fault Clearance time]]-Table6[[#This Row],[Fault Start TimeStamp]])*24</f>
        <v>24</v>
      </c>
      <c r="U1445" s="35" t="s">
        <v>2047</v>
      </c>
      <c r="V1445" s="102" t="s">
        <v>289</v>
      </c>
      <c r="W1445" s="549">
        <f>IFERROR(Table6[[#This Row],[Breakdown Time]]*Table6[[#This Row],[Plant Equivalent Weightage]],"")</f>
        <v>0.9230769230769228</v>
      </c>
      <c r="X1445" s="473" t="s">
        <v>523</v>
      </c>
      <c r="Y1445" s="474" t="s">
        <v>87</v>
      </c>
      <c r="Z1445" s="102">
        <v>16553</v>
      </c>
      <c r="AA1445" s="468">
        <f>(Table6[[#This Row],[Paired WTG Generation for loss calculation]]/24)*Table6[[#This Row],[Breakdown Time]]</f>
        <v>16553</v>
      </c>
      <c r="AB1445" s="102"/>
      <c r="AC1445" s="35"/>
      <c r="AD1445" s="35"/>
    </row>
    <row r="1446" spans="1:30">
      <c r="A1446" s="102">
        <f t="shared" si="23"/>
        <v>1445</v>
      </c>
      <c r="B1446" s="468">
        <f>YEAR(Table6[[#This Row],[Date]])+IF(MONTH(Table6[[#This Row],[Date]])&gt;=4,1,0)</f>
        <v>2026</v>
      </c>
      <c r="C1446" s="102">
        <f>YEAR(Table6[[#This Row],[Date]])</f>
        <v>2025</v>
      </c>
      <c r="D1446" s="102" t="s">
        <v>1992</v>
      </c>
      <c r="E1446" s="469">
        <f>Table6[[#This Row],[Date]]-DAY(Table6[[#This Row],[Date]])+1</f>
        <v>45839</v>
      </c>
      <c r="F1446" s="470">
        <v>45842</v>
      </c>
      <c r="G1446" s="35" t="s">
        <v>93</v>
      </c>
      <c r="H1446" s="35" t="str">
        <f>IFERROR(_xlfn.XLOOKUP(Table6[[#This Row],[Affected WTG]],'Basic Data'!$A:$A,'Basic Data'!$B:$B),"")</f>
        <v>TQGXIIPL</v>
      </c>
      <c r="I1446" s="35" t="str">
        <f>IFERROR(_xlfn.XLOOKUP(Table6[[#This Row],[Affected WTG]],'Basic Data'!$A:$A,'Basic Data'!$C:$C),"")</f>
        <v>GEDA</v>
      </c>
      <c r="J1446" s="471">
        <f>IFERROR(_xlfn.XLOOKUP(Table6[[#This Row],[Affected WTG]],'Basic Data'!$A:$A,'Basic Data'!$E:$E),"")</f>
        <v>3.846153846153845E-2</v>
      </c>
      <c r="K1446" s="102">
        <v>3000</v>
      </c>
      <c r="L1446" s="35" t="str">
        <f>IFERROR(_xlfn.XLOOKUP(Table6[[#This Row],[Error Code]],'Basic Data'!$AA:$AA,'Basic Data'!$AB:$AB),"Incorrect Error Code")</f>
        <v>Frequency converter not ready</v>
      </c>
      <c r="M1446" s="35" t="s">
        <v>295</v>
      </c>
      <c r="N1446" s="475"/>
      <c r="O1446" s="476">
        <v>0.44444444444444442</v>
      </c>
      <c r="P1446" s="476">
        <v>0.46875</v>
      </c>
      <c r="Q1446" s="477">
        <v>1</v>
      </c>
      <c r="R1446" s="472">
        <f>IF(Table6[[#This Row],[Work Start TimeStamp]]="","",(Table6[[#This Row],[Work Start TimeStamp]]-Table6[[#This Row],[Fault Start TimeStamp]])*24)</f>
        <v>0.58333333333333393</v>
      </c>
      <c r="S1446" s="472">
        <f>(Table6[[#This Row],[Fault Clearance time]]-Table6[[#This Row],[Work Start TimeStamp]])*24</f>
        <v>12.75</v>
      </c>
      <c r="T1446" s="472">
        <f>(Table6[[#This Row],[Fault Clearance time]]-Table6[[#This Row],[Fault Start TimeStamp]])*24</f>
        <v>13.333333333333334</v>
      </c>
      <c r="U1446" s="35" t="s">
        <v>2048</v>
      </c>
      <c r="V1446" s="102" t="s">
        <v>289</v>
      </c>
      <c r="W1446" s="549">
        <f>IFERROR(Table6[[#This Row],[Breakdown Time]]*Table6[[#This Row],[Plant Equivalent Weightage]],"")</f>
        <v>0.51282051282051266</v>
      </c>
      <c r="X1446" s="473" t="s">
        <v>290</v>
      </c>
      <c r="Y1446" s="474" t="s">
        <v>97</v>
      </c>
      <c r="Z1446" s="102">
        <v>18545</v>
      </c>
      <c r="AA1446" s="468">
        <f>(Table6[[#This Row],[Paired WTG Generation for loss calculation]]/24)*Table6[[#This Row],[Breakdown Time]]</f>
        <v>10302.777777777779</v>
      </c>
      <c r="AB1446" s="102"/>
      <c r="AC1446" s="35"/>
      <c r="AD1446" s="35"/>
    </row>
    <row r="1447" spans="1:30">
      <c r="A1447" s="102">
        <f t="shared" si="23"/>
        <v>1446</v>
      </c>
      <c r="B1447" s="468">
        <f>YEAR(Table6[[#This Row],[Date]])+IF(MONTH(Table6[[#This Row],[Date]])&gt;=4,1,0)</f>
        <v>2026</v>
      </c>
      <c r="C1447" s="102">
        <f>YEAR(Table6[[#This Row],[Date]])</f>
        <v>2025</v>
      </c>
      <c r="D1447" s="102" t="s">
        <v>1992</v>
      </c>
      <c r="E1447" s="469">
        <f>Table6[[#This Row],[Date]]-DAY(Table6[[#This Row],[Date]])+1</f>
        <v>45839</v>
      </c>
      <c r="F1447" s="470">
        <v>45843</v>
      </c>
      <c r="G1447" s="35" t="s">
        <v>76</v>
      </c>
      <c r="H1447" s="35" t="str">
        <f>IFERROR(_xlfn.XLOOKUP(Table6[[#This Row],[Affected WTG]],'Basic Data'!$A:$A,'Basic Data'!$B:$B),"")</f>
        <v>TQGXIIPL</v>
      </c>
      <c r="I1447" s="35" t="str">
        <f>IFERROR(_xlfn.XLOOKUP(Table6[[#This Row],[Affected WTG]],'Basic Data'!$A:$A,'Basic Data'!$C:$C),"")</f>
        <v>GEDA</v>
      </c>
      <c r="J1447" s="471">
        <f>IFERROR(_xlfn.XLOOKUP(Table6[[#This Row],[Affected WTG]],'Basic Data'!$A:$A,'Basic Data'!$E:$E),"")</f>
        <v>3.846153846153845E-2</v>
      </c>
      <c r="K1447" s="102">
        <v>5700</v>
      </c>
      <c r="L1447" s="35" t="str">
        <f>IFERROR(_xlfn.XLOOKUP(Table6[[#This Row],[Error Code]],'Basic Data'!$AA:$AA,'Basic Data'!$AB:$AB),"Incorrect Error Code")</f>
        <v>Max. operation time hydraulic</v>
      </c>
      <c r="M1447" s="35" t="s">
        <v>291</v>
      </c>
      <c r="N1447" s="475"/>
      <c r="O1447" s="476">
        <v>0.72777777777777775</v>
      </c>
      <c r="P1447" s="476">
        <v>0.72777777777777775</v>
      </c>
      <c r="Q1447" s="477">
        <v>0.75208333333333333</v>
      </c>
      <c r="R1447" s="472">
        <f>IF(Table6[[#This Row],[Work Start TimeStamp]]="","",(Table6[[#This Row],[Work Start TimeStamp]]-Table6[[#This Row],[Fault Start TimeStamp]])*24)</f>
        <v>0</v>
      </c>
      <c r="S1447" s="472">
        <f>(Table6[[#This Row],[Fault Clearance time]]-Table6[[#This Row],[Work Start TimeStamp]])*24</f>
        <v>0.58333333333333393</v>
      </c>
      <c r="T1447" s="472">
        <f>(Table6[[#This Row],[Fault Clearance time]]-Table6[[#This Row],[Fault Start TimeStamp]])*24</f>
        <v>0.58333333333333393</v>
      </c>
      <c r="U1447" s="35" t="s">
        <v>2049</v>
      </c>
      <c r="V1447" s="102" t="s">
        <v>289</v>
      </c>
      <c r="W1447" s="549">
        <f>IFERROR(Table6[[#This Row],[Breakdown Time]]*Table6[[#This Row],[Plant Equivalent Weightage]],"")</f>
        <v>2.2435897435897453E-2</v>
      </c>
      <c r="X1447" s="473" t="s">
        <v>290</v>
      </c>
      <c r="Y1447" s="474" t="s">
        <v>82</v>
      </c>
      <c r="Z1447" s="102">
        <v>22640</v>
      </c>
      <c r="AA1447" s="468">
        <f>(Table6[[#This Row],[Paired WTG Generation for loss calculation]]/24)*Table6[[#This Row],[Breakdown Time]]</f>
        <v>550.2777777777784</v>
      </c>
      <c r="AB1447" s="102"/>
      <c r="AC1447" s="35"/>
      <c r="AD1447" s="35"/>
    </row>
    <row r="1448" spans="1:30">
      <c r="A1448" s="102">
        <f t="shared" si="23"/>
        <v>1447</v>
      </c>
      <c r="B1448" s="468">
        <f>YEAR(Table6[[#This Row],[Date]])+IF(MONTH(Table6[[#This Row],[Date]])&gt;=4,1,0)</f>
        <v>2026</v>
      </c>
      <c r="C1448" s="102">
        <f>YEAR(Table6[[#This Row],[Date]])</f>
        <v>2025</v>
      </c>
      <c r="D1448" s="102" t="s">
        <v>1992</v>
      </c>
      <c r="E1448" s="469">
        <f>Table6[[#This Row],[Date]]-DAY(Table6[[#This Row],[Date]])+1</f>
        <v>45839</v>
      </c>
      <c r="F1448" s="470">
        <v>45843</v>
      </c>
      <c r="G1448" s="35" t="s">
        <v>76</v>
      </c>
      <c r="H1448" s="35" t="str">
        <f>IFERROR(_xlfn.XLOOKUP(Table6[[#This Row],[Affected WTG]],'Basic Data'!$A:$A,'Basic Data'!$B:$B),"")</f>
        <v>TQGXIIPL</v>
      </c>
      <c r="I1448" s="35" t="str">
        <f>IFERROR(_xlfn.XLOOKUP(Table6[[#This Row],[Affected WTG]],'Basic Data'!$A:$A,'Basic Data'!$C:$C),"")</f>
        <v>GEDA</v>
      </c>
      <c r="J1448" s="471">
        <f>IFERROR(_xlfn.XLOOKUP(Table6[[#This Row],[Affected WTG]],'Basic Data'!$A:$A,'Basic Data'!$E:$E),"")</f>
        <v>3.846153846153845E-2</v>
      </c>
      <c r="K1448" s="102">
        <v>5700</v>
      </c>
      <c r="L1448" s="35" t="str">
        <f>IFERROR(_xlfn.XLOOKUP(Table6[[#This Row],[Error Code]],'Basic Data'!$AA:$AA,'Basic Data'!$AB:$AB),"Incorrect Error Code")</f>
        <v>Max. operation time hydraulic</v>
      </c>
      <c r="M1448" s="35" t="s">
        <v>291</v>
      </c>
      <c r="N1448" s="475"/>
      <c r="O1448" s="476">
        <v>0.77083333333333337</v>
      </c>
      <c r="P1448" s="476">
        <v>0.84375</v>
      </c>
      <c r="Q1448" s="477">
        <v>0.99930555555555556</v>
      </c>
      <c r="R1448" s="472">
        <f>IF(Table6[[#This Row],[Work Start TimeStamp]]="","",(Table6[[#This Row],[Work Start TimeStamp]]-Table6[[#This Row],[Fault Start TimeStamp]])*24)</f>
        <v>1.7499999999999991</v>
      </c>
      <c r="S1448" s="472">
        <f>(Table6[[#This Row],[Fault Clearance time]]-Table6[[#This Row],[Work Start TimeStamp]])*24</f>
        <v>3.7333333333333334</v>
      </c>
      <c r="T1448" s="472">
        <f>(Table6[[#This Row],[Fault Clearance time]]-Table6[[#This Row],[Fault Start TimeStamp]])*24</f>
        <v>5.4833333333333325</v>
      </c>
      <c r="U1448" s="35" t="s">
        <v>2050</v>
      </c>
      <c r="V1448" s="102" t="s">
        <v>293</v>
      </c>
      <c r="W1448" s="549">
        <f>IFERROR(Table6[[#This Row],[Breakdown Time]]*Table6[[#This Row],[Plant Equivalent Weightage]],"")</f>
        <v>0.21089743589743581</v>
      </c>
      <c r="X1448" s="473" t="s">
        <v>290</v>
      </c>
      <c r="Y1448" s="474" t="s">
        <v>82</v>
      </c>
      <c r="Z1448" s="102">
        <v>22640</v>
      </c>
      <c r="AA1448" s="468">
        <f>(Table6[[#This Row],[Paired WTG Generation for loss calculation]]/24)*Table6[[#This Row],[Breakdown Time]]</f>
        <v>5172.6111111111104</v>
      </c>
      <c r="AB1448" s="102"/>
      <c r="AC1448" s="35"/>
      <c r="AD1448" s="35"/>
    </row>
    <row r="1449" spans="1:30">
      <c r="A1449" s="102">
        <f t="shared" si="23"/>
        <v>1448</v>
      </c>
      <c r="B1449" s="468">
        <f>YEAR(Table6[[#This Row],[Date]])+IF(MONTH(Table6[[#This Row],[Date]])&gt;=4,1,0)</f>
        <v>2026</v>
      </c>
      <c r="C1449" s="102">
        <f>YEAR(Table6[[#This Row],[Date]])</f>
        <v>2025</v>
      </c>
      <c r="D1449" s="102" t="s">
        <v>1992</v>
      </c>
      <c r="E1449" s="469">
        <f>Table6[[#This Row],[Date]]-DAY(Table6[[#This Row],[Date]])+1</f>
        <v>45839</v>
      </c>
      <c r="F1449" s="470">
        <v>45843</v>
      </c>
      <c r="G1449" s="35" t="s">
        <v>77</v>
      </c>
      <c r="H1449" s="35" t="str">
        <f>IFERROR(_xlfn.XLOOKUP(Table6[[#This Row],[Affected WTG]],'Basic Data'!$A:$A,'Basic Data'!$B:$B),"")</f>
        <v>TQGXIIPL</v>
      </c>
      <c r="I1449" s="35" t="str">
        <f>IFERROR(_xlfn.XLOOKUP(Table6[[#This Row],[Affected WTG]],'Basic Data'!$A:$A,'Basic Data'!$C:$C),"")</f>
        <v>GEDA</v>
      </c>
      <c r="J1449" s="471">
        <f>IFERROR(_xlfn.XLOOKUP(Table6[[#This Row],[Affected WTG]],'Basic Data'!$A:$A,'Basic Data'!$E:$E),"")</f>
        <v>3.846153846153845E-2</v>
      </c>
      <c r="K1449" s="102">
        <v>6130</v>
      </c>
      <c r="L1449" s="35" t="str">
        <f>IFERROR(_xlfn.XLOOKUP(Table6[[#This Row],[Error Code]],'Basic Data'!$AA:$AA,'Basic Data'!$AB:$AB),"Incorrect Error Code")</f>
        <v>Yaw speed high</v>
      </c>
      <c r="M1449" s="35" t="s">
        <v>291</v>
      </c>
      <c r="N1449" s="475"/>
      <c r="O1449" s="476">
        <v>0.5083333333333333</v>
      </c>
      <c r="P1449" s="476">
        <v>0.5083333333333333</v>
      </c>
      <c r="Q1449" s="477">
        <v>0.51041666666666663</v>
      </c>
      <c r="R1449" s="472">
        <f>IF(Table6[[#This Row],[Work Start TimeStamp]]="","",(Table6[[#This Row],[Work Start TimeStamp]]-Table6[[#This Row],[Fault Start TimeStamp]])*24)</f>
        <v>0</v>
      </c>
      <c r="S1449" s="472">
        <f>(Table6[[#This Row],[Fault Clearance time]]-Table6[[#This Row],[Work Start TimeStamp]])*24</f>
        <v>4.9999999999999822E-2</v>
      </c>
      <c r="T1449" s="472">
        <f>(Table6[[#This Row],[Fault Clearance time]]-Table6[[#This Row],[Fault Start TimeStamp]])*24</f>
        <v>4.9999999999999822E-2</v>
      </c>
      <c r="U1449" s="35" t="s">
        <v>1924</v>
      </c>
      <c r="V1449" s="102" t="s">
        <v>293</v>
      </c>
      <c r="W1449" s="549">
        <f>IFERROR(Table6[[#This Row],[Breakdown Time]]*Table6[[#This Row],[Plant Equivalent Weightage]],"")</f>
        <v>1.9230769230769156E-3</v>
      </c>
      <c r="X1449" s="473" t="s">
        <v>290</v>
      </c>
      <c r="Y1449" s="474" t="s">
        <v>80</v>
      </c>
      <c r="Z1449" s="102">
        <v>23229</v>
      </c>
      <c r="AA1449" s="468">
        <f>(Table6[[#This Row],[Paired WTG Generation for loss calculation]]/24)*Table6[[#This Row],[Breakdown Time]]</f>
        <v>48.393749999999827</v>
      </c>
      <c r="AB1449" s="102"/>
      <c r="AC1449" s="35"/>
      <c r="AD1449" s="35"/>
    </row>
    <row r="1450" spans="1:30">
      <c r="A1450" s="102">
        <f t="shared" si="23"/>
        <v>1449</v>
      </c>
      <c r="B1450" s="468">
        <f>YEAR(Table6[[#This Row],[Date]])+IF(MONTH(Table6[[#This Row],[Date]])&gt;=4,1,0)</f>
        <v>2026</v>
      </c>
      <c r="C1450" s="102">
        <f>YEAR(Table6[[#This Row],[Date]])</f>
        <v>2025</v>
      </c>
      <c r="D1450" s="102" t="s">
        <v>1992</v>
      </c>
      <c r="E1450" s="469">
        <f>Table6[[#This Row],[Date]]-DAY(Table6[[#This Row],[Date]])+1</f>
        <v>45839</v>
      </c>
      <c r="F1450" s="470">
        <v>45843</v>
      </c>
      <c r="G1450" s="35" t="s">
        <v>85</v>
      </c>
      <c r="H1450" s="35" t="str">
        <f>IFERROR(_xlfn.XLOOKUP(Table6[[#This Row],[Affected WTG]],'Basic Data'!$A:$A,'Basic Data'!$B:$B),"")</f>
        <v>TQGXIIPL</v>
      </c>
      <c r="I1450" s="35" t="str">
        <f>IFERROR(_xlfn.XLOOKUP(Table6[[#This Row],[Affected WTG]],'Basic Data'!$A:$A,'Basic Data'!$C:$C),"")</f>
        <v>GEDA</v>
      </c>
      <c r="J1450" s="471">
        <f>IFERROR(_xlfn.XLOOKUP(Table6[[#This Row],[Affected WTG]],'Basic Data'!$A:$A,'Basic Data'!$E:$E),"")</f>
        <v>3.846153846153845E-2</v>
      </c>
      <c r="K1450" s="102">
        <v>55</v>
      </c>
      <c r="L1450" s="35" t="str">
        <f>IFERROR(_xlfn.XLOOKUP(Table6[[#This Row],[Error Code]],'Basic Data'!$AA:$AA,'Basic Data'!$AB:$AB),"Incorrect Error Code")</f>
        <v>WTG shut down</v>
      </c>
      <c r="M1450" s="35" t="s">
        <v>295</v>
      </c>
      <c r="N1450" s="475"/>
      <c r="O1450" s="476">
        <v>0</v>
      </c>
      <c r="P1450" s="476">
        <v>0.34722222222222221</v>
      </c>
      <c r="Q1450" s="477">
        <v>0.99998842592592596</v>
      </c>
      <c r="R1450" s="472">
        <f>IF(Table6[[#This Row],[Work Start TimeStamp]]="","",(Table6[[#This Row],[Work Start TimeStamp]]-Table6[[#This Row],[Fault Start TimeStamp]])*24)</f>
        <v>8.3333333333333321</v>
      </c>
      <c r="S1450" s="472">
        <f>(Table6[[#This Row],[Fault Clearance time]]-Table6[[#This Row],[Work Start TimeStamp]])*24</f>
        <v>15.666388888888889</v>
      </c>
      <c r="T1450" s="472">
        <f>(Table6[[#This Row],[Fault Clearance time]]-Table6[[#This Row],[Fault Start TimeStamp]])*24</f>
        <v>23.999722222222225</v>
      </c>
      <c r="U1450" s="35" t="s">
        <v>2052</v>
      </c>
      <c r="V1450" s="102" t="s">
        <v>289</v>
      </c>
      <c r="W1450" s="549">
        <f>IFERROR(Table6[[#This Row],[Breakdown Time]]*Table6[[#This Row],[Plant Equivalent Weightage]],"")</f>
        <v>0.9230662393162391</v>
      </c>
      <c r="X1450" s="473" t="s">
        <v>523</v>
      </c>
      <c r="Y1450" s="474" t="s">
        <v>87</v>
      </c>
      <c r="Z1450" s="102">
        <v>23730</v>
      </c>
      <c r="AA1450" s="468">
        <f>(Table6[[#This Row],[Paired WTG Generation for loss calculation]]/24)*Table6[[#This Row],[Breakdown Time]]</f>
        <v>23729.725347222226</v>
      </c>
      <c r="AB1450" s="102"/>
      <c r="AC1450" s="35"/>
      <c r="AD1450" s="35"/>
    </row>
    <row r="1451" spans="1:30">
      <c r="A1451" s="102">
        <f t="shared" si="23"/>
        <v>1450</v>
      </c>
      <c r="B1451" s="468">
        <f>YEAR(Table6[[#This Row],[Date]])+IF(MONTH(Table6[[#This Row],[Date]])&gt;=4,1,0)</f>
        <v>2026</v>
      </c>
      <c r="C1451" s="102">
        <f>YEAR(Table6[[#This Row],[Date]])</f>
        <v>2025</v>
      </c>
      <c r="D1451" s="102" t="s">
        <v>1992</v>
      </c>
      <c r="E1451" s="469">
        <f>Table6[[#This Row],[Date]]-DAY(Table6[[#This Row],[Date]])+1</f>
        <v>45839</v>
      </c>
      <c r="F1451" s="470">
        <v>45843</v>
      </c>
      <c r="G1451" s="35" t="s">
        <v>86</v>
      </c>
      <c r="H1451" s="35" t="str">
        <f>IFERROR(_xlfn.XLOOKUP(Table6[[#This Row],[Affected WTG]],'Basic Data'!$A:$A,'Basic Data'!$B:$B),"")</f>
        <v>TQGXIIPL</v>
      </c>
      <c r="I1451" s="35" t="str">
        <f>IFERROR(_xlfn.XLOOKUP(Table6[[#This Row],[Affected WTG]],'Basic Data'!$A:$A,'Basic Data'!$C:$C),"")</f>
        <v>GEDA</v>
      </c>
      <c r="J1451" s="471">
        <f>IFERROR(_xlfn.XLOOKUP(Table6[[#This Row],[Affected WTG]],'Basic Data'!$A:$A,'Basic Data'!$E:$E),"")</f>
        <v>3.846153846153845E-2</v>
      </c>
      <c r="K1451" s="102">
        <v>6130</v>
      </c>
      <c r="L1451" s="35" t="str">
        <f>IFERROR(_xlfn.XLOOKUP(Table6[[#This Row],[Error Code]],'Basic Data'!$AA:$AA,'Basic Data'!$AB:$AB),"Incorrect Error Code")</f>
        <v>Yaw speed high</v>
      </c>
      <c r="M1451" s="35" t="s">
        <v>291</v>
      </c>
      <c r="N1451" s="475"/>
      <c r="O1451" s="476">
        <v>0.69791666666666663</v>
      </c>
      <c r="P1451" s="476">
        <v>0.69791666666666663</v>
      </c>
      <c r="Q1451" s="477">
        <v>0.7006944444444444</v>
      </c>
      <c r="R1451" s="472">
        <f>IF(Table6[[#This Row],[Work Start TimeStamp]]="","",(Table6[[#This Row],[Work Start TimeStamp]]-Table6[[#This Row],[Fault Start TimeStamp]])*24)</f>
        <v>0</v>
      </c>
      <c r="S1451" s="472">
        <f>(Table6[[#This Row],[Fault Clearance time]]-Table6[[#This Row],[Work Start TimeStamp]])*24</f>
        <v>6.666666666666643E-2</v>
      </c>
      <c r="T1451" s="472">
        <f>(Table6[[#This Row],[Fault Clearance time]]-Table6[[#This Row],[Fault Start TimeStamp]])*24</f>
        <v>6.666666666666643E-2</v>
      </c>
      <c r="U1451" s="35" t="s">
        <v>1924</v>
      </c>
      <c r="V1451" s="102" t="s">
        <v>293</v>
      </c>
      <c r="W1451" s="549">
        <f>IFERROR(Table6[[#This Row],[Breakdown Time]]*Table6[[#This Row],[Plant Equivalent Weightage]],"")</f>
        <v>2.5641025641025541E-3</v>
      </c>
      <c r="X1451" s="473" t="s">
        <v>290</v>
      </c>
      <c r="Y1451" s="474" t="s">
        <v>84</v>
      </c>
      <c r="Z1451" s="102">
        <v>22244</v>
      </c>
      <c r="AA1451" s="468">
        <f>(Table6[[#This Row],[Paired WTG Generation for loss calculation]]/24)*Table6[[#This Row],[Breakdown Time]]</f>
        <v>61.788888888888671</v>
      </c>
      <c r="AB1451" s="102"/>
      <c r="AC1451" s="35"/>
      <c r="AD1451" s="35"/>
    </row>
    <row r="1452" spans="1:30">
      <c r="A1452" s="102">
        <f t="shared" si="23"/>
        <v>1451</v>
      </c>
      <c r="B1452" s="468">
        <f>YEAR(Table6[[#This Row],[Date]])+IF(MONTH(Table6[[#This Row],[Date]])&gt;=4,1,0)</f>
        <v>2026</v>
      </c>
      <c r="C1452" s="102">
        <f>YEAR(Table6[[#This Row],[Date]])</f>
        <v>2025</v>
      </c>
      <c r="D1452" s="102" t="s">
        <v>1992</v>
      </c>
      <c r="E1452" s="469">
        <f>Table6[[#This Row],[Date]]-DAY(Table6[[#This Row],[Date]])+1</f>
        <v>45839</v>
      </c>
      <c r="F1452" s="470">
        <v>45843</v>
      </c>
      <c r="G1452" s="35" t="s">
        <v>87</v>
      </c>
      <c r="H1452" s="35" t="str">
        <f>IFERROR(_xlfn.XLOOKUP(Table6[[#This Row],[Affected WTG]],'Basic Data'!$A:$A,'Basic Data'!$B:$B),"")</f>
        <v>TQGXIIPL</v>
      </c>
      <c r="I1452" s="35" t="str">
        <f>IFERROR(_xlfn.XLOOKUP(Table6[[#This Row],[Affected WTG]],'Basic Data'!$A:$A,'Basic Data'!$C:$C),"")</f>
        <v>GEDA</v>
      </c>
      <c r="J1452" s="471">
        <f>IFERROR(_xlfn.XLOOKUP(Table6[[#This Row],[Affected WTG]],'Basic Data'!$A:$A,'Basic Data'!$E:$E),"")</f>
        <v>3.846153846153845E-2</v>
      </c>
      <c r="K1452" s="102">
        <v>3110</v>
      </c>
      <c r="L1452" s="35" t="str">
        <f>IFERROR(_xlfn.XLOOKUP(Table6[[#This Row],[Error Code]],'Basic Data'!$AA:$AA,'Basic Data'!$AB:$AB),"Incorrect Error Code")</f>
        <v>Frequency converter error</v>
      </c>
      <c r="M1452" s="35" t="s">
        <v>291</v>
      </c>
      <c r="N1452" s="475"/>
      <c r="O1452" s="476">
        <v>0.65347222222222223</v>
      </c>
      <c r="P1452" s="476">
        <v>0.65347222222222223</v>
      </c>
      <c r="Q1452" s="477">
        <v>0.65833333333333333</v>
      </c>
      <c r="R1452" s="472">
        <f>IF(Table6[[#This Row],[Work Start TimeStamp]]="","",(Table6[[#This Row],[Work Start TimeStamp]]-Table6[[#This Row],[Fault Start TimeStamp]])*24)</f>
        <v>0</v>
      </c>
      <c r="S1452" s="472">
        <f>(Table6[[#This Row],[Fault Clearance time]]-Table6[[#This Row],[Work Start TimeStamp]])*24</f>
        <v>0.11666666666666625</v>
      </c>
      <c r="T1452" s="472">
        <f>(Table6[[#This Row],[Fault Clearance time]]-Table6[[#This Row],[Fault Start TimeStamp]])*24</f>
        <v>0.11666666666666625</v>
      </c>
      <c r="U1452" s="35" t="s">
        <v>1924</v>
      </c>
      <c r="V1452" s="102" t="s">
        <v>293</v>
      </c>
      <c r="W1452" s="549">
        <f>IFERROR(Table6[[#This Row],[Breakdown Time]]*Table6[[#This Row],[Plant Equivalent Weightage]],"")</f>
        <v>4.4871794871794695E-3</v>
      </c>
      <c r="X1452" s="473" t="s">
        <v>290</v>
      </c>
      <c r="Y1452" s="474" t="s">
        <v>85</v>
      </c>
      <c r="Z1452" s="102">
        <v>0</v>
      </c>
      <c r="AA1452" s="468">
        <f>(Table6[[#This Row],[Paired WTG Generation for loss calculation]]/24)*Table6[[#This Row],[Breakdown Time]]</f>
        <v>0</v>
      </c>
      <c r="AB1452" s="102"/>
      <c r="AC1452" s="35"/>
      <c r="AD1452" s="35"/>
    </row>
    <row r="1453" spans="1:30">
      <c r="A1453" s="102">
        <f t="shared" si="23"/>
        <v>1452</v>
      </c>
      <c r="B1453" s="468">
        <f>YEAR(Table6[[#This Row],[Date]])+IF(MONTH(Table6[[#This Row],[Date]])&gt;=4,1,0)</f>
        <v>2026</v>
      </c>
      <c r="C1453" s="102">
        <f>YEAR(Table6[[#This Row],[Date]])</f>
        <v>2025</v>
      </c>
      <c r="D1453" s="102" t="s">
        <v>1992</v>
      </c>
      <c r="E1453" s="469">
        <f>Table6[[#This Row],[Date]]-DAY(Table6[[#This Row],[Date]])+1</f>
        <v>45839</v>
      </c>
      <c r="F1453" s="470">
        <v>45843</v>
      </c>
      <c r="G1453" s="35" t="s">
        <v>93</v>
      </c>
      <c r="H1453" s="35" t="str">
        <f>IFERROR(_xlfn.XLOOKUP(Table6[[#This Row],[Affected WTG]],'Basic Data'!$A:$A,'Basic Data'!$B:$B),"")</f>
        <v>TQGXIIPL</v>
      </c>
      <c r="I1453" s="35" t="str">
        <f>IFERROR(_xlfn.XLOOKUP(Table6[[#This Row],[Affected WTG]],'Basic Data'!$A:$A,'Basic Data'!$C:$C),"")</f>
        <v>GEDA</v>
      </c>
      <c r="J1453" s="471">
        <f>IFERROR(_xlfn.XLOOKUP(Table6[[#This Row],[Affected WTG]],'Basic Data'!$A:$A,'Basic Data'!$E:$E),"")</f>
        <v>3.846153846153845E-2</v>
      </c>
      <c r="K1453" s="102">
        <v>3000</v>
      </c>
      <c r="L1453" s="35" t="str">
        <f>IFERROR(_xlfn.XLOOKUP(Table6[[#This Row],[Error Code]],'Basic Data'!$AA:$AA,'Basic Data'!$AB:$AB),"Incorrect Error Code")</f>
        <v>Frequency converter not ready</v>
      </c>
      <c r="M1453" s="35" t="s">
        <v>295</v>
      </c>
      <c r="N1453" s="475"/>
      <c r="O1453" s="476">
        <v>0</v>
      </c>
      <c r="P1453" s="476">
        <v>0.36458333333333331</v>
      </c>
      <c r="Q1453" s="477">
        <v>0.99930555555555556</v>
      </c>
      <c r="R1453" s="472">
        <f>IF(Table6[[#This Row],[Work Start TimeStamp]]="","",(Table6[[#This Row],[Work Start TimeStamp]]-Table6[[#This Row],[Fault Start TimeStamp]])*24)</f>
        <v>8.75</v>
      </c>
      <c r="S1453" s="472">
        <f>(Table6[[#This Row],[Fault Clearance time]]-Table6[[#This Row],[Work Start TimeStamp]])*24</f>
        <v>15.233333333333333</v>
      </c>
      <c r="T1453" s="472">
        <f>(Table6[[#This Row],[Fault Clearance time]]-Table6[[#This Row],[Fault Start TimeStamp]])*24</f>
        <v>23.983333333333334</v>
      </c>
      <c r="U1453" s="35" t="s">
        <v>2051</v>
      </c>
      <c r="V1453" s="102" t="s">
        <v>289</v>
      </c>
      <c r="W1453" s="549">
        <f>IFERROR(Table6[[#This Row],[Breakdown Time]]*Table6[[#This Row],[Plant Equivalent Weightage]],"")</f>
        <v>0.92243589743589716</v>
      </c>
      <c r="X1453" s="473" t="s">
        <v>290</v>
      </c>
      <c r="Y1453" s="474" t="s">
        <v>97</v>
      </c>
      <c r="Z1453" s="102">
        <v>25208</v>
      </c>
      <c r="AA1453" s="468">
        <f>(Table6[[#This Row],[Paired WTG Generation for loss calculation]]/24)*Table6[[#This Row],[Breakdown Time]]</f>
        <v>25190.494444444445</v>
      </c>
      <c r="AB1453" s="102"/>
      <c r="AC1453" s="35"/>
      <c r="AD1453" s="35"/>
    </row>
    <row r="1454" spans="1:30">
      <c r="A1454" s="102">
        <f t="shared" si="23"/>
        <v>1453</v>
      </c>
      <c r="B1454" s="468">
        <f>YEAR(Table6[[#This Row],[Date]])+IF(MONTH(Table6[[#This Row],[Date]])&gt;=4,1,0)</f>
        <v>2026</v>
      </c>
      <c r="C1454" s="102">
        <f>YEAR(Table6[[#This Row],[Date]])</f>
        <v>2025</v>
      </c>
      <c r="D1454" s="102" t="s">
        <v>1992</v>
      </c>
      <c r="E1454" s="469">
        <f>Table6[[#This Row],[Date]]-DAY(Table6[[#This Row],[Date]])+1</f>
        <v>45839</v>
      </c>
      <c r="F1454" s="470">
        <v>45844</v>
      </c>
      <c r="G1454" s="35" t="s">
        <v>75</v>
      </c>
      <c r="H1454" s="35" t="str">
        <f>IFERROR(_xlfn.XLOOKUP(Table6[[#This Row],[Affected WTG]],'Basic Data'!$A:$A,'Basic Data'!$B:$B),"")</f>
        <v>TQGXIIPL</v>
      </c>
      <c r="I1454" s="35" t="str">
        <f>IFERROR(_xlfn.XLOOKUP(Table6[[#This Row],[Affected WTG]],'Basic Data'!$A:$A,'Basic Data'!$C:$C),"")</f>
        <v>GEDA</v>
      </c>
      <c r="J1454" s="471">
        <f>IFERROR(_xlfn.XLOOKUP(Table6[[#This Row],[Affected WTG]],'Basic Data'!$A:$A,'Basic Data'!$E:$E),"")</f>
        <v>3.846153846153845E-2</v>
      </c>
      <c r="K1454" s="102">
        <v>6130</v>
      </c>
      <c r="L1454" s="35" t="str">
        <f>IFERROR(_xlfn.XLOOKUP(Table6[[#This Row],[Error Code]],'Basic Data'!$AA:$AA,'Basic Data'!$AB:$AB),"Incorrect Error Code")</f>
        <v>Yaw speed high</v>
      </c>
      <c r="M1454" s="35" t="s">
        <v>291</v>
      </c>
      <c r="N1454" s="475"/>
      <c r="O1454" s="476">
        <v>0.41666666666666669</v>
      </c>
      <c r="P1454" s="476">
        <v>0.41666666666666669</v>
      </c>
      <c r="Q1454" s="477">
        <v>0.41875000000000001</v>
      </c>
      <c r="R1454" s="472">
        <f>IF(Table6[[#This Row],[Work Start TimeStamp]]="","",(Table6[[#This Row],[Work Start TimeStamp]]-Table6[[#This Row],[Fault Start TimeStamp]])*24)</f>
        <v>0</v>
      </c>
      <c r="S1454" s="472">
        <f>(Table6[[#This Row],[Fault Clearance time]]-Table6[[#This Row],[Work Start TimeStamp]])*24</f>
        <v>4.9999999999999822E-2</v>
      </c>
      <c r="T1454" s="472">
        <f>(Table6[[#This Row],[Fault Clearance time]]-Table6[[#This Row],[Fault Start TimeStamp]])*24</f>
        <v>4.9999999999999822E-2</v>
      </c>
      <c r="U1454" s="35" t="s">
        <v>1924</v>
      </c>
      <c r="V1454" s="102" t="s">
        <v>293</v>
      </c>
      <c r="W1454" s="549">
        <f>IFERROR(Table6[[#This Row],[Breakdown Time]]*Table6[[#This Row],[Plant Equivalent Weightage]],"")</f>
        <v>1.9230769230769156E-3</v>
      </c>
      <c r="X1454" s="473" t="s">
        <v>294</v>
      </c>
      <c r="Y1454" s="474" t="s">
        <v>78</v>
      </c>
      <c r="Z1454" s="102">
        <v>36829</v>
      </c>
      <c r="AA1454" s="468">
        <f>(Table6[[#This Row],[Paired WTG Generation for loss calculation]]/24)*Table6[[#This Row],[Breakdown Time]]</f>
        <v>76.72708333333307</v>
      </c>
      <c r="AB1454" s="102"/>
      <c r="AC1454" s="35"/>
      <c r="AD1454" s="35"/>
    </row>
    <row r="1455" spans="1:30">
      <c r="A1455" s="102">
        <f t="shared" si="23"/>
        <v>1454</v>
      </c>
      <c r="B1455" s="468">
        <f>YEAR(Table6[[#This Row],[Date]])+IF(MONTH(Table6[[#This Row],[Date]])&gt;=4,1,0)</f>
        <v>2026</v>
      </c>
      <c r="C1455" s="102">
        <f>YEAR(Table6[[#This Row],[Date]])</f>
        <v>2025</v>
      </c>
      <c r="D1455" s="102" t="s">
        <v>1992</v>
      </c>
      <c r="E1455" s="469">
        <f>Table6[[#This Row],[Date]]-DAY(Table6[[#This Row],[Date]])+1</f>
        <v>45839</v>
      </c>
      <c r="F1455" s="470">
        <v>45844</v>
      </c>
      <c r="G1455" s="35" t="s">
        <v>77</v>
      </c>
      <c r="H1455" s="35" t="str">
        <f>IFERROR(_xlfn.XLOOKUP(Table6[[#This Row],[Affected WTG]],'Basic Data'!$A:$A,'Basic Data'!$B:$B),"")</f>
        <v>TQGXIIPL</v>
      </c>
      <c r="I1455" s="35" t="str">
        <f>IFERROR(_xlfn.XLOOKUP(Table6[[#This Row],[Affected WTG]],'Basic Data'!$A:$A,'Basic Data'!$C:$C),"")</f>
        <v>GEDA</v>
      </c>
      <c r="J1455" s="471">
        <f>IFERROR(_xlfn.XLOOKUP(Table6[[#This Row],[Affected WTG]],'Basic Data'!$A:$A,'Basic Data'!$E:$E),"")</f>
        <v>3.846153846153845E-2</v>
      </c>
      <c r="K1455" s="102">
        <v>6130</v>
      </c>
      <c r="L1455" s="35" t="str">
        <f>IFERROR(_xlfn.XLOOKUP(Table6[[#This Row],[Error Code]],'Basic Data'!$AA:$AA,'Basic Data'!$AB:$AB),"Incorrect Error Code")</f>
        <v>Yaw speed high</v>
      </c>
      <c r="M1455" s="35" t="s">
        <v>291</v>
      </c>
      <c r="N1455" s="475"/>
      <c r="O1455" s="476">
        <v>0.52916666666666667</v>
      </c>
      <c r="P1455" s="476">
        <v>0.52916666666666667</v>
      </c>
      <c r="Q1455" s="477">
        <v>0.52986111111111112</v>
      </c>
      <c r="R1455" s="472">
        <f>IF(Table6[[#This Row],[Work Start TimeStamp]]="","",(Table6[[#This Row],[Work Start TimeStamp]]-Table6[[#This Row],[Fault Start TimeStamp]])*24)</f>
        <v>0</v>
      </c>
      <c r="S1455" s="472">
        <f>(Table6[[#This Row],[Fault Clearance time]]-Table6[[#This Row],[Work Start TimeStamp]])*24</f>
        <v>1.6666666666666607E-2</v>
      </c>
      <c r="T1455" s="472">
        <f>(Table6[[#This Row],[Fault Clearance time]]-Table6[[#This Row],[Fault Start TimeStamp]])*24</f>
        <v>1.6666666666666607E-2</v>
      </c>
      <c r="U1455" s="35" t="s">
        <v>1924</v>
      </c>
      <c r="V1455" s="102" t="s">
        <v>293</v>
      </c>
      <c r="W1455" s="549">
        <f>IFERROR(Table6[[#This Row],[Breakdown Time]]*Table6[[#This Row],[Plant Equivalent Weightage]],"")</f>
        <v>6.4102564102563853E-4</v>
      </c>
      <c r="X1455" s="473" t="s">
        <v>294</v>
      </c>
      <c r="Y1455" s="474" t="s">
        <v>80</v>
      </c>
      <c r="Z1455" s="102">
        <v>28614</v>
      </c>
      <c r="AA1455" s="468">
        <f>(Table6[[#This Row],[Paired WTG Generation for loss calculation]]/24)*Table6[[#This Row],[Breakdown Time]]</f>
        <v>19.870833333333263</v>
      </c>
      <c r="AB1455" s="102"/>
      <c r="AC1455" s="35"/>
      <c r="AD1455" s="35"/>
    </row>
    <row r="1456" spans="1:30">
      <c r="A1456" s="102">
        <f t="shared" si="23"/>
        <v>1455</v>
      </c>
      <c r="B1456" s="468">
        <f>YEAR(Table6[[#This Row],[Date]])+IF(MONTH(Table6[[#This Row],[Date]])&gt;=4,1,0)</f>
        <v>2026</v>
      </c>
      <c r="C1456" s="102">
        <f>YEAR(Table6[[#This Row],[Date]])</f>
        <v>2025</v>
      </c>
      <c r="D1456" s="102" t="s">
        <v>1992</v>
      </c>
      <c r="E1456" s="469">
        <f>Table6[[#This Row],[Date]]-DAY(Table6[[#This Row],[Date]])+1</f>
        <v>45839</v>
      </c>
      <c r="F1456" s="470">
        <v>45844</v>
      </c>
      <c r="G1456" s="35" t="s">
        <v>87</v>
      </c>
      <c r="H1456" s="35" t="str">
        <f>IFERROR(_xlfn.XLOOKUP(Table6[[#This Row],[Affected WTG]],'Basic Data'!$A:$A,'Basic Data'!$B:$B),"")</f>
        <v>TQGXIIPL</v>
      </c>
      <c r="I1456" s="35" t="str">
        <f>IFERROR(_xlfn.XLOOKUP(Table6[[#This Row],[Affected WTG]],'Basic Data'!$A:$A,'Basic Data'!$C:$C),"")</f>
        <v>GEDA</v>
      </c>
      <c r="J1456" s="471">
        <f>IFERROR(_xlfn.XLOOKUP(Table6[[#This Row],[Affected WTG]],'Basic Data'!$A:$A,'Basic Data'!$E:$E),"")</f>
        <v>3.846153846153845E-2</v>
      </c>
      <c r="K1456" s="102">
        <v>6130</v>
      </c>
      <c r="L1456" s="35" t="str">
        <f>IFERROR(_xlfn.XLOOKUP(Table6[[#This Row],[Error Code]],'Basic Data'!$AA:$AA,'Basic Data'!$AB:$AB),"Incorrect Error Code")</f>
        <v>Yaw speed high</v>
      </c>
      <c r="M1456" s="35" t="s">
        <v>292</v>
      </c>
      <c r="N1456" s="475"/>
      <c r="O1456" s="476">
        <v>0.3215277777777778</v>
      </c>
      <c r="P1456" s="476">
        <v>0.3215277777777778</v>
      </c>
      <c r="Q1456" s="477">
        <v>0.32569444444444445</v>
      </c>
      <c r="R1456" s="472">
        <f>IF(Table6[[#This Row],[Work Start TimeStamp]]="","",(Table6[[#This Row],[Work Start TimeStamp]]-Table6[[#This Row],[Fault Start TimeStamp]])*24)</f>
        <v>0</v>
      </c>
      <c r="S1456" s="472">
        <f>(Table6[[#This Row],[Fault Clearance time]]-Table6[[#This Row],[Work Start TimeStamp]])*24</f>
        <v>9.9999999999999645E-2</v>
      </c>
      <c r="T1456" s="472">
        <f>(Table6[[#This Row],[Fault Clearance time]]-Table6[[#This Row],[Fault Start TimeStamp]])*24</f>
        <v>9.9999999999999645E-2</v>
      </c>
      <c r="U1456" s="35" t="s">
        <v>336</v>
      </c>
      <c r="V1456" s="102" t="s">
        <v>293</v>
      </c>
      <c r="W1456" s="549">
        <f>IFERROR(Table6[[#This Row],[Breakdown Time]]*Table6[[#This Row],[Plant Equivalent Weightage]],"")</f>
        <v>3.8461538461538312E-3</v>
      </c>
      <c r="X1456" s="473" t="s">
        <v>294</v>
      </c>
      <c r="Y1456" s="474" t="s">
        <v>85</v>
      </c>
      <c r="Z1456" s="102">
        <v>0</v>
      </c>
      <c r="AA1456" s="468">
        <f>(Table6[[#This Row],[Paired WTG Generation for loss calculation]]/24)*Table6[[#This Row],[Breakdown Time]]</f>
        <v>0</v>
      </c>
      <c r="AB1456" s="102"/>
      <c r="AC1456" s="35"/>
      <c r="AD1456" s="35"/>
    </row>
    <row r="1457" spans="1:30">
      <c r="A1457" s="102">
        <f t="shared" si="23"/>
        <v>1456</v>
      </c>
      <c r="B1457" s="468">
        <f>YEAR(Table6[[#This Row],[Date]])+IF(MONTH(Table6[[#This Row],[Date]])&gt;=4,1,0)</f>
        <v>2026</v>
      </c>
      <c r="C1457" s="102">
        <f>YEAR(Table6[[#This Row],[Date]])</f>
        <v>2025</v>
      </c>
      <c r="D1457" s="102" t="s">
        <v>1992</v>
      </c>
      <c r="E1457" s="469">
        <f>Table6[[#This Row],[Date]]-DAY(Table6[[#This Row],[Date]])+1</f>
        <v>45839</v>
      </c>
      <c r="F1457" s="470">
        <v>45844</v>
      </c>
      <c r="G1457" s="35" t="s">
        <v>87</v>
      </c>
      <c r="H1457" s="35" t="str">
        <f>IFERROR(_xlfn.XLOOKUP(Table6[[#This Row],[Affected WTG]],'Basic Data'!$A:$A,'Basic Data'!$B:$B),"")</f>
        <v>TQGXIIPL</v>
      </c>
      <c r="I1457" s="35" t="str">
        <f>IFERROR(_xlfn.XLOOKUP(Table6[[#This Row],[Affected WTG]],'Basic Data'!$A:$A,'Basic Data'!$C:$C),"")</f>
        <v>GEDA</v>
      </c>
      <c r="J1457" s="471">
        <f>IFERROR(_xlfn.XLOOKUP(Table6[[#This Row],[Affected WTG]],'Basic Data'!$A:$A,'Basic Data'!$E:$E),"")</f>
        <v>3.846153846153845E-2</v>
      </c>
      <c r="K1457" s="102">
        <v>6130</v>
      </c>
      <c r="L1457" s="35" t="str">
        <f>IFERROR(_xlfn.XLOOKUP(Table6[[#This Row],[Error Code]],'Basic Data'!$AA:$AA,'Basic Data'!$AB:$AB),"Incorrect Error Code")</f>
        <v>Yaw speed high</v>
      </c>
      <c r="M1457" s="35" t="s">
        <v>291</v>
      </c>
      <c r="N1457" s="475"/>
      <c r="O1457" s="476">
        <v>0.35</v>
      </c>
      <c r="P1457" s="476">
        <v>0.35</v>
      </c>
      <c r="Q1457" s="477">
        <v>0.36041666666666666</v>
      </c>
      <c r="R1457" s="472">
        <f>IF(Table6[[#This Row],[Work Start TimeStamp]]="","",(Table6[[#This Row],[Work Start TimeStamp]]-Table6[[#This Row],[Fault Start TimeStamp]])*24)</f>
        <v>0</v>
      </c>
      <c r="S1457" s="472">
        <f>(Table6[[#This Row],[Fault Clearance time]]-Table6[[#This Row],[Work Start TimeStamp]])*24</f>
        <v>0.25000000000000044</v>
      </c>
      <c r="T1457" s="472">
        <f>(Table6[[#This Row],[Fault Clearance time]]-Table6[[#This Row],[Fault Start TimeStamp]])*24</f>
        <v>0.25000000000000044</v>
      </c>
      <c r="U1457" s="35" t="s">
        <v>2041</v>
      </c>
      <c r="V1457" s="102" t="s">
        <v>293</v>
      </c>
      <c r="W1457" s="549">
        <f>IFERROR(Table6[[#This Row],[Breakdown Time]]*Table6[[#This Row],[Plant Equivalent Weightage]],"")</f>
        <v>9.6153846153846298E-3</v>
      </c>
      <c r="X1457" s="473" t="s">
        <v>294</v>
      </c>
      <c r="Y1457" s="474" t="s">
        <v>85</v>
      </c>
      <c r="Z1457" s="102">
        <v>0</v>
      </c>
      <c r="AA1457" s="468">
        <f>(Table6[[#This Row],[Paired WTG Generation for loss calculation]]/24)*Table6[[#This Row],[Breakdown Time]]</f>
        <v>0</v>
      </c>
      <c r="AB1457" s="102"/>
      <c r="AC1457" s="35"/>
      <c r="AD1457" s="35"/>
    </row>
    <row r="1458" spans="1:30">
      <c r="A1458" s="102">
        <f t="shared" si="23"/>
        <v>1457</v>
      </c>
      <c r="B1458" s="468">
        <f>YEAR(Table6[[#This Row],[Date]])+IF(MONTH(Table6[[#This Row],[Date]])&gt;=4,1,0)</f>
        <v>2026</v>
      </c>
      <c r="C1458" s="102">
        <f>YEAR(Table6[[#This Row],[Date]])</f>
        <v>2025</v>
      </c>
      <c r="D1458" s="102" t="s">
        <v>1992</v>
      </c>
      <c r="E1458" s="469">
        <f>Table6[[#This Row],[Date]]-DAY(Table6[[#This Row],[Date]])+1</f>
        <v>45839</v>
      </c>
      <c r="F1458" s="470">
        <v>45844</v>
      </c>
      <c r="G1458" s="35" t="s">
        <v>85</v>
      </c>
      <c r="H1458" s="35" t="str">
        <f>IFERROR(_xlfn.XLOOKUP(Table6[[#This Row],[Affected WTG]],'Basic Data'!$A:$A,'Basic Data'!$B:$B),"")</f>
        <v>TQGXIIPL</v>
      </c>
      <c r="I1458" s="35" t="str">
        <f>IFERROR(_xlfn.XLOOKUP(Table6[[#This Row],[Affected WTG]],'Basic Data'!$A:$A,'Basic Data'!$C:$C),"")</f>
        <v>GEDA</v>
      </c>
      <c r="J1458" s="471">
        <f>IFERROR(_xlfn.XLOOKUP(Table6[[#This Row],[Affected WTG]],'Basic Data'!$A:$A,'Basic Data'!$E:$E),"")</f>
        <v>3.846153846153845E-2</v>
      </c>
      <c r="K1458" s="102">
        <v>55</v>
      </c>
      <c r="L1458" s="35" t="str">
        <f>IFERROR(_xlfn.XLOOKUP(Table6[[#This Row],[Error Code]],'Basic Data'!$AA:$AA,'Basic Data'!$AB:$AB),"Incorrect Error Code")</f>
        <v>WTG shut down</v>
      </c>
      <c r="M1458" s="35" t="s">
        <v>295</v>
      </c>
      <c r="N1458" s="475"/>
      <c r="O1458" s="476">
        <v>0</v>
      </c>
      <c r="P1458" s="476">
        <v>0.35416666666666669</v>
      </c>
      <c r="Q1458" s="477">
        <v>0.99998842592592596</v>
      </c>
      <c r="R1458" s="472">
        <f>IF(Table6[[#This Row],[Work Start TimeStamp]]="","",(Table6[[#This Row],[Work Start TimeStamp]]-Table6[[#This Row],[Fault Start TimeStamp]])*24)</f>
        <v>8.5</v>
      </c>
      <c r="S1458" s="472">
        <f>(Table6[[#This Row],[Fault Clearance time]]-Table6[[#This Row],[Work Start TimeStamp]])*24</f>
        <v>15.499722222222221</v>
      </c>
      <c r="T1458" s="472">
        <f>(Table6[[#This Row],[Fault Clearance time]]-Table6[[#This Row],[Fault Start TimeStamp]])*24</f>
        <v>23.999722222222225</v>
      </c>
      <c r="U1458" s="35" t="s">
        <v>2053</v>
      </c>
      <c r="V1458" s="102" t="s">
        <v>289</v>
      </c>
      <c r="W1458" s="549">
        <f>IFERROR(Table6[[#This Row],[Breakdown Time]]*Table6[[#This Row],[Plant Equivalent Weightage]],"")</f>
        <v>0.9230662393162391</v>
      </c>
      <c r="X1458" s="473" t="s">
        <v>523</v>
      </c>
      <c r="Y1458" s="474" t="s">
        <v>87</v>
      </c>
      <c r="Z1458" s="102">
        <v>35152</v>
      </c>
      <c r="AA1458" s="468">
        <f>(Table6[[#This Row],[Paired WTG Generation for loss calculation]]/24)*Table6[[#This Row],[Breakdown Time]]</f>
        <v>35151.593148148153</v>
      </c>
      <c r="AB1458" s="102"/>
      <c r="AC1458" s="35"/>
      <c r="AD1458" s="35"/>
    </row>
    <row r="1459" spans="1:30">
      <c r="A1459" s="102">
        <f t="shared" si="23"/>
        <v>1458</v>
      </c>
      <c r="B1459" s="468">
        <f>YEAR(Table6[[#This Row],[Date]])+IF(MONTH(Table6[[#This Row],[Date]])&gt;=4,1,0)</f>
        <v>2026</v>
      </c>
      <c r="C1459" s="102">
        <f>YEAR(Table6[[#This Row],[Date]])</f>
        <v>2025</v>
      </c>
      <c r="D1459" s="102" t="s">
        <v>1992</v>
      </c>
      <c r="E1459" s="469">
        <f>Table6[[#This Row],[Date]]-DAY(Table6[[#This Row],[Date]])+1</f>
        <v>45839</v>
      </c>
      <c r="F1459" s="470">
        <v>45844</v>
      </c>
      <c r="G1459" s="35" t="s">
        <v>93</v>
      </c>
      <c r="H1459" s="35" t="str">
        <f>IFERROR(_xlfn.XLOOKUP(Table6[[#This Row],[Affected WTG]],'Basic Data'!$A:$A,'Basic Data'!$B:$B),"")</f>
        <v>TQGXIIPL</v>
      </c>
      <c r="I1459" s="35" t="str">
        <f>IFERROR(_xlfn.XLOOKUP(Table6[[#This Row],[Affected WTG]],'Basic Data'!$A:$A,'Basic Data'!$C:$C),"")</f>
        <v>GEDA</v>
      </c>
      <c r="J1459" s="471">
        <f>IFERROR(_xlfn.XLOOKUP(Table6[[#This Row],[Affected WTG]],'Basic Data'!$A:$A,'Basic Data'!$E:$E),"")</f>
        <v>3.846153846153845E-2</v>
      </c>
      <c r="K1459" s="102">
        <v>3000</v>
      </c>
      <c r="L1459" s="35" t="str">
        <f>IFERROR(_xlfn.XLOOKUP(Table6[[#This Row],[Error Code]],'Basic Data'!$AA:$AA,'Basic Data'!$AB:$AB),"Incorrect Error Code")</f>
        <v>Frequency converter not ready</v>
      </c>
      <c r="M1459" s="35" t="s">
        <v>295</v>
      </c>
      <c r="N1459" s="475"/>
      <c r="O1459" s="476">
        <v>0</v>
      </c>
      <c r="P1459" s="476">
        <v>0</v>
      </c>
      <c r="Q1459" s="477">
        <v>0.78472222222222221</v>
      </c>
      <c r="R1459" s="472">
        <f>IF(Table6[[#This Row],[Work Start TimeStamp]]="","",(Table6[[#This Row],[Work Start TimeStamp]]-Table6[[#This Row],[Fault Start TimeStamp]])*24)</f>
        <v>0</v>
      </c>
      <c r="S1459" s="472">
        <f>(Table6[[#This Row],[Fault Clearance time]]-Table6[[#This Row],[Work Start TimeStamp]])*24</f>
        <v>18.833333333333332</v>
      </c>
      <c r="T1459" s="472">
        <f>(Table6[[#This Row],[Fault Clearance time]]-Table6[[#This Row],[Fault Start TimeStamp]])*24</f>
        <v>18.833333333333332</v>
      </c>
      <c r="U1459" s="35" t="s">
        <v>2051</v>
      </c>
      <c r="V1459" s="102" t="s">
        <v>289</v>
      </c>
      <c r="W1459" s="549">
        <f>IFERROR(Table6[[#This Row],[Breakdown Time]]*Table6[[#This Row],[Plant Equivalent Weightage]],"")</f>
        <v>0.72435897435897412</v>
      </c>
      <c r="X1459" s="473" t="s">
        <v>290</v>
      </c>
      <c r="Y1459" s="474" t="s">
        <v>97</v>
      </c>
      <c r="Z1459" s="102">
        <v>37017</v>
      </c>
      <c r="AA1459" s="468">
        <f>(Table6[[#This Row],[Paired WTG Generation for loss calculation]]/24)*Table6[[#This Row],[Breakdown Time]]</f>
        <v>29048.062499999996</v>
      </c>
      <c r="AB1459" s="102"/>
      <c r="AC1459" s="35"/>
      <c r="AD1459" s="35"/>
    </row>
    <row r="1460" spans="1:30">
      <c r="A1460" s="102">
        <f t="shared" si="23"/>
        <v>1459</v>
      </c>
      <c r="B1460" s="468">
        <f>YEAR(Table6[[#This Row],[Date]])+IF(MONTH(Table6[[#This Row],[Date]])&gt;=4,1,0)</f>
        <v>2026</v>
      </c>
      <c r="C1460" s="102">
        <f>YEAR(Table6[[#This Row],[Date]])</f>
        <v>2025</v>
      </c>
      <c r="D1460" s="102" t="s">
        <v>1992</v>
      </c>
      <c r="E1460" s="469">
        <f>Table6[[#This Row],[Date]]-DAY(Table6[[#This Row],[Date]])+1</f>
        <v>45839</v>
      </c>
      <c r="F1460" s="470">
        <v>45844</v>
      </c>
      <c r="G1460" s="35" t="s">
        <v>93</v>
      </c>
      <c r="H1460" s="35" t="str">
        <f>IFERROR(_xlfn.XLOOKUP(Table6[[#This Row],[Affected WTG]],'Basic Data'!$A:$A,'Basic Data'!$B:$B),"")</f>
        <v>TQGXIIPL</v>
      </c>
      <c r="I1460" s="35" t="str">
        <f>IFERROR(_xlfn.XLOOKUP(Table6[[#This Row],[Affected WTG]],'Basic Data'!$A:$A,'Basic Data'!$C:$C),"")</f>
        <v>GEDA</v>
      </c>
      <c r="J1460" s="471">
        <f>IFERROR(_xlfn.XLOOKUP(Table6[[#This Row],[Affected WTG]],'Basic Data'!$A:$A,'Basic Data'!$E:$E),"")</f>
        <v>3.846153846153845E-2</v>
      </c>
      <c r="K1460" s="102">
        <v>3000</v>
      </c>
      <c r="L1460" s="35" t="str">
        <f>IFERROR(_xlfn.XLOOKUP(Table6[[#This Row],[Error Code]],'Basic Data'!$AA:$AA,'Basic Data'!$AB:$AB),"Incorrect Error Code")</f>
        <v>Frequency converter not ready</v>
      </c>
      <c r="M1460" s="35" t="s">
        <v>295</v>
      </c>
      <c r="N1460" s="475"/>
      <c r="O1460" s="476">
        <v>0.80625000000000002</v>
      </c>
      <c r="P1460" s="476">
        <v>0.80625000000000002</v>
      </c>
      <c r="Q1460" s="477">
        <v>0.99998842592592596</v>
      </c>
      <c r="R1460" s="472">
        <f>IF(Table6[[#This Row],[Work Start TimeStamp]]="","",(Table6[[#This Row],[Work Start TimeStamp]]-Table6[[#This Row],[Fault Start TimeStamp]])*24)</f>
        <v>0</v>
      </c>
      <c r="S1460" s="472">
        <f>(Table6[[#This Row],[Fault Clearance time]]-Table6[[#This Row],[Work Start TimeStamp]])*24</f>
        <v>4.6497222222222225</v>
      </c>
      <c r="T1460" s="472">
        <f>(Table6[[#This Row],[Fault Clearance time]]-Table6[[#This Row],[Fault Start TimeStamp]])*24</f>
        <v>4.6497222222222225</v>
      </c>
      <c r="U1460" s="35" t="s">
        <v>2054</v>
      </c>
      <c r="V1460" s="102" t="s">
        <v>289</v>
      </c>
      <c r="W1460" s="549">
        <f>IFERROR(Table6[[#This Row],[Breakdown Time]]*Table6[[#This Row],[Plant Equivalent Weightage]],"")</f>
        <v>0.17883547008547004</v>
      </c>
      <c r="X1460" s="473" t="s">
        <v>290</v>
      </c>
      <c r="Y1460" s="474" t="s">
        <v>97</v>
      </c>
      <c r="Z1460" s="102">
        <v>37017</v>
      </c>
      <c r="AA1460" s="468">
        <f>(Table6[[#This Row],[Paired WTG Generation for loss calculation]]/24)*Table6[[#This Row],[Breakdown Time]]</f>
        <v>7171.6153125000001</v>
      </c>
      <c r="AB1460" s="102"/>
      <c r="AC1460" s="35"/>
      <c r="AD1460" s="35"/>
    </row>
    <row r="1461" spans="1:30">
      <c r="A1461" s="102">
        <f t="shared" si="23"/>
        <v>1460</v>
      </c>
      <c r="B1461" s="468">
        <f>YEAR(Table6[[#This Row],[Date]])+IF(MONTH(Table6[[#This Row],[Date]])&gt;=4,1,0)</f>
        <v>2026</v>
      </c>
      <c r="C1461" s="102">
        <f>YEAR(Table6[[#This Row],[Date]])</f>
        <v>2025</v>
      </c>
      <c r="D1461" s="102" t="s">
        <v>1992</v>
      </c>
      <c r="E1461" s="469">
        <f>Table6[[#This Row],[Date]]-DAY(Table6[[#This Row],[Date]])+1</f>
        <v>45839</v>
      </c>
      <c r="F1461" s="470">
        <v>45844</v>
      </c>
      <c r="G1461" s="35" t="s">
        <v>95</v>
      </c>
      <c r="H1461" s="35" t="str">
        <f>IFERROR(_xlfn.XLOOKUP(Table6[[#This Row],[Affected WTG]],'Basic Data'!$A:$A,'Basic Data'!$B:$B),"")</f>
        <v>TQGXIIPL</v>
      </c>
      <c r="I1461" s="35" t="str">
        <f>IFERROR(_xlfn.XLOOKUP(Table6[[#This Row],[Affected WTG]],'Basic Data'!$A:$A,'Basic Data'!$C:$C),"")</f>
        <v>GEDA</v>
      </c>
      <c r="J1461" s="471">
        <f>IFERROR(_xlfn.XLOOKUP(Table6[[#This Row],[Affected WTG]],'Basic Data'!$A:$A,'Basic Data'!$E:$E),"")</f>
        <v>3.846153846153845E-2</v>
      </c>
      <c r="K1461" s="102">
        <v>4540</v>
      </c>
      <c r="L1461" s="35" t="str">
        <f>IFERROR(_xlfn.XLOOKUP(Table6[[#This Row],[Error Code]],'Basic Data'!$AA:$AA,'Basic Data'!$AB:$AB),"Incorrect Error Code")</f>
        <v>Tower oscillation X level 2</v>
      </c>
      <c r="M1461" s="35" t="s">
        <v>291</v>
      </c>
      <c r="N1461" s="475"/>
      <c r="O1461" s="476">
        <v>0.55347222222222225</v>
      </c>
      <c r="P1461" s="476">
        <v>0.55347222222222225</v>
      </c>
      <c r="Q1461" s="477">
        <v>0.55763888888888891</v>
      </c>
      <c r="R1461" s="472">
        <f>IF(Table6[[#This Row],[Work Start TimeStamp]]="","",(Table6[[#This Row],[Work Start TimeStamp]]-Table6[[#This Row],[Fault Start TimeStamp]])*24)</f>
        <v>0</v>
      </c>
      <c r="S1461" s="472">
        <f>(Table6[[#This Row],[Fault Clearance time]]-Table6[[#This Row],[Work Start TimeStamp]])*24</f>
        <v>9.9999999999999645E-2</v>
      </c>
      <c r="T1461" s="472">
        <f>(Table6[[#This Row],[Fault Clearance time]]-Table6[[#This Row],[Fault Start TimeStamp]])*24</f>
        <v>9.9999999999999645E-2</v>
      </c>
      <c r="U1461" s="35" t="s">
        <v>1924</v>
      </c>
      <c r="V1461" s="102" t="s">
        <v>293</v>
      </c>
      <c r="W1461" s="549">
        <f>IFERROR(Table6[[#This Row],[Breakdown Time]]*Table6[[#This Row],[Plant Equivalent Weightage]],"")</f>
        <v>3.8461538461538312E-3</v>
      </c>
      <c r="X1461" s="473" t="s">
        <v>294</v>
      </c>
      <c r="Y1461" s="474" t="s">
        <v>79</v>
      </c>
      <c r="Z1461" s="102">
        <v>31487</v>
      </c>
      <c r="AA1461" s="468">
        <f>(Table6[[#This Row],[Paired WTG Generation for loss calculation]]/24)*Table6[[#This Row],[Breakdown Time]]</f>
        <v>131.19583333333287</v>
      </c>
      <c r="AB1461" s="102"/>
      <c r="AC1461" s="35"/>
      <c r="AD1461" s="35"/>
    </row>
    <row r="1462" spans="1:30">
      <c r="A1462" s="102">
        <f t="shared" si="23"/>
        <v>1461</v>
      </c>
      <c r="B1462" s="468">
        <f>YEAR(Table6[[#This Row],[Date]])+IF(MONTH(Table6[[#This Row],[Date]])&gt;=4,1,0)</f>
        <v>2026</v>
      </c>
      <c r="C1462" s="102">
        <f>YEAR(Table6[[#This Row],[Date]])</f>
        <v>2025</v>
      </c>
      <c r="D1462" s="102" t="s">
        <v>1992</v>
      </c>
      <c r="E1462" s="469">
        <f>Table6[[#This Row],[Date]]-DAY(Table6[[#This Row],[Date]])+1</f>
        <v>45839</v>
      </c>
      <c r="F1462" s="470">
        <v>45844</v>
      </c>
      <c r="G1462" s="35" t="s">
        <v>95</v>
      </c>
      <c r="H1462" s="35" t="str">
        <f>IFERROR(_xlfn.XLOOKUP(Table6[[#This Row],[Affected WTG]],'Basic Data'!$A:$A,'Basic Data'!$B:$B),"")</f>
        <v>TQGXIIPL</v>
      </c>
      <c r="I1462" s="35" t="str">
        <f>IFERROR(_xlfn.XLOOKUP(Table6[[#This Row],[Affected WTG]],'Basic Data'!$A:$A,'Basic Data'!$C:$C),"")</f>
        <v>GEDA</v>
      </c>
      <c r="J1462" s="471">
        <f>IFERROR(_xlfn.XLOOKUP(Table6[[#This Row],[Affected WTG]],'Basic Data'!$A:$A,'Basic Data'!$E:$E),"")</f>
        <v>3.846153846153845E-2</v>
      </c>
      <c r="K1462" s="102">
        <v>6130</v>
      </c>
      <c r="L1462" s="35" t="str">
        <f>IFERROR(_xlfn.XLOOKUP(Table6[[#This Row],[Error Code]],'Basic Data'!$AA:$AA,'Basic Data'!$AB:$AB),"Incorrect Error Code")</f>
        <v>Yaw speed high</v>
      </c>
      <c r="M1462" s="35" t="s">
        <v>291</v>
      </c>
      <c r="N1462" s="475"/>
      <c r="O1462" s="476">
        <v>0.59097222222222223</v>
      </c>
      <c r="P1462" s="476">
        <v>0.59097222222222223</v>
      </c>
      <c r="Q1462" s="477">
        <v>0.59236111111111112</v>
      </c>
      <c r="R1462" s="472">
        <f>IF(Table6[[#This Row],[Work Start TimeStamp]]="","",(Table6[[#This Row],[Work Start TimeStamp]]-Table6[[#This Row],[Fault Start TimeStamp]])*24)</f>
        <v>0</v>
      </c>
      <c r="S1462" s="472">
        <f>(Table6[[#This Row],[Fault Clearance time]]-Table6[[#This Row],[Work Start TimeStamp]])*24</f>
        <v>3.3333333333333215E-2</v>
      </c>
      <c r="T1462" s="472">
        <f>(Table6[[#This Row],[Fault Clearance time]]-Table6[[#This Row],[Fault Start TimeStamp]])*24</f>
        <v>3.3333333333333215E-2</v>
      </c>
      <c r="U1462" s="35" t="s">
        <v>1924</v>
      </c>
      <c r="V1462" s="102" t="s">
        <v>293</v>
      </c>
      <c r="W1462" s="549">
        <f>IFERROR(Table6[[#This Row],[Breakdown Time]]*Table6[[#This Row],[Plant Equivalent Weightage]],"")</f>
        <v>1.2820512820512771E-3</v>
      </c>
      <c r="X1462" s="473" t="s">
        <v>294</v>
      </c>
      <c r="Y1462" s="474" t="s">
        <v>79</v>
      </c>
      <c r="Z1462" s="102">
        <v>31487</v>
      </c>
      <c r="AA1462" s="468">
        <f>(Table6[[#This Row],[Paired WTG Generation for loss calculation]]/24)*Table6[[#This Row],[Breakdown Time]]</f>
        <v>43.731944444444288</v>
      </c>
      <c r="AB1462" s="102"/>
      <c r="AC1462" s="35"/>
      <c r="AD1462" s="35"/>
    </row>
    <row r="1463" spans="1:30">
      <c r="A1463" s="102">
        <f t="shared" si="23"/>
        <v>1462</v>
      </c>
      <c r="B1463" s="468">
        <f>YEAR(Table6[[#This Row],[Date]])+IF(MONTH(Table6[[#This Row],[Date]])&gt;=4,1,0)</f>
        <v>2026</v>
      </c>
      <c r="C1463" s="102">
        <f>YEAR(Table6[[#This Row],[Date]])</f>
        <v>2025</v>
      </c>
      <c r="D1463" s="102" t="s">
        <v>1992</v>
      </c>
      <c r="E1463" s="469">
        <f>Table6[[#This Row],[Date]]-DAY(Table6[[#This Row],[Date]])+1</f>
        <v>45839</v>
      </c>
      <c r="F1463" s="470">
        <v>45844</v>
      </c>
      <c r="G1463" s="35" t="s">
        <v>96</v>
      </c>
      <c r="H1463" s="35" t="str">
        <f>IFERROR(_xlfn.XLOOKUP(Table6[[#This Row],[Affected WTG]],'Basic Data'!$A:$A,'Basic Data'!$B:$B),"")</f>
        <v>TQGXIIPL</v>
      </c>
      <c r="I1463" s="35" t="str">
        <f>IFERROR(_xlfn.XLOOKUP(Table6[[#This Row],[Affected WTG]],'Basic Data'!$A:$A,'Basic Data'!$C:$C),"")</f>
        <v>GEDA</v>
      </c>
      <c r="J1463" s="471">
        <f>IFERROR(_xlfn.XLOOKUP(Table6[[#This Row],[Affected WTG]],'Basic Data'!$A:$A,'Basic Data'!$E:$E),"")</f>
        <v>3.846153846153845E-2</v>
      </c>
      <c r="K1463" s="102">
        <v>4970</v>
      </c>
      <c r="L1463" s="35" t="str">
        <f>IFERROR(_xlfn.XLOOKUP(Table6[[#This Row],[Error Code]],'Basic Data'!$AA:$AA,'Basic Data'!$AB:$AB),"Incorrect Error Code")</f>
        <v>Tower oscillation XF</v>
      </c>
      <c r="M1463" s="35" t="s">
        <v>292</v>
      </c>
      <c r="N1463" s="475"/>
      <c r="O1463" s="476">
        <v>0.93125000000000002</v>
      </c>
      <c r="P1463" s="476">
        <v>0.93125000000000002</v>
      </c>
      <c r="Q1463" s="477">
        <v>0.94236111111111109</v>
      </c>
      <c r="R1463" s="472">
        <f>IF(Table6[[#This Row],[Work Start TimeStamp]]="","",(Table6[[#This Row],[Work Start TimeStamp]]-Table6[[#This Row],[Fault Start TimeStamp]])*24)</f>
        <v>0</v>
      </c>
      <c r="S1463" s="472">
        <f>(Table6[[#This Row],[Fault Clearance time]]-Table6[[#This Row],[Work Start TimeStamp]])*24</f>
        <v>0.26666666666666572</v>
      </c>
      <c r="T1463" s="472">
        <f>(Table6[[#This Row],[Fault Clearance time]]-Table6[[#This Row],[Fault Start TimeStamp]])*24</f>
        <v>0.26666666666666572</v>
      </c>
      <c r="U1463" s="35" t="s">
        <v>336</v>
      </c>
      <c r="V1463" s="102" t="s">
        <v>293</v>
      </c>
      <c r="W1463" s="549">
        <f>IFERROR(Table6[[#This Row],[Breakdown Time]]*Table6[[#This Row],[Plant Equivalent Weightage]],"")</f>
        <v>1.0256410256410217E-2</v>
      </c>
      <c r="X1463" s="473" t="s">
        <v>294</v>
      </c>
      <c r="Y1463" s="474" t="s">
        <v>84</v>
      </c>
      <c r="Z1463" s="102">
        <v>34101</v>
      </c>
      <c r="AA1463" s="468">
        <f>(Table6[[#This Row],[Paired WTG Generation for loss calculation]]/24)*Table6[[#This Row],[Breakdown Time]]</f>
        <v>378.89999999999867</v>
      </c>
      <c r="AB1463" s="102"/>
      <c r="AC1463" s="35"/>
      <c r="AD1463" s="35"/>
    </row>
    <row r="1464" spans="1:30">
      <c r="A1464" s="102">
        <f t="shared" si="23"/>
        <v>1463</v>
      </c>
      <c r="B1464" s="468">
        <f>YEAR(Table6[[#This Row],[Date]])+IF(MONTH(Table6[[#This Row],[Date]])&gt;=4,1,0)</f>
        <v>2026</v>
      </c>
      <c r="C1464" s="102">
        <f>YEAR(Table6[[#This Row],[Date]])</f>
        <v>2025</v>
      </c>
      <c r="D1464" s="102" t="s">
        <v>1992</v>
      </c>
      <c r="E1464" s="469">
        <f>Table6[[#This Row],[Date]]-DAY(Table6[[#This Row],[Date]])+1</f>
        <v>45839</v>
      </c>
      <c r="F1464" s="470">
        <v>45845</v>
      </c>
      <c r="G1464" s="35" t="s">
        <v>75</v>
      </c>
      <c r="H1464" s="35" t="str">
        <f>IFERROR(_xlfn.XLOOKUP(Table6[[#This Row],[Affected WTG]],'Basic Data'!$A:$A,'Basic Data'!$B:$B),"")</f>
        <v>TQGXIIPL</v>
      </c>
      <c r="I1464" s="35" t="str">
        <f>IFERROR(_xlfn.XLOOKUP(Table6[[#This Row],[Affected WTG]],'Basic Data'!$A:$A,'Basic Data'!$C:$C),"")</f>
        <v>GEDA</v>
      </c>
      <c r="J1464" s="471">
        <f>IFERROR(_xlfn.XLOOKUP(Table6[[#This Row],[Affected WTG]],'Basic Data'!$A:$A,'Basic Data'!$E:$E),"")</f>
        <v>3.846153846153845E-2</v>
      </c>
      <c r="K1464" s="102">
        <v>520</v>
      </c>
      <c r="L1464" s="35" t="str">
        <f>IFERROR(_xlfn.XLOOKUP(Table6[[#This Row],[Error Code]],'Basic Data'!$AA:$AA,'Basic Data'!$AB:$AB),"Incorrect Error Code")</f>
        <v>Overload axis 1</v>
      </c>
      <c r="M1464" s="35" t="s">
        <v>291</v>
      </c>
      <c r="N1464" s="475"/>
      <c r="O1464" s="476">
        <v>0.74305555555555558</v>
      </c>
      <c r="P1464" s="476">
        <v>0.74305555555555558</v>
      </c>
      <c r="Q1464" s="477">
        <v>0.75486111111111109</v>
      </c>
      <c r="R1464" s="472">
        <f>IF(Table6[[#This Row],[Work Start TimeStamp]]="","",(Table6[[#This Row],[Work Start TimeStamp]]-Table6[[#This Row],[Fault Start TimeStamp]])*24)</f>
        <v>0</v>
      </c>
      <c r="S1464" s="472">
        <f>(Table6[[#This Row],[Fault Clearance time]]-Table6[[#This Row],[Work Start TimeStamp]])*24</f>
        <v>0.28333333333333233</v>
      </c>
      <c r="T1464" s="472">
        <f>(Table6[[#This Row],[Fault Clearance time]]-Table6[[#This Row],[Fault Start TimeStamp]])*24</f>
        <v>0.28333333333333233</v>
      </c>
      <c r="U1464" s="35" t="s">
        <v>2041</v>
      </c>
      <c r="V1464" s="102" t="s">
        <v>293</v>
      </c>
      <c r="W1464" s="549">
        <f>IFERROR(Table6[[#This Row],[Breakdown Time]]*Table6[[#This Row],[Plant Equivalent Weightage]],"")</f>
        <v>1.0897435897435855E-2</v>
      </c>
      <c r="X1464" s="473" t="s">
        <v>294</v>
      </c>
      <c r="Y1464" s="474" t="s">
        <v>78</v>
      </c>
      <c r="Z1464" s="102">
        <v>33272</v>
      </c>
      <c r="AA1464" s="468">
        <f>(Table6[[#This Row],[Paired WTG Generation for loss calculation]]/24)*Table6[[#This Row],[Breakdown Time]]</f>
        <v>392.794444444443</v>
      </c>
      <c r="AB1464" s="102"/>
      <c r="AC1464" s="35"/>
      <c r="AD1464" s="35"/>
    </row>
    <row r="1465" spans="1:30">
      <c r="A1465" s="102">
        <f t="shared" si="23"/>
        <v>1464</v>
      </c>
      <c r="B1465" s="468">
        <f>YEAR(Table6[[#This Row],[Date]])+IF(MONTH(Table6[[#This Row],[Date]])&gt;=4,1,0)</f>
        <v>2026</v>
      </c>
      <c r="C1465" s="102">
        <f>YEAR(Table6[[#This Row],[Date]])</f>
        <v>2025</v>
      </c>
      <c r="D1465" s="102" t="s">
        <v>1992</v>
      </c>
      <c r="E1465" s="469">
        <f>Table6[[#This Row],[Date]]-DAY(Table6[[#This Row],[Date]])+1</f>
        <v>45839</v>
      </c>
      <c r="F1465" s="470">
        <v>45845</v>
      </c>
      <c r="G1465" s="35" t="s">
        <v>77</v>
      </c>
      <c r="H1465" s="35" t="str">
        <f>IFERROR(_xlfn.XLOOKUP(Table6[[#This Row],[Affected WTG]],'Basic Data'!$A:$A,'Basic Data'!$B:$B),"")</f>
        <v>TQGXIIPL</v>
      </c>
      <c r="I1465" s="35" t="str">
        <f>IFERROR(_xlfn.XLOOKUP(Table6[[#This Row],[Affected WTG]],'Basic Data'!$A:$A,'Basic Data'!$C:$C),"")</f>
        <v>GEDA</v>
      </c>
      <c r="J1465" s="471">
        <f>IFERROR(_xlfn.XLOOKUP(Table6[[#This Row],[Affected WTG]],'Basic Data'!$A:$A,'Basic Data'!$E:$E),"")</f>
        <v>3.846153846153845E-2</v>
      </c>
      <c r="K1465" s="102">
        <v>6130</v>
      </c>
      <c r="L1465" s="35" t="str">
        <f>IFERROR(_xlfn.XLOOKUP(Table6[[#This Row],[Error Code]],'Basic Data'!$AA:$AA,'Basic Data'!$AB:$AB),"Incorrect Error Code")</f>
        <v>Yaw speed high</v>
      </c>
      <c r="M1465" s="35" t="s">
        <v>292</v>
      </c>
      <c r="N1465" s="475"/>
      <c r="O1465" s="476">
        <v>3.4722222222222224E-2</v>
      </c>
      <c r="P1465" s="476">
        <v>3.4722222222222224E-2</v>
      </c>
      <c r="Q1465" s="477">
        <v>3.888888888888889E-2</v>
      </c>
      <c r="R1465" s="472">
        <f>IF(Table6[[#This Row],[Work Start TimeStamp]]="","",(Table6[[#This Row],[Work Start TimeStamp]]-Table6[[#This Row],[Fault Start TimeStamp]])*24)</f>
        <v>0</v>
      </c>
      <c r="S1465" s="472">
        <f>(Table6[[#This Row],[Fault Clearance time]]-Table6[[#This Row],[Work Start TimeStamp]])*24</f>
        <v>9.9999999999999978E-2</v>
      </c>
      <c r="T1465" s="472">
        <f>(Table6[[#This Row],[Fault Clearance time]]-Table6[[#This Row],[Fault Start TimeStamp]])*24</f>
        <v>9.9999999999999978E-2</v>
      </c>
      <c r="U1465" s="35" t="s">
        <v>336</v>
      </c>
      <c r="V1465" s="102" t="s">
        <v>293</v>
      </c>
      <c r="W1465" s="549">
        <f>IFERROR(Table6[[#This Row],[Breakdown Time]]*Table6[[#This Row],[Plant Equivalent Weightage]],"")</f>
        <v>3.8461538461538442E-3</v>
      </c>
      <c r="X1465" s="473" t="s">
        <v>294</v>
      </c>
      <c r="Y1465" s="474" t="s">
        <v>80</v>
      </c>
      <c r="Z1465" s="102">
        <v>32816</v>
      </c>
      <c r="AA1465" s="468">
        <f>(Table6[[#This Row],[Paired WTG Generation for loss calculation]]/24)*Table6[[#This Row],[Breakdown Time]]</f>
        <v>136.73333333333329</v>
      </c>
      <c r="AB1465" s="102"/>
      <c r="AC1465" s="35"/>
      <c r="AD1465" s="35"/>
    </row>
    <row r="1466" spans="1:30">
      <c r="A1466" s="102">
        <f t="shared" si="23"/>
        <v>1465</v>
      </c>
      <c r="B1466" s="468">
        <f>YEAR(Table6[[#This Row],[Date]])+IF(MONTH(Table6[[#This Row],[Date]])&gt;=4,1,0)</f>
        <v>2026</v>
      </c>
      <c r="C1466" s="102">
        <f>YEAR(Table6[[#This Row],[Date]])</f>
        <v>2025</v>
      </c>
      <c r="D1466" s="102" t="s">
        <v>1992</v>
      </c>
      <c r="E1466" s="469">
        <f>Table6[[#This Row],[Date]]-DAY(Table6[[#This Row],[Date]])+1</f>
        <v>45839</v>
      </c>
      <c r="F1466" s="470">
        <v>45845</v>
      </c>
      <c r="G1466" s="35" t="s">
        <v>80</v>
      </c>
      <c r="H1466" s="35" t="str">
        <f>IFERROR(_xlfn.XLOOKUP(Table6[[#This Row],[Affected WTG]],'Basic Data'!$A:$A,'Basic Data'!$B:$B),"")</f>
        <v>TQGXIIPL</v>
      </c>
      <c r="I1466" s="35" t="str">
        <f>IFERROR(_xlfn.XLOOKUP(Table6[[#This Row],[Affected WTG]],'Basic Data'!$A:$A,'Basic Data'!$C:$C),"")</f>
        <v>GEDA</v>
      </c>
      <c r="J1466" s="471">
        <f>IFERROR(_xlfn.XLOOKUP(Table6[[#This Row],[Affected WTG]],'Basic Data'!$A:$A,'Basic Data'!$E:$E),"")</f>
        <v>3.846153846153845E-2</v>
      </c>
      <c r="K1466" s="102">
        <v>4540</v>
      </c>
      <c r="L1466" s="35" t="str">
        <f>IFERROR(_xlfn.XLOOKUP(Table6[[#This Row],[Error Code]],'Basic Data'!$AA:$AA,'Basic Data'!$AB:$AB),"Incorrect Error Code")</f>
        <v>Tower oscillation X level 2</v>
      </c>
      <c r="M1466" s="35" t="s">
        <v>291</v>
      </c>
      <c r="N1466" s="475"/>
      <c r="O1466" s="476">
        <v>0.62430555555555556</v>
      </c>
      <c r="P1466" s="476">
        <v>0.62430555555555556</v>
      </c>
      <c r="Q1466" s="477">
        <v>0.62847222222222221</v>
      </c>
      <c r="R1466" s="472">
        <f>IF(Table6[[#This Row],[Work Start TimeStamp]]="","",(Table6[[#This Row],[Work Start TimeStamp]]-Table6[[#This Row],[Fault Start TimeStamp]])*24)</f>
        <v>0</v>
      </c>
      <c r="S1466" s="472">
        <f>(Table6[[#This Row],[Fault Clearance time]]-Table6[[#This Row],[Work Start TimeStamp]])*24</f>
        <v>9.9999999999999645E-2</v>
      </c>
      <c r="T1466" s="472">
        <f>(Table6[[#This Row],[Fault Clearance time]]-Table6[[#This Row],[Fault Start TimeStamp]])*24</f>
        <v>9.9999999999999645E-2</v>
      </c>
      <c r="U1466" s="35" t="s">
        <v>1924</v>
      </c>
      <c r="V1466" s="102" t="s">
        <v>293</v>
      </c>
      <c r="W1466" s="549">
        <f>IFERROR(Table6[[#This Row],[Breakdown Time]]*Table6[[#This Row],[Plant Equivalent Weightage]],"")</f>
        <v>3.8461538461538312E-3</v>
      </c>
      <c r="X1466" s="473" t="s">
        <v>294</v>
      </c>
      <c r="Y1466" s="474" t="s">
        <v>77</v>
      </c>
      <c r="Z1466" s="102">
        <v>33919</v>
      </c>
      <c r="AA1466" s="468">
        <f>(Table6[[#This Row],[Paired WTG Generation for loss calculation]]/24)*Table6[[#This Row],[Breakdown Time]]</f>
        <v>141.32916666666617</v>
      </c>
      <c r="AB1466" s="102"/>
      <c r="AC1466" s="35"/>
      <c r="AD1466" s="35"/>
    </row>
    <row r="1467" spans="1:30">
      <c r="A1467" s="102">
        <f t="shared" si="23"/>
        <v>1466</v>
      </c>
      <c r="B1467" s="468">
        <f>YEAR(Table6[[#This Row],[Date]])+IF(MONTH(Table6[[#This Row],[Date]])&gt;=4,1,0)</f>
        <v>2026</v>
      </c>
      <c r="C1467" s="102">
        <f>YEAR(Table6[[#This Row],[Date]])</f>
        <v>2025</v>
      </c>
      <c r="D1467" s="102" t="s">
        <v>1992</v>
      </c>
      <c r="E1467" s="469">
        <f>Table6[[#This Row],[Date]]-DAY(Table6[[#This Row],[Date]])+1</f>
        <v>45839</v>
      </c>
      <c r="F1467" s="470">
        <v>45845</v>
      </c>
      <c r="G1467" s="35" t="s">
        <v>80</v>
      </c>
      <c r="H1467" s="35" t="str">
        <f>IFERROR(_xlfn.XLOOKUP(Table6[[#This Row],[Affected WTG]],'Basic Data'!$A:$A,'Basic Data'!$B:$B),"")</f>
        <v>TQGXIIPL</v>
      </c>
      <c r="I1467" s="35" t="str">
        <f>IFERROR(_xlfn.XLOOKUP(Table6[[#This Row],[Affected WTG]],'Basic Data'!$A:$A,'Basic Data'!$C:$C),"")</f>
        <v>GEDA</v>
      </c>
      <c r="J1467" s="471">
        <f>IFERROR(_xlfn.XLOOKUP(Table6[[#This Row],[Affected WTG]],'Basic Data'!$A:$A,'Basic Data'!$E:$E),"")</f>
        <v>3.846153846153845E-2</v>
      </c>
      <c r="K1467" s="102">
        <v>175</v>
      </c>
      <c r="L1467" s="35" t="str">
        <f>IFERROR(_xlfn.XLOOKUP(Table6[[#This Row],[Error Code]],'Basic Data'!$AA:$AA,'Basic Data'!$AB:$AB),"Incorrect Error Code")</f>
        <v>SLC error</v>
      </c>
      <c r="M1467" s="35" t="s">
        <v>291</v>
      </c>
      <c r="N1467" s="475"/>
      <c r="O1467" s="476">
        <v>0.60902777777777772</v>
      </c>
      <c r="P1467" s="476">
        <v>0.60902777777777772</v>
      </c>
      <c r="Q1467" s="477">
        <v>0.6166666666666667</v>
      </c>
      <c r="R1467" s="472">
        <f>IF(Table6[[#This Row],[Work Start TimeStamp]]="","",(Table6[[#This Row],[Work Start TimeStamp]]-Table6[[#This Row],[Fault Start TimeStamp]])*24)</f>
        <v>0</v>
      </c>
      <c r="S1467" s="472">
        <f>(Table6[[#This Row],[Fault Clearance time]]-Table6[[#This Row],[Work Start TimeStamp]])*24</f>
        <v>0.18333333333333535</v>
      </c>
      <c r="T1467" s="472">
        <f>(Table6[[#This Row],[Fault Clearance time]]-Table6[[#This Row],[Fault Start TimeStamp]])*24</f>
        <v>0.18333333333333535</v>
      </c>
      <c r="U1467" s="35" t="s">
        <v>2041</v>
      </c>
      <c r="V1467" s="102" t="s">
        <v>293</v>
      </c>
      <c r="W1467" s="549">
        <f>IFERROR(Table6[[#This Row],[Breakdown Time]]*Table6[[#This Row],[Plant Equivalent Weightage]],"")</f>
        <v>7.0512820512821268E-3</v>
      </c>
      <c r="X1467" s="473" t="s">
        <v>294</v>
      </c>
      <c r="Y1467" s="474" t="s">
        <v>77</v>
      </c>
      <c r="Z1467" s="102">
        <v>33919</v>
      </c>
      <c r="AA1467" s="468">
        <f>(Table6[[#This Row],[Paired WTG Generation for loss calculation]]/24)*Table6[[#This Row],[Breakdown Time]]</f>
        <v>259.10347222222509</v>
      </c>
      <c r="AB1467" s="102"/>
      <c r="AC1467" s="35"/>
      <c r="AD1467" s="35"/>
    </row>
    <row r="1468" spans="1:30">
      <c r="A1468" s="102">
        <f t="shared" si="23"/>
        <v>1467</v>
      </c>
      <c r="B1468" s="468">
        <f>YEAR(Table6[[#This Row],[Date]])+IF(MONTH(Table6[[#This Row],[Date]])&gt;=4,1,0)</f>
        <v>2026</v>
      </c>
      <c r="C1468" s="102">
        <f>YEAR(Table6[[#This Row],[Date]])</f>
        <v>2025</v>
      </c>
      <c r="D1468" s="102" t="s">
        <v>1992</v>
      </c>
      <c r="E1468" s="469">
        <f>Table6[[#This Row],[Date]]-DAY(Table6[[#This Row],[Date]])+1</f>
        <v>45839</v>
      </c>
      <c r="F1468" s="470">
        <v>45845</v>
      </c>
      <c r="G1468" s="35" t="s">
        <v>82</v>
      </c>
      <c r="H1468" s="35" t="str">
        <f>IFERROR(_xlfn.XLOOKUP(Table6[[#This Row],[Affected WTG]],'Basic Data'!$A:$A,'Basic Data'!$B:$B),"")</f>
        <v>TQGXIIPL</v>
      </c>
      <c r="I1468" s="35" t="str">
        <f>IFERROR(_xlfn.XLOOKUP(Table6[[#This Row],[Affected WTG]],'Basic Data'!$A:$A,'Basic Data'!$C:$C),"")</f>
        <v>GEDA</v>
      </c>
      <c r="J1468" s="471">
        <f>IFERROR(_xlfn.XLOOKUP(Table6[[#This Row],[Affected WTG]],'Basic Data'!$A:$A,'Basic Data'!$E:$E),"")</f>
        <v>3.846153846153845E-2</v>
      </c>
      <c r="K1468" s="102">
        <v>650</v>
      </c>
      <c r="L1468" s="35" t="str">
        <f>IFERROR(_xlfn.XLOOKUP(Table6[[#This Row],[Error Code]],'Basic Data'!$AA:$AA,'Basic Data'!$AB:$AB),"Incorrect Error Code")</f>
        <v>Pitch controller communication error</v>
      </c>
      <c r="M1468" s="35" t="s">
        <v>291</v>
      </c>
      <c r="N1468" s="475"/>
      <c r="O1468" s="476">
        <v>0.7319444444444444</v>
      </c>
      <c r="P1468" s="476">
        <v>0.7319444444444444</v>
      </c>
      <c r="Q1468" s="477">
        <v>0.76249999999999996</v>
      </c>
      <c r="R1468" s="472">
        <f>IF(Table6[[#This Row],[Work Start TimeStamp]]="","",(Table6[[#This Row],[Work Start TimeStamp]]-Table6[[#This Row],[Fault Start TimeStamp]])*24)</f>
        <v>0</v>
      </c>
      <c r="S1468" s="472">
        <f>(Table6[[#This Row],[Fault Clearance time]]-Table6[[#This Row],[Work Start TimeStamp]])*24</f>
        <v>0.73333333333333339</v>
      </c>
      <c r="T1468" s="472">
        <f>(Table6[[#This Row],[Fault Clearance time]]-Table6[[#This Row],[Fault Start TimeStamp]])*24</f>
        <v>0.73333333333333339</v>
      </c>
      <c r="U1468" s="35" t="s">
        <v>2066</v>
      </c>
      <c r="V1468" s="102" t="s">
        <v>293</v>
      </c>
      <c r="W1468" s="549">
        <f>IFERROR(Table6[[#This Row],[Breakdown Time]]*Table6[[#This Row],[Plant Equivalent Weightage]],"")</f>
        <v>2.8205128205128199E-2</v>
      </c>
      <c r="X1468" s="473" t="s">
        <v>294</v>
      </c>
      <c r="Y1468" s="474" t="s">
        <v>76</v>
      </c>
      <c r="Z1468" s="102">
        <v>32768</v>
      </c>
      <c r="AA1468" s="468">
        <f>(Table6[[#This Row],[Paired WTG Generation for loss calculation]]/24)*Table6[[#This Row],[Breakdown Time]]</f>
        <v>1001.2444444444445</v>
      </c>
      <c r="AB1468" s="102"/>
      <c r="AC1468" s="35"/>
      <c r="AD1468" s="35"/>
    </row>
    <row r="1469" spans="1:30">
      <c r="A1469" s="102">
        <f t="shared" si="23"/>
        <v>1468</v>
      </c>
      <c r="B1469" s="468">
        <f>YEAR(Table6[[#This Row],[Date]])+IF(MONTH(Table6[[#This Row],[Date]])&gt;=4,1,0)</f>
        <v>2026</v>
      </c>
      <c r="C1469" s="102">
        <f>YEAR(Table6[[#This Row],[Date]])</f>
        <v>2025</v>
      </c>
      <c r="D1469" s="102" t="s">
        <v>1992</v>
      </c>
      <c r="E1469" s="469">
        <f>Table6[[#This Row],[Date]]-DAY(Table6[[#This Row],[Date]])+1</f>
        <v>45839</v>
      </c>
      <c r="F1469" s="470">
        <v>45845</v>
      </c>
      <c r="G1469" s="35" t="s">
        <v>84</v>
      </c>
      <c r="H1469" s="35" t="str">
        <f>IFERROR(_xlfn.XLOOKUP(Table6[[#This Row],[Affected WTG]],'Basic Data'!$A:$A,'Basic Data'!$B:$B),"")</f>
        <v>TQGXIIPL</v>
      </c>
      <c r="I1469" s="35" t="str">
        <f>IFERROR(_xlfn.XLOOKUP(Table6[[#This Row],[Affected WTG]],'Basic Data'!$A:$A,'Basic Data'!$C:$C),"")</f>
        <v>GEDA</v>
      </c>
      <c r="J1469" s="471">
        <f>IFERROR(_xlfn.XLOOKUP(Table6[[#This Row],[Affected WTG]],'Basic Data'!$A:$A,'Basic Data'!$E:$E),"")</f>
        <v>3.846153846153845E-2</v>
      </c>
      <c r="K1469" s="102">
        <v>650</v>
      </c>
      <c r="L1469" s="35" t="str">
        <f>IFERROR(_xlfn.XLOOKUP(Table6[[#This Row],[Error Code]],'Basic Data'!$AA:$AA,'Basic Data'!$AB:$AB),"Incorrect Error Code")</f>
        <v>Pitch controller communication error</v>
      </c>
      <c r="M1469" s="35" t="s">
        <v>295</v>
      </c>
      <c r="N1469" s="475"/>
      <c r="O1469" s="476">
        <v>0.7319444444444444</v>
      </c>
      <c r="P1469" s="476">
        <v>0.79166666666666663</v>
      </c>
      <c r="Q1469" s="477">
        <v>1</v>
      </c>
      <c r="R1469" s="472">
        <f>IF(Table6[[#This Row],[Work Start TimeStamp]]="","",(Table6[[#This Row],[Work Start TimeStamp]]-Table6[[#This Row],[Fault Start TimeStamp]])*24)</f>
        <v>1.4333333333333336</v>
      </c>
      <c r="S1469" s="472">
        <f>(Table6[[#This Row],[Fault Clearance time]]-Table6[[#This Row],[Work Start TimeStamp]])*24</f>
        <v>5.0000000000000009</v>
      </c>
      <c r="T1469" s="472">
        <f>(Table6[[#This Row],[Fault Clearance time]]-Table6[[#This Row],[Fault Start TimeStamp]])*24</f>
        <v>6.4333333333333345</v>
      </c>
      <c r="U1469" s="35" t="s">
        <v>2068</v>
      </c>
      <c r="V1469" s="102" t="s">
        <v>293</v>
      </c>
      <c r="W1469" s="549">
        <f>IFERROR(Table6[[#This Row],[Breakdown Time]]*Table6[[#This Row],[Plant Equivalent Weightage]],"")</f>
        <v>0.24743589743589742</v>
      </c>
      <c r="X1469" s="473" t="s">
        <v>290</v>
      </c>
      <c r="Y1469" s="474" t="s">
        <v>86</v>
      </c>
      <c r="Z1469" s="102">
        <v>36860</v>
      </c>
      <c r="AA1469" s="468">
        <f>(Table6[[#This Row],[Paired WTG Generation for loss calculation]]/24)*Table6[[#This Row],[Breakdown Time]]</f>
        <v>9880.5277777777792</v>
      </c>
      <c r="AB1469" s="102"/>
      <c r="AC1469" s="35"/>
      <c r="AD1469" s="35"/>
    </row>
    <row r="1470" spans="1:30">
      <c r="A1470" s="102">
        <f t="shared" si="23"/>
        <v>1469</v>
      </c>
      <c r="B1470" s="468">
        <f>YEAR(Table6[[#This Row],[Date]])+IF(MONTH(Table6[[#This Row],[Date]])&gt;=4,1,0)</f>
        <v>2026</v>
      </c>
      <c r="C1470" s="102">
        <f>YEAR(Table6[[#This Row],[Date]])</f>
        <v>2025</v>
      </c>
      <c r="D1470" s="102" t="s">
        <v>1992</v>
      </c>
      <c r="E1470" s="469">
        <f>Table6[[#This Row],[Date]]-DAY(Table6[[#This Row],[Date]])+1</f>
        <v>45839</v>
      </c>
      <c r="F1470" s="470">
        <v>45845</v>
      </c>
      <c r="G1470" s="35" t="s">
        <v>85</v>
      </c>
      <c r="H1470" s="35" t="str">
        <f>IFERROR(_xlfn.XLOOKUP(Table6[[#This Row],[Affected WTG]],'Basic Data'!$A:$A,'Basic Data'!$B:$B),"")</f>
        <v>TQGXIIPL</v>
      </c>
      <c r="I1470" s="35" t="str">
        <f>IFERROR(_xlfn.XLOOKUP(Table6[[#This Row],[Affected WTG]],'Basic Data'!$A:$A,'Basic Data'!$C:$C),"")</f>
        <v>GEDA</v>
      </c>
      <c r="J1470" s="471">
        <f>IFERROR(_xlfn.XLOOKUP(Table6[[#This Row],[Affected WTG]],'Basic Data'!$A:$A,'Basic Data'!$E:$E),"")</f>
        <v>3.846153846153845E-2</v>
      </c>
      <c r="K1470" s="102">
        <v>55</v>
      </c>
      <c r="L1470" s="35" t="str">
        <f>IFERROR(_xlfn.XLOOKUP(Table6[[#This Row],[Error Code]],'Basic Data'!$AA:$AA,'Basic Data'!$AB:$AB),"Incorrect Error Code")</f>
        <v>WTG shut down</v>
      </c>
      <c r="M1470" s="35" t="s">
        <v>295</v>
      </c>
      <c r="N1470" s="475"/>
      <c r="O1470" s="476">
        <v>0</v>
      </c>
      <c r="P1470" s="476">
        <v>0.375</v>
      </c>
      <c r="Q1470" s="477">
        <v>0.80694444444444446</v>
      </c>
      <c r="R1470" s="472">
        <f>IF(Table6[[#This Row],[Work Start TimeStamp]]="","",(Table6[[#This Row],[Work Start TimeStamp]]-Table6[[#This Row],[Fault Start TimeStamp]])*24)</f>
        <v>9</v>
      </c>
      <c r="S1470" s="472">
        <f>(Table6[[#This Row],[Fault Clearance time]]-Table6[[#This Row],[Work Start TimeStamp]])*24</f>
        <v>10.366666666666667</v>
      </c>
      <c r="T1470" s="472">
        <f>(Table6[[#This Row],[Fault Clearance time]]-Table6[[#This Row],[Fault Start TimeStamp]])*24</f>
        <v>19.366666666666667</v>
      </c>
      <c r="U1470" s="35" t="s">
        <v>2067</v>
      </c>
      <c r="V1470" s="102" t="s">
        <v>293</v>
      </c>
      <c r="W1470" s="549">
        <f>IFERROR(Table6[[#This Row],[Breakdown Time]]*Table6[[#This Row],[Plant Equivalent Weightage]],"")</f>
        <v>0.74487179487179467</v>
      </c>
      <c r="X1470" s="473" t="s">
        <v>290</v>
      </c>
      <c r="Y1470" s="474" t="s">
        <v>87</v>
      </c>
      <c r="Z1470" s="102">
        <v>33429</v>
      </c>
      <c r="AA1470" s="468">
        <f>(Table6[[#This Row],[Paired WTG Generation for loss calculation]]/24)*Table6[[#This Row],[Breakdown Time]]</f>
        <v>26975.345833333333</v>
      </c>
      <c r="AB1470" s="102"/>
      <c r="AC1470" s="35"/>
      <c r="AD1470" s="35"/>
    </row>
    <row r="1471" spans="1:30">
      <c r="A1471" s="102">
        <f t="shared" si="23"/>
        <v>1470</v>
      </c>
      <c r="B1471" s="468">
        <f>YEAR(Table6[[#This Row],[Date]])+IF(MONTH(Table6[[#This Row],[Date]])&gt;=4,1,0)</f>
        <v>2026</v>
      </c>
      <c r="C1471" s="102">
        <f>YEAR(Table6[[#This Row],[Date]])</f>
        <v>2025</v>
      </c>
      <c r="D1471" s="102" t="s">
        <v>1992</v>
      </c>
      <c r="E1471" s="469">
        <f>Table6[[#This Row],[Date]]-DAY(Table6[[#This Row],[Date]])+1</f>
        <v>45839</v>
      </c>
      <c r="F1471" s="470">
        <v>45845</v>
      </c>
      <c r="G1471" s="35" t="s">
        <v>87</v>
      </c>
      <c r="H1471" s="35" t="str">
        <f>IFERROR(_xlfn.XLOOKUP(Table6[[#This Row],[Affected WTG]],'Basic Data'!$A:$A,'Basic Data'!$B:$B),"")</f>
        <v>TQGXIIPL</v>
      </c>
      <c r="I1471" s="35" t="str">
        <f>IFERROR(_xlfn.XLOOKUP(Table6[[#This Row],[Affected WTG]],'Basic Data'!$A:$A,'Basic Data'!$C:$C),"")</f>
        <v>GEDA</v>
      </c>
      <c r="J1471" s="471">
        <f>IFERROR(_xlfn.XLOOKUP(Table6[[#This Row],[Affected WTG]],'Basic Data'!$A:$A,'Basic Data'!$E:$E),"")</f>
        <v>3.846153846153845E-2</v>
      </c>
      <c r="K1471" s="102">
        <v>6130</v>
      </c>
      <c r="L1471" s="35" t="str">
        <f>IFERROR(_xlfn.XLOOKUP(Table6[[#This Row],[Error Code]],'Basic Data'!$AA:$AA,'Basic Data'!$AB:$AB),"Incorrect Error Code")</f>
        <v>Yaw speed high</v>
      </c>
      <c r="M1471" s="35" t="s">
        <v>291</v>
      </c>
      <c r="N1471" s="475"/>
      <c r="O1471" s="476">
        <v>0.35</v>
      </c>
      <c r="P1471" s="476">
        <v>0.35</v>
      </c>
      <c r="Q1471" s="477">
        <v>0.35347222222222224</v>
      </c>
      <c r="R1471" s="472">
        <f>IF(Table6[[#This Row],[Work Start TimeStamp]]="","",(Table6[[#This Row],[Work Start TimeStamp]]-Table6[[#This Row],[Fault Start TimeStamp]])*24)</f>
        <v>0</v>
      </c>
      <c r="S1471" s="472">
        <f>(Table6[[#This Row],[Fault Clearance time]]-Table6[[#This Row],[Work Start TimeStamp]])*24</f>
        <v>8.333333333333437E-2</v>
      </c>
      <c r="T1471" s="472">
        <f>(Table6[[#This Row],[Fault Clearance time]]-Table6[[#This Row],[Fault Start TimeStamp]])*24</f>
        <v>8.333333333333437E-2</v>
      </c>
      <c r="U1471" s="35" t="s">
        <v>1924</v>
      </c>
      <c r="V1471" s="102" t="s">
        <v>293</v>
      </c>
      <c r="W1471" s="549">
        <f>IFERROR(Table6[[#This Row],[Breakdown Time]]*Table6[[#This Row],[Plant Equivalent Weightage]],"")</f>
        <v>3.205128205128244E-3</v>
      </c>
      <c r="X1471" s="473" t="s">
        <v>294</v>
      </c>
      <c r="Y1471" s="474" t="s">
        <v>85</v>
      </c>
      <c r="Z1471" s="102">
        <v>4654</v>
      </c>
      <c r="AA1471" s="468">
        <f>(Table6[[#This Row],[Paired WTG Generation for loss calculation]]/24)*Table6[[#This Row],[Breakdown Time]]</f>
        <v>16.159722222222424</v>
      </c>
      <c r="AB1471" s="102"/>
      <c r="AC1471" s="35"/>
      <c r="AD1471" s="35"/>
    </row>
    <row r="1472" spans="1:30">
      <c r="A1472" s="102">
        <f t="shared" si="23"/>
        <v>1471</v>
      </c>
      <c r="B1472" s="468">
        <f>YEAR(Table6[[#This Row],[Date]])+IF(MONTH(Table6[[#This Row],[Date]])&gt;=4,1,0)</f>
        <v>2026</v>
      </c>
      <c r="C1472" s="102">
        <f>YEAR(Table6[[#This Row],[Date]])</f>
        <v>2025</v>
      </c>
      <c r="D1472" s="102" t="s">
        <v>1992</v>
      </c>
      <c r="E1472" s="469">
        <f>Table6[[#This Row],[Date]]-DAY(Table6[[#This Row],[Date]])+1</f>
        <v>45839</v>
      </c>
      <c r="F1472" s="470">
        <v>45845</v>
      </c>
      <c r="G1472" s="35" t="s">
        <v>87</v>
      </c>
      <c r="H1472" s="35" t="str">
        <f>IFERROR(_xlfn.XLOOKUP(Table6[[#This Row],[Affected WTG]],'Basic Data'!$A:$A,'Basic Data'!$B:$B),"")</f>
        <v>TQGXIIPL</v>
      </c>
      <c r="I1472" s="35" t="str">
        <f>IFERROR(_xlfn.XLOOKUP(Table6[[#This Row],[Affected WTG]],'Basic Data'!$A:$A,'Basic Data'!$C:$C),"")</f>
        <v>GEDA</v>
      </c>
      <c r="J1472" s="471">
        <f>IFERROR(_xlfn.XLOOKUP(Table6[[#This Row],[Affected WTG]],'Basic Data'!$A:$A,'Basic Data'!$E:$E),"")</f>
        <v>3.846153846153845E-2</v>
      </c>
      <c r="K1472" s="102">
        <v>4540</v>
      </c>
      <c r="L1472" s="35" t="str">
        <f>IFERROR(_xlfn.XLOOKUP(Table6[[#This Row],[Error Code]],'Basic Data'!$AA:$AA,'Basic Data'!$AB:$AB),"Incorrect Error Code")</f>
        <v>Tower oscillation X level 2</v>
      </c>
      <c r="M1472" s="35" t="s">
        <v>291</v>
      </c>
      <c r="N1472" s="475"/>
      <c r="O1472" s="476">
        <v>0.6118055555555556</v>
      </c>
      <c r="P1472" s="476">
        <v>0.6118055555555556</v>
      </c>
      <c r="Q1472" s="477">
        <v>0.61736111111111114</v>
      </c>
      <c r="R1472" s="472">
        <f>IF(Table6[[#This Row],[Work Start TimeStamp]]="","",(Table6[[#This Row],[Work Start TimeStamp]]-Table6[[#This Row],[Fault Start TimeStamp]])*24)</f>
        <v>0</v>
      </c>
      <c r="S1472" s="472">
        <f>(Table6[[#This Row],[Fault Clearance time]]-Table6[[#This Row],[Work Start TimeStamp]])*24</f>
        <v>0.13333333333333286</v>
      </c>
      <c r="T1472" s="472">
        <f>(Table6[[#This Row],[Fault Clearance time]]-Table6[[#This Row],[Fault Start TimeStamp]])*24</f>
        <v>0.13333333333333286</v>
      </c>
      <c r="U1472" s="35" t="s">
        <v>1924</v>
      </c>
      <c r="V1472" s="102" t="s">
        <v>293</v>
      </c>
      <c r="W1472" s="549">
        <f>IFERROR(Table6[[#This Row],[Breakdown Time]]*Table6[[#This Row],[Plant Equivalent Weightage]],"")</f>
        <v>5.1282051282051083E-3</v>
      </c>
      <c r="X1472" s="473" t="s">
        <v>294</v>
      </c>
      <c r="Y1472" s="474" t="s">
        <v>85</v>
      </c>
      <c r="Z1472" s="102">
        <v>4654</v>
      </c>
      <c r="AA1472" s="468">
        <f>(Table6[[#This Row],[Paired WTG Generation for loss calculation]]/24)*Table6[[#This Row],[Breakdown Time]]</f>
        <v>25.855555555555462</v>
      </c>
      <c r="AB1472" s="102"/>
      <c r="AC1472" s="35"/>
      <c r="AD1472" s="35"/>
    </row>
    <row r="1473" spans="1:30">
      <c r="A1473" s="102">
        <f t="shared" si="23"/>
        <v>1472</v>
      </c>
      <c r="B1473" s="468">
        <f>YEAR(Table6[[#This Row],[Date]])+IF(MONTH(Table6[[#This Row],[Date]])&gt;=4,1,0)</f>
        <v>2026</v>
      </c>
      <c r="C1473" s="102">
        <f>YEAR(Table6[[#This Row],[Date]])</f>
        <v>2025</v>
      </c>
      <c r="D1473" s="102" t="s">
        <v>1992</v>
      </c>
      <c r="E1473" s="469">
        <f>Table6[[#This Row],[Date]]-DAY(Table6[[#This Row],[Date]])+1</f>
        <v>45839</v>
      </c>
      <c r="F1473" s="470">
        <v>45845</v>
      </c>
      <c r="G1473" s="35" t="s">
        <v>87</v>
      </c>
      <c r="H1473" s="35" t="str">
        <f>IFERROR(_xlfn.XLOOKUP(Table6[[#This Row],[Affected WTG]],'Basic Data'!$A:$A,'Basic Data'!$B:$B),"")</f>
        <v>TQGXIIPL</v>
      </c>
      <c r="I1473" s="35" t="str">
        <f>IFERROR(_xlfn.XLOOKUP(Table6[[#This Row],[Affected WTG]],'Basic Data'!$A:$A,'Basic Data'!$C:$C),"")</f>
        <v>GEDA</v>
      </c>
      <c r="J1473" s="471">
        <f>IFERROR(_xlfn.XLOOKUP(Table6[[#This Row],[Affected WTG]],'Basic Data'!$A:$A,'Basic Data'!$E:$E),"")</f>
        <v>3.846153846153845E-2</v>
      </c>
      <c r="K1473" s="102">
        <v>170</v>
      </c>
      <c r="L1473" s="35" t="str">
        <f>IFERROR(_xlfn.XLOOKUP(Table6[[#This Row],[Error Code]],'Basic Data'!$AA:$AA,'Basic Data'!$AB:$AB),"Incorrect Error Code")</f>
        <v>SLC MF brake request HC</v>
      </c>
      <c r="M1473" s="35" t="s">
        <v>291</v>
      </c>
      <c r="N1473" s="475"/>
      <c r="O1473" s="476">
        <v>0.7319444444444444</v>
      </c>
      <c r="P1473" s="476">
        <v>0.7319444444444444</v>
      </c>
      <c r="Q1473" s="477">
        <v>0.74444444444444446</v>
      </c>
      <c r="R1473" s="472">
        <f>IF(Table6[[#This Row],[Work Start TimeStamp]]="","",(Table6[[#This Row],[Work Start TimeStamp]]-Table6[[#This Row],[Fault Start TimeStamp]])*24)</f>
        <v>0</v>
      </c>
      <c r="S1473" s="472">
        <f>(Table6[[#This Row],[Fault Clearance time]]-Table6[[#This Row],[Work Start TimeStamp]])*24</f>
        <v>0.3000000000000016</v>
      </c>
      <c r="T1473" s="472">
        <f>(Table6[[#This Row],[Fault Clearance time]]-Table6[[#This Row],[Fault Start TimeStamp]])*24</f>
        <v>0.3000000000000016</v>
      </c>
      <c r="U1473" s="35" t="s">
        <v>2041</v>
      </c>
      <c r="V1473" s="102" t="s">
        <v>293</v>
      </c>
      <c r="W1473" s="549">
        <f>IFERROR(Table6[[#This Row],[Breakdown Time]]*Table6[[#This Row],[Plant Equivalent Weightage]],"")</f>
        <v>1.1538461538461596E-2</v>
      </c>
      <c r="X1473" s="473" t="s">
        <v>294</v>
      </c>
      <c r="Y1473" s="474" t="s">
        <v>85</v>
      </c>
      <c r="Z1473" s="102">
        <v>4654</v>
      </c>
      <c r="AA1473" s="468">
        <f>(Table6[[#This Row],[Paired WTG Generation for loss calculation]]/24)*Table6[[#This Row],[Breakdown Time]]</f>
        <v>58.17500000000031</v>
      </c>
      <c r="AB1473" s="102"/>
      <c r="AC1473" s="35"/>
      <c r="AD1473" s="35"/>
    </row>
    <row r="1474" spans="1:30">
      <c r="A1474" s="102">
        <f t="shared" si="23"/>
        <v>1473</v>
      </c>
      <c r="B1474" s="468">
        <f>YEAR(Table6[[#This Row],[Date]])+IF(MONTH(Table6[[#This Row],[Date]])&gt;=4,1,0)</f>
        <v>2026</v>
      </c>
      <c r="C1474" s="102">
        <f>YEAR(Table6[[#This Row],[Date]])</f>
        <v>2025</v>
      </c>
      <c r="D1474" s="102" t="s">
        <v>1992</v>
      </c>
      <c r="E1474" s="469">
        <f>Table6[[#This Row],[Date]]-DAY(Table6[[#This Row],[Date]])+1</f>
        <v>45839</v>
      </c>
      <c r="F1474" s="470">
        <v>45845</v>
      </c>
      <c r="G1474" s="35" t="s">
        <v>93</v>
      </c>
      <c r="H1474" s="35" t="str">
        <f>IFERROR(_xlfn.XLOOKUP(Table6[[#This Row],[Affected WTG]],'Basic Data'!$A:$A,'Basic Data'!$B:$B),"")</f>
        <v>TQGXIIPL</v>
      </c>
      <c r="I1474" s="35" t="str">
        <f>IFERROR(_xlfn.XLOOKUP(Table6[[#This Row],[Affected WTG]],'Basic Data'!$A:$A,'Basic Data'!$C:$C),"")</f>
        <v>GEDA</v>
      </c>
      <c r="J1474" s="471">
        <f>IFERROR(_xlfn.XLOOKUP(Table6[[#This Row],[Affected WTG]],'Basic Data'!$A:$A,'Basic Data'!$E:$E),"")</f>
        <v>3.846153846153845E-2</v>
      </c>
      <c r="K1474" s="102">
        <v>3000</v>
      </c>
      <c r="L1474" s="35" t="str">
        <f>IFERROR(_xlfn.XLOOKUP(Table6[[#This Row],[Error Code]],'Basic Data'!$AA:$AA,'Basic Data'!$AB:$AB),"Incorrect Error Code")</f>
        <v>Frequency converter not ready</v>
      </c>
      <c r="M1474" s="35" t="s">
        <v>295</v>
      </c>
      <c r="N1474" s="475"/>
      <c r="O1474" s="476">
        <v>0</v>
      </c>
      <c r="P1474" s="476">
        <v>0</v>
      </c>
      <c r="Q1474" s="477">
        <v>0.99930555555555556</v>
      </c>
      <c r="R1474" s="472">
        <f>IF(Table6[[#This Row],[Work Start TimeStamp]]="","",(Table6[[#This Row],[Work Start TimeStamp]]-Table6[[#This Row],[Fault Start TimeStamp]])*24)</f>
        <v>0</v>
      </c>
      <c r="S1474" s="472">
        <f>(Table6[[#This Row],[Fault Clearance time]]-Table6[[#This Row],[Work Start TimeStamp]])*24</f>
        <v>23.983333333333334</v>
      </c>
      <c r="T1474" s="472">
        <f>(Table6[[#This Row],[Fault Clearance time]]-Table6[[#This Row],[Fault Start TimeStamp]])*24</f>
        <v>23.983333333333334</v>
      </c>
      <c r="U1474" s="35" t="s">
        <v>2051</v>
      </c>
      <c r="V1474" s="102" t="s">
        <v>289</v>
      </c>
      <c r="W1474" s="549">
        <f>IFERROR(Table6[[#This Row],[Breakdown Time]]*Table6[[#This Row],[Plant Equivalent Weightage]],"")</f>
        <v>0.92243589743589716</v>
      </c>
      <c r="X1474" s="473" t="s">
        <v>290</v>
      </c>
      <c r="Y1474" s="474" t="s">
        <v>97</v>
      </c>
      <c r="Z1474" s="102">
        <v>38504</v>
      </c>
      <c r="AA1474" s="468">
        <f>(Table6[[#This Row],[Paired WTG Generation for loss calculation]]/24)*Table6[[#This Row],[Breakdown Time]]</f>
        <v>38477.261111111111</v>
      </c>
      <c r="AB1474" s="102"/>
      <c r="AC1474" s="35"/>
      <c r="AD1474" s="35"/>
    </row>
    <row r="1475" spans="1:30">
      <c r="A1475" s="102">
        <f t="shared" si="23"/>
        <v>1474</v>
      </c>
      <c r="B1475" s="468">
        <f>YEAR(Table6[[#This Row],[Date]])+IF(MONTH(Table6[[#This Row],[Date]])&gt;=4,1,0)</f>
        <v>2026</v>
      </c>
      <c r="C1475" s="102">
        <f>YEAR(Table6[[#This Row],[Date]])</f>
        <v>2025</v>
      </c>
      <c r="D1475" s="102" t="s">
        <v>1992</v>
      </c>
      <c r="E1475" s="469">
        <f>Table6[[#This Row],[Date]]-DAY(Table6[[#This Row],[Date]])+1</f>
        <v>45839</v>
      </c>
      <c r="F1475" s="470">
        <v>45846</v>
      </c>
      <c r="G1475" s="35" t="s">
        <v>78</v>
      </c>
      <c r="H1475" s="35" t="str">
        <f>IFERROR(_xlfn.XLOOKUP(Table6[[#This Row],[Affected WTG]],'Basic Data'!$A:$A,'Basic Data'!$B:$B),"")</f>
        <v>TQGXIIPL</v>
      </c>
      <c r="I1475" s="35" t="str">
        <f>IFERROR(_xlfn.XLOOKUP(Table6[[#This Row],[Affected WTG]],'Basic Data'!$A:$A,'Basic Data'!$C:$C),"")</f>
        <v>GEDA</v>
      </c>
      <c r="J1475" s="471">
        <f>IFERROR(_xlfn.XLOOKUP(Table6[[#This Row],[Affected WTG]],'Basic Data'!$A:$A,'Basic Data'!$E:$E),"")</f>
        <v>3.846153846153845E-2</v>
      </c>
      <c r="K1475" s="102">
        <v>6605</v>
      </c>
      <c r="L1475" s="35" t="str">
        <f>IFERROR(_xlfn.XLOOKUP(Table6[[#This Row],[Error Code]],'Basic Data'!$AA:$AA,'Basic Data'!$AB:$AB),"Incorrect Error Code")</f>
        <v>Wind.dir. diff. level 2</v>
      </c>
      <c r="M1475" s="35" t="s">
        <v>291</v>
      </c>
      <c r="N1475" s="475"/>
      <c r="O1475" s="476">
        <v>0.60347222222222219</v>
      </c>
      <c r="P1475" s="476">
        <v>0.60347222222222219</v>
      </c>
      <c r="Q1475" s="477">
        <v>0.60624999999999996</v>
      </c>
      <c r="R1475" s="472">
        <f>IF(Table6[[#This Row],[Work Start TimeStamp]]="","",(Table6[[#This Row],[Work Start TimeStamp]]-Table6[[#This Row],[Fault Start TimeStamp]])*24)</f>
        <v>0</v>
      </c>
      <c r="S1475" s="472">
        <f>(Table6[[#This Row],[Fault Clearance time]]-Table6[[#This Row],[Work Start TimeStamp]])*24</f>
        <v>6.666666666666643E-2</v>
      </c>
      <c r="T1475" s="472">
        <f>(Table6[[#This Row],[Fault Clearance time]]-Table6[[#This Row],[Fault Start TimeStamp]])*24</f>
        <v>6.666666666666643E-2</v>
      </c>
      <c r="U1475" s="35" t="s">
        <v>1924</v>
      </c>
      <c r="V1475" s="102" t="s">
        <v>293</v>
      </c>
      <c r="W1475" s="549">
        <f>IFERROR(Table6[[#This Row],[Breakdown Time]]*Table6[[#This Row],[Plant Equivalent Weightage]],"")</f>
        <v>2.5641025641025541E-3</v>
      </c>
      <c r="X1475" s="473" t="s">
        <v>294</v>
      </c>
      <c r="Y1475" s="474" t="s">
        <v>75</v>
      </c>
      <c r="Z1475" s="102">
        <v>25412</v>
      </c>
      <c r="AA1475" s="468">
        <f>(Table6[[#This Row],[Paired WTG Generation for loss calculation]]/24)*Table6[[#This Row],[Breakdown Time]]</f>
        <v>70.588888888888633</v>
      </c>
      <c r="AB1475" s="102"/>
      <c r="AC1475" s="35"/>
      <c r="AD1475" s="35"/>
    </row>
    <row r="1476" spans="1:30">
      <c r="A1476" s="102">
        <f t="shared" si="23"/>
        <v>1475</v>
      </c>
      <c r="B1476" s="468">
        <f>YEAR(Table6[[#This Row],[Date]])+IF(MONTH(Table6[[#This Row],[Date]])&gt;=4,1,0)</f>
        <v>2026</v>
      </c>
      <c r="C1476" s="102">
        <f>YEAR(Table6[[#This Row],[Date]])</f>
        <v>2025</v>
      </c>
      <c r="D1476" s="102" t="s">
        <v>1992</v>
      </c>
      <c r="E1476" s="469">
        <f>Table6[[#This Row],[Date]]-DAY(Table6[[#This Row],[Date]])+1</f>
        <v>45839</v>
      </c>
      <c r="F1476" s="470">
        <v>45846</v>
      </c>
      <c r="G1476" s="35" t="s">
        <v>78</v>
      </c>
      <c r="H1476" s="35" t="str">
        <f>IFERROR(_xlfn.XLOOKUP(Table6[[#This Row],[Affected WTG]],'Basic Data'!$A:$A,'Basic Data'!$B:$B),"")</f>
        <v>TQGXIIPL</v>
      </c>
      <c r="I1476" s="35" t="str">
        <f>IFERROR(_xlfn.XLOOKUP(Table6[[#This Row],[Affected WTG]],'Basic Data'!$A:$A,'Basic Data'!$C:$C),"")</f>
        <v>GEDA</v>
      </c>
      <c r="J1476" s="471">
        <f>IFERROR(_xlfn.XLOOKUP(Table6[[#This Row],[Affected WTG]],'Basic Data'!$A:$A,'Basic Data'!$E:$E),"")</f>
        <v>3.846153846153845E-2</v>
      </c>
      <c r="K1476" s="102">
        <v>6130</v>
      </c>
      <c r="L1476" s="35" t="str">
        <f>IFERROR(_xlfn.XLOOKUP(Table6[[#This Row],[Error Code]],'Basic Data'!$AA:$AA,'Basic Data'!$AB:$AB),"Incorrect Error Code")</f>
        <v>Yaw speed high</v>
      </c>
      <c r="M1476" s="35" t="s">
        <v>292</v>
      </c>
      <c r="N1476" s="475"/>
      <c r="O1476" s="476">
        <v>0.64930555555555558</v>
      </c>
      <c r="P1476" s="476">
        <v>0.64930555555555558</v>
      </c>
      <c r="Q1476" s="477">
        <v>0.65347222222222223</v>
      </c>
      <c r="R1476" s="472">
        <f>IF(Table6[[#This Row],[Work Start TimeStamp]]="","",(Table6[[#This Row],[Work Start TimeStamp]]-Table6[[#This Row],[Fault Start TimeStamp]])*24)</f>
        <v>0</v>
      </c>
      <c r="S1476" s="472">
        <f>(Table6[[#This Row],[Fault Clearance time]]-Table6[[#This Row],[Work Start TimeStamp]])*24</f>
        <v>9.9999999999999645E-2</v>
      </c>
      <c r="T1476" s="472">
        <f>(Table6[[#This Row],[Fault Clearance time]]-Table6[[#This Row],[Fault Start TimeStamp]])*24</f>
        <v>9.9999999999999645E-2</v>
      </c>
      <c r="U1476" s="35" t="s">
        <v>336</v>
      </c>
      <c r="V1476" s="102" t="s">
        <v>293</v>
      </c>
      <c r="W1476" s="549">
        <f>IFERROR(Table6[[#This Row],[Breakdown Time]]*Table6[[#This Row],[Plant Equivalent Weightage]],"")</f>
        <v>3.8461538461538312E-3</v>
      </c>
      <c r="X1476" s="473" t="s">
        <v>294</v>
      </c>
      <c r="Y1476" s="474" t="s">
        <v>75</v>
      </c>
      <c r="Z1476" s="102">
        <v>25412</v>
      </c>
      <c r="AA1476" s="468">
        <f>(Table6[[#This Row],[Paired WTG Generation for loss calculation]]/24)*Table6[[#This Row],[Breakdown Time]]</f>
        <v>105.88333333333296</v>
      </c>
      <c r="AB1476" s="102"/>
      <c r="AC1476" s="35"/>
      <c r="AD1476" s="35"/>
    </row>
    <row r="1477" spans="1:30">
      <c r="A1477" s="102">
        <f t="shared" si="23"/>
        <v>1476</v>
      </c>
      <c r="B1477" s="468">
        <f>YEAR(Table6[[#This Row],[Date]])+IF(MONTH(Table6[[#This Row],[Date]])&gt;=4,1,0)</f>
        <v>2026</v>
      </c>
      <c r="C1477" s="102">
        <f>YEAR(Table6[[#This Row],[Date]])</f>
        <v>2025</v>
      </c>
      <c r="D1477" s="102" t="s">
        <v>1992</v>
      </c>
      <c r="E1477" s="469">
        <f>Table6[[#This Row],[Date]]-DAY(Table6[[#This Row],[Date]])+1</f>
        <v>45839</v>
      </c>
      <c r="F1477" s="470">
        <v>45846</v>
      </c>
      <c r="G1477" s="35" t="s">
        <v>84</v>
      </c>
      <c r="H1477" s="35" t="str">
        <f>IFERROR(_xlfn.XLOOKUP(Table6[[#This Row],[Affected WTG]],'Basic Data'!$A:$A,'Basic Data'!$B:$B),"")</f>
        <v>TQGXIIPL</v>
      </c>
      <c r="I1477" s="35" t="str">
        <f>IFERROR(_xlfn.XLOOKUP(Table6[[#This Row],[Affected WTG]],'Basic Data'!$A:$A,'Basic Data'!$C:$C),"")</f>
        <v>GEDA</v>
      </c>
      <c r="J1477" s="471">
        <f>IFERROR(_xlfn.XLOOKUP(Table6[[#This Row],[Affected WTG]],'Basic Data'!$A:$A,'Basic Data'!$E:$E),"")</f>
        <v>3.846153846153845E-2</v>
      </c>
      <c r="K1477" s="102">
        <v>650</v>
      </c>
      <c r="L1477" s="35" t="str">
        <f>IFERROR(_xlfn.XLOOKUP(Table6[[#This Row],[Error Code]],'Basic Data'!$AA:$AA,'Basic Data'!$AB:$AB),"Incorrect Error Code")</f>
        <v>Pitch controller communication error</v>
      </c>
      <c r="M1477" s="35" t="s">
        <v>295</v>
      </c>
      <c r="N1477" s="475"/>
      <c r="O1477" s="476">
        <v>0</v>
      </c>
      <c r="P1477" s="476">
        <v>0</v>
      </c>
      <c r="Q1477" s="477">
        <v>0.16319444444444445</v>
      </c>
      <c r="R1477" s="472">
        <f>IF(Table6[[#This Row],[Work Start TimeStamp]]="","",(Table6[[#This Row],[Work Start TimeStamp]]-Table6[[#This Row],[Fault Start TimeStamp]])*24)</f>
        <v>0</v>
      </c>
      <c r="S1477" s="472">
        <f>(Table6[[#This Row],[Fault Clearance time]]-Table6[[#This Row],[Work Start TimeStamp]])*24</f>
        <v>3.916666666666667</v>
      </c>
      <c r="T1477" s="472">
        <f>(Table6[[#This Row],[Fault Clearance time]]-Table6[[#This Row],[Fault Start TimeStamp]])*24</f>
        <v>3.916666666666667</v>
      </c>
      <c r="U1477" s="35" t="s">
        <v>2070</v>
      </c>
      <c r="V1477" s="102" t="s">
        <v>293</v>
      </c>
      <c r="W1477" s="549">
        <f>IFERROR(Table6[[#This Row],[Breakdown Time]]*Table6[[#This Row],[Plant Equivalent Weightage]],"")</f>
        <v>0.15064102564102561</v>
      </c>
      <c r="X1477" s="473" t="s">
        <v>290</v>
      </c>
      <c r="Y1477" s="474" t="s">
        <v>86</v>
      </c>
      <c r="Z1477" s="102">
        <v>25805</v>
      </c>
      <c r="AA1477" s="468">
        <f>(Table6[[#This Row],[Paired WTG Generation for loss calculation]]/24)*Table6[[#This Row],[Breakdown Time]]</f>
        <v>4211.2326388888887</v>
      </c>
      <c r="AB1477" s="102"/>
      <c r="AC1477" s="35"/>
      <c r="AD1477" s="35"/>
    </row>
    <row r="1478" spans="1:30">
      <c r="A1478" s="102">
        <f t="shared" si="23"/>
        <v>1477</v>
      </c>
      <c r="B1478" s="468">
        <f>YEAR(Table6[[#This Row],[Date]])+IF(MONTH(Table6[[#This Row],[Date]])&gt;=4,1,0)</f>
        <v>2026</v>
      </c>
      <c r="C1478" s="102">
        <f>YEAR(Table6[[#This Row],[Date]])</f>
        <v>2025</v>
      </c>
      <c r="D1478" s="102" t="s">
        <v>1992</v>
      </c>
      <c r="E1478" s="469">
        <f>Table6[[#This Row],[Date]]-DAY(Table6[[#This Row],[Date]])+1</f>
        <v>45839</v>
      </c>
      <c r="F1478" s="470">
        <v>45846</v>
      </c>
      <c r="G1478" s="35" t="s">
        <v>85</v>
      </c>
      <c r="H1478" s="35" t="str">
        <f>IFERROR(_xlfn.XLOOKUP(Table6[[#This Row],[Affected WTG]],'Basic Data'!$A:$A,'Basic Data'!$B:$B),"")</f>
        <v>TQGXIIPL</v>
      </c>
      <c r="I1478" s="35" t="str">
        <f>IFERROR(_xlfn.XLOOKUP(Table6[[#This Row],[Affected WTG]],'Basic Data'!$A:$A,'Basic Data'!$C:$C),"")</f>
        <v>GEDA</v>
      </c>
      <c r="J1478" s="471">
        <f>IFERROR(_xlfn.XLOOKUP(Table6[[#This Row],[Affected WTG]],'Basic Data'!$A:$A,'Basic Data'!$E:$E),"")</f>
        <v>3.846153846153845E-2</v>
      </c>
      <c r="K1478" s="102">
        <v>6501</v>
      </c>
      <c r="L1478" s="35" t="str">
        <f>IFERROR(_xlfn.XLOOKUP(Table6[[#This Row],[Error Code]],'Basic Data'!$AA:$AA,'Basic Data'!$AB:$AB),"Incorrect Error Code")</f>
        <v>Wind.sp. diff. level 1</v>
      </c>
      <c r="M1478" s="35" t="s">
        <v>291</v>
      </c>
      <c r="N1478" s="475"/>
      <c r="O1478" s="476">
        <v>0.49236111111111114</v>
      </c>
      <c r="P1478" s="476">
        <v>0.49236111111111114</v>
      </c>
      <c r="Q1478" s="477">
        <v>0.50347222222222221</v>
      </c>
      <c r="R1478" s="472">
        <f>IF(Table6[[#This Row],[Work Start TimeStamp]]="","",(Table6[[#This Row],[Work Start TimeStamp]]-Table6[[#This Row],[Fault Start TimeStamp]])*24)</f>
        <v>0</v>
      </c>
      <c r="S1478" s="472">
        <f>(Table6[[#This Row],[Fault Clearance time]]-Table6[[#This Row],[Work Start TimeStamp]])*24</f>
        <v>0.26666666666666572</v>
      </c>
      <c r="T1478" s="472">
        <f>(Table6[[#This Row],[Fault Clearance time]]-Table6[[#This Row],[Fault Start TimeStamp]])*24</f>
        <v>0.26666666666666572</v>
      </c>
      <c r="U1478" s="35" t="s">
        <v>2041</v>
      </c>
      <c r="V1478" s="102" t="s">
        <v>293</v>
      </c>
      <c r="W1478" s="549">
        <f>IFERROR(Table6[[#This Row],[Breakdown Time]]*Table6[[#This Row],[Plant Equivalent Weightage]],"")</f>
        <v>1.0256410256410217E-2</v>
      </c>
      <c r="X1478" s="473" t="s">
        <v>294</v>
      </c>
      <c r="Y1478" s="474" t="s">
        <v>87</v>
      </c>
      <c r="Z1478" s="102">
        <v>22138</v>
      </c>
      <c r="AA1478" s="468">
        <f>(Table6[[#This Row],[Paired WTG Generation for loss calculation]]/24)*Table6[[#This Row],[Breakdown Time]]</f>
        <v>245.97777777777691</v>
      </c>
      <c r="AB1478" s="102"/>
      <c r="AC1478" s="35"/>
      <c r="AD1478" s="35"/>
    </row>
    <row r="1479" spans="1:30">
      <c r="A1479" s="102">
        <f t="shared" si="23"/>
        <v>1478</v>
      </c>
      <c r="B1479" s="468">
        <f>YEAR(Table6[[#This Row],[Date]])+IF(MONTH(Table6[[#This Row],[Date]])&gt;=4,1,0)</f>
        <v>2026</v>
      </c>
      <c r="C1479" s="102">
        <f>YEAR(Table6[[#This Row],[Date]])</f>
        <v>2025</v>
      </c>
      <c r="D1479" s="102" t="s">
        <v>1992</v>
      </c>
      <c r="E1479" s="469">
        <f>Table6[[#This Row],[Date]]-DAY(Table6[[#This Row],[Date]])+1</f>
        <v>45839</v>
      </c>
      <c r="F1479" s="470">
        <v>45846</v>
      </c>
      <c r="G1479" s="35" t="s">
        <v>89</v>
      </c>
      <c r="H1479" s="35" t="str">
        <f>IFERROR(_xlfn.XLOOKUP(Table6[[#This Row],[Affected WTG]],'Basic Data'!$A:$A,'Basic Data'!$B:$B),"")</f>
        <v>TQGXIIPL</v>
      </c>
      <c r="I1479" s="35" t="str">
        <f>IFERROR(_xlfn.XLOOKUP(Table6[[#This Row],[Affected WTG]],'Basic Data'!$A:$A,'Basic Data'!$C:$C),"")</f>
        <v>GEDA</v>
      </c>
      <c r="J1479" s="471">
        <f>IFERROR(_xlfn.XLOOKUP(Table6[[#This Row],[Affected WTG]],'Basic Data'!$A:$A,'Basic Data'!$E:$E),"")</f>
        <v>3.846153846153845E-2</v>
      </c>
      <c r="K1479" s="102">
        <v>7002</v>
      </c>
      <c r="L1479" s="35" t="str">
        <f>IFERROR(_xlfn.XLOOKUP(Table6[[#This Row],[Error Code]],'Basic Data'!$AA:$AA,'Basic Data'!$AB:$AB),"Incorrect Error Code")</f>
        <v>Task runtime failure 5ms</v>
      </c>
      <c r="M1479" s="35" t="s">
        <v>291</v>
      </c>
      <c r="N1479" s="475"/>
      <c r="O1479" s="476">
        <v>0.83333333333333337</v>
      </c>
      <c r="P1479" s="476">
        <v>0.83333333333333337</v>
      </c>
      <c r="Q1479" s="477">
        <v>0.8354166666666667</v>
      </c>
      <c r="R1479" s="472">
        <f>IF(Table6[[#This Row],[Work Start TimeStamp]]="","",(Table6[[#This Row],[Work Start TimeStamp]]-Table6[[#This Row],[Fault Start TimeStamp]])*24)</f>
        <v>0</v>
      </c>
      <c r="S1479" s="472">
        <f>(Table6[[#This Row],[Fault Clearance time]]-Table6[[#This Row],[Work Start TimeStamp]])*24</f>
        <v>4.9999999999999822E-2</v>
      </c>
      <c r="T1479" s="472">
        <f>(Table6[[#This Row],[Fault Clearance time]]-Table6[[#This Row],[Fault Start TimeStamp]])*24</f>
        <v>4.9999999999999822E-2</v>
      </c>
      <c r="U1479" s="35" t="s">
        <v>1924</v>
      </c>
      <c r="V1479" s="102" t="s">
        <v>293</v>
      </c>
      <c r="W1479" s="549">
        <f>IFERROR(Table6[[#This Row],[Breakdown Time]]*Table6[[#This Row],[Plant Equivalent Weightage]],"")</f>
        <v>1.9230769230769156E-3</v>
      </c>
      <c r="X1479" s="473" t="s">
        <v>294</v>
      </c>
      <c r="Y1479" s="474" t="s">
        <v>94</v>
      </c>
      <c r="Z1479" s="102">
        <v>28180</v>
      </c>
      <c r="AA1479" s="468">
        <f>(Table6[[#This Row],[Paired WTG Generation for loss calculation]]/24)*Table6[[#This Row],[Breakdown Time]]</f>
        <v>58.70833333333313</v>
      </c>
      <c r="AB1479" s="102"/>
      <c r="AC1479" s="35"/>
      <c r="AD1479" s="35"/>
    </row>
    <row r="1480" spans="1:30">
      <c r="A1480" s="102">
        <f t="shared" si="23"/>
        <v>1479</v>
      </c>
      <c r="B1480" s="468">
        <f>YEAR(Table6[[#This Row],[Date]])+IF(MONTH(Table6[[#This Row],[Date]])&gt;=4,1,0)</f>
        <v>2026</v>
      </c>
      <c r="C1480" s="102">
        <f>YEAR(Table6[[#This Row],[Date]])</f>
        <v>2025</v>
      </c>
      <c r="D1480" s="102" t="s">
        <v>1992</v>
      </c>
      <c r="E1480" s="469">
        <f>Table6[[#This Row],[Date]]-DAY(Table6[[#This Row],[Date]])+1</f>
        <v>45839</v>
      </c>
      <c r="F1480" s="470">
        <v>45846</v>
      </c>
      <c r="G1480" s="35" t="s">
        <v>91</v>
      </c>
      <c r="H1480" s="35" t="str">
        <f>IFERROR(_xlfn.XLOOKUP(Table6[[#This Row],[Affected WTG]],'Basic Data'!$A:$A,'Basic Data'!$B:$B),"")</f>
        <v>TQGXIIPL</v>
      </c>
      <c r="I1480" s="35" t="str">
        <f>IFERROR(_xlfn.XLOOKUP(Table6[[#This Row],[Affected WTG]],'Basic Data'!$A:$A,'Basic Data'!$C:$C),"")</f>
        <v>GEDA</v>
      </c>
      <c r="J1480" s="471">
        <f>IFERROR(_xlfn.XLOOKUP(Table6[[#This Row],[Affected WTG]],'Basic Data'!$A:$A,'Basic Data'!$E:$E),"")</f>
        <v>3.846153846153845E-2</v>
      </c>
      <c r="K1480" s="102">
        <v>55</v>
      </c>
      <c r="L1480" s="35" t="str">
        <f>IFERROR(_xlfn.XLOOKUP(Table6[[#This Row],[Error Code]],'Basic Data'!$AA:$AA,'Basic Data'!$AB:$AB),"Incorrect Error Code")</f>
        <v>WTG shut down</v>
      </c>
      <c r="M1480" s="35" t="s">
        <v>1956</v>
      </c>
      <c r="N1480" s="475"/>
      <c r="O1480" s="476">
        <v>0.59444444444444444</v>
      </c>
      <c r="P1480" s="476">
        <v>0.59444444444444444</v>
      </c>
      <c r="Q1480" s="477">
        <v>0.75</v>
      </c>
      <c r="R1480" s="472">
        <f>IF(Table6[[#This Row],[Work Start TimeStamp]]="","",(Table6[[#This Row],[Work Start TimeStamp]]-Table6[[#This Row],[Fault Start TimeStamp]])*24)</f>
        <v>0</v>
      </c>
      <c r="S1480" s="472">
        <f>(Table6[[#This Row],[Fault Clearance time]]-Table6[[#This Row],[Work Start TimeStamp]])*24</f>
        <v>3.7333333333333334</v>
      </c>
      <c r="T1480" s="472">
        <f>(Table6[[#This Row],[Fault Clearance time]]-Table6[[#This Row],[Fault Start TimeStamp]])*24</f>
        <v>3.7333333333333334</v>
      </c>
      <c r="U1480" s="35" t="s">
        <v>2071</v>
      </c>
      <c r="V1480" s="102" t="s">
        <v>293</v>
      </c>
      <c r="W1480" s="549">
        <f>IFERROR(Table6[[#This Row],[Breakdown Time]]*Table6[[#This Row],[Plant Equivalent Weightage]],"")</f>
        <v>0.14358974358974355</v>
      </c>
      <c r="X1480" s="473" t="s">
        <v>290</v>
      </c>
      <c r="Y1480" s="474" t="s">
        <v>79</v>
      </c>
      <c r="Z1480" s="102">
        <v>31743</v>
      </c>
      <c r="AA1480" s="468">
        <f>(Table6[[#This Row],[Paired WTG Generation for loss calculation]]/24)*Table6[[#This Row],[Breakdown Time]]</f>
        <v>4937.8</v>
      </c>
      <c r="AB1480" s="102"/>
      <c r="AC1480" s="35"/>
      <c r="AD1480" s="35"/>
    </row>
    <row r="1481" spans="1:30">
      <c r="A1481" s="102">
        <f t="shared" si="23"/>
        <v>1480</v>
      </c>
      <c r="B1481" s="468">
        <f>YEAR(Table6[[#This Row],[Date]])+IF(MONTH(Table6[[#This Row],[Date]])&gt;=4,1,0)</f>
        <v>2026</v>
      </c>
      <c r="C1481" s="102">
        <f>YEAR(Table6[[#This Row],[Date]])</f>
        <v>2025</v>
      </c>
      <c r="D1481" s="102" t="s">
        <v>1992</v>
      </c>
      <c r="E1481" s="469">
        <f>Table6[[#This Row],[Date]]-DAY(Table6[[#This Row],[Date]])+1</f>
        <v>45839</v>
      </c>
      <c r="F1481" s="470">
        <v>45846</v>
      </c>
      <c r="G1481" s="35" t="s">
        <v>91</v>
      </c>
      <c r="H1481" s="35" t="str">
        <f>IFERROR(_xlfn.XLOOKUP(Table6[[#This Row],[Affected WTG]],'Basic Data'!$A:$A,'Basic Data'!$B:$B),"")</f>
        <v>TQGXIIPL</v>
      </c>
      <c r="I1481" s="35" t="str">
        <f>IFERROR(_xlfn.XLOOKUP(Table6[[#This Row],[Affected WTG]],'Basic Data'!$A:$A,'Basic Data'!$C:$C),"")</f>
        <v>GEDA</v>
      </c>
      <c r="J1481" s="471">
        <f>IFERROR(_xlfn.XLOOKUP(Table6[[#This Row],[Affected WTG]],'Basic Data'!$A:$A,'Basic Data'!$E:$E),"")</f>
        <v>3.846153846153845E-2</v>
      </c>
      <c r="K1481" s="102">
        <v>55</v>
      </c>
      <c r="L1481" s="35" t="str">
        <f>IFERROR(_xlfn.XLOOKUP(Table6[[#This Row],[Error Code]],'Basic Data'!$AA:$AA,'Basic Data'!$AB:$AB),"Incorrect Error Code")</f>
        <v>WTG shut down</v>
      </c>
      <c r="M1481" s="35" t="s">
        <v>295</v>
      </c>
      <c r="N1481" s="475"/>
      <c r="O1481" s="476">
        <v>0.75</v>
      </c>
      <c r="P1481" s="476">
        <v>0.75</v>
      </c>
      <c r="Q1481" s="477">
        <v>0.97916666666666663</v>
      </c>
      <c r="R1481" s="472">
        <f>IF(Table6[[#This Row],[Work Start TimeStamp]]="","",(Table6[[#This Row],[Work Start TimeStamp]]-Table6[[#This Row],[Fault Start TimeStamp]])*24)</f>
        <v>0</v>
      </c>
      <c r="S1481" s="472">
        <f>(Table6[[#This Row],[Fault Clearance time]]-Table6[[#This Row],[Work Start TimeStamp]])*24</f>
        <v>5.4999999999999991</v>
      </c>
      <c r="T1481" s="472">
        <f>(Table6[[#This Row],[Fault Clearance time]]-Table6[[#This Row],[Fault Start TimeStamp]])*24</f>
        <v>5.4999999999999991</v>
      </c>
      <c r="U1481" s="35" t="s">
        <v>2071</v>
      </c>
      <c r="V1481" s="102" t="s">
        <v>293</v>
      </c>
      <c r="W1481" s="549">
        <f>IFERROR(Table6[[#This Row],[Breakdown Time]]*Table6[[#This Row],[Plant Equivalent Weightage]],"")</f>
        <v>0.21153846153846145</v>
      </c>
      <c r="X1481" s="473" t="s">
        <v>290</v>
      </c>
      <c r="Y1481" s="474" t="s">
        <v>79</v>
      </c>
      <c r="Z1481" s="102">
        <v>31743</v>
      </c>
      <c r="AA1481" s="468">
        <f>(Table6[[#This Row],[Paired WTG Generation for loss calculation]]/24)*Table6[[#This Row],[Breakdown Time]]</f>
        <v>7274.4374999999991</v>
      </c>
      <c r="AB1481" s="102"/>
      <c r="AC1481" s="35"/>
      <c r="AD1481" s="35"/>
    </row>
    <row r="1482" spans="1:30">
      <c r="A1482" s="102">
        <f t="shared" si="23"/>
        <v>1481</v>
      </c>
      <c r="B1482" s="468">
        <f>YEAR(Table6[[#This Row],[Date]])+IF(MONTH(Table6[[#This Row],[Date]])&gt;=4,1,0)</f>
        <v>2026</v>
      </c>
      <c r="C1482" s="102">
        <f>YEAR(Table6[[#This Row],[Date]])</f>
        <v>2025</v>
      </c>
      <c r="D1482" s="102" t="s">
        <v>1992</v>
      </c>
      <c r="E1482" s="469">
        <f>Table6[[#This Row],[Date]]-DAY(Table6[[#This Row],[Date]])+1</f>
        <v>45839</v>
      </c>
      <c r="F1482" s="470">
        <v>45846</v>
      </c>
      <c r="G1482" s="35" t="s">
        <v>93</v>
      </c>
      <c r="H1482" s="35" t="str">
        <f>IFERROR(_xlfn.XLOOKUP(Table6[[#This Row],[Affected WTG]],'Basic Data'!$A:$A,'Basic Data'!$B:$B),"")</f>
        <v>TQGXIIPL</v>
      </c>
      <c r="I1482" s="35" t="str">
        <f>IFERROR(_xlfn.XLOOKUP(Table6[[#This Row],[Affected WTG]],'Basic Data'!$A:$A,'Basic Data'!$C:$C),"")</f>
        <v>GEDA</v>
      </c>
      <c r="J1482" s="471">
        <f>IFERROR(_xlfn.XLOOKUP(Table6[[#This Row],[Affected WTG]],'Basic Data'!$A:$A,'Basic Data'!$E:$E),"")</f>
        <v>3.846153846153845E-2</v>
      </c>
      <c r="K1482" s="102">
        <v>3000</v>
      </c>
      <c r="L1482" s="35" t="str">
        <f>IFERROR(_xlfn.XLOOKUP(Table6[[#This Row],[Error Code]],'Basic Data'!$AA:$AA,'Basic Data'!$AB:$AB),"Incorrect Error Code")</f>
        <v>Frequency converter not ready</v>
      </c>
      <c r="M1482" s="35" t="s">
        <v>295</v>
      </c>
      <c r="N1482" s="475"/>
      <c r="O1482" s="476">
        <v>0</v>
      </c>
      <c r="P1482" s="476">
        <v>0.44513888888888886</v>
      </c>
      <c r="Q1482" s="477">
        <v>0.875</v>
      </c>
      <c r="R1482" s="472">
        <f>IF(Table6[[#This Row],[Work Start TimeStamp]]="","",(Table6[[#This Row],[Work Start TimeStamp]]-Table6[[#This Row],[Fault Start TimeStamp]])*24)</f>
        <v>10.683333333333334</v>
      </c>
      <c r="S1482" s="472">
        <f>(Table6[[#This Row],[Fault Clearance time]]-Table6[[#This Row],[Work Start TimeStamp]])*24</f>
        <v>10.316666666666666</v>
      </c>
      <c r="T1482" s="472">
        <f>(Table6[[#This Row],[Fault Clearance time]]-Table6[[#This Row],[Fault Start TimeStamp]])*24</f>
        <v>21</v>
      </c>
      <c r="U1482" s="35" t="s">
        <v>2072</v>
      </c>
      <c r="V1482" s="102" t="s">
        <v>293</v>
      </c>
      <c r="W1482" s="549">
        <f>IFERROR(Table6[[#This Row],[Breakdown Time]]*Table6[[#This Row],[Plant Equivalent Weightage]],"")</f>
        <v>0.80769230769230749</v>
      </c>
      <c r="X1482" s="473" t="s">
        <v>290</v>
      </c>
      <c r="Y1482" s="474" t="s">
        <v>97</v>
      </c>
      <c r="Z1482" s="102">
        <v>27774</v>
      </c>
      <c r="AA1482" s="468">
        <f>(Table6[[#This Row],[Paired WTG Generation for loss calculation]]/24)*Table6[[#This Row],[Breakdown Time]]</f>
        <v>24302.25</v>
      </c>
      <c r="AB1482" s="102"/>
      <c r="AC1482" s="35"/>
      <c r="AD1482" s="35"/>
    </row>
    <row r="1483" spans="1:30">
      <c r="A1483" s="102">
        <f t="shared" si="23"/>
        <v>1482</v>
      </c>
      <c r="B1483" s="468">
        <f>YEAR(Table6[[#This Row],[Date]])+IF(MONTH(Table6[[#This Row],[Date]])&gt;=4,1,0)</f>
        <v>2026</v>
      </c>
      <c r="C1483" s="102">
        <f>YEAR(Table6[[#This Row],[Date]])</f>
        <v>2025</v>
      </c>
      <c r="D1483" s="102" t="s">
        <v>1992</v>
      </c>
      <c r="E1483" s="469">
        <f>Table6[[#This Row],[Date]]-DAY(Table6[[#This Row],[Date]])+1</f>
        <v>45839</v>
      </c>
      <c r="F1483" s="470">
        <v>45846</v>
      </c>
      <c r="G1483" s="35" t="s">
        <v>93</v>
      </c>
      <c r="H1483" s="35" t="str">
        <f>IFERROR(_xlfn.XLOOKUP(Table6[[#This Row],[Affected WTG]],'Basic Data'!$A:$A,'Basic Data'!$B:$B),"")</f>
        <v>TQGXIIPL</v>
      </c>
      <c r="I1483" s="35" t="str">
        <f>IFERROR(_xlfn.XLOOKUP(Table6[[#This Row],[Affected WTG]],'Basic Data'!$A:$A,'Basic Data'!$C:$C),"")</f>
        <v>GEDA</v>
      </c>
      <c r="J1483" s="471">
        <f>IFERROR(_xlfn.XLOOKUP(Table6[[#This Row],[Affected WTG]],'Basic Data'!$A:$A,'Basic Data'!$E:$E),"")</f>
        <v>3.846153846153845E-2</v>
      </c>
      <c r="K1483" s="102">
        <v>3110</v>
      </c>
      <c r="L1483" s="35" t="str">
        <f>IFERROR(_xlfn.XLOOKUP(Table6[[#This Row],[Error Code]],'Basic Data'!$AA:$AA,'Basic Data'!$AB:$AB),"Incorrect Error Code")</f>
        <v>Frequency converter error</v>
      </c>
      <c r="M1483" s="35" t="s">
        <v>292</v>
      </c>
      <c r="N1483" s="475"/>
      <c r="O1483" s="476">
        <v>0.90625</v>
      </c>
      <c r="P1483" s="476">
        <v>0.90625</v>
      </c>
      <c r="Q1483" s="477">
        <v>0.90763888888888888</v>
      </c>
      <c r="R1483" s="472">
        <f>IF(Table6[[#This Row],[Work Start TimeStamp]]="","",(Table6[[#This Row],[Work Start TimeStamp]]-Table6[[#This Row],[Fault Start TimeStamp]])*24)</f>
        <v>0</v>
      </c>
      <c r="S1483" s="472">
        <f>(Table6[[#This Row],[Fault Clearance time]]-Table6[[#This Row],[Work Start TimeStamp]])*24</f>
        <v>3.3333333333333215E-2</v>
      </c>
      <c r="T1483" s="472">
        <f>(Table6[[#This Row],[Fault Clearance time]]-Table6[[#This Row],[Fault Start TimeStamp]])*24</f>
        <v>3.3333333333333215E-2</v>
      </c>
      <c r="U1483" s="35" t="s">
        <v>336</v>
      </c>
      <c r="V1483" s="102" t="s">
        <v>293</v>
      </c>
      <c r="W1483" s="549">
        <f>IFERROR(Table6[[#This Row],[Breakdown Time]]*Table6[[#This Row],[Plant Equivalent Weightage]],"")</f>
        <v>1.2820512820512771E-3</v>
      </c>
      <c r="X1483" s="473" t="s">
        <v>294</v>
      </c>
      <c r="Y1483" s="474" t="s">
        <v>97</v>
      </c>
      <c r="Z1483" s="102">
        <v>27774</v>
      </c>
      <c r="AA1483" s="468">
        <f>(Table6[[#This Row],[Paired WTG Generation for loss calculation]]/24)*Table6[[#This Row],[Breakdown Time]]</f>
        <v>38.574999999999861</v>
      </c>
      <c r="AB1483" s="102"/>
      <c r="AC1483" s="35"/>
      <c r="AD1483" s="35"/>
    </row>
    <row r="1484" spans="1:30">
      <c r="A1484" s="102">
        <f t="shared" si="23"/>
        <v>1483</v>
      </c>
      <c r="B1484" s="468">
        <f>YEAR(Table6[[#This Row],[Date]])+IF(MONTH(Table6[[#This Row],[Date]])&gt;=4,1,0)</f>
        <v>2026</v>
      </c>
      <c r="C1484" s="102">
        <f>YEAR(Table6[[#This Row],[Date]])</f>
        <v>2025</v>
      </c>
      <c r="D1484" s="102" t="s">
        <v>1992</v>
      </c>
      <c r="E1484" s="469">
        <f>Table6[[#This Row],[Date]]-DAY(Table6[[#This Row],[Date]])+1</f>
        <v>45839</v>
      </c>
      <c r="F1484" s="470">
        <v>45846</v>
      </c>
      <c r="G1484" s="35" t="s">
        <v>93</v>
      </c>
      <c r="H1484" s="35" t="str">
        <f>IFERROR(_xlfn.XLOOKUP(Table6[[#This Row],[Affected WTG]],'Basic Data'!$A:$A,'Basic Data'!$B:$B),"")</f>
        <v>TQGXIIPL</v>
      </c>
      <c r="I1484" s="35" t="str">
        <f>IFERROR(_xlfn.XLOOKUP(Table6[[#This Row],[Affected WTG]],'Basic Data'!$A:$A,'Basic Data'!$C:$C),"")</f>
        <v>GEDA</v>
      </c>
      <c r="J1484" s="471">
        <f>IFERROR(_xlfn.XLOOKUP(Table6[[#This Row],[Affected WTG]],'Basic Data'!$A:$A,'Basic Data'!$E:$E),"")</f>
        <v>3.846153846153845E-2</v>
      </c>
      <c r="K1484" s="102">
        <v>3110</v>
      </c>
      <c r="L1484" s="35" t="str">
        <f>IFERROR(_xlfn.XLOOKUP(Table6[[#This Row],[Error Code]],'Basic Data'!$AA:$AA,'Basic Data'!$AB:$AB),"Incorrect Error Code")</f>
        <v>Frequency converter error</v>
      </c>
      <c r="M1484" s="35" t="s">
        <v>291</v>
      </c>
      <c r="N1484" s="475"/>
      <c r="O1484" s="476">
        <v>0.9194444444444444</v>
      </c>
      <c r="P1484" s="476">
        <v>0.9194444444444444</v>
      </c>
      <c r="Q1484" s="477">
        <v>0.92361111111111116</v>
      </c>
      <c r="R1484" s="472">
        <f>IF(Table6[[#This Row],[Work Start TimeStamp]]="","",(Table6[[#This Row],[Work Start TimeStamp]]-Table6[[#This Row],[Fault Start TimeStamp]])*24)</f>
        <v>0</v>
      </c>
      <c r="S1484" s="472">
        <f>(Table6[[#This Row],[Fault Clearance time]]-Table6[[#This Row],[Work Start TimeStamp]])*24</f>
        <v>0.10000000000000231</v>
      </c>
      <c r="T1484" s="472">
        <f>(Table6[[#This Row],[Fault Clearance time]]-Table6[[#This Row],[Fault Start TimeStamp]])*24</f>
        <v>0.10000000000000231</v>
      </c>
      <c r="U1484" s="35" t="s">
        <v>1924</v>
      </c>
      <c r="V1484" s="102" t="s">
        <v>293</v>
      </c>
      <c r="W1484" s="549">
        <f>IFERROR(Table6[[#This Row],[Breakdown Time]]*Table6[[#This Row],[Plant Equivalent Weightage]],"")</f>
        <v>3.846153846153934E-3</v>
      </c>
      <c r="X1484" s="473" t="s">
        <v>294</v>
      </c>
      <c r="Y1484" s="474" t="s">
        <v>97</v>
      </c>
      <c r="Z1484" s="102">
        <v>27774</v>
      </c>
      <c r="AA1484" s="468">
        <f>(Table6[[#This Row],[Paired WTG Generation for loss calculation]]/24)*Table6[[#This Row],[Breakdown Time]]</f>
        <v>115.72500000000267</v>
      </c>
      <c r="AB1484" s="102"/>
      <c r="AC1484" s="35"/>
      <c r="AD1484" s="35"/>
    </row>
    <row r="1485" spans="1:30">
      <c r="A1485" s="102">
        <f t="shared" si="23"/>
        <v>1484</v>
      </c>
      <c r="B1485" s="468">
        <f>YEAR(Table6[[#This Row],[Date]])+IF(MONTH(Table6[[#This Row],[Date]])&gt;=4,1,0)</f>
        <v>2026</v>
      </c>
      <c r="C1485" s="102">
        <f>YEAR(Table6[[#This Row],[Date]])</f>
        <v>2025</v>
      </c>
      <c r="D1485" s="102" t="s">
        <v>1992</v>
      </c>
      <c r="E1485" s="469">
        <f>Table6[[#This Row],[Date]]-DAY(Table6[[#This Row],[Date]])+1</f>
        <v>45839</v>
      </c>
      <c r="F1485" s="470">
        <v>45847</v>
      </c>
      <c r="G1485" s="35" t="s">
        <v>78</v>
      </c>
      <c r="H1485" s="35" t="str">
        <f>IFERROR(_xlfn.XLOOKUP(Table6[[#This Row],[Affected WTG]],'Basic Data'!$A:$A,'Basic Data'!$B:$B),"")</f>
        <v>TQGXIIPL</v>
      </c>
      <c r="I1485" s="35" t="str">
        <f>IFERROR(_xlfn.XLOOKUP(Table6[[#This Row],[Affected WTG]],'Basic Data'!$A:$A,'Basic Data'!$C:$C),"")</f>
        <v>GEDA</v>
      </c>
      <c r="J1485" s="471">
        <f>IFERROR(_xlfn.XLOOKUP(Table6[[#This Row],[Affected WTG]],'Basic Data'!$A:$A,'Basic Data'!$E:$E),"")</f>
        <v>3.846153846153845E-2</v>
      </c>
      <c r="K1485" s="102">
        <v>6130</v>
      </c>
      <c r="L1485" s="35" t="str">
        <f>IFERROR(_xlfn.XLOOKUP(Table6[[#This Row],[Error Code]],'Basic Data'!$AA:$AA,'Basic Data'!$AB:$AB),"Incorrect Error Code")</f>
        <v>Yaw speed high</v>
      </c>
      <c r="M1485" s="35" t="s">
        <v>298</v>
      </c>
      <c r="N1485" s="475"/>
      <c r="O1485" s="476">
        <v>0.57986111111111116</v>
      </c>
      <c r="P1485" s="476">
        <v>0.57986111111111116</v>
      </c>
      <c r="Q1485" s="477">
        <v>0.6875</v>
      </c>
      <c r="R1485" s="472">
        <f>IF(Table6[[#This Row],[Work Start TimeStamp]]="","",(Table6[[#This Row],[Work Start TimeStamp]]-Table6[[#This Row],[Fault Start TimeStamp]])*24)</f>
        <v>0</v>
      </c>
      <c r="S1485" s="472">
        <f>(Table6[[#This Row],[Fault Clearance time]]-Table6[[#This Row],[Work Start TimeStamp]])*24</f>
        <v>2.5833333333333321</v>
      </c>
      <c r="T1485" s="472">
        <f>(Table6[[#This Row],[Fault Clearance time]]-Table6[[#This Row],[Fault Start TimeStamp]])*24</f>
        <v>2.5833333333333321</v>
      </c>
      <c r="U1485" s="35" t="s">
        <v>2040</v>
      </c>
      <c r="V1485" s="102" t="s">
        <v>293</v>
      </c>
      <c r="W1485" s="549">
        <f>IFERROR(Table6[[#This Row],[Breakdown Time]]*Table6[[#This Row],[Plant Equivalent Weightage]],"")</f>
        <v>9.9358974358974284E-2</v>
      </c>
      <c r="X1485" s="473" t="s">
        <v>294</v>
      </c>
      <c r="Y1485" s="474" t="s">
        <v>75</v>
      </c>
      <c r="Z1485" s="102">
        <v>28942</v>
      </c>
      <c r="AA1485" s="468">
        <f>(Table6[[#This Row],[Paired WTG Generation for loss calculation]]/24)*Table6[[#This Row],[Breakdown Time]]</f>
        <v>3115.2847222222208</v>
      </c>
      <c r="AB1485" s="102"/>
      <c r="AC1485" s="35"/>
      <c r="AD1485" s="35"/>
    </row>
    <row r="1486" spans="1:30">
      <c r="A1486" s="102">
        <f t="shared" si="23"/>
        <v>1485</v>
      </c>
      <c r="B1486" s="468">
        <f>YEAR(Table6[[#This Row],[Date]])+IF(MONTH(Table6[[#This Row],[Date]])&gt;=4,1,0)</f>
        <v>2026</v>
      </c>
      <c r="C1486" s="102">
        <f>YEAR(Table6[[#This Row],[Date]])</f>
        <v>2025</v>
      </c>
      <c r="D1486" s="102" t="s">
        <v>1992</v>
      </c>
      <c r="E1486" s="469">
        <f>Table6[[#This Row],[Date]]-DAY(Table6[[#This Row],[Date]])+1</f>
        <v>45839</v>
      </c>
      <c r="F1486" s="470">
        <v>45847</v>
      </c>
      <c r="G1486" s="35" t="s">
        <v>85</v>
      </c>
      <c r="H1486" s="35" t="str">
        <f>IFERROR(_xlfn.XLOOKUP(Table6[[#This Row],[Affected WTG]],'Basic Data'!$A:$A,'Basic Data'!$B:$B),"")</f>
        <v>TQGXIIPL</v>
      </c>
      <c r="I1486" s="35" t="str">
        <f>IFERROR(_xlfn.XLOOKUP(Table6[[#This Row],[Affected WTG]],'Basic Data'!$A:$A,'Basic Data'!$C:$C),"")</f>
        <v>GEDA</v>
      </c>
      <c r="J1486" s="471">
        <f>IFERROR(_xlfn.XLOOKUP(Table6[[#This Row],[Affected WTG]],'Basic Data'!$A:$A,'Basic Data'!$E:$E),"")</f>
        <v>3.846153846153845E-2</v>
      </c>
      <c r="K1486" s="102">
        <v>64</v>
      </c>
      <c r="L1486" s="35" t="str">
        <f>IFERROR(_xlfn.XLOOKUP(Table6[[#This Row],[Error Code]],'Basic Data'!$AA:$AA,'Basic Data'!$AB:$AB),"Incorrect Error Code")</f>
        <v>Max. wind speed</v>
      </c>
      <c r="M1486" s="35" t="s">
        <v>291</v>
      </c>
      <c r="N1486" s="475"/>
      <c r="O1486" s="476">
        <v>0.79513888888888884</v>
      </c>
      <c r="P1486" s="476">
        <v>0.79513888888888884</v>
      </c>
      <c r="Q1486" s="477">
        <v>0.80138888888888893</v>
      </c>
      <c r="R1486" s="472">
        <f>IF(Table6[[#This Row],[Work Start TimeStamp]]="","",(Table6[[#This Row],[Work Start TimeStamp]]-Table6[[#This Row],[Fault Start TimeStamp]])*24)</f>
        <v>0</v>
      </c>
      <c r="S1486" s="472">
        <f>(Table6[[#This Row],[Fault Clearance time]]-Table6[[#This Row],[Work Start TimeStamp]])*24</f>
        <v>0.15000000000000213</v>
      </c>
      <c r="T1486" s="472">
        <f>(Table6[[#This Row],[Fault Clearance time]]-Table6[[#This Row],[Fault Start TimeStamp]])*24</f>
        <v>0.15000000000000213</v>
      </c>
      <c r="U1486" s="35" t="s">
        <v>1924</v>
      </c>
      <c r="V1486" s="102" t="s">
        <v>293</v>
      </c>
      <c r="W1486" s="549">
        <f>IFERROR(Table6[[#This Row],[Breakdown Time]]*Table6[[#This Row],[Plant Equivalent Weightage]],"")</f>
        <v>5.7692307692308493E-3</v>
      </c>
      <c r="X1486" s="473" t="s">
        <v>294</v>
      </c>
      <c r="Y1486" s="474" t="s">
        <v>87</v>
      </c>
      <c r="Z1486" s="102">
        <v>31153</v>
      </c>
      <c r="AA1486" s="468">
        <f>(Table6[[#This Row],[Paired WTG Generation for loss calculation]]/24)*Table6[[#This Row],[Breakdown Time]]</f>
        <v>194.70625000000277</v>
      </c>
      <c r="AB1486" s="102"/>
      <c r="AC1486" s="35"/>
      <c r="AD1486" s="35"/>
    </row>
    <row r="1487" spans="1:30">
      <c r="A1487" s="102">
        <f t="shared" ref="A1487:A1542" si="24">A1486+1</f>
        <v>1486</v>
      </c>
      <c r="B1487" s="468">
        <f>YEAR(Table6[[#This Row],[Date]])+IF(MONTH(Table6[[#This Row],[Date]])&gt;=4,1,0)</f>
        <v>2026</v>
      </c>
      <c r="C1487" s="102">
        <f>YEAR(Table6[[#This Row],[Date]])</f>
        <v>2025</v>
      </c>
      <c r="D1487" s="102" t="s">
        <v>1992</v>
      </c>
      <c r="E1487" s="469">
        <f>Table6[[#This Row],[Date]]-DAY(Table6[[#This Row],[Date]])+1</f>
        <v>45839</v>
      </c>
      <c r="F1487" s="470">
        <v>45847</v>
      </c>
      <c r="G1487" s="35" t="s">
        <v>85</v>
      </c>
      <c r="H1487" s="35" t="str">
        <f>IFERROR(_xlfn.XLOOKUP(Table6[[#This Row],[Affected WTG]],'Basic Data'!$A:$A,'Basic Data'!$B:$B),"")</f>
        <v>TQGXIIPL</v>
      </c>
      <c r="I1487" s="35" t="str">
        <f>IFERROR(_xlfn.XLOOKUP(Table6[[#This Row],[Affected WTG]],'Basic Data'!$A:$A,'Basic Data'!$C:$C),"")</f>
        <v>GEDA</v>
      </c>
      <c r="J1487" s="471">
        <f>IFERROR(_xlfn.XLOOKUP(Table6[[#This Row],[Affected WTG]],'Basic Data'!$A:$A,'Basic Data'!$E:$E),"")</f>
        <v>3.846153846153845E-2</v>
      </c>
      <c r="K1487" s="102">
        <v>55</v>
      </c>
      <c r="L1487" s="35" t="str">
        <f>IFERROR(_xlfn.XLOOKUP(Table6[[#This Row],[Error Code]],'Basic Data'!$AA:$AA,'Basic Data'!$AB:$AB),"Incorrect Error Code")</f>
        <v>WTG shut down</v>
      </c>
      <c r="M1487" s="35" t="s">
        <v>291</v>
      </c>
      <c r="N1487" s="475"/>
      <c r="O1487" s="476">
        <v>0.92777777777777781</v>
      </c>
      <c r="P1487" s="476">
        <v>0.92777777777777781</v>
      </c>
      <c r="Q1487" s="477">
        <v>1</v>
      </c>
      <c r="R1487" s="472">
        <f>IF(Table6[[#This Row],[Work Start TimeStamp]]="","",(Table6[[#This Row],[Work Start TimeStamp]]-Table6[[#This Row],[Fault Start TimeStamp]])*24)</f>
        <v>0</v>
      </c>
      <c r="S1487" s="472">
        <f>(Table6[[#This Row],[Fault Clearance time]]-Table6[[#This Row],[Work Start TimeStamp]])*24</f>
        <v>1.7333333333333325</v>
      </c>
      <c r="T1487" s="472">
        <f>(Table6[[#This Row],[Fault Clearance time]]-Table6[[#This Row],[Fault Start TimeStamp]])*24</f>
        <v>1.7333333333333325</v>
      </c>
      <c r="U1487" s="35" t="s">
        <v>2073</v>
      </c>
      <c r="V1487" s="102" t="s">
        <v>289</v>
      </c>
      <c r="W1487" s="549">
        <f>IFERROR(Table6[[#This Row],[Breakdown Time]]*Table6[[#This Row],[Plant Equivalent Weightage]],"")</f>
        <v>6.666666666666661E-2</v>
      </c>
      <c r="X1487" s="473" t="s">
        <v>290</v>
      </c>
      <c r="Y1487" s="474" t="s">
        <v>87</v>
      </c>
      <c r="Z1487" s="102">
        <v>31153</v>
      </c>
      <c r="AA1487" s="468">
        <f>(Table6[[#This Row],[Paired WTG Generation for loss calculation]]/24)*Table6[[#This Row],[Breakdown Time]]</f>
        <v>2249.938888888888</v>
      </c>
      <c r="AB1487" s="102"/>
      <c r="AC1487" s="35"/>
      <c r="AD1487" s="35"/>
    </row>
    <row r="1488" spans="1:30">
      <c r="A1488" s="102">
        <f t="shared" si="24"/>
        <v>1487</v>
      </c>
      <c r="B1488" s="468">
        <f>YEAR(Table6[[#This Row],[Date]])+IF(MONTH(Table6[[#This Row],[Date]])&gt;=4,1,0)</f>
        <v>2026</v>
      </c>
      <c r="C1488" s="102">
        <f>YEAR(Table6[[#This Row],[Date]])</f>
        <v>2025</v>
      </c>
      <c r="D1488" s="102" t="s">
        <v>1992</v>
      </c>
      <c r="E1488" s="469">
        <f>Table6[[#This Row],[Date]]-DAY(Table6[[#This Row],[Date]])+1</f>
        <v>45839</v>
      </c>
      <c r="F1488" s="470">
        <v>45847</v>
      </c>
      <c r="G1488" s="35" t="s">
        <v>91</v>
      </c>
      <c r="H1488" s="35" t="str">
        <f>IFERROR(_xlfn.XLOOKUP(Table6[[#This Row],[Affected WTG]],'Basic Data'!$A:$A,'Basic Data'!$B:$B),"")</f>
        <v>TQGXIIPL</v>
      </c>
      <c r="I1488" s="35" t="str">
        <f>IFERROR(_xlfn.XLOOKUP(Table6[[#This Row],[Affected WTG]],'Basic Data'!$A:$A,'Basic Data'!$C:$C),"")</f>
        <v>GEDA</v>
      </c>
      <c r="J1488" s="471">
        <f>IFERROR(_xlfn.XLOOKUP(Table6[[#This Row],[Affected WTG]],'Basic Data'!$A:$A,'Basic Data'!$E:$E),"")</f>
        <v>3.846153846153845E-2</v>
      </c>
      <c r="K1488" s="102">
        <v>55</v>
      </c>
      <c r="L1488" s="35" t="str">
        <f>IFERROR(_xlfn.XLOOKUP(Table6[[#This Row],[Error Code]],'Basic Data'!$AA:$AA,'Basic Data'!$AB:$AB),"Incorrect Error Code")</f>
        <v>WTG shut down</v>
      </c>
      <c r="M1488" s="35" t="s">
        <v>288</v>
      </c>
      <c r="N1488" s="475"/>
      <c r="O1488" s="476">
        <v>0.625</v>
      </c>
      <c r="P1488" s="476">
        <v>0.625</v>
      </c>
      <c r="Q1488" s="477">
        <v>0.64513888888888893</v>
      </c>
      <c r="R1488" s="472">
        <f>IF(Table6[[#This Row],[Work Start TimeStamp]]="","",(Table6[[#This Row],[Work Start TimeStamp]]-Table6[[#This Row],[Fault Start TimeStamp]])*24)</f>
        <v>0</v>
      </c>
      <c r="S1488" s="472">
        <f>(Table6[[#This Row],[Fault Clearance time]]-Table6[[#This Row],[Work Start TimeStamp]])*24</f>
        <v>0.48333333333333428</v>
      </c>
      <c r="T1488" s="472">
        <f>(Table6[[#This Row],[Fault Clearance time]]-Table6[[#This Row],[Fault Start TimeStamp]])*24</f>
        <v>0.48333333333333428</v>
      </c>
      <c r="U1488" s="35" t="s">
        <v>2071</v>
      </c>
      <c r="V1488" s="102" t="s">
        <v>293</v>
      </c>
      <c r="W1488" s="549">
        <f>IFERROR(Table6[[#This Row],[Breakdown Time]]*Table6[[#This Row],[Plant Equivalent Weightage]],"")</f>
        <v>1.8589743589743621E-2</v>
      </c>
      <c r="X1488" s="473" t="s">
        <v>290</v>
      </c>
      <c r="Y1488" s="474" t="s">
        <v>79</v>
      </c>
      <c r="Z1488" s="102">
        <v>32672</v>
      </c>
      <c r="AA1488" s="468">
        <f>(Table6[[#This Row],[Paired WTG Generation for loss calculation]]/24)*Table6[[#This Row],[Breakdown Time]]</f>
        <v>657.97777777777901</v>
      </c>
      <c r="AB1488" s="102"/>
      <c r="AC1488" s="35"/>
      <c r="AD1488" s="35"/>
    </row>
    <row r="1489" spans="1:30">
      <c r="A1489" s="102">
        <f t="shared" si="24"/>
        <v>1488</v>
      </c>
      <c r="B1489" s="468">
        <f>YEAR(Table6[[#This Row],[Date]])+IF(MONTH(Table6[[#This Row],[Date]])&gt;=4,1,0)</f>
        <v>2026</v>
      </c>
      <c r="C1489" s="102">
        <f>YEAR(Table6[[#This Row],[Date]])</f>
        <v>2025</v>
      </c>
      <c r="D1489" s="102" t="s">
        <v>1992</v>
      </c>
      <c r="E1489" s="469">
        <f>Table6[[#This Row],[Date]]-DAY(Table6[[#This Row],[Date]])+1</f>
        <v>45839</v>
      </c>
      <c r="F1489" s="470">
        <v>45847</v>
      </c>
      <c r="G1489" s="35" t="s">
        <v>93</v>
      </c>
      <c r="H1489" s="35" t="str">
        <f>IFERROR(_xlfn.XLOOKUP(Table6[[#This Row],[Affected WTG]],'Basic Data'!$A:$A,'Basic Data'!$B:$B),"")</f>
        <v>TQGXIIPL</v>
      </c>
      <c r="I1489" s="35" t="str">
        <f>IFERROR(_xlfn.XLOOKUP(Table6[[#This Row],[Affected WTG]],'Basic Data'!$A:$A,'Basic Data'!$C:$C),"")</f>
        <v>GEDA</v>
      </c>
      <c r="J1489" s="471">
        <f>IFERROR(_xlfn.XLOOKUP(Table6[[#This Row],[Affected WTG]],'Basic Data'!$A:$A,'Basic Data'!$E:$E),"")</f>
        <v>3.846153846153845E-2</v>
      </c>
      <c r="K1489" s="102">
        <v>3110</v>
      </c>
      <c r="L1489" s="35" t="str">
        <f>IFERROR(_xlfn.XLOOKUP(Table6[[#This Row],[Error Code]],'Basic Data'!$AA:$AA,'Basic Data'!$AB:$AB),"Incorrect Error Code")</f>
        <v>Frequency converter error</v>
      </c>
      <c r="M1489" s="35" t="s">
        <v>291</v>
      </c>
      <c r="N1489" s="475"/>
      <c r="O1489" s="476">
        <v>0.67083333333333328</v>
      </c>
      <c r="P1489" s="476">
        <v>0.67083333333333328</v>
      </c>
      <c r="Q1489" s="477">
        <v>0.68125000000000002</v>
      </c>
      <c r="R1489" s="472">
        <f>IF(Table6[[#This Row],[Work Start TimeStamp]]="","",(Table6[[#This Row],[Work Start TimeStamp]]-Table6[[#This Row],[Fault Start TimeStamp]])*24)</f>
        <v>0</v>
      </c>
      <c r="S1489" s="472">
        <f>(Table6[[#This Row],[Fault Clearance time]]-Table6[[#This Row],[Work Start TimeStamp]])*24</f>
        <v>0.25000000000000178</v>
      </c>
      <c r="T1489" s="472">
        <f>(Table6[[#This Row],[Fault Clearance time]]-Table6[[#This Row],[Fault Start TimeStamp]])*24</f>
        <v>0.25000000000000178</v>
      </c>
      <c r="U1489" s="35" t="s">
        <v>2041</v>
      </c>
      <c r="V1489" s="102" t="s">
        <v>293</v>
      </c>
      <c r="W1489" s="549">
        <f>IFERROR(Table6[[#This Row],[Breakdown Time]]*Table6[[#This Row],[Plant Equivalent Weightage]],"")</f>
        <v>9.6153846153846801E-3</v>
      </c>
      <c r="X1489" s="473" t="s">
        <v>294</v>
      </c>
      <c r="Y1489" s="474" t="s">
        <v>97</v>
      </c>
      <c r="Z1489" s="102">
        <v>33552</v>
      </c>
      <c r="AA1489" s="468">
        <f>(Table6[[#This Row],[Paired WTG Generation for loss calculation]]/24)*Table6[[#This Row],[Breakdown Time]]</f>
        <v>349.5000000000025</v>
      </c>
      <c r="AB1489" s="102"/>
      <c r="AC1489" s="35"/>
      <c r="AD1489" s="35"/>
    </row>
    <row r="1490" spans="1:30">
      <c r="A1490" s="102">
        <f t="shared" si="24"/>
        <v>1489</v>
      </c>
      <c r="B1490" s="468">
        <f>YEAR(Table6[[#This Row],[Date]])+IF(MONTH(Table6[[#This Row],[Date]])&gt;=4,1,0)</f>
        <v>2026</v>
      </c>
      <c r="C1490" s="102">
        <f>YEAR(Table6[[#This Row],[Date]])</f>
        <v>2025</v>
      </c>
      <c r="D1490" s="102" t="s">
        <v>1992</v>
      </c>
      <c r="E1490" s="469">
        <f>Table6[[#This Row],[Date]]-DAY(Table6[[#This Row],[Date]])+1</f>
        <v>45839</v>
      </c>
      <c r="F1490" s="470">
        <v>45847</v>
      </c>
      <c r="G1490" s="35" t="s">
        <v>94</v>
      </c>
      <c r="H1490" s="35" t="str">
        <f>IFERROR(_xlfn.XLOOKUP(Table6[[#This Row],[Affected WTG]],'Basic Data'!$A:$A,'Basic Data'!$B:$B),"")</f>
        <v>TQGXIIPL</v>
      </c>
      <c r="I1490" s="35" t="str">
        <f>IFERROR(_xlfn.XLOOKUP(Table6[[#This Row],[Affected WTG]],'Basic Data'!$A:$A,'Basic Data'!$C:$C),"")</f>
        <v>GEDA</v>
      </c>
      <c r="J1490" s="471">
        <f>IFERROR(_xlfn.XLOOKUP(Table6[[#This Row],[Affected WTG]],'Basic Data'!$A:$A,'Basic Data'!$E:$E),"")</f>
        <v>3.846153846153845E-2</v>
      </c>
      <c r="K1490" s="102">
        <v>6130</v>
      </c>
      <c r="L1490" s="35" t="str">
        <f>IFERROR(_xlfn.XLOOKUP(Table6[[#This Row],[Error Code]],'Basic Data'!$AA:$AA,'Basic Data'!$AB:$AB),"Incorrect Error Code")</f>
        <v>Yaw speed high</v>
      </c>
      <c r="M1490" s="35" t="s">
        <v>292</v>
      </c>
      <c r="N1490" s="475"/>
      <c r="O1490" s="476">
        <v>0.84722222222222221</v>
      </c>
      <c r="P1490" s="476">
        <v>0.84722222222222221</v>
      </c>
      <c r="Q1490" s="477">
        <v>0.85138888888888886</v>
      </c>
      <c r="R1490" s="472">
        <f>IF(Table6[[#This Row],[Work Start TimeStamp]]="","",(Table6[[#This Row],[Work Start TimeStamp]]-Table6[[#This Row],[Fault Start TimeStamp]])*24)</f>
        <v>0</v>
      </c>
      <c r="S1490" s="472">
        <f>(Table6[[#This Row],[Fault Clearance time]]-Table6[[#This Row],[Work Start TimeStamp]])*24</f>
        <v>9.9999999999999645E-2</v>
      </c>
      <c r="T1490" s="472">
        <f>(Table6[[#This Row],[Fault Clearance time]]-Table6[[#This Row],[Fault Start TimeStamp]])*24</f>
        <v>9.9999999999999645E-2</v>
      </c>
      <c r="U1490" s="35" t="s">
        <v>336</v>
      </c>
      <c r="V1490" s="102" t="s">
        <v>293</v>
      </c>
      <c r="W1490" s="549">
        <f>IFERROR(Table6[[#This Row],[Breakdown Time]]*Table6[[#This Row],[Plant Equivalent Weightage]],"")</f>
        <v>3.8461538461538312E-3</v>
      </c>
      <c r="X1490" s="473" t="s">
        <v>294</v>
      </c>
      <c r="Y1490" s="474" t="s">
        <v>79</v>
      </c>
      <c r="Z1490" s="102">
        <v>32672</v>
      </c>
      <c r="AA1490" s="468">
        <f>(Table6[[#This Row],[Paired WTG Generation for loss calculation]]/24)*Table6[[#This Row],[Breakdown Time]]</f>
        <v>136.13333333333284</v>
      </c>
      <c r="AB1490" s="102"/>
      <c r="AC1490" s="35"/>
      <c r="AD1490" s="35"/>
    </row>
    <row r="1491" spans="1:30">
      <c r="A1491" s="102">
        <f t="shared" si="24"/>
        <v>1490</v>
      </c>
      <c r="B1491" s="468">
        <f>YEAR(Table6[[#This Row],[Date]])+IF(MONTH(Table6[[#This Row],[Date]])&gt;=4,1,0)</f>
        <v>2026</v>
      </c>
      <c r="C1491" s="102">
        <f>YEAR(Table6[[#This Row],[Date]])</f>
        <v>2025</v>
      </c>
      <c r="D1491" s="102" t="s">
        <v>1992</v>
      </c>
      <c r="E1491" s="469">
        <f>Table6[[#This Row],[Date]]-DAY(Table6[[#This Row],[Date]])+1</f>
        <v>45839</v>
      </c>
      <c r="F1491" s="470">
        <v>45847</v>
      </c>
      <c r="G1491" s="35" t="s">
        <v>94</v>
      </c>
      <c r="H1491" s="35" t="str">
        <f>IFERROR(_xlfn.XLOOKUP(Table6[[#This Row],[Affected WTG]],'Basic Data'!$A:$A,'Basic Data'!$B:$B),"")</f>
        <v>TQGXIIPL</v>
      </c>
      <c r="I1491" s="35" t="str">
        <f>IFERROR(_xlfn.XLOOKUP(Table6[[#This Row],[Affected WTG]],'Basic Data'!$A:$A,'Basic Data'!$C:$C),"")</f>
        <v>GEDA</v>
      </c>
      <c r="J1491" s="471">
        <f>IFERROR(_xlfn.XLOOKUP(Table6[[#This Row],[Affected WTG]],'Basic Data'!$A:$A,'Basic Data'!$E:$E),"")</f>
        <v>3.846153846153845E-2</v>
      </c>
      <c r="K1491" s="102">
        <v>4970</v>
      </c>
      <c r="L1491" s="35" t="str">
        <f>IFERROR(_xlfn.XLOOKUP(Table6[[#This Row],[Error Code]],'Basic Data'!$AA:$AA,'Basic Data'!$AB:$AB),"Incorrect Error Code")</f>
        <v>Tower oscillation XF</v>
      </c>
      <c r="M1491" s="35" t="s">
        <v>291</v>
      </c>
      <c r="N1491" s="475"/>
      <c r="O1491" s="476">
        <v>0.98124999999999996</v>
      </c>
      <c r="P1491" s="476">
        <v>0.98124999999999996</v>
      </c>
      <c r="Q1491" s="477">
        <v>0.98888888888888893</v>
      </c>
      <c r="R1491" s="472">
        <f>IF(Table6[[#This Row],[Work Start TimeStamp]]="","",(Table6[[#This Row],[Work Start TimeStamp]]-Table6[[#This Row],[Fault Start TimeStamp]])*24)</f>
        <v>0</v>
      </c>
      <c r="S1491" s="472">
        <f>(Table6[[#This Row],[Fault Clearance time]]-Table6[[#This Row],[Work Start TimeStamp]])*24</f>
        <v>0.18333333333333535</v>
      </c>
      <c r="T1491" s="472">
        <f>(Table6[[#This Row],[Fault Clearance time]]-Table6[[#This Row],[Fault Start TimeStamp]])*24</f>
        <v>0.18333333333333535</v>
      </c>
      <c r="U1491" s="35" t="s">
        <v>1924</v>
      </c>
      <c r="V1491" s="102" t="s">
        <v>293</v>
      </c>
      <c r="W1491" s="549">
        <f>IFERROR(Table6[[#This Row],[Breakdown Time]]*Table6[[#This Row],[Plant Equivalent Weightage]],"")</f>
        <v>7.0512820512821268E-3</v>
      </c>
      <c r="X1491" s="473" t="s">
        <v>294</v>
      </c>
      <c r="Y1491" s="474" t="s">
        <v>79</v>
      </c>
      <c r="Z1491" s="102">
        <v>32672</v>
      </c>
      <c r="AA1491" s="468">
        <f>(Table6[[#This Row],[Paired WTG Generation for loss calculation]]/24)*Table6[[#This Row],[Breakdown Time]]</f>
        <v>249.57777777778051</v>
      </c>
      <c r="AB1491" s="102"/>
      <c r="AC1491" s="35"/>
      <c r="AD1491" s="35"/>
    </row>
    <row r="1492" spans="1:30">
      <c r="A1492" s="102">
        <f t="shared" si="24"/>
        <v>1491</v>
      </c>
      <c r="B1492" s="468">
        <f>YEAR(Table6[[#This Row],[Date]])+IF(MONTH(Table6[[#This Row],[Date]])&gt;=4,1,0)</f>
        <v>2026</v>
      </c>
      <c r="C1492" s="102">
        <f>YEAR(Table6[[#This Row],[Date]])</f>
        <v>2025</v>
      </c>
      <c r="D1492" s="102" t="s">
        <v>1992</v>
      </c>
      <c r="E1492" s="469">
        <f>Table6[[#This Row],[Date]]-DAY(Table6[[#This Row],[Date]])+1</f>
        <v>45839</v>
      </c>
      <c r="F1492" s="470">
        <v>45847</v>
      </c>
      <c r="G1492" s="35" t="s">
        <v>96</v>
      </c>
      <c r="H1492" s="35" t="str">
        <f>IFERROR(_xlfn.XLOOKUP(Table6[[#This Row],[Affected WTG]],'Basic Data'!$A:$A,'Basic Data'!$B:$B),"")</f>
        <v>TQGXIIPL</v>
      </c>
      <c r="I1492" s="35" t="str">
        <f>IFERROR(_xlfn.XLOOKUP(Table6[[#This Row],[Affected WTG]],'Basic Data'!$A:$A,'Basic Data'!$C:$C),"")</f>
        <v>GEDA</v>
      </c>
      <c r="J1492" s="471">
        <f>IFERROR(_xlfn.XLOOKUP(Table6[[#This Row],[Affected WTG]],'Basic Data'!$A:$A,'Basic Data'!$E:$E),"")</f>
        <v>3.846153846153845E-2</v>
      </c>
      <c r="K1492" s="102">
        <v>6130</v>
      </c>
      <c r="L1492" s="35" t="str">
        <f>IFERROR(_xlfn.XLOOKUP(Table6[[#This Row],[Error Code]],'Basic Data'!$AA:$AA,'Basic Data'!$AB:$AB),"Incorrect Error Code")</f>
        <v>Yaw speed high</v>
      </c>
      <c r="M1492" s="35" t="s">
        <v>292</v>
      </c>
      <c r="N1492" s="475"/>
      <c r="O1492" s="476">
        <v>0.79305555555555551</v>
      </c>
      <c r="P1492" s="476">
        <v>0.79305555555555551</v>
      </c>
      <c r="Q1492" s="477">
        <v>0.79722222222222228</v>
      </c>
      <c r="R1492" s="472">
        <f>IF(Table6[[#This Row],[Work Start TimeStamp]]="","",(Table6[[#This Row],[Work Start TimeStamp]]-Table6[[#This Row],[Fault Start TimeStamp]])*24)</f>
        <v>0</v>
      </c>
      <c r="S1492" s="472">
        <f>(Table6[[#This Row],[Fault Clearance time]]-Table6[[#This Row],[Work Start TimeStamp]])*24</f>
        <v>0.10000000000000231</v>
      </c>
      <c r="T1492" s="472">
        <f>(Table6[[#This Row],[Fault Clearance time]]-Table6[[#This Row],[Fault Start TimeStamp]])*24</f>
        <v>0.10000000000000231</v>
      </c>
      <c r="U1492" s="35" t="s">
        <v>336</v>
      </c>
      <c r="V1492" s="102" t="s">
        <v>293</v>
      </c>
      <c r="W1492" s="549">
        <f>IFERROR(Table6[[#This Row],[Breakdown Time]]*Table6[[#This Row],[Plant Equivalent Weightage]],"")</f>
        <v>3.846153846153934E-3</v>
      </c>
      <c r="X1492" s="473" t="s">
        <v>294</v>
      </c>
      <c r="Y1492" s="474" t="s">
        <v>84</v>
      </c>
      <c r="Z1492" s="102">
        <v>30700</v>
      </c>
      <c r="AA1492" s="468">
        <f>(Table6[[#This Row],[Paired WTG Generation for loss calculation]]/24)*Table6[[#This Row],[Breakdown Time]]</f>
        <v>127.91666666666963</v>
      </c>
      <c r="AB1492" s="102"/>
      <c r="AC1492" s="35"/>
      <c r="AD1492" s="35"/>
    </row>
    <row r="1493" spans="1:30">
      <c r="A1493" s="102">
        <f t="shared" si="24"/>
        <v>1492</v>
      </c>
      <c r="B1493" s="468">
        <f>YEAR(Table6[[#This Row],[Date]])+IF(MONTH(Table6[[#This Row],[Date]])&gt;=4,1,0)</f>
        <v>2026</v>
      </c>
      <c r="C1493" s="102">
        <f>YEAR(Table6[[#This Row],[Date]])</f>
        <v>2025</v>
      </c>
      <c r="D1493" s="102" t="s">
        <v>1992</v>
      </c>
      <c r="E1493" s="469">
        <f>Table6[[#This Row],[Date]]-DAY(Table6[[#This Row],[Date]])+1</f>
        <v>45839</v>
      </c>
      <c r="F1493" s="470">
        <v>45847</v>
      </c>
      <c r="G1493" s="35" t="s">
        <v>96</v>
      </c>
      <c r="H1493" s="35" t="str">
        <f>IFERROR(_xlfn.XLOOKUP(Table6[[#This Row],[Affected WTG]],'Basic Data'!$A:$A,'Basic Data'!$B:$B),"")</f>
        <v>TQGXIIPL</v>
      </c>
      <c r="I1493" s="35" t="str">
        <f>IFERROR(_xlfn.XLOOKUP(Table6[[#This Row],[Affected WTG]],'Basic Data'!$A:$A,'Basic Data'!$C:$C),"")</f>
        <v>GEDA</v>
      </c>
      <c r="J1493" s="471">
        <f>IFERROR(_xlfn.XLOOKUP(Table6[[#This Row],[Affected WTG]],'Basic Data'!$A:$A,'Basic Data'!$E:$E),"")</f>
        <v>3.846153846153845E-2</v>
      </c>
      <c r="K1493" s="102">
        <v>6130</v>
      </c>
      <c r="L1493" s="35" t="str">
        <f>IFERROR(_xlfn.XLOOKUP(Table6[[#This Row],[Error Code]],'Basic Data'!$AA:$AA,'Basic Data'!$AB:$AB),"Incorrect Error Code")</f>
        <v>Yaw speed high</v>
      </c>
      <c r="M1493" s="35" t="s">
        <v>291</v>
      </c>
      <c r="N1493" s="475"/>
      <c r="O1493" s="476">
        <v>0.8520833333333333</v>
      </c>
      <c r="P1493" s="476">
        <v>0.8520833333333333</v>
      </c>
      <c r="Q1493" s="477">
        <v>0.85763888888888884</v>
      </c>
      <c r="R1493" s="472">
        <f>IF(Table6[[#This Row],[Work Start TimeStamp]]="","",(Table6[[#This Row],[Work Start TimeStamp]]-Table6[[#This Row],[Fault Start TimeStamp]])*24)</f>
        <v>0</v>
      </c>
      <c r="S1493" s="472">
        <f>(Table6[[#This Row],[Fault Clearance time]]-Table6[[#This Row],[Work Start TimeStamp]])*24</f>
        <v>0.13333333333333286</v>
      </c>
      <c r="T1493" s="472">
        <f>(Table6[[#This Row],[Fault Clearance time]]-Table6[[#This Row],[Fault Start TimeStamp]])*24</f>
        <v>0.13333333333333286</v>
      </c>
      <c r="U1493" s="35" t="s">
        <v>1924</v>
      </c>
      <c r="V1493" s="102" t="s">
        <v>293</v>
      </c>
      <c r="W1493" s="549">
        <f>IFERROR(Table6[[#This Row],[Breakdown Time]]*Table6[[#This Row],[Plant Equivalent Weightage]],"")</f>
        <v>5.1282051282051083E-3</v>
      </c>
      <c r="X1493" s="473" t="s">
        <v>294</v>
      </c>
      <c r="Y1493" s="474" t="s">
        <v>84</v>
      </c>
      <c r="Z1493" s="102">
        <v>30700</v>
      </c>
      <c r="AA1493" s="468">
        <f>(Table6[[#This Row],[Paired WTG Generation for loss calculation]]/24)*Table6[[#This Row],[Breakdown Time]]</f>
        <v>170.55555555555495</v>
      </c>
      <c r="AB1493" s="102"/>
      <c r="AC1493" s="35"/>
      <c r="AD1493" s="35"/>
    </row>
    <row r="1494" spans="1:30">
      <c r="A1494" s="102">
        <f t="shared" si="24"/>
        <v>1493</v>
      </c>
      <c r="B1494" s="468">
        <f>YEAR(Table6[[#This Row],[Date]])+IF(MONTH(Table6[[#This Row],[Date]])&gt;=4,1,0)</f>
        <v>2026</v>
      </c>
      <c r="C1494" s="102">
        <f>YEAR(Table6[[#This Row],[Date]])</f>
        <v>2025</v>
      </c>
      <c r="D1494" s="102" t="s">
        <v>1992</v>
      </c>
      <c r="E1494" s="469">
        <f>Table6[[#This Row],[Date]]-DAY(Table6[[#This Row],[Date]])+1</f>
        <v>45839</v>
      </c>
      <c r="F1494" s="470">
        <v>45848</v>
      </c>
      <c r="G1494" s="35" t="s">
        <v>77</v>
      </c>
      <c r="H1494" s="35" t="str">
        <f>IFERROR(_xlfn.XLOOKUP(Table6[[#This Row],[Affected WTG]],'Basic Data'!$A:$A,'Basic Data'!$B:$B),"")</f>
        <v>TQGXIIPL</v>
      </c>
      <c r="I1494" s="35" t="str">
        <f>IFERROR(_xlfn.XLOOKUP(Table6[[#This Row],[Affected WTG]],'Basic Data'!$A:$A,'Basic Data'!$C:$C),"")</f>
        <v>GEDA</v>
      </c>
      <c r="J1494" s="471">
        <f>IFERROR(_xlfn.XLOOKUP(Table6[[#This Row],[Affected WTG]],'Basic Data'!$A:$A,'Basic Data'!$E:$E),"")</f>
        <v>3.846153846153845E-2</v>
      </c>
      <c r="K1494" s="102">
        <v>55</v>
      </c>
      <c r="L1494" s="35" t="str">
        <f>IFERROR(_xlfn.XLOOKUP(Table6[[#This Row],[Error Code]],'Basic Data'!$AA:$AA,'Basic Data'!$AB:$AB),"Incorrect Error Code")</f>
        <v>WTG shut down</v>
      </c>
      <c r="M1494" s="35" t="s">
        <v>291</v>
      </c>
      <c r="N1494" s="475"/>
      <c r="O1494" s="476">
        <v>0.47499999999999998</v>
      </c>
      <c r="P1494" s="476">
        <v>0.47499999999999998</v>
      </c>
      <c r="Q1494" s="477">
        <v>0.70972222222222225</v>
      </c>
      <c r="R1494" s="472">
        <f>IF(Table6[[#This Row],[Work Start TimeStamp]]="","",(Table6[[#This Row],[Work Start TimeStamp]]-Table6[[#This Row],[Fault Start TimeStamp]])*24)</f>
        <v>0</v>
      </c>
      <c r="S1494" s="472">
        <f>(Table6[[#This Row],[Fault Clearance time]]-Table6[[#This Row],[Work Start TimeStamp]])*24</f>
        <v>5.6333333333333346</v>
      </c>
      <c r="T1494" s="472">
        <f>(Table6[[#This Row],[Fault Clearance time]]-Table6[[#This Row],[Fault Start TimeStamp]])*24</f>
        <v>5.6333333333333346</v>
      </c>
      <c r="U1494" s="35" t="s">
        <v>2074</v>
      </c>
      <c r="V1494" s="102" t="s">
        <v>293</v>
      </c>
      <c r="W1494" s="549">
        <f>IFERROR(Table6[[#This Row],[Breakdown Time]]*Table6[[#This Row],[Plant Equivalent Weightage]],"")</f>
        <v>0.21666666666666665</v>
      </c>
      <c r="X1494" s="473" t="s">
        <v>290</v>
      </c>
      <c r="Y1494" s="474" t="s">
        <v>77</v>
      </c>
      <c r="Z1494" s="102">
        <v>14852</v>
      </c>
      <c r="AA1494" s="468">
        <f>(Table6[[#This Row],[Paired WTG Generation for loss calculation]]/24)*Table6[[#This Row],[Breakdown Time]]</f>
        <v>3486.0944444444453</v>
      </c>
      <c r="AB1494" s="102"/>
      <c r="AC1494" s="35"/>
      <c r="AD1494" s="35"/>
    </row>
    <row r="1495" spans="1:30">
      <c r="A1495" s="102">
        <f t="shared" si="24"/>
        <v>1494</v>
      </c>
      <c r="B1495" s="468">
        <f>YEAR(Table6[[#This Row],[Date]])+IF(MONTH(Table6[[#This Row],[Date]])&gt;=4,1,0)</f>
        <v>2026</v>
      </c>
      <c r="C1495" s="102">
        <f>YEAR(Table6[[#This Row],[Date]])</f>
        <v>2025</v>
      </c>
      <c r="D1495" s="102" t="s">
        <v>1992</v>
      </c>
      <c r="E1495" s="469">
        <f>Table6[[#This Row],[Date]]-DAY(Table6[[#This Row],[Date]])+1</f>
        <v>45839</v>
      </c>
      <c r="F1495" s="470">
        <v>45848</v>
      </c>
      <c r="G1495" s="35" t="s">
        <v>79</v>
      </c>
      <c r="H1495" s="35" t="str">
        <f>IFERROR(_xlfn.XLOOKUP(Table6[[#This Row],[Affected WTG]],'Basic Data'!$A:$A,'Basic Data'!$B:$B),"")</f>
        <v>TQGXIIPL</v>
      </c>
      <c r="I1495" s="35" t="str">
        <f>IFERROR(_xlfn.XLOOKUP(Table6[[#This Row],[Affected WTG]],'Basic Data'!$A:$A,'Basic Data'!$C:$C),"")</f>
        <v>GEDA</v>
      </c>
      <c r="J1495" s="471">
        <f>IFERROR(_xlfn.XLOOKUP(Table6[[#This Row],[Affected WTG]],'Basic Data'!$A:$A,'Basic Data'!$E:$E),"")</f>
        <v>3.846153846153845E-2</v>
      </c>
      <c r="K1495" s="102">
        <v>55</v>
      </c>
      <c r="L1495" s="35" t="str">
        <f>IFERROR(_xlfn.XLOOKUP(Table6[[#This Row],[Error Code]],'Basic Data'!$AA:$AA,'Basic Data'!$AB:$AB),"Incorrect Error Code")</f>
        <v>WTG shut down</v>
      </c>
      <c r="M1495" s="35" t="s">
        <v>295</v>
      </c>
      <c r="N1495" s="475"/>
      <c r="O1495" s="476">
        <v>0.625</v>
      </c>
      <c r="P1495" s="476">
        <v>0.625</v>
      </c>
      <c r="Q1495" s="477">
        <v>0.91319444444444442</v>
      </c>
      <c r="R1495" s="472">
        <f>IF(Table6[[#This Row],[Work Start TimeStamp]]="","",(Table6[[#This Row],[Work Start TimeStamp]]-Table6[[#This Row],[Fault Start TimeStamp]])*24)</f>
        <v>0</v>
      </c>
      <c r="S1495" s="472">
        <f>(Table6[[#This Row],[Fault Clearance time]]-Table6[[#This Row],[Work Start TimeStamp]])*24</f>
        <v>6.9166666666666661</v>
      </c>
      <c r="T1495" s="472">
        <f>(Table6[[#This Row],[Fault Clearance time]]-Table6[[#This Row],[Fault Start TimeStamp]])*24</f>
        <v>6.9166666666666661</v>
      </c>
      <c r="U1495" s="35" t="s">
        <v>2075</v>
      </c>
      <c r="V1495" s="102" t="s">
        <v>293</v>
      </c>
      <c r="W1495" s="549">
        <f>IFERROR(Table6[[#This Row],[Breakdown Time]]*Table6[[#This Row],[Plant Equivalent Weightage]],"")</f>
        <v>0.26602564102564091</v>
      </c>
      <c r="X1495" s="473" t="s">
        <v>290</v>
      </c>
      <c r="Y1495" s="474" t="s">
        <v>79</v>
      </c>
      <c r="Z1495" s="102">
        <v>19373</v>
      </c>
      <c r="AA1495" s="468">
        <f>(Table6[[#This Row],[Paired WTG Generation for loss calculation]]/24)*Table6[[#This Row],[Breakdown Time]]</f>
        <v>5583.1909722222217</v>
      </c>
      <c r="AB1495" s="102"/>
      <c r="AC1495" s="35"/>
      <c r="AD1495" s="35"/>
    </row>
    <row r="1496" spans="1:30">
      <c r="A1496" s="102">
        <f t="shared" si="24"/>
        <v>1495</v>
      </c>
      <c r="B1496" s="468">
        <f>YEAR(Table6[[#This Row],[Date]])+IF(MONTH(Table6[[#This Row],[Date]])&gt;=4,1,0)</f>
        <v>2026</v>
      </c>
      <c r="C1496" s="102">
        <f>YEAR(Table6[[#This Row],[Date]])</f>
        <v>2025</v>
      </c>
      <c r="D1496" s="102" t="s">
        <v>1992</v>
      </c>
      <c r="E1496" s="469">
        <f>Table6[[#This Row],[Date]]-DAY(Table6[[#This Row],[Date]])+1</f>
        <v>45839</v>
      </c>
      <c r="F1496" s="470">
        <v>45848</v>
      </c>
      <c r="G1496" s="35" t="s">
        <v>85</v>
      </c>
      <c r="H1496" s="35" t="str">
        <f>IFERROR(_xlfn.XLOOKUP(Table6[[#This Row],[Affected WTG]],'Basic Data'!$A:$A,'Basic Data'!$B:$B),"")</f>
        <v>TQGXIIPL</v>
      </c>
      <c r="I1496" s="35" t="str">
        <f>IFERROR(_xlfn.XLOOKUP(Table6[[#This Row],[Affected WTG]],'Basic Data'!$A:$A,'Basic Data'!$C:$C),"")</f>
        <v>GEDA</v>
      </c>
      <c r="J1496" s="471">
        <f>IFERROR(_xlfn.XLOOKUP(Table6[[#This Row],[Affected WTG]],'Basic Data'!$A:$A,'Basic Data'!$E:$E),"")</f>
        <v>3.846153846153845E-2</v>
      </c>
      <c r="K1496" s="102">
        <v>55</v>
      </c>
      <c r="L1496" s="35" t="str">
        <f>IFERROR(_xlfn.XLOOKUP(Table6[[#This Row],[Error Code]],'Basic Data'!$AA:$AA,'Basic Data'!$AB:$AB),"Incorrect Error Code")</f>
        <v>WTG shut down</v>
      </c>
      <c r="M1496" s="35" t="s">
        <v>291</v>
      </c>
      <c r="N1496" s="475"/>
      <c r="O1496" s="476">
        <v>0</v>
      </c>
      <c r="P1496" s="476">
        <v>0</v>
      </c>
      <c r="Q1496" s="477">
        <v>6.25E-2</v>
      </c>
      <c r="R1496" s="472">
        <f>IF(Table6[[#This Row],[Work Start TimeStamp]]="","",(Table6[[#This Row],[Work Start TimeStamp]]-Table6[[#This Row],[Fault Start TimeStamp]])*24)</f>
        <v>0</v>
      </c>
      <c r="S1496" s="472">
        <f>(Table6[[#This Row],[Fault Clearance time]]-Table6[[#This Row],[Work Start TimeStamp]])*24</f>
        <v>1.5</v>
      </c>
      <c r="T1496" s="472">
        <f>(Table6[[#This Row],[Fault Clearance time]]-Table6[[#This Row],[Fault Start TimeStamp]])*24</f>
        <v>1.5</v>
      </c>
      <c r="U1496" s="35" t="s">
        <v>2076</v>
      </c>
      <c r="V1496" s="102" t="s">
        <v>293</v>
      </c>
      <c r="W1496" s="549">
        <f>IFERROR(Table6[[#This Row],[Breakdown Time]]*Table6[[#This Row],[Plant Equivalent Weightage]],"")</f>
        <v>5.7692307692307675E-2</v>
      </c>
      <c r="X1496" s="473" t="s">
        <v>290</v>
      </c>
      <c r="Y1496" s="474" t="s">
        <v>85</v>
      </c>
      <c r="Z1496" s="102">
        <v>16323</v>
      </c>
      <c r="AA1496" s="468">
        <f>(Table6[[#This Row],[Paired WTG Generation for loss calculation]]/24)*Table6[[#This Row],[Breakdown Time]]</f>
        <v>1020.1875</v>
      </c>
      <c r="AB1496" s="102"/>
      <c r="AC1496" s="35"/>
      <c r="AD1496" s="35"/>
    </row>
    <row r="1497" spans="1:30">
      <c r="A1497" s="102">
        <f t="shared" si="24"/>
        <v>1496</v>
      </c>
      <c r="B1497" s="468">
        <f>YEAR(Table6[[#This Row],[Date]])+IF(MONTH(Table6[[#This Row],[Date]])&gt;=4,1,0)</f>
        <v>2026</v>
      </c>
      <c r="C1497" s="102">
        <f>YEAR(Table6[[#This Row],[Date]])</f>
        <v>2025</v>
      </c>
      <c r="D1497" s="102" t="s">
        <v>1992</v>
      </c>
      <c r="E1497" s="469">
        <f>Table6[[#This Row],[Date]]-DAY(Table6[[#This Row],[Date]])+1</f>
        <v>45839</v>
      </c>
      <c r="F1497" s="470">
        <v>45848</v>
      </c>
      <c r="G1497" s="35" t="s">
        <v>85</v>
      </c>
      <c r="H1497" s="35" t="str">
        <f>IFERROR(_xlfn.XLOOKUP(Table6[[#This Row],[Affected WTG]],'Basic Data'!$A:$A,'Basic Data'!$B:$B),"")</f>
        <v>TQGXIIPL</v>
      </c>
      <c r="I1497" s="35" t="str">
        <f>IFERROR(_xlfn.XLOOKUP(Table6[[#This Row],[Affected WTG]],'Basic Data'!$A:$A,'Basic Data'!$C:$C),"")</f>
        <v>GEDA</v>
      </c>
      <c r="J1497" s="471">
        <f>IFERROR(_xlfn.XLOOKUP(Table6[[#This Row],[Affected WTG]],'Basic Data'!$A:$A,'Basic Data'!$E:$E),"")</f>
        <v>3.846153846153845E-2</v>
      </c>
      <c r="K1497" s="102">
        <v>6605</v>
      </c>
      <c r="L1497" s="35" t="str">
        <f>IFERROR(_xlfn.XLOOKUP(Table6[[#This Row],[Error Code]],'Basic Data'!$AA:$AA,'Basic Data'!$AB:$AB),"Incorrect Error Code")</f>
        <v>Wind.dir. diff. level 2</v>
      </c>
      <c r="M1497" s="35" t="s">
        <v>291</v>
      </c>
      <c r="N1497" s="475"/>
      <c r="O1497" s="476">
        <v>0.22083333333333333</v>
      </c>
      <c r="P1497" s="476">
        <v>0.22083333333333333</v>
      </c>
      <c r="Q1497" s="477">
        <v>0.2298611111111111</v>
      </c>
      <c r="R1497" s="472">
        <f>IF(Table6[[#This Row],[Work Start TimeStamp]]="","",(Table6[[#This Row],[Work Start TimeStamp]]-Table6[[#This Row],[Fault Start TimeStamp]])*24)</f>
        <v>0</v>
      </c>
      <c r="S1497" s="472">
        <f>(Table6[[#This Row],[Fault Clearance time]]-Table6[[#This Row],[Work Start TimeStamp]])*24</f>
        <v>0.21666666666666656</v>
      </c>
      <c r="T1497" s="472">
        <f>(Table6[[#This Row],[Fault Clearance time]]-Table6[[#This Row],[Fault Start TimeStamp]])*24</f>
        <v>0.21666666666666656</v>
      </c>
      <c r="U1497" s="35" t="s">
        <v>2041</v>
      </c>
      <c r="V1497" s="102" t="s">
        <v>293</v>
      </c>
      <c r="W1497" s="549">
        <f>IFERROR(Table6[[#This Row],[Breakdown Time]]*Table6[[#This Row],[Plant Equivalent Weightage]],"")</f>
        <v>8.3333333333333263E-3</v>
      </c>
      <c r="X1497" s="473" t="s">
        <v>294</v>
      </c>
      <c r="Y1497" s="474" t="s">
        <v>85</v>
      </c>
      <c r="Z1497" s="102">
        <v>16323</v>
      </c>
      <c r="AA1497" s="468">
        <f>(Table6[[#This Row],[Paired WTG Generation for loss calculation]]/24)*Table6[[#This Row],[Breakdown Time]]</f>
        <v>147.36041666666659</v>
      </c>
      <c r="AB1497" s="102"/>
      <c r="AC1497" s="35"/>
      <c r="AD1497" s="35"/>
    </row>
    <row r="1498" spans="1:30">
      <c r="A1498" s="102">
        <f t="shared" si="24"/>
        <v>1497</v>
      </c>
      <c r="B1498" s="468">
        <f>YEAR(Table6[[#This Row],[Date]])+IF(MONTH(Table6[[#This Row],[Date]])&gt;=4,1,0)</f>
        <v>2026</v>
      </c>
      <c r="C1498" s="102">
        <f>YEAR(Table6[[#This Row],[Date]])</f>
        <v>2025</v>
      </c>
      <c r="D1498" s="102" t="s">
        <v>1992</v>
      </c>
      <c r="E1498" s="469">
        <f>Table6[[#This Row],[Date]]-DAY(Table6[[#This Row],[Date]])+1</f>
        <v>45839</v>
      </c>
      <c r="F1498" s="470">
        <v>45848</v>
      </c>
      <c r="G1498" s="35" t="s">
        <v>85</v>
      </c>
      <c r="H1498" s="35" t="str">
        <f>IFERROR(_xlfn.XLOOKUP(Table6[[#This Row],[Affected WTG]],'Basic Data'!$A:$A,'Basic Data'!$B:$B),"")</f>
        <v>TQGXIIPL</v>
      </c>
      <c r="I1498" s="35" t="str">
        <f>IFERROR(_xlfn.XLOOKUP(Table6[[#This Row],[Affected WTG]],'Basic Data'!$A:$A,'Basic Data'!$C:$C),"")</f>
        <v>GEDA</v>
      </c>
      <c r="J1498" s="471">
        <f>IFERROR(_xlfn.XLOOKUP(Table6[[#This Row],[Affected WTG]],'Basic Data'!$A:$A,'Basic Data'!$E:$E),"")</f>
        <v>3.846153846153845E-2</v>
      </c>
      <c r="K1498" s="102">
        <v>6605</v>
      </c>
      <c r="L1498" s="35" t="str">
        <f>IFERROR(_xlfn.XLOOKUP(Table6[[#This Row],[Error Code]],'Basic Data'!$AA:$AA,'Basic Data'!$AB:$AB),"Incorrect Error Code")</f>
        <v>Wind.dir. diff. level 2</v>
      </c>
      <c r="M1498" s="35" t="s">
        <v>291</v>
      </c>
      <c r="N1498" s="475"/>
      <c r="O1498" s="476">
        <v>0.38124999999999998</v>
      </c>
      <c r="P1498" s="476">
        <v>0.38124999999999998</v>
      </c>
      <c r="Q1498" s="477">
        <v>0.38680555555555557</v>
      </c>
      <c r="R1498" s="472">
        <f>IF(Table6[[#This Row],[Work Start TimeStamp]]="","",(Table6[[#This Row],[Work Start TimeStamp]]-Table6[[#This Row],[Fault Start TimeStamp]])*24)</f>
        <v>0</v>
      </c>
      <c r="S1498" s="472">
        <f>(Table6[[#This Row],[Fault Clearance time]]-Table6[[#This Row],[Work Start TimeStamp]])*24</f>
        <v>0.13333333333333419</v>
      </c>
      <c r="T1498" s="472">
        <f>(Table6[[#This Row],[Fault Clearance time]]-Table6[[#This Row],[Fault Start TimeStamp]])*24</f>
        <v>0.13333333333333419</v>
      </c>
      <c r="U1498" s="35" t="s">
        <v>1924</v>
      </c>
      <c r="V1498" s="102" t="s">
        <v>293</v>
      </c>
      <c r="W1498" s="549">
        <f>IFERROR(Table6[[#This Row],[Breakdown Time]]*Table6[[#This Row],[Plant Equivalent Weightage]],"")</f>
        <v>5.1282051282051594E-3</v>
      </c>
      <c r="X1498" s="473" t="s">
        <v>294</v>
      </c>
      <c r="Y1498" s="474" t="s">
        <v>85</v>
      </c>
      <c r="Z1498" s="102">
        <v>16323</v>
      </c>
      <c r="AA1498" s="468">
        <f>(Table6[[#This Row],[Paired WTG Generation for loss calculation]]/24)*Table6[[#This Row],[Breakdown Time]]</f>
        <v>90.68333333333392</v>
      </c>
      <c r="AB1498" s="102"/>
      <c r="AC1498" s="35"/>
      <c r="AD1498" s="35"/>
    </row>
    <row r="1499" spans="1:30">
      <c r="A1499" s="102">
        <f t="shared" si="24"/>
        <v>1498</v>
      </c>
      <c r="B1499" s="468">
        <f>YEAR(Table6[[#This Row],[Date]])+IF(MONTH(Table6[[#This Row],[Date]])&gt;=4,1,0)</f>
        <v>2026</v>
      </c>
      <c r="C1499" s="102">
        <f>YEAR(Table6[[#This Row],[Date]])</f>
        <v>2025</v>
      </c>
      <c r="D1499" s="102" t="s">
        <v>1992</v>
      </c>
      <c r="E1499" s="469">
        <f>Table6[[#This Row],[Date]]-DAY(Table6[[#This Row],[Date]])+1</f>
        <v>45839</v>
      </c>
      <c r="F1499" s="470">
        <v>45848</v>
      </c>
      <c r="G1499" s="35" t="s">
        <v>85</v>
      </c>
      <c r="H1499" s="35" t="str">
        <f>IFERROR(_xlfn.XLOOKUP(Table6[[#This Row],[Affected WTG]],'Basic Data'!$A:$A,'Basic Data'!$B:$B),"")</f>
        <v>TQGXIIPL</v>
      </c>
      <c r="I1499" s="35" t="str">
        <f>IFERROR(_xlfn.XLOOKUP(Table6[[#This Row],[Affected WTG]],'Basic Data'!$A:$A,'Basic Data'!$C:$C),"")</f>
        <v>GEDA</v>
      </c>
      <c r="J1499" s="471">
        <f>IFERROR(_xlfn.XLOOKUP(Table6[[#This Row],[Affected WTG]],'Basic Data'!$A:$A,'Basic Data'!$E:$E),"")</f>
        <v>3.846153846153845E-2</v>
      </c>
      <c r="K1499" s="102">
        <v>6605</v>
      </c>
      <c r="L1499" s="35" t="str">
        <f>IFERROR(_xlfn.XLOOKUP(Table6[[#This Row],[Error Code]],'Basic Data'!$AA:$AA,'Basic Data'!$AB:$AB),"Incorrect Error Code")</f>
        <v>Wind.dir. diff. level 2</v>
      </c>
      <c r="M1499" s="35" t="s">
        <v>291</v>
      </c>
      <c r="N1499" s="475"/>
      <c r="O1499" s="476">
        <v>0.71805555555555556</v>
      </c>
      <c r="P1499" s="476">
        <v>0.71805555555555556</v>
      </c>
      <c r="Q1499" s="477">
        <v>0.72152777777777777</v>
      </c>
      <c r="R1499" s="472">
        <f>IF(Table6[[#This Row],[Work Start TimeStamp]]="","",(Table6[[#This Row],[Work Start TimeStamp]]-Table6[[#This Row],[Fault Start TimeStamp]])*24)</f>
        <v>0</v>
      </c>
      <c r="S1499" s="472">
        <f>(Table6[[#This Row],[Fault Clearance time]]-Table6[[#This Row],[Work Start TimeStamp]])*24</f>
        <v>8.3333333333333037E-2</v>
      </c>
      <c r="T1499" s="472">
        <f>(Table6[[#This Row],[Fault Clearance time]]-Table6[[#This Row],[Fault Start TimeStamp]])*24</f>
        <v>8.3333333333333037E-2</v>
      </c>
      <c r="U1499" s="35" t="s">
        <v>1924</v>
      </c>
      <c r="V1499" s="102" t="s">
        <v>293</v>
      </c>
      <c r="W1499" s="549">
        <f>IFERROR(Table6[[#This Row],[Breakdown Time]]*Table6[[#This Row],[Plant Equivalent Weightage]],"")</f>
        <v>3.2051282051281929E-3</v>
      </c>
      <c r="X1499" s="473" t="s">
        <v>294</v>
      </c>
      <c r="Y1499" s="474" t="s">
        <v>85</v>
      </c>
      <c r="Z1499" s="102">
        <v>16323</v>
      </c>
      <c r="AA1499" s="468">
        <f>(Table6[[#This Row],[Paired WTG Generation for loss calculation]]/24)*Table6[[#This Row],[Breakdown Time]]</f>
        <v>56.67708333333313</v>
      </c>
      <c r="AB1499" s="102"/>
      <c r="AC1499" s="35"/>
      <c r="AD1499" s="35"/>
    </row>
    <row r="1500" spans="1:30">
      <c r="A1500" s="102">
        <f t="shared" si="24"/>
        <v>1499</v>
      </c>
      <c r="B1500" s="468">
        <f>YEAR(Table6[[#This Row],[Date]])+IF(MONTH(Table6[[#This Row],[Date]])&gt;=4,1,0)</f>
        <v>2026</v>
      </c>
      <c r="C1500" s="102">
        <f>YEAR(Table6[[#This Row],[Date]])</f>
        <v>2025</v>
      </c>
      <c r="D1500" s="102" t="s">
        <v>1992</v>
      </c>
      <c r="E1500" s="469">
        <f>Table6[[#This Row],[Date]]-DAY(Table6[[#This Row],[Date]])+1</f>
        <v>45839</v>
      </c>
      <c r="F1500" s="470">
        <v>45848</v>
      </c>
      <c r="G1500" s="35" t="s">
        <v>85</v>
      </c>
      <c r="H1500" s="35" t="str">
        <f>IFERROR(_xlfn.XLOOKUP(Table6[[#This Row],[Affected WTG]],'Basic Data'!$A:$A,'Basic Data'!$B:$B),"")</f>
        <v>TQGXIIPL</v>
      </c>
      <c r="I1500" s="35" t="str">
        <f>IFERROR(_xlfn.XLOOKUP(Table6[[#This Row],[Affected WTG]],'Basic Data'!$A:$A,'Basic Data'!$C:$C),"")</f>
        <v>GEDA</v>
      </c>
      <c r="J1500" s="471">
        <f>IFERROR(_xlfn.XLOOKUP(Table6[[#This Row],[Affected WTG]],'Basic Data'!$A:$A,'Basic Data'!$E:$E),"")</f>
        <v>3.846153846153845E-2</v>
      </c>
      <c r="K1500" s="102">
        <v>6605</v>
      </c>
      <c r="L1500" s="35" t="str">
        <f>IFERROR(_xlfn.XLOOKUP(Table6[[#This Row],[Error Code]],'Basic Data'!$AA:$AA,'Basic Data'!$AB:$AB),"Incorrect Error Code")</f>
        <v>Wind.dir. diff. level 2</v>
      </c>
      <c r="M1500" s="35" t="s">
        <v>291</v>
      </c>
      <c r="N1500" s="475"/>
      <c r="O1500" s="476">
        <v>0.96944444444444444</v>
      </c>
      <c r="P1500" s="476">
        <v>0.96944444444444444</v>
      </c>
      <c r="Q1500" s="477">
        <v>0.97638888888888886</v>
      </c>
      <c r="R1500" s="472">
        <f>IF(Table6[[#This Row],[Work Start TimeStamp]]="","",(Table6[[#This Row],[Work Start TimeStamp]]-Table6[[#This Row],[Fault Start TimeStamp]])*24)</f>
        <v>0</v>
      </c>
      <c r="S1500" s="472">
        <f>(Table6[[#This Row],[Fault Clearance time]]-Table6[[#This Row],[Work Start TimeStamp]])*24</f>
        <v>0.16666666666666607</v>
      </c>
      <c r="T1500" s="472">
        <f>(Table6[[#This Row],[Fault Clearance time]]-Table6[[#This Row],[Fault Start TimeStamp]])*24</f>
        <v>0.16666666666666607</v>
      </c>
      <c r="U1500" s="35" t="s">
        <v>2041</v>
      </c>
      <c r="V1500" s="102" t="s">
        <v>293</v>
      </c>
      <c r="W1500" s="549">
        <f>IFERROR(Table6[[#This Row],[Breakdown Time]]*Table6[[#This Row],[Plant Equivalent Weightage]],"")</f>
        <v>6.4102564102563857E-3</v>
      </c>
      <c r="X1500" s="473" t="s">
        <v>294</v>
      </c>
      <c r="Y1500" s="474" t="s">
        <v>85</v>
      </c>
      <c r="Z1500" s="102">
        <v>16323</v>
      </c>
      <c r="AA1500" s="468">
        <f>(Table6[[#This Row],[Paired WTG Generation for loss calculation]]/24)*Table6[[#This Row],[Breakdown Time]]</f>
        <v>113.35416666666626</v>
      </c>
      <c r="AB1500" s="102"/>
      <c r="AC1500" s="35"/>
      <c r="AD1500" s="35"/>
    </row>
    <row r="1501" spans="1:30">
      <c r="A1501" s="102">
        <f t="shared" si="24"/>
        <v>1500</v>
      </c>
      <c r="B1501" s="468">
        <f>YEAR(Table6[[#This Row],[Date]])+IF(MONTH(Table6[[#This Row],[Date]])&gt;=4,1,0)</f>
        <v>2026</v>
      </c>
      <c r="C1501" s="102">
        <f>YEAR(Table6[[#This Row],[Date]])</f>
        <v>2025</v>
      </c>
      <c r="D1501" s="102" t="s">
        <v>1992</v>
      </c>
      <c r="E1501" s="469">
        <f>Table6[[#This Row],[Date]]-DAY(Table6[[#This Row],[Date]])+1</f>
        <v>45839</v>
      </c>
      <c r="F1501" s="470">
        <v>45849</v>
      </c>
      <c r="G1501" s="35" t="s">
        <v>75</v>
      </c>
      <c r="H1501" s="35" t="str">
        <f>IFERROR(_xlfn.XLOOKUP(Table6[[#This Row],[Affected WTG]],'Basic Data'!$A:$A,'Basic Data'!$B:$B),"")</f>
        <v>TQGXIIPL</v>
      </c>
      <c r="I1501" s="35" t="str">
        <f>IFERROR(_xlfn.XLOOKUP(Table6[[#This Row],[Affected WTG]],'Basic Data'!$A:$A,'Basic Data'!$C:$C),"")</f>
        <v>GEDA</v>
      </c>
      <c r="J1501" s="471">
        <f>IFERROR(_xlfn.XLOOKUP(Table6[[#This Row],[Affected WTG]],'Basic Data'!$A:$A,'Basic Data'!$E:$E),"")</f>
        <v>3.846153846153845E-2</v>
      </c>
      <c r="K1501" s="102">
        <v>641</v>
      </c>
      <c r="L1501" s="35" t="str">
        <f>IFERROR(_xlfn.XLOOKUP(Table6[[#This Row],[Error Code]],'Basic Data'!$AA:$AA,'Basic Data'!$AB:$AB),"Incorrect Error Code")</f>
        <v>Sim.angle E enc. &lt;&gt; act.angle 1</v>
      </c>
      <c r="M1501" s="35" t="s">
        <v>291</v>
      </c>
      <c r="N1501" s="475"/>
      <c r="O1501" s="476">
        <v>0.37708333333333333</v>
      </c>
      <c r="P1501" s="476">
        <v>0.37708333333333333</v>
      </c>
      <c r="Q1501" s="477">
        <v>0.38680555555555557</v>
      </c>
      <c r="R1501" s="472">
        <f>IF(Table6[[#This Row],[Work Start TimeStamp]]="","",(Table6[[#This Row],[Work Start TimeStamp]]-Table6[[#This Row],[Fault Start TimeStamp]])*24)</f>
        <v>0</v>
      </c>
      <c r="S1501" s="472">
        <f>(Table6[[#This Row],[Fault Clearance time]]-Table6[[#This Row],[Work Start TimeStamp]])*24</f>
        <v>0.23333333333333384</v>
      </c>
      <c r="T1501" s="472">
        <f>(Table6[[#This Row],[Fault Clearance time]]-Table6[[#This Row],[Fault Start TimeStamp]])*24</f>
        <v>0.23333333333333384</v>
      </c>
      <c r="U1501" s="35" t="s">
        <v>2041</v>
      </c>
      <c r="V1501" s="102" t="s">
        <v>293</v>
      </c>
      <c r="W1501" s="549">
        <f>IFERROR(Table6[[#This Row],[Breakdown Time]]*Table6[[#This Row],[Plant Equivalent Weightage]],"")</f>
        <v>8.974358974358991E-3</v>
      </c>
      <c r="X1501" s="473" t="s">
        <v>294</v>
      </c>
      <c r="Y1501" s="474" t="s">
        <v>78</v>
      </c>
      <c r="Z1501" s="102">
        <v>21381</v>
      </c>
      <c r="AA1501" s="468">
        <f>(Table6[[#This Row],[Paired WTG Generation for loss calculation]]/24)*Table6[[#This Row],[Breakdown Time]]</f>
        <v>207.87083333333379</v>
      </c>
      <c r="AB1501" s="102"/>
      <c r="AC1501" s="35"/>
      <c r="AD1501" s="35"/>
    </row>
    <row r="1502" spans="1:30">
      <c r="A1502" s="102">
        <f t="shared" si="24"/>
        <v>1501</v>
      </c>
      <c r="B1502" s="468">
        <f>YEAR(Table6[[#This Row],[Date]])+IF(MONTH(Table6[[#This Row],[Date]])&gt;=4,1,0)</f>
        <v>2026</v>
      </c>
      <c r="C1502" s="102">
        <f>YEAR(Table6[[#This Row],[Date]])</f>
        <v>2025</v>
      </c>
      <c r="D1502" s="102" t="s">
        <v>1992</v>
      </c>
      <c r="E1502" s="469">
        <f>Table6[[#This Row],[Date]]-DAY(Table6[[#This Row],[Date]])+1</f>
        <v>45839</v>
      </c>
      <c r="F1502" s="470">
        <v>45849</v>
      </c>
      <c r="G1502" s="35" t="s">
        <v>80</v>
      </c>
      <c r="H1502" s="35" t="str">
        <f>IFERROR(_xlfn.XLOOKUP(Table6[[#This Row],[Affected WTG]],'Basic Data'!$A:$A,'Basic Data'!$B:$B),"")</f>
        <v>TQGXIIPL</v>
      </c>
      <c r="I1502" s="35" t="str">
        <f>IFERROR(_xlfn.XLOOKUP(Table6[[#This Row],[Affected WTG]],'Basic Data'!$A:$A,'Basic Data'!$C:$C),"")</f>
        <v>GEDA</v>
      </c>
      <c r="J1502" s="471">
        <f>IFERROR(_xlfn.XLOOKUP(Table6[[#This Row],[Affected WTG]],'Basic Data'!$A:$A,'Basic Data'!$E:$E),"")</f>
        <v>3.846153846153845E-2</v>
      </c>
      <c r="K1502" s="102">
        <v>55</v>
      </c>
      <c r="L1502" s="35" t="str">
        <f>IFERROR(_xlfn.XLOOKUP(Table6[[#This Row],[Error Code]],'Basic Data'!$AA:$AA,'Basic Data'!$AB:$AB),"Incorrect Error Code")</f>
        <v>WTG shut down</v>
      </c>
      <c r="M1502" s="35" t="s">
        <v>291</v>
      </c>
      <c r="N1502" s="475"/>
      <c r="O1502" s="476">
        <v>0.50277777777777777</v>
      </c>
      <c r="P1502" s="476">
        <v>0.50277777777777777</v>
      </c>
      <c r="Q1502" s="477">
        <v>0.67638888888888893</v>
      </c>
      <c r="R1502" s="472">
        <f>IF(Table6[[#This Row],[Work Start TimeStamp]]="","",(Table6[[#This Row],[Work Start TimeStamp]]-Table6[[#This Row],[Fault Start TimeStamp]])*24)</f>
        <v>0</v>
      </c>
      <c r="S1502" s="472">
        <f>(Table6[[#This Row],[Fault Clearance time]]-Table6[[#This Row],[Work Start TimeStamp]])*24</f>
        <v>4.1666666666666679</v>
      </c>
      <c r="T1502" s="472">
        <f>(Table6[[#This Row],[Fault Clearance time]]-Table6[[#This Row],[Fault Start TimeStamp]])*24</f>
        <v>4.1666666666666679</v>
      </c>
      <c r="U1502" s="35" t="s">
        <v>2077</v>
      </c>
      <c r="V1502" s="102" t="s">
        <v>293</v>
      </c>
      <c r="W1502" s="549">
        <f>IFERROR(Table6[[#This Row],[Breakdown Time]]*Table6[[#This Row],[Plant Equivalent Weightage]],"")</f>
        <v>0.16025641025641024</v>
      </c>
      <c r="X1502" s="473" t="s">
        <v>290</v>
      </c>
      <c r="Y1502" s="474" t="s">
        <v>77</v>
      </c>
      <c r="Z1502" s="102">
        <v>21640</v>
      </c>
      <c r="AA1502" s="468">
        <f>(Table6[[#This Row],[Paired WTG Generation for loss calculation]]/24)*Table6[[#This Row],[Breakdown Time]]</f>
        <v>3756.9444444444453</v>
      </c>
      <c r="AB1502" s="102"/>
      <c r="AC1502" s="35"/>
      <c r="AD1502" s="35"/>
    </row>
    <row r="1503" spans="1:30">
      <c r="A1503" s="102">
        <f t="shared" si="24"/>
        <v>1502</v>
      </c>
      <c r="B1503" s="468">
        <f>YEAR(Table6[[#This Row],[Date]])+IF(MONTH(Table6[[#This Row],[Date]])&gt;=4,1,0)</f>
        <v>2026</v>
      </c>
      <c r="C1503" s="102">
        <f>YEAR(Table6[[#This Row],[Date]])</f>
        <v>2025</v>
      </c>
      <c r="D1503" s="102" t="s">
        <v>1992</v>
      </c>
      <c r="E1503" s="469">
        <f>Table6[[#This Row],[Date]]-DAY(Table6[[#This Row],[Date]])+1</f>
        <v>45839</v>
      </c>
      <c r="F1503" s="470">
        <v>45849</v>
      </c>
      <c r="G1503" s="35" t="s">
        <v>81</v>
      </c>
      <c r="H1503" s="35" t="str">
        <f>IFERROR(_xlfn.XLOOKUP(Table6[[#This Row],[Affected WTG]],'Basic Data'!$A:$A,'Basic Data'!$B:$B),"")</f>
        <v>TQGXIIPL</v>
      </c>
      <c r="I1503" s="35" t="str">
        <f>IFERROR(_xlfn.XLOOKUP(Table6[[#This Row],[Affected WTG]],'Basic Data'!$A:$A,'Basic Data'!$C:$C),"")</f>
        <v>GEDA</v>
      </c>
      <c r="J1503" s="471">
        <f>IFERROR(_xlfn.XLOOKUP(Table6[[#This Row],[Affected WTG]],'Basic Data'!$A:$A,'Basic Data'!$E:$E),"")</f>
        <v>3.846153846153845E-2</v>
      </c>
      <c r="K1503" s="102">
        <v>55</v>
      </c>
      <c r="L1503" s="35" t="str">
        <f>IFERROR(_xlfn.XLOOKUP(Table6[[#This Row],[Error Code]],'Basic Data'!$AA:$AA,'Basic Data'!$AB:$AB),"Incorrect Error Code")</f>
        <v>WTG shut down</v>
      </c>
      <c r="M1503" s="35" t="s">
        <v>291</v>
      </c>
      <c r="N1503" s="475"/>
      <c r="O1503" s="476">
        <v>0.4861111111111111</v>
      </c>
      <c r="P1503" s="476">
        <v>0.4861111111111111</v>
      </c>
      <c r="Q1503" s="477">
        <v>0.61597222222222225</v>
      </c>
      <c r="R1503" s="472">
        <f>IF(Table6[[#This Row],[Work Start TimeStamp]]="","",(Table6[[#This Row],[Work Start TimeStamp]]-Table6[[#This Row],[Fault Start TimeStamp]])*24)</f>
        <v>0</v>
      </c>
      <c r="S1503" s="472">
        <f>(Table6[[#This Row],[Fault Clearance time]]-Table6[[#This Row],[Work Start TimeStamp]])*24</f>
        <v>3.1166666666666676</v>
      </c>
      <c r="T1503" s="472">
        <f>(Table6[[#This Row],[Fault Clearance time]]-Table6[[#This Row],[Fault Start TimeStamp]])*24</f>
        <v>3.1166666666666676</v>
      </c>
      <c r="U1503" s="35" t="s">
        <v>2077</v>
      </c>
      <c r="V1503" s="102" t="s">
        <v>293</v>
      </c>
      <c r="W1503" s="549">
        <f>IFERROR(Table6[[#This Row],[Breakdown Time]]*Table6[[#This Row],[Plant Equivalent Weightage]],"")</f>
        <v>0.11987179487179488</v>
      </c>
      <c r="X1503" s="473" t="s">
        <v>290</v>
      </c>
      <c r="Y1503" s="474" t="s">
        <v>99</v>
      </c>
      <c r="Z1503" s="102">
        <v>20720</v>
      </c>
      <c r="AA1503" s="468">
        <f>(Table6[[#This Row],[Paired WTG Generation for loss calculation]]/24)*Table6[[#This Row],[Breakdown Time]]</f>
        <v>2690.7222222222231</v>
      </c>
      <c r="AB1503" s="102"/>
      <c r="AC1503" s="35"/>
      <c r="AD1503" s="35"/>
    </row>
    <row r="1504" spans="1:30">
      <c r="A1504" s="102">
        <f t="shared" si="24"/>
        <v>1503</v>
      </c>
      <c r="B1504" s="468">
        <f>YEAR(Table6[[#This Row],[Date]])+IF(MONTH(Table6[[#This Row],[Date]])&gt;=4,1,0)</f>
        <v>2026</v>
      </c>
      <c r="C1504" s="102">
        <f>YEAR(Table6[[#This Row],[Date]])</f>
        <v>2025</v>
      </c>
      <c r="D1504" s="102" t="s">
        <v>1992</v>
      </c>
      <c r="E1504" s="469">
        <f>Table6[[#This Row],[Date]]-DAY(Table6[[#This Row],[Date]])+1</f>
        <v>45839</v>
      </c>
      <c r="F1504" s="470">
        <v>45849</v>
      </c>
      <c r="G1504" s="35" t="s">
        <v>78</v>
      </c>
      <c r="H1504" s="35" t="str">
        <f>IFERROR(_xlfn.XLOOKUP(Table6[[#This Row],[Affected WTG]],'Basic Data'!$A:$A,'Basic Data'!$B:$B),"")</f>
        <v>TQGXIIPL</v>
      </c>
      <c r="I1504" s="35" t="str">
        <f>IFERROR(_xlfn.XLOOKUP(Table6[[#This Row],[Affected WTG]],'Basic Data'!$A:$A,'Basic Data'!$C:$C),"")</f>
        <v>GEDA</v>
      </c>
      <c r="J1504" s="471">
        <f>IFERROR(_xlfn.XLOOKUP(Table6[[#This Row],[Affected WTG]],'Basic Data'!$A:$A,'Basic Data'!$E:$E),"")</f>
        <v>3.846153846153845E-2</v>
      </c>
      <c r="K1504" s="102">
        <v>3110</v>
      </c>
      <c r="L1504" s="35" t="str">
        <f>IFERROR(_xlfn.XLOOKUP(Table6[[#This Row],[Error Code]],'Basic Data'!$AA:$AA,'Basic Data'!$AB:$AB),"Incorrect Error Code")</f>
        <v>Frequency converter error</v>
      </c>
      <c r="M1504" s="35" t="s">
        <v>292</v>
      </c>
      <c r="N1504" s="475"/>
      <c r="O1504" s="476">
        <v>0.92708333333333337</v>
      </c>
      <c r="P1504" s="476">
        <v>0.92708333333333337</v>
      </c>
      <c r="Q1504" s="477">
        <v>0.92847222222222225</v>
      </c>
      <c r="R1504" s="472">
        <f>IF(Table6[[#This Row],[Work Start TimeStamp]]="","",(Table6[[#This Row],[Work Start TimeStamp]]-Table6[[#This Row],[Fault Start TimeStamp]])*24)</f>
        <v>0</v>
      </c>
      <c r="S1504" s="472">
        <f>(Table6[[#This Row],[Fault Clearance time]]-Table6[[#This Row],[Work Start TimeStamp]])*24</f>
        <v>3.3333333333333215E-2</v>
      </c>
      <c r="T1504" s="472">
        <f>(Table6[[#This Row],[Fault Clearance time]]-Table6[[#This Row],[Fault Start TimeStamp]])*24</f>
        <v>3.3333333333333215E-2</v>
      </c>
      <c r="U1504" s="35" t="s">
        <v>336</v>
      </c>
      <c r="V1504" s="102" t="s">
        <v>293</v>
      </c>
      <c r="W1504" s="549">
        <f>IFERROR(Table6[[#This Row],[Breakdown Time]]*Table6[[#This Row],[Plant Equivalent Weightage]],"")</f>
        <v>1.2820512820512771E-3</v>
      </c>
      <c r="X1504" s="473" t="s">
        <v>294</v>
      </c>
      <c r="Y1504" s="474" t="s">
        <v>75</v>
      </c>
      <c r="Z1504" s="102">
        <v>20440</v>
      </c>
      <c r="AA1504" s="468">
        <f>(Table6[[#This Row],[Paired WTG Generation for loss calculation]]/24)*Table6[[#This Row],[Breakdown Time]]</f>
        <v>28.388888888888786</v>
      </c>
      <c r="AB1504" s="102"/>
      <c r="AC1504" s="35"/>
      <c r="AD1504" s="35"/>
    </row>
    <row r="1505" spans="1:30">
      <c r="A1505" s="102">
        <f t="shared" si="24"/>
        <v>1504</v>
      </c>
      <c r="B1505" s="468">
        <f>YEAR(Table6[[#This Row],[Date]])+IF(MONTH(Table6[[#This Row],[Date]])&gt;=4,1,0)</f>
        <v>2026</v>
      </c>
      <c r="C1505" s="102">
        <f>YEAR(Table6[[#This Row],[Date]])</f>
        <v>2025</v>
      </c>
      <c r="D1505" s="102" t="s">
        <v>1992</v>
      </c>
      <c r="E1505" s="469">
        <f>Table6[[#This Row],[Date]]-DAY(Table6[[#This Row],[Date]])+1</f>
        <v>45839</v>
      </c>
      <c r="F1505" s="470">
        <v>45849</v>
      </c>
      <c r="G1505" s="35" t="s">
        <v>83</v>
      </c>
      <c r="H1505" s="35" t="str">
        <f>IFERROR(_xlfn.XLOOKUP(Table6[[#This Row],[Affected WTG]],'Basic Data'!$A:$A,'Basic Data'!$B:$B),"")</f>
        <v>TQGXIIPL</v>
      </c>
      <c r="I1505" s="35" t="str">
        <f>IFERROR(_xlfn.XLOOKUP(Table6[[#This Row],[Affected WTG]],'Basic Data'!$A:$A,'Basic Data'!$C:$C),"")</f>
        <v>GEDA</v>
      </c>
      <c r="J1505" s="471">
        <f>IFERROR(_xlfn.XLOOKUP(Table6[[#This Row],[Affected WTG]],'Basic Data'!$A:$A,'Basic Data'!$E:$E),"")</f>
        <v>3.846153846153845E-2</v>
      </c>
      <c r="K1505" s="102">
        <v>55</v>
      </c>
      <c r="L1505" s="35" t="str">
        <f>IFERROR(_xlfn.XLOOKUP(Table6[[#This Row],[Error Code]],'Basic Data'!$AA:$AA,'Basic Data'!$AB:$AB),"Incorrect Error Code")</f>
        <v>WTG shut down</v>
      </c>
      <c r="M1505" s="35" t="s">
        <v>291</v>
      </c>
      <c r="N1505" s="475"/>
      <c r="O1505" s="476">
        <v>0.5541666666666667</v>
      </c>
      <c r="P1505" s="476">
        <v>0.5541666666666667</v>
      </c>
      <c r="Q1505" s="477">
        <v>0.57777777777777772</v>
      </c>
      <c r="R1505" s="472">
        <f>IF(Table6[[#This Row],[Work Start TimeStamp]]="","",(Table6[[#This Row],[Work Start TimeStamp]]-Table6[[#This Row],[Fault Start TimeStamp]])*24)</f>
        <v>0</v>
      </c>
      <c r="S1505" s="472">
        <f>(Table6[[#This Row],[Fault Clearance time]]-Table6[[#This Row],[Work Start TimeStamp]])*24</f>
        <v>0.56666666666666465</v>
      </c>
      <c r="T1505" s="472">
        <f>(Table6[[#This Row],[Fault Clearance time]]-Table6[[#This Row],[Fault Start TimeStamp]])*24</f>
        <v>0.56666666666666465</v>
      </c>
      <c r="U1505" s="35" t="s">
        <v>2078</v>
      </c>
      <c r="V1505" s="102" t="s">
        <v>293</v>
      </c>
      <c r="W1505" s="549">
        <f>IFERROR(Table6[[#This Row],[Breakdown Time]]*Table6[[#This Row],[Plant Equivalent Weightage]],"")</f>
        <v>2.1794871794871711E-2</v>
      </c>
      <c r="X1505" s="473" t="s">
        <v>294</v>
      </c>
      <c r="Y1505" s="474" t="s">
        <v>88</v>
      </c>
      <c r="Z1505" s="102">
        <v>18652</v>
      </c>
      <c r="AA1505" s="468">
        <f>(Table6[[#This Row],[Paired WTG Generation for loss calculation]]/24)*Table6[[#This Row],[Breakdown Time]]</f>
        <v>440.39444444444285</v>
      </c>
      <c r="AB1505" s="102"/>
      <c r="AC1505" s="35"/>
      <c r="AD1505" s="35"/>
    </row>
    <row r="1506" spans="1:30">
      <c r="A1506" s="102">
        <f t="shared" si="24"/>
        <v>1505</v>
      </c>
      <c r="B1506" s="468">
        <f>YEAR(Table6[[#This Row],[Date]])+IF(MONTH(Table6[[#This Row],[Date]])&gt;=4,1,0)</f>
        <v>2026</v>
      </c>
      <c r="C1506" s="102">
        <f>YEAR(Table6[[#This Row],[Date]])</f>
        <v>2025</v>
      </c>
      <c r="D1506" s="102" t="s">
        <v>1992</v>
      </c>
      <c r="E1506" s="469">
        <f>Table6[[#This Row],[Date]]-DAY(Table6[[#This Row],[Date]])+1</f>
        <v>45839</v>
      </c>
      <c r="F1506" s="470">
        <v>45849</v>
      </c>
      <c r="G1506" s="35" t="s">
        <v>85</v>
      </c>
      <c r="H1506" s="35" t="str">
        <f>IFERROR(_xlfn.XLOOKUP(Table6[[#This Row],[Affected WTG]],'Basic Data'!$A:$A,'Basic Data'!$B:$B),"")</f>
        <v>TQGXIIPL</v>
      </c>
      <c r="I1506" s="35" t="str">
        <f>IFERROR(_xlfn.XLOOKUP(Table6[[#This Row],[Affected WTG]],'Basic Data'!$A:$A,'Basic Data'!$C:$C),"")</f>
        <v>GEDA</v>
      </c>
      <c r="J1506" s="471">
        <f>IFERROR(_xlfn.XLOOKUP(Table6[[#This Row],[Affected WTG]],'Basic Data'!$A:$A,'Basic Data'!$E:$E),"")</f>
        <v>3.846153846153845E-2</v>
      </c>
      <c r="K1506" s="102">
        <v>6605</v>
      </c>
      <c r="L1506" s="35" t="str">
        <f>IFERROR(_xlfn.XLOOKUP(Table6[[#This Row],[Error Code]],'Basic Data'!$AA:$AA,'Basic Data'!$AB:$AB),"Incorrect Error Code")</f>
        <v>Wind.dir. diff. level 2</v>
      </c>
      <c r="M1506" s="35" t="s">
        <v>291</v>
      </c>
      <c r="N1506" s="475"/>
      <c r="O1506" s="476">
        <v>0.29444444444444445</v>
      </c>
      <c r="P1506" s="476">
        <v>0.29444444444444445</v>
      </c>
      <c r="Q1506" s="477">
        <v>0.29583333333333334</v>
      </c>
      <c r="R1506" s="472">
        <f>IF(Table6[[#This Row],[Work Start TimeStamp]]="","",(Table6[[#This Row],[Work Start TimeStamp]]-Table6[[#This Row],[Fault Start TimeStamp]])*24)</f>
        <v>0</v>
      </c>
      <c r="S1506" s="472">
        <f>(Table6[[#This Row],[Fault Clearance time]]-Table6[[#This Row],[Work Start TimeStamp]])*24</f>
        <v>3.3333333333333215E-2</v>
      </c>
      <c r="T1506" s="472">
        <f>(Table6[[#This Row],[Fault Clearance time]]-Table6[[#This Row],[Fault Start TimeStamp]])*24</f>
        <v>3.3333333333333215E-2</v>
      </c>
      <c r="U1506" s="35" t="s">
        <v>1924</v>
      </c>
      <c r="V1506" s="102" t="s">
        <v>293</v>
      </c>
      <c r="W1506" s="549">
        <f>IFERROR(Table6[[#This Row],[Breakdown Time]]*Table6[[#This Row],[Plant Equivalent Weightage]],"")</f>
        <v>1.2820512820512771E-3</v>
      </c>
      <c r="X1506" s="473" t="s">
        <v>294</v>
      </c>
      <c r="Y1506" s="474" t="s">
        <v>87</v>
      </c>
      <c r="Z1506" s="102">
        <v>20451</v>
      </c>
      <c r="AA1506" s="468">
        <f>(Table6[[#This Row],[Paired WTG Generation for loss calculation]]/24)*Table6[[#This Row],[Breakdown Time]]</f>
        <v>28.404166666666566</v>
      </c>
      <c r="AB1506" s="102"/>
      <c r="AC1506" s="35"/>
      <c r="AD1506" s="35"/>
    </row>
    <row r="1507" spans="1:30">
      <c r="A1507" s="102">
        <f t="shared" si="24"/>
        <v>1506</v>
      </c>
      <c r="B1507" s="468">
        <f>YEAR(Table6[[#This Row],[Date]])+IF(MONTH(Table6[[#This Row],[Date]])&gt;=4,1,0)</f>
        <v>2026</v>
      </c>
      <c r="C1507" s="102">
        <f>YEAR(Table6[[#This Row],[Date]])</f>
        <v>2025</v>
      </c>
      <c r="D1507" s="102" t="s">
        <v>1992</v>
      </c>
      <c r="E1507" s="469">
        <f>Table6[[#This Row],[Date]]-DAY(Table6[[#This Row],[Date]])+1</f>
        <v>45839</v>
      </c>
      <c r="F1507" s="470">
        <v>45849</v>
      </c>
      <c r="G1507" s="35" t="s">
        <v>85</v>
      </c>
      <c r="H1507" s="35" t="str">
        <f>IFERROR(_xlfn.XLOOKUP(Table6[[#This Row],[Affected WTG]],'Basic Data'!$A:$A,'Basic Data'!$B:$B),"")</f>
        <v>TQGXIIPL</v>
      </c>
      <c r="I1507" s="35" t="str">
        <f>IFERROR(_xlfn.XLOOKUP(Table6[[#This Row],[Affected WTG]],'Basic Data'!$A:$A,'Basic Data'!$C:$C),"")</f>
        <v>GEDA</v>
      </c>
      <c r="J1507" s="471">
        <f>IFERROR(_xlfn.XLOOKUP(Table6[[#This Row],[Affected WTG]],'Basic Data'!$A:$A,'Basic Data'!$E:$E),"")</f>
        <v>3.846153846153845E-2</v>
      </c>
      <c r="K1507" s="102">
        <v>6605</v>
      </c>
      <c r="L1507" s="35" t="str">
        <f>IFERROR(_xlfn.XLOOKUP(Table6[[#This Row],[Error Code]],'Basic Data'!$AA:$AA,'Basic Data'!$AB:$AB),"Incorrect Error Code")</f>
        <v>Wind.dir. diff. level 2</v>
      </c>
      <c r="M1507" s="35" t="s">
        <v>291</v>
      </c>
      <c r="N1507" s="475"/>
      <c r="O1507" s="476">
        <v>0.38611111111111113</v>
      </c>
      <c r="P1507" s="476">
        <v>0.38611111111111113</v>
      </c>
      <c r="Q1507" s="477">
        <v>0.38750000000000001</v>
      </c>
      <c r="R1507" s="472">
        <f>IF(Table6[[#This Row],[Work Start TimeStamp]]="","",(Table6[[#This Row],[Work Start TimeStamp]]-Table6[[#This Row],[Fault Start TimeStamp]])*24)</f>
        <v>0</v>
      </c>
      <c r="S1507" s="472">
        <f>(Table6[[#This Row],[Fault Clearance time]]-Table6[[#This Row],[Work Start TimeStamp]])*24</f>
        <v>3.3333333333333215E-2</v>
      </c>
      <c r="T1507" s="472">
        <f>(Table6[[#This Row],[Fault Clearance time]]-Table6[[#This Row],[Fault Start TimeStamp]])*24</f>
        <v>3.3333333333333215E-2</v>
      </c>
      <c r="U1507" s="35" t="s">
        <v>1924</v>
      </c>
      <c r="V1507" s="102" t="s">
        <v>293</v>
      </c>
      <c r="W1507" s="549">
        <f>IFERROR(Table6[[#This Row],[Breakdown Time]]*Table6[[#This Row],[Plant Equivalent Weightage]],"")</f>
        <v>1.2820512820512771E-3</v>
      </c>
      <c r="X1507" s="473" t="s">
        <v>294</v>
      </c>
      <c r="Y1507" s="474" t="s">
        <v>87</v>
      </c>
      <c r="Z1507" s="102">
        <v>20451</v>
      </c>
      <c r="AA1507" s="468">
        <f>(Table6[[#This Row],[Paired WTG Generation for loss calculation]]/24)*Table6[[#This Row],[Breakdown Time]]</f>
        <v>28.404166666666566</v>
      </c>
      <c r="AB1507" s="102"/>
      <c r="AC1507" s="35"/>
      <c r="AD1507" s="35"/>
    </row>
    <row r="1508" spans="1:30">
      <c r="A1508" s="102">
        <f t="shared" si="24"/>
        <v>1507</v>
      </c>
      <c r="B1508" s="468">
        <f>YEAR(Table6[[#This Row],[Date]])+IF(MONTH(Table6[[#This Row],[Date]])&gt;=4,1,0)</f>
        <v>2026</v>
      </c>
      <c r="C1508" s="102">
        <f>YEAR(Table6[[#This Row],[Date]])</f>
        <v>2025</v>
      </c>
      <c r="D1508" s="102" t="s">
        <v>1992</v>
      </c>
      <c r="E1508" s="469">
        <f>Table6[[#This Row],[Date]]-DAY(Table6[[#This Row],[Date]])+1</f>
        <v>45839</v>
      </c>
      <c r="F1508" s="470">
        <v>45849</v>
      </c>
      <c r="G1508" s="35" t="s">
        <v>85</v>
      </c>
      <c r="H1508" s="35" t="str">
        <f>IFERROR(_xlfn.XLOOKUP(Table6[[#This Row],[Affected WTG]],'Basic Data'!$A:$A,'Basic Data'!$B:$B),"")</f>
        <v>TQGXIIPL</v>
      </c>
      <c r="I1508" s="35" t="str">
        <f>IFERROR(_xlfn.XLOOKUP(Table6[[#This Row],[Affected WTG]],'Basic Data'!$A:$A,'Basic Data'!$C:$C),"")</f>
        <v>GEDA</v>
      </c>
      <c r="J1508" s="471">
        <f>IFERROR(_xlfn.XLOOKUP(Table6[[#This Row],[Affected WTG]],'Basic Data'!$A:$A,'Basic Data'!$E:$E),"")</f>
        <v>3.846153846153845E-2</v>
      </c>
      <c r="K1508" s="102">
        <v>6605</v>
      </c>
      <c r="L1508" s="35" t="str">
        <f>IFERROR(_xlfn.XLOOKUP(Table6[[#This Row],[Error Code]],'Basic Data'!$AA:$AA,'Basic Data'!$AB:$AB),"Incorrect Error Code")</f>
        <v>Wind.dir. diff. level 2</v>
      </c>
      <c r="M1508" s="35" t="s">
        <v>291</v>
      </c>
      <c r="N1508" s="475"/>
      <c r="O1508" s="476">
        <v>0.62361111111111112</v>
      </c>
      <c r="P1508" s="476">
        <v>0.62361111111111112</v>
      </c>
      <c r="Q1508" s="477">
        <v>0.625</v>
      </c>
      <c r="R1508" s="472">
        <f>IF(Table6[[#This Row],[Work Start TimeStamp]]="","",(Table6[[#This Row],[Work Start TimeStamp]]-Table6[[#This Row],[Fault Start TimeStamp]])*24)</f>
        <v>0</v>
      </c>
      <c r="S1508" s="472">
        <f>(Table6[[#This Row],[Fault Clearance time]]-Table6[[#This Row],[Work Start TimeStamp]])*24</f>
        <v>3.3333333333333215E-2</v>
      </c>
      <c r="T1508" s="472">
        <f>(Table6[[#This Row],[Fault Clearance time]]-Table6[[#This Row],[Fault Start TimeStamp]])*24</f>
        <v>3.3333333333333215E-2</v>
      </c>
      <c r="U1508" s="35" t="s">
        <v>1924</v>
      </c>
      <c r="V1508" s="102" t="s">
        <v>293</v>
      </c>
      <c r="W1508" s="549">
        <f>IFERROR(Table6[[#This Row],[Breakdown Time]]*Table6[[#This Row],[Plant Equivalent Weightage]],"")</f>
        <v>1.2820512820512771E-3</v>
      </c>
      <c r="X1508" s="473" t="s">
        <v>294</v>
      </c>
      <c r="Y1508" s="474" t="s">
        <v>87</v>
      </c>
      <c r="Z1508" s="102">
        <v>20451</v>
      </c>
      <c r="AA1508" s="468">
        <f>(Table6[[#This Row],[Paired WTG Generation for loss calculation]]/24)*Table6[[#This Row],[Breakdown Time]]</f>
        <v>28.404166666666566</v>
      </c>
      <c r="AB1508" s="102"/>
      <c r="AC1508" s="35"/>
      <c r="AD1508" s="35"/>
    </row>
    <row r="1509" spans="1:30">
      <c r="A1509" s="102">
        <f t="shared" si="24"/>
        <v>1508</v>
      </c>
      <c r="B1509" s="468">
        <f>YEAR(Table6[[#This Row],[Date]])+IF(MONTH(Table6[[#This Row],[Date]])&gt;=4,1,0)</f>
        <v>2026</v>
      </c>
      <c r="C1509" s="102">
        <f>YEAR(Table6[[#This Row],[Date]])</f>
        <v>2025</v>
      </c>
      <c r="D1509" s="102" t="s">
        <v>1992</v>
      </c>
      <c r="E1509" s="469">
        <f>Table6[[#This Row],[Date]]-DAY(Table6[[#This Row],[Date]])+1</f>
        <v>45839</v>
      </c>
      <c r="F1509" s="470">
        <v>45849</v>
      </c>
      <c r="G1509" s="35" t="s">
        <v>85</v>
      </c>
      <c r="H1509" s="35" t="str">
        <f>IFERROR(_xlfn.XLOOKUP(Table6[[#This Row],[Affected WTG]],'Basic Data'!$A:$A,'Basic Data'!$B:$B),"")</f>
        <v>TQGXIIPL</v>
      </c>
      <c r="I1509" s="35" t="str">
        <f>IFERROR(_xlfn.XLOOKUP(Table6[[#This Row],[Affected WTG]],'Basic Data'!$A:$A,'Basic Data'!$C:$C),"")</f>
        <v>GEDA</v>
      </c>
      <c r="J1509" s="471">
        <f>IFERROR(_xlfn.XLOOKUP(Table6[[#This Row],[Affected WTG]],'Basic Data'!$A:$A,'Basic Data'!$E:$E),"")</f>
        <v>3.846153846153845E-2</v>
      </c>
      <c r="K1509" s="102">
        <v>6605</v>
      </c>
      <c r="L1509" s="35" t="str">
        <f>IFERROR(_xlfn.XLOOKUP(Table6[[#This Row],[Error Code]],'Basic Data'!$AA:$AA,'Basic Data'!$AB:$AB),"Incorrect Error Code")</f>
        <v>Wind.dir. diff. level 2</v>
      </c>
      <c r="M1509" s="35" t="s">
        <v>291</v>
      </c>
      <c r="N1509" s="475"/>
      <c r="O1509" s="476">
        <v>0.87916666666666665</v>
      </c>
      <c r="P1509" s="476">
        <v>0.87916666666666665</v>
      </c>
      <c r="Q1509" s="477">
        <v>0.88055555555555554</v>
      </c>
      <c r="R1509" s="472">
        <f>IF(Table6[[#This Row],[Work Start TimeStamp]]="","",(Table6[[#This Row],[Work Start TimeStamp]]-Table6[[#This Row],[Fault Start TimeStamp]])*24)</f>
        <v>0</v>
      </c>
      <c r="S1509" s="472">
        <f>(Table6[[#This Row],[Fault Clearance time]]-Table6[[#This Row],[Work Start TimeStamp]])*24</f>
        <v>3.3333333333333215E-2</v>
      </c>
      <c r="T1509" s="472">
        <f>(Table6[[#This Row],[Fault Clearance time]]-Table6[[#This Row],[Fault Start TimeStamp]])*24</f>
        <v>3.3333333333333215E-2</v>
      </c>
      <c r="U1509" s="35" t="s">
        <v>1924</v>
      </c>
      <c r="V1509" s="102" t="s">
        <v>293</v>
      </c>
      <c r="W1509" s="549">
        <f>IFERROR(Table6[[#This Row],[Breakdown Time]]*Table6[[#This Row],[Plant Equivalent Weightage]],"")</f>
        <v>1.2820512820512771E-3</v>
      </c>
      <c r="X1509" s="473" t="s">
        <v>294</v>
      </c>
      <c r="Y1509" s="474" t="s">
        <v>87</v>
      </c>
      <c r="Z1509" s="102">
        <v>20451</v>
      </c>
      <c r="AA1509" s="468">
        <f>(Table6[[#This Row],[Paired WTG Generation for loss calculation]]/24)*Table6[[#This Row],[Breakdown Time]]</f>
        <v>28.404166666666566</v>
      </c>
      <c r="AB1509" s="102"/>
      <c r="AC1509" s="35"/>
      <c r="AD1509" s="35"/>
    </row>
    <row r="1510" spans="1:30">
      <c r="A1510" s="102">
        <f t="shared" si="24"/>
        <v>1509</v>
      </c>
      <c r="B1510" s="468">
        <f>YEAR(Table6[[#This Row],[Date]])+IF(MONTH(Table6[[#This Row],[Date]])&gt;=4,1,0)</f>
        <v>2026</v>
      </c>
      <c r="C1510" s="102">
        <f>YEAR(Table6[[#This Row],[Date]])</f>
        <v>2025</v>
      </c>
      <c r="D1510" s="102" t="s">
        <v>1992</v>
      </c>
      <c r="E1510" s="469">
        <f>Table6[[#This Row],[Date]]-DAY(Table6[[#This Row],[Date]])+1</f>
        <v>45839</v>
      </c>
      <c r="F1510" s="470">
        <v>45850</v>
      </c>
      <c r="G1510" s="35" t="s">
        <v>74</v>
      </c>
      <c r="H1510" s="35" t="str">
        <f>IFERROR(_xlfn.XLOOKUP(Table6[[#This Row],[Affected WTG]],'Basic Data'!$A:$A,'Basic Data'!$B:$B),"")</f>
        <v>TQGXIIPL</v>
      </c>
      <c r="I1510" s="35" t="str">
        <f>IFERROR(_xlfn.XLOOKUP(Table6[[#This Row],[Affected WTG]],'Basic Data'!$A:$A,'Basic Data'!$C:$C),"")</f>
        <v>GEDA</v>
      </c>
      <c r="J1510" s="471">
        <f>IFERROR(_xlfn.XLOOKUP(Table6[[#This Row],[Affected WTG]],'Basic Data'!$A:$A,'Basic Data'!$E:$E),"")</f>
        <v>3.846153846153845E-2</v>
      </c>
      <c r="K1510" s="102">
        <v>6130</v>
      </c>
      <c r="L1510" s="35" t="str">
        <f>IFERROR(_xlfn.XLOOKUP(Table6[[#This Row],[Error Code]],'Basic Data'!$AA:$AA,'Basic Data'!$AB:$AB),"Incorrect Error Code")</f>
        <v>Yaw speed high</v>
      </c>
      <c r="M1510" s="35" t="s">
        <v>291</v>
      </c>
      <c r="N1510" s="475"/>
      <c r="O1510" s="476">
        <v>0.79722222222222228</v>
      </c>
      <c r="P1510" s="476">
        <v>0.79722222222222228</v>
      </c>
      <c r="Q1510" s="477">
        <v>0.79861111111111116</v>
      </c>
      <c r="R1510" s="472">
        <f>IF(Table6[[#This Row],[Work Start TimeStamp]]="","",(Table6[[#This Row],[Work Start TimeStamp]]-Table6[[#This Row],[Fault Start TimeStamp]])*24)</f>
        <v>0</v>
      </c>
      <c r="S1510" s="472">
        <f>(Table6[[#This Row],[Fault Clearance time]]-Table6[[#This Row],[Work Start TimeStamp]])*24</f>
        <v>3.3333333333333215E-2</v>
      </c>
      <c r="T1510" s="472">
        <f>(Table6[[#This Row],[Fault Clearance time]]-Table6[[#This Row],[Fault Start TimeStamp]])*24</f>
        <v>3.3333333333333215E-2</v>
      </c>
      <c r="U1510" s="35" t="s">
        <v>1924</v>
      </c>
      <c r="V1510" s="102" t="s">
        <v>293</v>
      </c>
      <c r="W1510" s="549">
        <f>IFERROR(Table6[[#This Row],[Breakdown Time]]*Table6[[#This Row],[Plant Equivalent Weightage]],"")</f>
        <v>1.2820512820512771E-3</v>
      </c>
      <c r="X1510" s="473" t="s">
        <v>294</v>
      </c>
      <c r="Y1510" s="474" t="s">
        <v>99</v>
      </c>
      <c r="Z1510" s="102">
        <v>16351</v>
      </c>
      <c r="AA1510" s="468">
        <f>(Table6[[#This Row],[Paired WTG Generation for loss calculation]]/24)*Table6[[#This Row],[Breakdown Time]]</f>
        <v>22.70972222222214</v>
      </c>
      <c r="AB1510" s="102"/>
      <c r="AC1510" s="35"/>
      <c r="AD1510" s="35"/>
    </row>
    <row r="1511" spans="1:30">
      <c r="A1511" s="102">
        <f t="shared" si="24"/>
        <v>1510</v>
      </c>
      <c r="B1511" s="468">
        <f>YEAR(Table6[[#This Row],[Date]])+IF(MONTH(Table6[[#This Row],[Date]])&gt;=4,1,0)</f>
        <v>2026</v>
      </c>
      <c r="C1511" s="102">
        <f>YEAR(Table6[[#This Row],[Date]])</f>
        <v>2025</v>
      </c>
      <c r="D1511" s="102" t="s">
        <v>1992</v>
      </c>
      <c r="E1511" s="469">
        <f>Table6[[#This Row],[Date]]-DAY(Table6[[#This Row],[Date]])+1</f>
        <v>45839</v>
      </c>
      <c r="F1511" s="470">
        <v>45850</v>
      </c>
      <c r="G1511" s="35" t="s">
        <v>77</v>
      </c>
      <c r="H1511" s="35" t="str">
        <f>IFERROR(_xlfn.XLOOKUP(Table6[[#This Row],[Affected WTG]],'Basic Data'!$A:$A,'Basic Data'!$B:$B),"")</f>
        <v>TQGXIIPL</v>
      </c>
      <c r="I1511" s="35" t="str">
        <f>IFERROR(_xlfn.XLOOKUP(Table6[[#This Row],[Affected WTG]],'Basic Data'!$A:$A,'Basic Data'!$C:$C),"")</f>
        <v>GEDA</v>
      </c>
      <c r="J1511" s="471">
        <f>IFERROR(_xlfn.XLOOKUP(Table6[[#This Row],[Affected WTG]],'Basic Data'!$A:$A,'Basic Data'!$E:$E),"")</f>
        <v>3.846153846153845E-2</v>
      </c>
      <c r="K1511" s="102">
        <v>6130</v>
      </c>
      <c r="L1511" s="35" t="str">
        <f>IFERROR(_xlfn.XLOOKUP(Table6[[#This Row],[Error Code]],'Basic Data'!$AA:$AA,'Basic Data'!$AB:$AB),"Incorrect Error Code")</f>
        <v>Yaw speed high</v>
      </c>
      <c r="M1511" s="35" t="s">
        <v>291</v>
      </c>
      <c r="N1511" s="475"/>
      <c r="O1511" s="476">
        <v>0.3972222222222222</v>
      </c>
      <c r="P1511" s="476">
        <v>0.3972222222222222</v>
      </c>
      <c r="Q1511" s="477">
        <v>0.39861111111111114</v>
      </c>
      <c r="R1511" s="472">
        <f>IF(Table6[[#This Row],[Work Start TimeStamp]]="","",(Table6[[#This Row],[Work Start TimeStamp]]-Table6[[#This Row],[Fault Start TimeStamp]])*24)</f>
        <v>0</v>
      </c>
      <c r="S1511" s="472">
        <f>(Table6[[#This Row],[Fault Clearance time]]-Table6[[#This Row],[Work Start TimeStamp]])*24</f>
        <v>3.3333333333334547E-2</v>
      </c>
      <c r="T1511" s="472">
        <f>(Table6[[#This Row],[Fault Clearance time]]-Table6[[#This Row],[Fault Start TimeStamp]])*24</f>
        <v>3.3333333333334547E-2</v>
      </c>
      <c r="U1511" s="35" t="s">
        <v>1924</v>
      </c>
      <c r="V1511" s="102" t="s">
        <v>293</v>
      </c>
      <c r="W1511" s="549">
        <f>IFERROR(Table6[[#This Row],[Breakdown Time]]*Table6[[#This Row],[Plant Equivalent Weightage]],"")</f>
        <v>1.2820512820513285E-3</v>
      </c>
      <c r="X1511" s="473" t="s">
        <v>294</v>
      </c>
      <c r="Y1511" s="474" t="s">
        <v>75</v>
      </c>
      <c r="Z1511" s="102">
        <v>19382</v>
      </c>
      <c r="AA1511" s="468">
        <f>(Table6[[#This Row],[Paired WTG Generation for loss calculation]]/24)*Table6[[#This Row],[Breakdown Time]]</f>
        <v>26.919444444445425</v>
      </c>
      <c r="AB1511" s="102"/>
      <c r="AC1511" s="35"/>
      <c r="AD1511" s="35"/>
    </row>
    <row r="1512" spans="1:30">
      <c r="A1512" s="102">
        <f t="shared" si="24"/>
        <v>1511</v>
      </c>
      <c r="B1512" s="468">
        <f>YEAR(Table6[[#This Row],[Date]])+IF(MONTH(Table6[[#This Row],[Date]])&gt;=4,1,0)</f>
        <v>2026</v>
      </c>
      <c r="C1512" s="102">
        <f>YEAR(Table6[[#This Row],[Date]])</f>
        <v>2025</v>
      </c>
      <c r="D1512" s="102" t="s">
        <v>1992</v>
      </c>
      <c r="E1512" s="469">
        <f>Table6[[#This Row],[Date]]-DAY(Table6[[#This Row],[Date]])+1</f>
        <v>45839</v>
      </c>
      <c r="F1512" s="470">
        <v>45850</v>
      </c>
      <c r="G1512" s="35" t="s">
        <v>78</v>
      </c>
      <c r="H1512" s="35" t="str">
        <f>IFERROR(_xlfn.XLOOKUP(Table6[[#This Row],[Affected WTG]],'Basic Data'!$A:$A,'Basic Data'!$B:$B),"")</f>
        <v>TQGXIIPL</v>
      </c>
      <c r="I1512" s="35" t="str">
        <f>IFERROR(_xlfn.XLOOKUP(Table6[[#This Row],[Affected WTG]],'Basic Data'!$A:$A,'Basic Data'!$C:$C),"")</f>
        <v>GEDA</v>
      </c>
      <c r="J1512" s="471">
        <f>IFERROR(_xlfn.XLOOKUP(Table6[[#This Row],[Affected WTG]],'Basic Data'!$A:$A,'Basic Data'!$E:$E),"")</f>
        <v>3.846153846153845E-2</v>
      </c>
      <c r="K1512" s="102">
        <v>6130</v>
      </c>
      <c r="L1512" s="35" t="str">
        <f>IFERROR(_xlfn.XLOOKUP(Table6[[#This Row],[Error Code]],'Basic Data'!$AA:$AA,'Basic Data'!$AB:$AB),"Incorrect Error Code")</f>
        <v>Yaw speed high</v>
      </c>
      <c r="M1512" s="35" t="s">
        <v>291</v>
      </c>
      <c r="N1512" s="475"/>
      <c r="O1512" s="476">
        <v>0.55277777777777781</v>
      </c>
      <c r="P1512" s="476">
        <v>0.55277777777777781</v>
      </c>
      <c r="Q1512" s="477">
        <v>0.55694444444444446</v>
      </c>
      <c r="R1512" s="472">
        <f>IF(Table6[[#This Row],[Work Start TimeStamp]]="","",(Table6[[#This Row],[Work Start TimeStamp]]-Table6[[#This Row],[Fault Start TimeStamp]])*24)</f>
        <v>0</v>
      </c>
      <c r="S1512" s="472">
        <f>(Table6[[#This Row],[Fault Clearance time]]-Table6[[#This Row],[Work Start TimeStamp]])*24</f>
        <v>9.9999999999999645E-2</v>
      </c>
      <c r="T1512" s="472">
        <f>(Table6[[#This Row],[Fault Clearance time]]-Table6[[#This Row],[Fault Start TimeStamp]])*24</f>
        <v>9.9999999999999645E-2</v>
      </c>
      <c r="U1512" s="35" t="s">
        <v>1924</v>
      </c>
      <c r="V1512" s="102" t="s">
        <v>293</v>
      </c>
      <c r="W1512" s="549">
        <f>IFERROR(Table6[[#This Row],[Breakdown Time]]*Table6[[#This Row],[Plant Equivalent Weightage]],"")</f>
        <v>3.8461538461538312E-3</v>
      </c>
      <c r="X1512" s="473" t="s">
        <v>294</v>
      </c>
      <c r="Y1512" s="474" t="s">
        <v>75</v>
      </c>
      <c r="Z1512" s="102">
        <v>19382</v>
      </c>
      <c r="AA1512" s="468">
        <f>(Table6[[#This Row],[Paired WTG Generation for loss calculation]]/24)*Table6[[#This Row],[Breakdown Time]]</f>
        <v>80.758333333333056</v>
      </c>
      <c r="AB1512" s="102"/>
      <c r="AC1512" s="35"/>
      <c r="AD1512" s="35"/>
    </row>
    <row r="1513" spans="1:30">
      <c r="A1513" s="102">
        <f t="shared" si="24"/>
        <v>1512</v>
      </c>
      <c r="B1513" s="468">
        <f>YEAR(Table6[[#This Row],[Date]])+IF(MONTH(Table6[[#This Row],[Date]])&gt;=4,1,0)</f>
        <v>2026</v>
      </c>
      <c r="C1513" s="102">
        <f>YEAR(Table6[[#This Row],[Date]])</f>
        <v>2025</v>
      </c>
      <c r="D1513" s="102" t="s">
        <v>1992</v>
      </c>
      <c r="E1513" s="469">
        <f>Table6[[#This Row],[Date]]-DAY(Table6[[#This Row],[Date]])+1</f>
        <v>45839</v>
      </c>
      <c r="F1513" s="470">
        <v>45850</v>
      </c>
      <c r="G1513" s="35" t="s">
        <v>82</v>
      </c>
      <c r="H1513" s="35" t="str">
        <f>IFERROR(_xlfn.XLOOKUP(Table6[[#This Row],[Affected WTG]],'Basic Data'!$A:$A,'Basic Data'!$B:$B),"")</f>
        <v>TQGXIIPL</v>
      </c>
      <c r="I1513" s="35" t="str">
        <f>IFERROR(_xlfn.XLOOKUP(Table6[[#This Row],[Affected WTG]],'Basic Data'!$A:$A,'Basic Data'!$C:$C),"")</f>
        <v>GEDA</v>
      </c>
      <c r="J1513" s="471">
        <f>IFERROR(_xlfn.XLOOKUP(Table6[[#This Row],[Affected WTG]],'Basic Data'!$A:$A,'Basic Data'!$E:$E),"")</f>
        <v>3.846153846153845E-2</v>
      </c>
      <c r="K1513" s="102">
        <v>4960</v>
      </c>
      <c r="L1513" s="35" t="str">
        <f>IFERROR(_xlfn.XLOOKUP(Table6[[#This Row],[Error Code]],'Basic Data'!$AA:$AA,'Basic Data'!$AB:$AB),"Incorrect Error Code")</f>
        <v>Tower oscillation YF</v>
      </c>
      <c r="M1513" s="35" t="s">
        <v>291</v>
      </c>
      <c r="N1513" s="475"/>
      <c r="O1513" s="476">
        <v>0.83958333333333335</v>
      </c>
      <c r="P1513" s="476">
        <v>0.83958333333333335</v>
      </c>
      <c r="Q1513" s="477">
        <v>0.84652777777777777</v>
      </c>
      <c r="R1513" s="472">
        <f>IF(Table6[[#This Row],[Work Start TimeStamp]]="","",(Table6[[#This Row],[Work Start TimeStamp]]-Table6[[#This Row],[Fault Start TimeStamp]])*24)</f>
        <v>0</v>
      </c>
      <c r="S1513" s="472">
        <f>(Table6[[#This Row],[Fault Clearance time]]-Table6[[#This Row],[Work Start TimeStamp]])*24</f>
        <v>0.16666666666666607</v>
      </c>
      <c r="T1513" s="472">
        <f>(Table6[[#This Row],[Fault Clearance time]]-Table6[[#This Row],[Fault Start TimeStamp]])*24</f>
        <v>0.16666666666666607</v>
      </c>
      <c r="U1513" s="35" t="s">
        <v>1924</v>
      </c>
      <c r="V1513" s="102" t="s">
        <v>293</v>
      </c>
      <c r="W1513" s="549">
        <f>IFERROR(Table6[[#This Row],[Breakdown Time]]*Table6[[#This Row],[Plant Equivalent Weightage]],"")</f>
        <v>6.4102564102563857E-3</v>
      </c>
      <c r="X1513" s="473" t="s">
        <v>294</v>
      </c>
      <c r="Y1513" s="474" t="s">
        <v>76</v>
      </c>
      <c r="Z1513" s="102">
        <v>19725</v>
      </c>
      <c r="AA1513" s="468">
        <f>(Table6[[#This Row],[Paired WTG Generation for loss calculation]]/24)*Table6[[#This Row],[Breakdown Time]]</f>
        <v>136.97916666666617</v>
      </c>
      <c r="AB1513" s="102"/>
      <c r="AC1513" s="35"/>
      <c r="AD1513" s="35"/>
    </row>
    <row r="1514" spans="1:30">
      <c r="A1514" s="102">
        <f t="shared" si="24"/>
        <v>1513</v>
      </c>
      <c r="B1514" s="468">
        <f>YEAR(Table6[[#This Row],[Date]])+IF(MONTH(Table6[[#This Row],[Date]])&gt;=4,1,0)</f>
        <v>2026</v>
      </c>
      <c r="C1514" s="102">
        <f>YEAR(Table6[[#This Row],[Date]])</f>
        <v>2025</v>
      </c>
      <c r="D1514" s="102" t="s">
        <v>1992</v>
      </c>
      <c r="E1514" s="469">
        <f>Table6[[#This Row],[Date]]-DAY(Table6[[#This Row],[Date]])+1</f>
        <v>45839</v>
      </c>
      <c r="F1514" s="470">
        <v>45850</v>
      </c>
      <c r="G1514" s="35" t="s">
        <v>85</v>
      </c>
      <c r="H1514" s="35" t="str">
        <f>IFERROR(_xlfn.XLOOKUP(Table6[[#This Row],[Affected WTG]],'Basic Data'!$A:$A,'Basic Data'!$B:$B),"")</f>
        <v>TQGXIIPL</v>
      </c>
      <c r="I1514" s="35" t="str">
        <f>IFERROR(_xlfn.XLOOKUP(Table6[[#This Row],[Affected WTG]],'Basic Data'!$A:$A,'Basic Data'!$C:$C),"")</f>
        <v>GEDA</v>
      </c>
      <c r="J1514" s="471">
        <f>IFERROR(_xlfn.XLOOKUP(Table6[[#This Row],[Affected WTG]],'Basic Data'!$A:$A,'Basic Data'!$E:$E),"")</f>
        <v>3.846153846153845E-2</v>
      </c>
      <c r="K1514" s="102">
        <v>6605</v>
      </c>
      <c r="L1514" s="35" t="str">
        <f>IFERROR(_xlfn.XLOOKUP(Table6[[#This Row],[Error Code]],'Basic Data'!$AA:$AA,'Basic Data'!$AB:$AB),"Incorrect Error Code")</f>
        <v>Wind.dir. diff. level 2</v>
      </c>
      <c r="M1514" s="35" t="s">
        <v>291</v>
      </c>
      <c r="N1514" s="475"/>
      <c r="O1514" s="476">
        <v>6.1111111111111109E-2</v>
      </c>
      <c r="P1514" s="476">
        <v>6.1111111111111109E-2</v>
      </c>
      <c r="Q1514" s="477">
        <v>6.805555555555555E-2</v>
      </c>
      <c r="R1514" s="472">
        <f>IF(Table6[[#This Row],[Work Start TimeStamp]]="","",(Table6[[#This Row],[Work Start TimeStamp]]-Table6[[#This Row],[Fault Start TimeStamp]])*24)</f>
        <v>0</v>
      </c>
      <c r="S1514" s="472">
        <f>(Table6[[#This Row],[Fault Clearance time]]-Table6[[#This Row],[Work Start TimeStamp]])*24</f>
        <v>0.16666666666666657</v>
      </c>
      <c r="T1514" s="472">
        <f>(Table6[[#This Row],[Fault Clearance time]]-Table6[[#This Row],[Fault Start TimeStamp]])*24</f>
        <v>0.16666666666666657</v>
      </c>
      <c r="U1514" s="35" t="s">
        <v>1924</v>
      </c>
      <c r="V1514" s="102" t="s">
        <v>293</v>
      </c>
      <c r="W1514" s="549">
        <f>IFERROR(Table6[[#This Row],[Breakdown Time]]*Table6[[#This Row],[Plant Equivalent Weightage]],"")</f>
        <v>6.4102564102564048E-3</v>
      </c>
      <c r="X1514" s="473" t="s">
        <v>294</v>
      </c>
      <c r="Y1514" s="474" t="s">
        <v>87</v>
      </c>
      <c r="Z1514" s="102">
        <v>20643</v>
      </c>
      <c r="AA1514" s="468">
        <f>(Table6[[#This Row],[Paired WTG Generation for loss calculation]]/24)*Table6[[#This Row],[Breakdown Time]]</f>
        <v>143.3541666666666</v>
      </c>
      <c r="AB1514" s="102"/>
      <c r="AC1514" s="35"/>
      <c r="AD1514" s="35"/>
    </row>
    <row r="1515" spans="1:30">
      <c r="A1515" s="102">
        <f t="shared" si="24"/>
        <v>1514</v>
      </c>
      <c r="B1515" s="468">
        <f>YEAR(Table6[[#This Row],[Date]])+IF(MONTH(Table6[[#This Row],[Date]])&gt;=4,1,0)</f>
        <v>2026</v>
      </c>
      <c r="C1515" s="102">
        <f>YEAR(Table6[[#This Row],[Date]])</f>
        <v>2025</v>
      </c>
      <c r="D1515" s="102" t="s">
        <v>1992</v>
      </c>
      <c r="E1515" s="469">
        <f>Table6[[#This Row],[Date]]-DAY(Table6[[#This Row],[Date]])+1</f>
        <v>45839</v>
      </c>
      <c r="F1515" s="470">
        <v>45850</v>
      </c>
      <c r="G1515" s="35" t="s">
        <v>85</v>
      </c>
      <c r="H1515" s="35" t="str">
        <f>IFERROR(_xlfn.XLOOKUP(Table6[[#This Row],[Affected WTG]],'Basic Data'!$A:$A,'Basic Data'!$B:$B),"")</f>
        <v>TQGXIIPL</v>
      </c>
      <c r="I1515" s="35" t="str">
        <f>IFERROR(_xlfn.XLOOKUP(Table6[[#This Row],[Affected WTG]],'Basic Data'!$A:$A,'Basic Data'!$C:$C),"")</f>
        <v>GEDA</v>
      </c>
      <c r="J1515" s="471">
        <f>IFERROR(_xlfn.XLOOKUP(Table6[[#This Row],[Affected WTG]],'Basic Data'!$A:$A,'Basic Data'!$E:$E),"")</f>
        <v>3.846153846153845E-2</v>
      </c>
      <c r="K1515" s="102">
        <v>6605</v>
      </c>
      <c r="L1515" s="35" t="str">
        <f>IFERROR(_xlfn.XLOOKUP(Table6[[#This Row],[Error Code]],'Basic Data'!$AA:$AA,'Basic Data'!$AB:$AB),"Incorrect Error Code")</f>
        <v>Wind.dir. diff. level 2</v>
      </c>
      <c r="M1515" s="35" t="s">
        <v>291</v>
      </c>
      <c r="N1515" s="475"/>
      <c r="O1515" s="476">
        <v>0.23819444444444443</v>
      </c>
      <c r="P1515" s="476">
        <v>0.23819444444444443</v>
      </c>
      <c r="Q1515" s="477">
        <v>0.24027777777777778</v>
      </c>
      <c r="R1515" s="472">
        <f>IF(Table6[[#This Row],[Work Start TimeStamp]]="","",(Table6[[#This Row],[Work Start TimeStamp]]-Table6[[#This Row],[Fault Start TimeStamp]])*24)</f>
        <v>0</v>
      </c>
      <c r="S1515" s="472">
        <f>(Table6[[#This Row],[Fault Clearance time]]-Table6[[#This Row],[Work Start TimeStamp]])*24</f>
        <v>5.0000000000000488E-2</v>
      </c>
      <c r="T1515" s="472">
        <f>(Table6[[#This Row],[Fault Clearance time]]-Table6[[#This Row],[Fault Start TimeStamp]])*24</f>
        <v>5.0000000000000488E-2</v>
      </c>
      <c r="U1515" s="35" t="s">
        <v>1924</v>
      </c>
      <c r="V1515" s="102" t="s">
        <v>293</v>
      </c>
      <c r="W1515" s="549">
        <f>IFERROR(Table6[[#This Row],[Breakdown Time]]*Table6[[#This Row],[Plant Equivalent Weightage]],"")</f>
        <v>1.9230769230769412E-3</v>
      </c>
      <c r="X1515" s="473" t="s">
        <v>294</v>
      </c>
      <c r="Y1515" s="474" t="s">
        <v>87</v>
      </c>
      <c r="Z1515" s="102">
        <v>20643</v>
      </c>
      <c r="AA1515" s="468">
        <f>(Table6[[#This Row],[Paired WTG Generation for loss calculation]]/24)*Table6[[#This Row],[Breakdown Time]]</f>
        <v>43.006250000000421</v>
      </c>
      <c r="AB1515" s="102"/>
      <c r="AC1515" s="35"/>
      <c r="AD1515" s="35"/>
    </row>
    <row r="1516" spans="1:30">
      <c r="A1516" s="102">
        <f t="shared" si="24"/>
        <v>1515</v>
      </c>
      <c r="B1516" s="468">
        <f>YEAR(Table6[[#This Row],[Date]])+IF(MONTH(Table6[[#This Row],[Date]])&gt;=4,1,0)</f>
        <v>2026</v>
      </c>
      <c r="C1516" s="102">
        <f>YEAR(Table6[[#This Row],[Date]])</f>
        <v>2025</v>
      </c>
      <c r="D1516" s="102" t="s">
        <v>1992</v>
      </c>
      <c r="E1516" s="469">
        <f>Table6[[#This Row],[Date]]-DAY(Table6[[#This Row],[Date]])+1</f>
        <v>45839</v>
      </c>
      <c r="F1516" s="470">
        <v>45850</v>
      </c>
      <c r="G1516" s="35" t="s">
        <v>85</v>
      </c>
      <c r="H1516" s="35" t="str">
        <f>IFERROR(_xlfn.XLOOKUP(Table6[[#This Row],[Affected WTG]],'Basic Data'!$A:$A,'Basic Data'!$B:$B),"")</f>
        <v>TQGXIIPL</v>
      </c>
      <c r="I1516" s="35" t="str">
        <f>IFERROR(_xlfn.XLOOKUP(Table6[[#This Row],[Affected WTG]],'Basic Data'!$A:$A,'Basic Data'!$C:$C),"")</f>
        <v>GEDA</v>
      </c>
      <c r="J1516" s="471">
        <f>IFERROR(_xlfn.XLOOKUP(Table6[[#This Row],[Affected WTG]],'Basic Data'!$A:$A,'Basic Data'!$E:$E),"")</f>
        <v>3.846153846153845E-2</v>
      </c>
      <c r="K1516" s="102">
        <v>6605</v>
      </c>
      <c r="L1516" s="35" t="str">
        <f>IFERROR(_xlfn.XLOOKUP(Table6[[#This Row],[Error Code]],'Basic Data'!$AA:$AA,'Basic Data'!$AB:$AB),"Incorrect Error Code")</f>
        <v>Wind.dir. diff. level 2</v>
      </c>
      <c r="M1516" s="35" t="s">
        <v>291</v>
      </c>
      <c r="N1516" s="475"/>
      <c r="O1516" s="476">
        <v>0.31180555555555556</v>
      </c>
      <c r="P1516" s="476">
        <v>0.31180555555555556</v>
      </c>
      <c r="Q1516" s="477">
        <v>0.31319444444444444</v>
      </c>
      <c r="R1516" s="472">
        <f>IF(Table6[[#This Row],[Work Start TimeStamp]]="","",(Table6[[#This Row],[Work Start TimeStamp]]-Table6[[#This Row],[Fault Start TimeStamp]])*24)</f>
        <v>0</v>
      </c>
      <c r="S1516" s="472">
        <f>(Table6[[#This Row],[Fault Clearance time]]-Table6[[#This Row],[Work Start TimeStamp]])*24</f>
        <v>3.3333333333333215E-2</v>
      </c>
      <c r="T1516" s="472">
        <f>(Table6[[#This Row],[Fault Clearance time]]-Table6[[#This Row],[Fault Start TimeStamp]])*24</f>
        <v>3.3333333333333215E-2</v>
      </c>
      <c r="U1516" s="35" t="s">
        <v>1924</v>
      </c>
      <c r="V1516" s="102" t="s">
        <v>293</v>
      </c>
      <c r="W1516" s="549">
        <f>IFERROR(Table6[[#This Row],[Breakdown Time]]*Table6[[#This Row],[Plant Equivalent Weightage]],"")</f>
        <v>1.2820512820512771E-3</v>
      </c>
      <c r="X1516" s="473" t="s">
        <v>294</v>
      </c>
      <c r="Y1516" s="474" t="s">
        <v>87</v>
      </c>
      <c r="Z1516" s="102">
        <v>20643</v>
      </c>
      <c r="AA1516" s="468">
        <f>(Table6[[#This Row],[Paired WTG Generation for loss calculation]]/24)*Table6[[#This Row],[Breakdown Time]]</f>
        <v>28.670833333333231</v>
      </c>
      <c r="AB1516" s="102"/>
      <c r="AC1516" s="35"/>
      <c r="AD1516" s="35"/>
    </row>
    <row r="1517" spans="1:30">
      <c r="A1517" s="102">
        <f t="shared" si="24"/>
        <v>1516</v>
      </c>
      <c r="B1517" s="468">
        <f>YEAR(Table6[[#This Row],[Date]])+IF(MONTH(Table6[[#This Row],[Date]])&gt;=4,1,0)</f>
        <v>2026</v>
      </c>
      <c r="C1517" s="102">
        <f>YEAR(Table6[[#This Row],[Date]])</f>
        <v>2025</v>
      </c>
      <c r="D1517" s="102" t="s">
        <v>1992</v>
      </c>
      <c r="E1517" s="469">
        <f>Table6[[#This Row],[Date]]-DAY(Table6[[#This Row],[Date]])+1</f>
        <v>45839</v>
      </c>
      <c r="F1517" s="470">
        <v>45850</v>
      </c>
      <c r="G1517" s="35" t="s">
        <v>85</v>
      </c>
      <c r="H1517" s="35" t="str">
        <f>IFERROR(_xlfn.XLOOKUP(Table6[[#This Row],[Affected WTG]],'Basic Data'!$A:$A,'Basic Data'!$B:$B),"")</f>
        <v>TQGXIIPL</v>
      </c>
      <c r="I1517" s="35" t="str">
        <f>IFERROR(_xlfn.XLOOKUP(Table6[[#This Row],[Affected WTG]],'Basic Data'!$A:$A,'Basic Data'!$C:$C),"")</f>
        <v>GEDA</v>
      </c>
      <c r="J1517" s="471">
        <f>IFERROR(_xlfn.XLOOKUP(Table6[[#This Row],[Affected WTG]],'Basic Data'!$A:$A,'Basic Data'!$E:$E),"")</f>
        <v>3.846153846153845E-2</v>
      </c>
      <c r="K1517" s="102">
        <v>6605</v>
      </c>
      <c r="L1517" s="35" t="str">
        <f>IFERROR(_xlfn.XLOOKUP(Table6[[#This Row],[Error Code]],'Basic Data'!$AA:$AA,'Basic Data'!$AB:$AB),"Incorrect Error Code")</f>
        <v>Wind.dir. diff. level 2</v>
      </c>
      <c r="M1517" s="35" t="s">
        <v>291</v>
      </c>
      <c r="N1517" s="475"/>
      <c r="O1517" s="476">
        <v>0.35625000000000001</v>
      </c>
      <c r="P1517" s="476">
        <v>0.35625000000000001</v>
      </c>
      <c r="Q1517" s="477">
        <v>0.36041666666666666</v>
      </c>
      <c r="R1517" s="472">
        <f>IF(Table6[[#This Row],[Work Start TimeStamp]]="","",(Table6[[#This Row],[Work Start TimeStamp]]-Table6[[#This Row],[Fault Start TimeStamp]])*24)</f>
        <v>0</v>
      </c>
      <c r="S1517" s="472">
        <f>(Table6[[#This Row],[Fault Clearance time]]-Table6[[#This Row],[Work Start TimeStamp]])*24</f>
        <v>9.9999999999999645E-2</v>
      </c>
      <c r="T1517" s="472">
        <f>(Table6[[#This Row],[Fault Clearance time]]-Table6[[#This Row],[Fault Start TimeStamp]])*24</f>
        <v>9.9999999999999645E-2</v>
      </c>
      <c r="U1517" s="35" t="s">
        <v>1924</v>
      </c>
      <c r="V1517" s="102" t="s">
        <v>293</v>
      </c>
      <c r="W1517" s="549">
        <f>IFERROR(Table6[[#This Row],[Breakdown Time]]*Table6[[#This Row],[Plant Equivalent Weightage]],"")</f>
        <v>3.8461538461538312E-3</v>
      </c>
      <c r="X1517" s="473" t="s">
        <v>294</v>
      </c>
      <c r="Y1517" s="474" t="s">
        <v>87</v>
      </c>
      <c r="Z1517" s="102">
        <v>20643</v>
      </c>
      <c r="AA1517" s="468">
        <f>(Table6[[#This Row],[Paired WTG Generation for loss calculation]]/24)*Table6[[#This Row],[Breakdown Time]]</f>
        <v>86.01249999999969</v>
      </c>
      <c r="AB1517" s="102"/>
      <c r="AC1517" s="35"/>
      <c r="AD1517" s="35"/>
    </row>
    <row r="1518" spans="1:30">
      <c r="A1518" s="102">
        <f t="shared" si="24"/>
        <v>1517</v>
      </c>
      <c r="B1518" s="468">
        <f>YEAR(Table6[[#This Row],[Date]])+IF(MONTH(Table6[[#This Row],[Date]])&gt;=4,1,0)</f>
        <v>2026</v>
      </c>
      <c r="C1518" s="102">
        <f>YEAR(Table6[[#This Row],[Date]])</f>
        <v>2025</v>
      </c>
      <c r="D1518" s="102" t="s">
        <v>1992</v>
      </c>
      <c r="E1518" s="469">
        <f>Table6[[#This Row],[Date]]-DAY(Table6[[#This Row],[Date]])+1</f>
        <v>45839</v>
      </c>
      <c r="F1518" s="470">
        <v>45850</v>
      </c>
      <c r="G1518" s="35" t="s">
        <v>85</v>
      </c>
      <c r="H1518" s="35" t="str">
        <f>IFERROR(_xlfn.XLOOKUP(Table6[[#This Row],[Affected WTG]],'Basic Data'!$A:$A,'Basic Data'!$B:$B),"")</f>
        <v>TQGXIIPL</v>
      </c>
      <c r="I1518" s="35" t="str">
        <f>IFERROR(_xlfn.XLOOKUP(Table6[[#This Row],[Affected WTG]],'Basic Data'!$A:$A,'Basic Data'!$C:$C),"")</f>
        <v>GEDA</v>
      </c>
      <c r="J1518" s="471">
        <f>IFERROR(_xlfn.XLOOKUP(Table6[[#This Row],[Affected WTG]],'Basic Data'!$A:$A,'Basic Data'!$E:$E),"")</f>
        <v>3.846153846153845E-2</v>
      </c>
      <c r="K1518" s="102">
        <v>6605</v>
      </c>
      <c r="L1518" s="35" t="str">
        <f>IFERROR(_xlfn.XLOOKUP(Table6[[#This Row],[Error Code]],'Basic Data'!$AA:$AA,'Basic Data'!$AB:$AB),"Incorrect Error Code")</f>
        <v>Wind.dir. diff. level 2</v>
      </c>
      <c r="M1518" s="35" t="s">
        <v>291</v>
      </c>
      <c r="N1518" s="475"/>
      <c r="O1518" s="476">
        <v>0.39305555555555555</v>
      </c>
      <c r="P1518" s="476">
        <v>0.39305555555555555</v>
      </c>
      <c r="Q1518" s="477">
        <v>0.39444444444444443</v>
      </c>
      <c r="R1518" s="472">
        <f>IF(Table6[[#This Row],[Work Start TimeStamp]]="","",(Table6[[#This Row],[Work Start TimeStamp]]-Table6[[#This Row],[Fault Start TimeStamp]])*24)</f>
        <v>0</v>
      </c>
      <c r="S1518" s="472">
        <f>(Table6[[#This Row],[Fault Clearance time]]-Table6[[#This Row],[Work Start TimeStamp]])*24</f>
        <v>3.3333333333333215E-2</v>
      </c>
      <c r="T1518" s="472">
        <f>(Table6[[#This Row],[Fault Clearance time]]-Table6[[#This Row],[Fault Start TimeStamp]])*24</f>
        <v>3.3333333333333215E-2</v>
      </c>
      <c r="U1518" s="35" t="s">
        <v>1924</v>
      </c>
      <c r="V1518" s="102" t="s">
        <v>293</v>
      </c>
      <c r="W1518" s="549">
        <f>IFERROR(Table6[[#This Row],[Breakdown Time]]*Table6[[#This Row],[Plant Equivalent Weightage]],"")</f>
        <v>1.2820512820512771E-3</v>
      </c>
      <c r="X1518" s="473" t="s">
        <v>294</v>
      </c>
      <c r="Y1518" s="474" t="s">
        <v>87</v>
      </c>
      <c r="Z1518" s="102">
        <v>20643</v>
      </c>
      <c r="AA1518" s="468">
        <f>(Table6[[#This Row],[Paired WTG Generation for loss calculation]]/24)*Table6[[#This Row],[Breakdown Time]]</f>
        <v>28.670833333333231</v>
      </c>
      <c r="AB1518" s="102"/>
      <c r="AC1518" s="35"/>
      <c r="AD1518" s="35"/>
    </row>
    <row r="1519" spans="1:30">
      <c r="A1519" s="102">
        <f t="shared" si="24"/>
        <v>1518</v>
      </c>
      <c r="B1519" s="468">
        <f>YEAR(Table6[[#This Row],[Date]])+IF(MONTH(Table6[[#This Row],[Date]])&gt;=4,1,0)</f>
        <v>2026</v>
      </c>
      <c r="C1519" s="102">
        <f>YEAR(Table6[[#This Row],[Date]])</f>
        <v>2025</v>
      </c>
      <c r="D1519" s="102" t="s">
        <v>1992</v>
      </c>
      <c r="E1519" s="469">
        <f>Table6[[#This Row],[Date]]-DAY(Table6[[#This Row],[Date]])+1</f>
        <v>45839</v>
      </c>
      <c r="F1519" s="470">
        <v>45850</v>
      </c>
      <c r="G1519" s="35" t="s">
        <v>85</v>
      </c>
      <c r="H1519" s="35" t="str">
        <f>IFERROR(_xlfn.XLOOKUP(Table6[[#This Row],[Affected WTG]],'Basic Data'!$A:$A,'Basic Data'!$B:$B),"")</f>
        <v>TQGXIIPL</v>
      </c>
      <c r="I1519" s="35" t="str">
        <f>IFERROR(_xlfn.XLOOKUP(Table6[[#This Row],[Affected WTG]],'Basic Data'!$A:$A,'Basic Data'!$C:$C),"")</f>
        <v>GEDA</v>
      </c>
      <c r="J1519" s="471">
        <f>IFERROR(_xlfn.XLOOKUP(Table6[[#This Row],[Affected WTG]],'Basic Data'!$A:$A,'Basic Data'!$E:$E),"")</f>
        <v>3.846153846153845E-2</v>
      </c>
      <c r="K1519" s="102">
        <v>6605</v>
      </c>
      <c r="L1519" s="35" t="str">
        <f>IFERROR(_xlfn.XLOOKUP(Table6[[#This Row],[Error Code]],'Basic Data'!$AA:$AA,'Basic Data'!$AB:$AB),"Incorrect Error Code")</f>
        <v>Wind.dir. diff. level 2</v>
      </c>
      <c r="M1519" s="35" t="s">
        <v>291</v>
      </c>
      <c r="N1519" s="475"/>
      <c r="O1519" s="476">
        <v>0.46041666666666664</v>
      </c>
      <c r="P1519" s="476">
        <v>0.46041666666666664</v>
      </c>
      <c r="Q1519" s="477">
        <v>0.46180555555555558</v>
      </c>
      <c r="R1519" s="472">
        <f>IF(Table6[[#This Row],[Work Start TimeStamp]]="","",(Table6[[#This Row],[Work Start TimeStamp]]-Table6[[#This Row],[Fault Start TimeStamp]])*24)</f>
        <v>0</v>
      </c>
      <c r="S1519" s="472">
        <f>(Table6[[#This Row],[Fault Clearance time]]-Table6[[#This Row],[Work Start TimeStamp]])*24</f>
        <v>3.3333333333334547E-2</v>
      </c>
      <c r="T1519" s="472">
        <f>(Table6[[#This Row],[Fault Clearance time]]-Table6[[#This Row],[Fault Start TimeStamp]])*24</f>
        <v>3.3333333333334547E-2</v>
      </c>
      <c r="U1519" s="35" t="s">
        <v>1924</v>
      </c>
      <c r="V1519" s="102" t="s">
        <v>293</v>
      </c>
      <c r="W1519" s="549">
        <f>IFERROR(Table6[[#This Row],[Breakdown Time]]*Table6[[#This Row],[Plant Equivalent Weightage]],"")</f>
        <v>1.2820512820513285E-3</v>
      </c>
      <c r="X1519" s="473" t="s">
        <v>294</v>
      </c>
      <c r="Y1519" s="474" t="s">
        <v>87</v>
      </c>
      <c r="Z1519" s="102">
        <v>20643</v>
      </c>
      <c r="AA1519" s="468">
        <f>(Table6[[#This Row],[Paired WTG Generation for loss calculation]]/24)*Table6[[#This Row],[Breakdown Time]]</f>
        <v>28.670833333334379</v>
      </c>
      <c r="AB1519" s="102"/>
      <c r="AC1519" s="35"/>
      <c r="AD1519" s="35"/>
    </row>
    <row r="1520" spans="1:30">
      <c r="A1520" s="102">
        <f t="shared" si="24"/>
        <v>1519</v>
      </c>
      <c r="B1520" s="468">
        <f>YEAR(Table6[[#This Row],[Date]])+IF(MONTH(Table6[[#This Row],[Date]])&gt;=4,1,0)</f>
        <v>2026</v>
      </c>
      <c r="C1520" s="102">
        <f>YEAR(Table6[[#This Row],[Date]])</f>
        <v>2025</v>
      </c>
      <c r="D1520" s="102" t="s">
        <v>1992</v>
      </c>
      <c r="E1520" s="469">
        <f>Table6[[#This Row],[Date]]-DAY(Table6[[#This Row],[Date]])+1</f>
        <v>45839</v>
      </c>
      <c r="F1520" s="470">
        <v>45850</v>
      </c>
      <c r="G1520" s="35" t="s">
        <v>85</v>
      </c>
      <c r="H1520" s="35" t="str">
        <f>IFERROR(_xlfn.XLOOKUP(Table6[[#This Row],[Affected WTG]],'Basic Data'!$A:$A,'Basic Data'!$B:$B),"")</f>
        <v>TQGXIIPL</v>
      </c>
      <c r="I1520" s="35" t="str">
        <f>IFERROR(_xlfn.XLOOKUP(Table6[[#This Row],[Affected WTG]],'Basic Data'!$A:$A,'Basic Data'!$C:$C),"")</f>
        <v>GEDA</v>
      </c>
      <c r="J1520" s="471">
        <f>IFERROR(_xlfn.XLOOKUP(Table6[[#This Row],[Affected WTG]],'Basic Data'!$A:$A,'Basic Data'!$E:$E),"")</f>
        <v>3.846153846153845E-2</v>
      </c>
      <c r="K1520" s="102">
        <v>6605</v>
      </c>
      <c r="L1520" s="35" t="str">
        <f>IFERROR(_xlfn.XLOOKUP(Table6[[#This Row],[Error Code]],'Basic Data'!$AA:$AA,'Basic Data'!$AB:$AB),"Incorrect Error Code")</f>
        <v>Wind.dir. diff. level 2</v>
      </c>
      <c r="M1520" s="35" t="s">
        <v>291</v>
      </c>
      <c r="N1520" s="475"/>
      <c r="O1520" s="476">
        <v>0.51527777777777772</v>
      </c>
      <c r="P1520" s="476">
        <v>0.51527777777777772</v>
      </c>
      <c r="Q1520" s="477">
        <v>0.51736111111111116</v>
      </c>
      <c r="R1520" s="472">
        <f>IF(Table6[[#This Row],[Work Start TimeStamp]]="","",(Table6[[#This Row],[Work Start TimeStamp]]-Table6[[#This Row],[Fault Start TimeStamp]])*24)</f>
        <v>0</v>
      </c>
      <c r="S1520" s="472">
        <f>(Table6[[#This Row],[Fault Clearance time]]-Table6[[#This Row],[Work Start TimeStamp]])*24</f>
        <v>5.0000000000002487E-2</v>
      </c>
      <c r="T1520" s="472">
        <f>(Table6[[#This Row],[Fault Clearance time]]-Table6[[#This Row],[Fault Start TimeStamp]])*24</f>
        <v>5.0000000000002487E-2</v>
      </c>
      <c r="U1520" s="35" t="s">
        <v>1924</v>
      </c>
      <c r="V1520" s="102" t="s">
        <v>293</v>
      </c>
      <c r="W1520" s="549">
        <f>IFERROR(Table6[[#This Row],[Breakdown Time]]*Table6[[#This Row],[Plant Equivalent Weightage]],"")</f>
        <v>1.9230769230770182E-3</v>
      </c>
      <c r="X1520" s="473" t="s">
        <v>294</v>
      </c>
      <c r="Y1520" s="474" t="s">
        <v>87</v>
      </c>
      <c r="Z1520" s="102">
        <v>20643</v>
      </c>
      <c r="AA1520" s="468">
        <f>(Table6[[#This Row],[Paired WTG Generation for loss calculation]]/24)*Table6[[#This Row],[Breakdown Time]]</f>
        <v>43.00625000000214</v>
      </c>
      <c r="AB1520" s="102"/>
      <c r="AC1520" s="35"/>
      <c r="AD1520" s="35"/>
    </row>
    <row r="1521" spans="1:30">
      <c r="A1521" s="102">
        <f t="shared" si="24"/>
        <v>1520</v>
      </c>
      <c r="B1521" s="468">
        <f>YEAR(Table6[[#This Row],[Date]])+IF(MONTH(Table6[[#This Row],[Date]])&gt;=4,1,0)</f>
        <v>2026</v>
      </c>
      <c r="C1521" s="102">
        <f>YEAR(Table6[[#This Row],[Date]])</f>
        <v>2025</v>
      </c>
      <c r="D1521" s="102" t="s">
        <v>1992</v>
      </c>
      <c r="E1521" s="469">
        <f>Table6[[#This Row],[Date]]-DAY(Table6[[#This Row],[Date]])+1</f>
        <v>45839</v>
      </c>
      <c r="F1521" s="470">
        <v>45850</v>
      </c>
      <c r="G1521" s="35" t="s">
        <v>85</v>
      </c>
      <c r="H1521" s="35" t="str">
        <f>IFERROR(_xlfn.XLOOKUP(Table6[[#This Row],[Affected WTG]],'Basic Data'!$A:$A,'Basic Data'!$B:$B),"")</f>
        <v>TQGXIIPL</v>
      </c>
      <c r="I1521" s="35" t="str">
        <f>IFERROR(_xlfn.XLOOKUP(Table6[[#This Row],[Affected WTG]],'Basic Data'!$A:$A,'Basic Data'!$C:$C),"")</f>
        <v>GEDA</v>
      </c>
      <c r="J1521" s="471">
        <f>IFERROR(_xlfn.XLOOKUP(Table6[[#This Row],[Affected WTG]],'Basic Data'!$A:$A,'Basic Data'!$E:$E),"")</f>
        <v>3.846153846153845E-2</v>
      </c>
      <c r="K1521" s="102">
        <v>6605</v>
      </c>
      <c r="L1521" s="35" t="str">
        <f>IFERROR(_xlfn.XLOOKUP(Table6[[#This Row],[Error Code]],'Basic Data'!$AA:$AA,'Basic Data'!$AB:$AB),"Incorrect Error Code")</f>
        <v>Wind.dir. diff. level 2</v>
      </c>
      <c r="M1521" s="35" t="s">
        <v>291</v>
      </c>
      <c r="N1521" s="475"/>
      <c r="O1521" s="476">
        <v>0.57986111111111116</v>
      </c>
      <c r="P1521" s="476">
        <v>0.57986111111111116</v>
      </c>
      <c r="Q1521" s="477">
        <v>0.58333333333333337</v>
      </c>
      <c r="R1521" s="472">
        <f>IF(Table6[[#This Row],[Work Start TimeStamp]]="","",(Table6[[#This Row],[Work Start TimeStamp]]-Table6[[#This Row],[Fault Start TimeStamp]])*24)</f>
        <v>0</v>
      </c>
      <c r="S1521" s="472">
        <f>(Table6[[#This Row],[Fault Clearance time]]-Table6[[#This Row],[Work Start TimeStamp]])*24</f>
        <v>8.3333333333333037E-2</v>
      </c>
      <c r="T1521" s="472">
        <f>(Table6[[#This Row],[Fault Clearance time]]-Table6[[#This Row],[Fault Start TimeStamp]])*24</f>
        <v>8.3333333333333037E-2</v>
      </c>
      <c r="U1521" s="35" t="s">
        <v>1924</v>
      </c>
      <c r="V1521" s="102" t="s">
        <v>293</v>
      </c>
      <c r="W1521" s="549">
        <f>IFERROR(Table6[[#This Row],[Breakdown Time]]*Table6[[#This Row],[Plant Equivalent Weightage]],"")</f>
        <v>3.2051282051281929E-3</v>
      </c>
      <c r="X1521" s="473" t="s">
        <v>294</v>
      </c>
      <c r="Y1521" s="474" t="s">
        <v>87</v>
      </c>
      <c r="Z1521" s="102">
        <v>20643</v>
      </c>
      <c r="AA1521" s="468">
        <f>(Table6[[#This Row],[Paired WTG Generation for loss calculation]]/24)*Table6[[#This Row],[Breakdown Time]]</f>
        <v>71.677083333333073</v>
      </c>
      <c r="AB1521" s="102"/>
      <c r="AC1521" s="35"/>
      <c r="AD1521" s="35"/>
    </row>
    <row r="1522" spans="1:30">
      <c r="A1522" s="102">
        <f t="shared" si="24"/>
        <v>1521</v>
      </c>
      <c r="B1522" s="468">
        <f>YEAR(Table6[[#This Row],[Date]])+IF(MONTH(Table6[[#This Row],[Date]])&gt;=4,1,0)</f>
        <v>2026</v>
      </c>
      <c r="C1522" s="102">
        <f>YEAR(Table6[[#This Row],[Date]])</f>
        <v>2025</v>
      </c>
      <c r="D1522" s="102" t="s">
        <v>1992</v>
      </c>
      <c r="E1522" s="469">
        <f>Table6[[#This Row],[Date]]-DAY(Table6[[#This Row],[Date]])+1</f>
        <v>45839</v>
      </c>
      <c r="F1522" s="470">
        <v>45850</v>
      </c>
      <c r="G1522" s="35" t="s">
        <v>88</v>
      </c>
      <c r="H1522" s="35" t="str">
        <f>IFERROR(_xlfn.XLOOKUP(Table6[[#This Row],[Affected WTG]],'Basic Data'!$A:$A,'Basic Data'!$B:$B),"")</f>
        <v>TQGXIIPL</v>
      </c>
      <c r="I1522" s="35" t="str">
        <f>IFERROR(_xlfn.XLOOKUP(Table6[[#This Row],[Affected WTG]],'Basic Data'!$A:$A,'Basic Data'!$C:$C),"")</f>
        <v>GEDA</v>
      </c>
      <c r="J1522" s="471">
        <f>IFERROR(_xlfn.XLOOKUP(Table6[[#This Row],[Affected WTG]],'Basic Data'!$A:$A,'Basic Data'!$E:$E),"")</f>
        <v>3.846153846153845E-2</v>
      </c>
      <c r="K1522" s="102">
        <v>88</v>
      </c>
      <c r="L1522" s="35" t="str">
        <f>IFERROR(_xlfn.XLOOKUP(Table6[[#This Row],[Error Code]],'Basic Data'!$AA:$AA,'Basic Data'!$AB:$AB),"Incorrect Error Code")</f>
        <v>Outs.temp. nacelle implaus.</v>
      </c>
      <c r="M1522" s="35" t="s">
        <v>291</v>
      </c>
      <c r="N1522" s="475"/>
      <c r="O1522" s="476">
        <v>0.62430555555555556</v>
      </c>
      <c r="P1522" s="476">
        <v>0.62430555555555556</v>
      </c>
      <c r="Q1522" s="477">
        <v>0.63263888888888886</v>
      </c>
      <c r="R1522" s="472">
        <f>IF(Table6[[#This Row],[Work Start TimeStamp]]="","",(Table6[[#This Row],[Work Start TimeStamp]]-Table6[[#This Row],[Fault Start TimeStamp]])*24)</f>
        <v>0</v>
      </c>
      <c r="S1522" s="472">
        <f>(Table6[[#This Row],[Fault Clearance time]]-Table6[[#This Row],[Work Start TimeStamp]])*24</f>
        <v>0.19999999999999929</v>
      </c>
      <c r="T1522" s="472">
        <f>(Table6[[#This Row],[Fault Clearance time]]-Table6[[#This Row],[Fault Start TimeStamp]])*24</f>
        <v>0.19999999999999929</v>
      </c>
      <c r="U1522" s="35" t="s">
        <v>1924</v>
      </c>
      <c r="V1522" s="102" t="s">
        <v>293</v>
      </c>
      <c r="W1522" s="549">
        <f>IFERROR(Table6[[#This Row],[Breakdown Time]]*Table6[[#This Row],[Plant Equivalent Weightage]],"")</f>
        <v>7.6923076923076624E-3</v>
      </c>
      <c r="X1522" s="473" t="s">
        <v>294</v>
      </c>
      <c r="Y1522" s="474" t="s">
        <v>83</v>
      </c>
      <c r="Z1522" s="102">
        <v>21459</v>
      </c>
      <c r="AA1522" s="468">
        <f>(Table6[[#This Row],[Paired WTG Generation for loss calculation]]/24)*Table6[[#This Row],[Breakdown Time]]</f>
        <v>178.82499999999936</v>
      </c>
      <c r="AB1522" s="102"/>
      <c r="AC1522" s="35"/>
      <c r="AD1522" s="35"/>
    </row>
    <row r="1523" spans="1:30">
      <c r="A1523" s="102">
        <f t="shared" si="24"/>
        <v>1522</v>
      </c>
      <c r="B1523" s="468">
        <f>YEAR(Table6[[#This Row],[Date]])+IF(MONTH(Table6[[#This Row],[Date]])&gt;=4,1,0)</f>
        <v>2026</v>
      </c>
      <c r="C1523" s="102">
        <f>YEAR(Table6[[#This Row],[Date]])</f>
        <v>2025</v>
      </c>
      <c r="D1523" s="102" t="s">
        <v>1992</v>
      </c>
      <c r="E1523" s="469">
        <f>Table6[[#This Row],[Date]]-DAY(Table6[[#This Row],[Date]])+1</f>
        <v>45839</v>
      </c>
      <c r="F1523" s="470">
        <v>45850</v>
      </c>
      <c r="G1523" s="35" t="s">
        <v>89</v>
      </c>
      <c r="H1523" s="35" t="str">
        <f>IFERROR(_xlfn.XLOOKUP(Table6[[#This Row],[Affected WTG]],'Basic Data'!$A:$A,'Basic Data'!$B:$B),"")</f>
        <v>TQGXIIPL</v>
      </c>
      <c r="I1523" s="35" t="str">
        <f>IFERROR(_xlfn.XLOOKUP(Table6[[#This Row],[Affected WTG]],'Basic Data'!$A:$A,'Basic Data'!$C:$C),"")</f>
        <v>GEDA</v>
      </c>
      <c r="J1523" s="471">
        <f>IFERROR(_xlfn.XLOOKUP(Table6[[#This Row],[Affected WTG]],'Basic Data'!$A:$A,'Basic Data'!$E:$E),"")</f>
        <v>3.846153846153845E-2</v>
      </c>
      <c r="K1523" s="102">
        <v>55</v>
      </c>
      <c r="L1523" s="35" t="str">
        <f>IFERROR(_xlfn.XLOOKUP(Table6[[#This Row],[Error Code]],'Basic Data'!$AA:$AA,'Basic Data'!$AB:$AB),"Incorrect Error Code")</f>
        <v>WTG shut down</v>
      </c>
      <c r="M1523" s="35" t="s">
        <v>291</v>
      </c>
      <c r="N1523" s="475"/>
      <c r="O1523" s="476">
        <v>0.45624999999999999</v>
      </c>
      <c r="P1523" s="476">
        <v>0.45624999999999999</v>
      </c>
      <c r="Q1523" s="477">
        <v>0.55972222222222223</v>
      </c>
      <c r="R1523" s="472">
        <f>IF(Table6[[#This Row],[Work Start TimeStamp]]="","",(Table6[[#This Row],[Work Start TimeStamp]]-Table6[[#This Row],[Fault Start TimeStamp]])*24)</f>
        <v>0</v>
      </c>
      <c r="S1523" s="472">
        <f>(Table6[[#This Row],[Fault Clearance time]]-Table6[[#This Row],[Work Start TimeStamp]])*24</f>
        <v>2.4833333333333338</v>
      </c>
      <c r="T1523" s="472">
        <f>(Table6[[#This Row],[Fault Clearance time]]-Table6[[#This Row],[Fault Start TimeStamp]])*24</f>
        <v>2.4833333333333338</v>
      </c>
      <c r="U1523" s="35" t="s">
        <v>2079</v>
      </c>
      <c r="V1523" s="102" t="s">
        <v>293</v>
      </c>
      <c r="W1523" s="549">
        <f>IFERROR(Table6[[#This Row],[Breakdown Time]]*Table6[[#This Row],[Plant Equivalent Weightage]],"")</f>
        <v>9.5512820512820507E-2</v>
      </c>
      <c r="X1523" s="473" t="s">
        <v>290</v>
      </c>
      <c r="Y1523" s="474" t="s">
        <v>94</v>
      </c>
      <c r="Z1523" s="102">
        <v>20519</v>
      </c>
      <c r="AA1523" s="468">
        <f>(Table6[[#This Row],[Paired WTG Generation for loss calculation]]/24)*Table6[[#This Row],[Breakdown Time]]</f>
        <v>2123.1465277777784</v>
      </c>
      <c r="AB1523" s="102"/>
      <c r="AC1523" s="35"/>
      <c r="AD1523" s="35"/>
    </row>
    <row r="1524" spans="1:30">
      <c r="A1524" s="102">
        <f t="shared" si="24"/>
        <v>1523</v>
      </c>
      <c r="B1524" s="468">
        <f>YEAR(Table6[[#This Row],[Date]])+IF(MONTH(Table6[[#This Row],[Date]])&gt;=4,1,0)</f>
        <v>2026</v>
      </c>
      <c r="C1524" s="102">
        <f>YEAR(Table6[[#This Row],[Date]])</f>
        <v>2025</v>
      </c>
      <c r="D1524" s="102" t="s">
        <v>1992</v>
      </c>
      <c r="E1524" s="469">
        <f>Table6[[#This Row],[Date]]-DAY(Table6[[#This Row],[Date]])+1</f>
        <v>45839</v>
      </c>
      <c r="F1524" s="470">
        <v>45850</v>
      </c>
      <c r="G1524" s="35" t="s">
        <v>91</v>
      </c>
      <c r="H1524" s="35" t="str">
        <f>IFERROR(_xlfn.XLOOKUP(Table6[[#This Row],[Affected WTG]],'Basic Data'!$A:$A,'Basic Data'!$B:$B),"")</f>
        <v>TQGXIIPL</v>
      </c>
      <c r="I1524" s="35" t="str">
        <f>IFERROR(_xlfn.XLOOKUP(Table6[[#This Row],[Affected WTG]],'Basic Data'!$A:$A,'Basic Data'!$C:$C),"")</f>
        <v>GEDA</v>
      </c>
      <c r="J1524" s="471">
        <f>IFERROR(_xlfn.XLOOKUP(Table6[[#This Row],[Affected WTG]],'Basic Data'!$A:$A,'Basic Data'!$E:$E),"")</f>
        <v>3.846153846153845E-2</v>
      </c>
      <c r="K1524" s="102">
        <v>55</v>
      </c>
      <c r="L1524" s="35" t="str">
        <f>IFERROR(_xlfn.XLOOKUP(Table6[[#This Row],[Error Code]],'Basic Data'!$AA:$AA,'Basic Data'!$AB:$AB),"Incorrect Error Code")</f>
        <v>WTG shut down</v>
      </c>
      <c r="M1524" s="35" t="s">
        <v>295</v>
      </c>
      <c r="N1524" s="475"/>
      <c r="O1524" s="476">
        <v>0.48194444444444445</v>
      </c>
      <c r="P1524" s="476">
        <v>0.48194444444444445</v>
      </c>
      <c r="Q1524" s="477">
        <v>0.84444444444444444</v>
      </c>
      <c r="R1524" s="472">
        <f>IF(Table6[[#This Row],[Work Start TimeStamp]]="","",(Table6[[#This Row],[Work Start TimeStamp]]-Table6[[#This Row],[Fault Start TimeStamp]])*24)</f>
        <v>0</v>
      </c>
      <c r="S1524" s="472">
        <f>(Table6[[#This Row],[Fault Clearance time]]-Table6[[#This Row],[Work Start TimeStamp]])*24</f>
        <v>8.6999999999999993</v>
      </c>
      <c r="T1524" s="472">
        <f>(Table6[[#This Row],[Fault Clearance time]]-Table6[[#This Row],[Fault Start TimeStamp]])*24</f>
        <v>8.6999999999999993</v>
      </c>
      <c r="U1524" s="35" t="s">
        <v>2080</v>
      </c>
      <c r="V1524" s="102" t="s">
        <v>293</v>
      </c>
      <c r="W1524" s="549">
        <f>IFERROR(Table6[[#This Row],[Breakdown Time]]*Table6[[#This Row],[Plant Equivalent Weightage]],"")</f>
        <v>0.33461538461538448</v>
      </c>
      <c r="X1524" s="473" t="s">
        <v>290</v>
      </c>
      <c r="Y1524" s="474" t="s">
        <v>79</v>
      </c>
      <c r="Z1524" s="102">
        <v>21452</v>
      </c>
      <c r="AA1524" s="468">
        <f>(Table6[[#This Row],[Paired WTG Generation for loss calculation]]/24)*Table6[[#This Row],[Breakdown Time]]</f>
        <v>7776.3499999999995</v>
      </c>
      <c r="AB1524" s="102"/>
      <c r="AC1524" s="35"/>
      <c r="AD1524" s="35"/>
    </row>
    <row r="1525" spans="1:30">
      <c r="A1525" s="102">
        <f t="shared" si="24"/>
        <v>1524</v>
      </c>
      <c r="B1525" s="468">
        <f>YEAR(Table6[[#This Row],[Date]])+IF(MONTH(Table6[[#This Row],[Date]])&gt;=4,1,0)</f>
        <v>2026</v>
      </c>
      <c r="C1525" s="102">
        <f>YEAR(Table6[[#This Row],[Date]])</f>
        <v>2025</v>
      </c>
      <c r="D1525" s="102" t="s">
        <v>1992</v>
      </c>
      <c r="E1525" s="469">
        <f>Table6[[#This Row],[Date]]-DAY(Table6[[#This Row],[Date]])+1</f>
        <v>45839</v>
      </c>
      <c r="F1525" s="470">
        <v>45851</v>
      </c>
      <c r="G1525" s="35" t="s">
        <v>75</v>
      </c>
      <c r="H1525" s="35" t="str">
        <f>IFERROR(_xlfn.XLOOKUP(Table6[[#This Row],[Affected WTG]],'Basic Data'!$A:$A,'Basic Data'!$B:$B),"")</f>
        <v>TQGXIIPL</v>
      </c>
      <c r="I1525" s="35" t="str">
        <f>IFERROR(_xlfn.XLOOKUP(Table6[[#This Row],[Affected WTG]],'Basic Data'!$A:$A,'Basic Data'!$C:$C),"")</f>
        <v>GEDA</v>
      </c>
      <c r="J1525" s="471">
        <f>IFERROR(_xlfn.XLOOKUP(Table6[[#This Row],[Affected WTG]],'Basic Data'!$A:$A,'Basic Data'!$E:$E),"")</f>
        <v>3.846153846153845E-2</v>
      </c>
      <c r="K1525" s="102">
        <v>3380</v>
      </c>
      <c r="L1525" s="35" t="str">
        <f>IFERROR(_xlfn.XLOOKUP(Table6[[#This Row],[Error Code]],'Basic Data'!$AA:$AA,'Basic Data'!$AB:$AB),"Incorrect Error Code")</f>
        <v>Coolant temp. high</v>
      </c>
      <c r="M1525" s="35" t="s">
        <v>291</v>
      </c>
      <c r="N1525" s="475"/>
      <c r="O1525" s="476">
        <v>0.26319444444444445</v>
      </c>
      <c r="P1525" s="476">
        <v>0.27638888888888891</v>
      </c>
      <c r="Q1525" s="477">
        <v>0.29305555555555557</v>
      </c>
      <c r="R1525" s="472">
        <f>IF(Table6[[#This Row],[Work Start TimeStamp]]="","",(Table6[[#This Row],[Work Start TimeStamp]]-Table6[[#This Row],[Fault Start TimeStamp]])*24)</f>
        <v>0.31666666666666687</v>
      </c>
      <c r="S1525" s="472">
        <f>(Table6[[#This Row],[Fault Clearance time]]-Table6[[#This Row],[Work Start TimeStamp]])*24</f>
        <v>0.39999999999999991</v>
      </c>
      <c r="T1525" s="472">
        <f>(Table6[[#This Row],[Fault Clearance time]]-Table6[[#This Row],[Fault Start TimeStamp]])*24</f>
        <v>0.71666666666666679</v>
      </c>
      <c r="U1525" s="35" t="s">
        <v>2083</v>
      </c>
      <c r="V1525" s="102" t="s">
        <v>293</v>
      </c>
      <c r="W1525" s="549">
        <f>IFERROR(Table6[[#This Row],[Breakdown Time]]*Table6[[#This Row],[Plant Equivalent Weightage]],"")</f>
        <v>2.756410256410256E-2</v>
      </c>
      <c r="X1525" s="473" t="s">
        <v>290</v>
      </c>
      <c r="Y1525" s="474" t="s">
        <v>78</v>
      </c>
      <c r="Z1525" s="102">
        <v>19845</v>
      </c>
      <c r="AA1525" s="468">
        <f>(Table6[[#This Row],[Paired WTG Generation for loss calculation]]/24)*Table6[[#This Row],[Breakdown Time]]</f>
        <v>592.59375000000011</v>
      </c>
      <c r="AB1525" s="102"/>
      <c r="AC1525" s="35"/>
      <c r="AD1525" s="35"/>
    </row>
    <row r="1526" spans="1:30">
      <c r="A1526" s="102">
        <f t="shared" si="24"/>
        <v>1525</v>
      </c>
      <c r="B1526" s="468">
        <f>YEAR(Table6[[#This Row],[Date]])+IF(MONTH(Table6[[#This Row],[Date]])&gt;=4,1,0)</f>
        <v>2026</v>
      </c>
      <c r="C1526" s="102">
        <f>YEAR(Table6[[#This Row],[Date]])</f>
        <v>2025</v>
      </c>
      <c r="D1526" s="102" t="s">
        <v>1992</v>
      </c>
      <c r="E1526" s="469">
        <f>Table6[[#This Row],[Date]]-DAY(Table6[[#This Row],[Date]])+1</f>
        <v>45839</v>
      </c>
      <c r="F1526" s="470">
        <v>45851</v>
      </c>
      <c r="G1526" s="35" t="s">
        <v>77</v>
      </c>
      <c r="H1526" s="35" t="str">
        <f>IFERROR(_xlfn.XLOOKUP(Table6[[#This Row],[Affected WTG]],'Basic Data'!$A:$A,'Basic Data'!$B:$B),"")</f>
        <v>TQGXIIPL</v>
      </c>
      <c r="I1526" s="35" t="str">
        <f>IFERROR(_xlfn.XLOOKUP(Table6[[#This Row],[Affected WTG]],'Basic Data'!$A:$A,'Basic Data'!$C:$C),"")</f>
        <v>GEDA</v>
      </c>
      <c r="J1526" s="471">
        <f>IFERROR(_xlfn.XLOOKUP(Table6[[#This Row],[Affected WTG]],'Basic Data'!$A:$A,'Basic Data'!$E:$E),"")</f>
        <v>3.846153846153845E-2</v>
      </c>
      <c r="K1526" s="102">
        <v>6130</v>
      </c>
      <c r="L1526" s="35" t="str">
        <f>IFERROR(_xlfn.XLOOKUP(Table6[[#This Row],[Error Code]],'Basic Data'!$AA:$AA,'Basic Data'!$AB:$AB),"Incorrect Error Code")</f>
        <v>Yaw speed high</v>
      </c>
      <c r="M1526" s="35" t="s">
        <v>291</v>
      </c>
      <c r="N1526" s="475"/>
      <c r="O1526" s="476">
        <v>0.83958333333333335</v>
      </c>
      <c r="P1526" s="476">
        <v>0.83958333333333335</v>
      </c>
      <c r="Q1526" s="477">
        <v>0.84166666666666667</v>
      </c>
      <c r="R1526" s="472">
        <f>IF(Table6[[#This Row],[Work Start TimeStamp]]="","",(Table6[[#This Row],[Work Start TimeStamp]]-Table6[[#This Row],[Fault Start TimeStamp]])*24)</f>
        <v>0</v>
      </c>
      <c r="S1526" s="472">
        <f>(Table6[[#This Row],[Fault Clearance time]]-Table6[[#This Row],[Work Start TimeStamp]])*24</f>
        <v>4.9999999999999822E-2</v>
      </c>
      <c r="T1526" s="472">
        <f>(Table6[[#This Row],[Fault Clearance time]]-Table6[[#This Row],[Fault Start TimeStamp]])*24</f>
        <v>4.9999999999999822E-2</v>
      </c>
      <c r="U1526" s="35" t="s">
        <v>1924</v>
      </c>
      <c r="V1526" s="102" t="s">
        <v>293</v>
      </c>
      <c r="W1526" s="549">
        <f>IFERROR(Table6[[#This Row],[Breakdown Time]]*Table6[[#This Row],[Plant Equivalent Weightage]],"")</f>
        <v>1.9230769230769156E-3</v>
      </c>
      <c r="X1526" s="473" t="s">
        <v>294</v>
      </c>
      <c r="Y1526" s="474" t="s">
        <v>80</v>
      </c>
      <c r="Z1526" s="102">
        <v>26035</v>
      </c>
      <c r="AA1526" s="468">
        <f>(Table6[[#This Row],[Paired WTG Generation for loss calculation]]/24)*Table6[[#This Row],[Breakdown Time]]</f>
        <v>54.239583333333144</v>
      </c>
      <c r="AB1526" s="102"/>
      <c r="AC1526" s="35"/>
      <c r="AD1526" s="35"/>
    </row>
    <row r="1527" spans="1:30">
      <c r="A1527" s="102">
        <f t="shared" si="24"/>
        <v>1526</v>
      </c>
      <c r="B1527" s="468">
        <f>YEAR(Table6[[#This Row],[Date]])+IF(MONTH(Table6[[#This Row],[Date]])&gt;=4,1,0)</f>
        <v>2026</v>
      </c>
      <c r="C1527" s="102">
        <f>YEAR(Table6[[#This Row],[Date]])</f>
        <v>2025</v>
      </c>
      <c r="D1527" s="102" t="s">
        <v>1992</v>
      </c>
      <c r="E1527" s="469">
        <f>Table6[[#This Row],[Date]]-DAY(Table6[[#This Row],[Date]])+1</f>
        <v>45839</v>
      </c>
      <c r="F1527" s="470">
        <v>45851</v>
      </c>
      <c r="G1527" s="35" t="s">
        <v>85</v>
      </c>
      <c r="H1527" s="35" t="str">
        <f>IFERROR(_xlfn.XLOOKUP(Table6[[#This Row],[Affected WTG]],'Basic Data'!$A:$A,'Basic Data'!$B:$B),"")</f>
        <v>TQGXIIPL</v>
      </c>
      <c r="I1527" s="35" t="str">
        <f>IFERROR(_xlfn.XLOOKUP(Table6[[#This Row],[Affected WTG]],'Basic Data'!$A:$A,'Basic Data'!$C:$C),"")</f>
        <v>GEDA</v>
      </c>
      <c r="J1527" s="471">
        <f>IFERROR(_xlfn.XLOOKUP(Table6[[#This Row],[Affected WTG]],'Basic Data'!$A:$A,'Basic Data'!$E:$E),"")</f>
        <v>3.846153846153845E-2</v>
      </c>
      <c r="K1527" s="102">
        <v>6605</v>
      </c>
      <c r="L1527" s="35" t="str">
        <f>IFERROR(_xlfn.XLOOKUP(Table6[[#This Row],[Error Code]],'Basic Data'!$AA:$AA,'Basic Data'!$AB:$AB),"Incorrect Error Code")</f>
        <v>Wind.dir. diff. level 2</v>
      </c>
      <c r="M1527" s="35" t="s">
        <v>291</v>
      </c>
      <c r="N1527" s="475"/>
      <c r="O1527" s="476">
        <v>0.25972222222222224</v>
      </c>
      <c r="P1527" s="476">
        <v>0.25972222222222224</v>
      </c>
      <c r="Q1527" s="477">
        <v>0.26250000000000001</v>
      </c>
      <c r="R1527" s="472">
        <f>IF(Table6[[#This Row],[Work Start TimeStamp]]="","",(Table6[[#This Row],[Work Start TimeStamp]]-Table6[[#This Row],[Fault Start TimeStamp]])*24)</f>
        <v>0</v>
      </c>
      <c r="S1527" s="472">
        <f>(Table6[[#This Row],[Fault Clearance time]]-Table6[[#This Row],[Work Start TimeStamp]])*24</f>
        <v>6.666666666666643E-2</v>
      </c>
      <c r="T1527" s="472">
        <f>(Table6[[#This Row],[Fault Clearance time]]-Table6[[#This Row],[Fault Start TimeStamp]])*24</f>
        <v>6.666666666666643E-2</v>
      </c>
      <c r="U1527" s="35" t="s">
        <v>1924</v>
      </c>
      <c r="V1527" s="102" t="s">
        <v>293</v>
      </c>
      <c r="W1527" s="549">
        <f>IFERROR(Table6[[#This Row],[Breakdown Time]]*Table6[[#This Row],[Plant Equivalent Weightage]],"")</f>
        <v>2.5641025641025541E-3</v>
      </c>
      <c r="X1527" s="473" t="s">
        <v>294</v>
      </c>
      <c r="Y1527" s="474" t="s">
        <v>87</v>
      </c>
      <c r="Z1527" s="102">
        <v>24027</v>
      </c>
      <c r="AA1527" s="468">
        <f>(Table6[[#This Row],[Paired WTG Generation for loss calculation]]/24)*Table6[[#This Row],[Breakdown Time]]</f>
        <v>66.741666666666433</v>
      </c>
      <c r="AB1527" s="102"/>
      <c r="AC1527" s="35"/>
      <c r="AD1527" s="35"/>
    </row>
    <row r="1528" spans="1:30">
      <c r="A1528" s="102">
        <f t="shared" si="24"/>
        <v>1527</v>
      </c>
      <c r="B1528" s="468">
        <f>YEAR(Table6[[#This Row],[Date]])+IF(MONTH(Table6[[#This Row],[Date]])&gt;=4,1,0)</f>
        <v>2026</v>
      </c>
      <c r="C1528" s="102">
        <f>YEAR(Table6[[#This Row],[Date]])</f>
        <v>2025</v>
      </c>
      <c r="D1528" s="102" t="s">
        <v>1992</v>
      </c>
      <c r="E1528" s="469">
        <f>Table6[[#This Row],[Date]]-DAY(Table6[[#This Row],[Date]])+1</f>
        <v>45839</v>
      </c>
      <c r="F1528" s="470">
        <v>45851</v>
      </c>
      <c r="G1528" s="35" t="s">
        <v>85</v>
      </c>
      <c r="H1528" s="35" t="str">
        <f>IFERROR(_xlfn.XLOOKUP(Table6[[#This Row],[Affected WTG]],'Basic Data'!$A:$A,'Basic Data'!$B:$B),"")</f>
        <v>TQGXIIPL</v>
      </c>
      <c r="I1528" s="35" t="str">
        <f>IFERROR(_xlfn.XLOOKUP(Table6[[#This Row],[Affected WTG]],'Basic Data'!$A:$A,'Basic Data'!$C:$C),"")</f>
        <v>GEDA</v>
      </c>
      <c r="J1528" s="471">
        <f>IFERROR(_xlfn.XLOOKUP(Table6[[#This Row],[Affected WTG]],'Basic Data'!$A:$A,'Basic Data'!$E:$E),"")</f>
        <v>3.846153846153845E-2</v>
      </c>
      <c r="K1528" s="102">
        <v>6605</v>
      </c>
      <c r="L1528" s="35" t="str">
        <f>IFERROR(_xlfn.XLOOKUP(Table6[[#This Row],[Error Code]],'Basic Data'!$AA:$AA,'Basic Data'!$AB:$AB),"Incorrect Error Code")</f>
        <v>Wind.dir. diff. level 2</v>
      </c>
      <c r="M1528" s="35" t="s">
        <v>291</v>
      </c>
      <c r="N1528" s="475"/>
      <c r="O1528" s="476">
        <v>0.29652777777777778</v>
      </c>
      <c r="P1528" s="476">
        <v>0.29652777777777778</v>
      </c>
      <c r="Q1528" s="477">
        <v>0.30625000000000002</v>
      </c>
      <c r="R1528" s="472">
        <f>IF(Table6[[#This Row],[Work Start TimeStamp]]="","",(Table6[[#This Row],[Work Start TimeStamp]]-Table6[[#This Row],[Fault Start TimeStamp]])*24)</f>
        <v>0</v>
      </c>
      <c r="S1528" s="472">
        <f>(Table6[[#This Row],[Fault Clearance time]]-Table6[[#This Row],[Work Start TimeStamp]])*24</f>
        <v>0.23333333333333384</v>
      </c>
      <c r="T1528" s="472">
        <f>(Table6[[#This Row],[Fault Clearance time]]-Table6[[#This Row],[Fault Start TimeStamp]])*24</f>
        <v>0.23333333333333384</v>
      </c>
      <c r="U1528" s="35" t="s">
        <v>1924</v>
      </c>
      <c r="V1528" s="102" t="s">
        <v>293</v>
      </c>
      <c r="W1528" s="549">
        <f>IFERROR(Table6[[#This Row],[Breakdown Time]]*Table6[[#This Row],[Plant Equivalent Weightage]],"")</f>
        <v>8.974358974358991E-3</v>
      </c>
      <c r="X1528" s="473" t="s">
        <v>294</v>
      </c>
      <c r="Y1528" s="474" t="s">
        <v>87</v>
      </c>
      <c r="Z1528" s="102">
        <v>24027</v>
      </c>
      <c r="AA1528" s="468">
        <f>(Table6[[#This Row],[Paired WTG Generation for loss calculation]]/24)*Table6[[#This Row],[Breakdown Time]]</f>
        <v>233.59583333333384</v>
      </c>
      <c r="AB1528" s="102"/>
      <c r="AC1528" s="35"/>
      <c r="AD1528" s="35"/>
    </row>
    <row r="1529" spans="1:30">
      <c r="A1529" s="102">
        <f t="shared" si="24"/>
        <v>1528</v>
      </c>
      <c r="B1529" s="468">
        <f>YEAR(Table6[[#This Row],[Date]])+IF(MONTH(Table6[[#This Row],[Date]])&gt;=4,1,0)</f>
        <v>2026</v>
      </c>
      <c r="C1529" s="102">
        <f>YEAR(Table6[[#This Row],[Date]])</f>
        <v>2025</v>
      </c>
      <c r="D1529" s="102" t="s">
        <v>1992</v>
      </c>
      <c r="E1529" s="469">
        <f>Table6[[#This Row],[Date]]-DAY(Table6[[#This Row],[Date]])+1</f>
        <v>45839</v>
      </c>
      <c r="F1529" s="470">
        <v>45851</v>
      </c>
      <c r="G1529" s="35" t="s">
        <v>85</v>
      </c>
      <c r="H1529" s="35" t="str">
        <f>IFERROR(_xlfn.XLOOKUP(Table6[[#This Row],[Affected WTG]],'Basic Data'!$A:$A,'Basic Data'!$B:$B),"")</f>
        <v>TQGXIIPL</v>
      </c>
      <c r="I1529" s="35" t="str">
        <f>IFERROR(_xlfn.XLOOKUP(Table6[[#This Row],[Affected WTG]],'Basic Data'!$A:$A,'Basic Data'!$C:$C),"")</f>
        <v>GEDA</v>
      </c>
      <c r="J1529" s="471">
        <f>IFERROR(_xlfn.XLOOKUP(Table6[[#This Row],[Affected WTG]],'Basic Data'!$A:$A,'Basic Data'!$E:$E),"")</f>
        <v>3.846153846153845E-2</v>
      </c>
      <c r="K1529" s="102">
        <v>6605</v>
      </c>
      <c r="L1529" s="35" t="str">
        <f>IFERROR(_xlfn.XLOOKUP(Table6[[#This Row],[Error Code]],'Basic Data'!$AA:$AA,'Basic Data'!$AB:$AB),"Incorrect Error Code")</f>
        <v>Wind.dir. diff. level 2</v>
      </c>
      <c r="M1529" s="35" t="s">
        <v>291</v>
      </c>
      <c r="N1529" s="475"/>
      <c r="O1529" s="476">
        <v>0.35416666666666669</v>
      </c>
      <c r="P1529" s="476">
        <v>0.35416666666666669</v>
      </c>
      <c r="Q1529" s="477">
        <v>0.3576388888888889</v>
      </c>
      <c r="R1529" s="472">
        <f>IF(Table6[[#This Row],[Work Start TimeStamp]]="","",(Table6[[#This Row],[Work Start TimeStamp]]-Table6[[#This Row],[Fault Start TimeStamp]])*24)</f>
        <v>0</v>
      </c>
      <c r="S1529" s="472">
        <f>(Table6[[#This Row],[Fault Clearance time]]-Table6[[#This Row],[Work Start TimeStamp]])*24</f>
        <v>8.3333333333333037E-2</v>
      </c>
      <c r="T1529" s="472">
        <f>(Table6[[#This Row],[Fault Clearance time]]-Table6[[#This Row],[Fault Start TimeStamp]])*24</f>
        <v>8.3333333333333037E-2</v>
      </c>
      <c r="U1529" s="35" t="s">
        <v>1924</v>
      </c>
      <c r="V1529" s="102" t="s">
        <v>293</v>
      </c>
      <c r="W1529" s="549">
        <f>IFERROR(Table6[[#This Row],[Breakdown Time]]*Table6[[#This Row],[Plant Equivalent Weightage]],"")</f>
        <v>3.2051282051281929E-3</v>
      </c>
      <c r="X1529" s="473" t="s">
        <v>294</v>
      </c>
      <c r="Y1529" s="474" t="s">
        <v>87</v>
      </c>
      <c r="Z1529" s="102">
        <v>24027</v>
      </c>
      <c r="AA1529" s="468">
        <f>(Table6[[#This Row],[Paired WTG Generation for loss calculation]]/24)*Table6[[#This Row],[Breakdown Time]]</f>
        <v>83.42708333333303</v>
      </c>
      <c r="AB1529" s="102"/>
      <c r="AC1529" s="35"/>
      <c r="AD1529" s="35"/>
    </row>
    <row r="1530" spans="1:30">
      <c r="A1530" s="102">
        <f t="shared" si="24"/>
        <v>1529</v>
      </c>
      <c r="B1530" s="468">
        <f>YEAR(Table6[[#This Row],[Date]])+IF(MONTH(Table6[[#This Row],[Date]])&gt;=4,1,0)</f>
        <v>2026</v>
      </c>
      <c r="C1530" s="102">
        <f>YEAR(Table6[[#This Row],[Date]])</f>
        <v>2025</v>
      </c>
      <c r="D1530" s="102" t="s">
        <v>1992</v>
      </c>
      <c r="E1530" s="469">
        <f>Table6[[#This Row],[Date]]-DAY(Table6[[#This Row],[Date]])+1</f>
        <v>45839</v>
      </c>
      <c r="F1530" s="470">
        <v>45851</v>
      </c>
      <c r="G1530" s="35" t="s">
        <v>85</v>
      </c>
      <c r="H1530" s="35" t="str">
        <f>IFERROR(_xlfn.XLOOKUP(Table6[[#This Row],[Affected WTG]],'Basic Data'!$A:$A,'Basic Data'!$B:$B),"")</f>
        <v>TQGXIIPL</v>
      </c>
      <c r="I1530" s="35" t="str">
        <f>IFERROR(_xlfn.XLOOKUP(Table6[[#This Row],[Affected WTG]],'Basic Data'!$A:$A,'Basic Data'!$C:$C),"")</f>
        <v>GEDA</v>
      </c>
      <c r="J1530" s="471">
        <f>IFERROR(_xlfn.XLOOKUP(Table6[[#This Row],[Affected WTG]],'Basic Data'!$A:$A,'Basic Data'!$E:$E),"")</f>
        <v>3.846153846153845E-2</v>
      </c>
      <c r="K1530" s="102">
        <v>6605</v>
      </c>
      <c r="L1530" s="35" t="str">
        <f>IFERROR(_xlfn.XLOOKUP(Table6[[#This Row],[Error Code]],'Basic Data'!$AA:$AA,'Basic Data'!$AB:$AB),"Incorrect Error Code")</f>
        <v>Wind.dir. diff. level 2</v>
      </c>
      <c r="M1530" s="35" t="s">
        <v>291</v>
      </c>
      <c r="N1530" s="475"/>
      <c r="O1530" s="476">
        <v>0.44097222222222221</v>
      </c>
      <c r="P1530" s="476">
        <v>0.44097222222222221</v>
      </c>
      <c r="Q1530" s="477">
        <v>0.44722222222222224</v>
      </c>
      <c r="R1530" s="472">
        <f>IF(Table6[[#This Row],[Work Start TimeStamp]]="","",(Table6[[#This Row],[Work Start TimeStamp]]-Table6[[#This Row],[Fault Start TimeStamp]])*24)</f>
        <v>0</v>
      </c>
      <c r="S1530" s="472">
        <f>(Table6[[#This Row],[Fault Clearance time]]-Table6[[#This Row],[Work Start TimeStamp]])*24</f>
        <v>0.1500000000000008</v>
      </c>
      <c r="T1530" s="472">
        <f>(Table6[[#This Row],[Fault Clearance time]]-Table6[[#This Row],[Fault Start TimeStamp]])*24</f>
        <v>0.1500000000000008</v>
      </c>
      <c r="U1530" s="35" t="s">
        <v>1924</v>
      </c>
      <c r="V1530" s="102" t="s">
        <v>293</v>
      </c>
      <c r="W1530" s="549">
        <f>IFERROR(Table6[[#This Row],[Breakdown Time]]*Table6[[#This Row],[Plant Equivalent Weightage]],"")</f>
        <v>5.7692307692307982E-3</v>
      </c>
      <c r="X1530" s="473" t="s">
        <v>294</v>
      </c>
      <c r="Y1530" s="474" t="s">
        <v>87</v>
      </c>
      <c r="Z1530" s="102">
        <v>24027</v>
      </c>
      <c r="AA1530" s="468">
        <f>(Table6[[#This Row],[Paired WTG Generation for loss calculation]]/24)*Table6[[#This Row],[Breakdown Time]]</f>
        <v>150.16875000000081</v>
      </c>
      <c r="AB1530" s="102"/>
      <c r="AC1530" s="35"/>
      <c r="AD1530" s="35"/>
    </row>
    <row r="1531" spans="1:30">
      <c r="A1531" s="102">
        <f t="shared" si="24"/>
        <v>1530</v>
      </c>
      <c r="B1531" s="468">
        <f>YEAR(Table6[[#This Row],[Date]])+IF(MONTH(Table6[[#This Row],[Date]])&gt;=4,1,0)</f>
        <v>2026</v>
      </c>
      <c r="C1531" s="102">
        <f>YEAR(Table6[[#This Row],[Date]])</f>
        <v>2025</v>
      </c>
      <c r="D1531" s="102" t="s">
        <v>1992</v>
      </c>
      <c r="E1531" s="469">
        <f>Table6[[#This Row],[Date]]-DAY(Table6[[#This Row],[Date]])+1</f>
        <v>45839</v>
      </c>
      <c r="F1531" s="470">
        <v>45851</v>
      </c>
      <c r="G1531" s="35" t="s">
        <v>85</v>
      </c>
      <c r="H1531" s="35" t="str">
        <f>IFERROR(_xlfn.XLOOKUP(Table6[[#This Row],[Affected WTG]],'Basic Data'!$A:$A,'Basic Data'!$B:$B),"")</f>
        <v>TQGXIIPL</v>
      </c>
      <c r="I1531" s="35" t="str">
        <f>IFERROR(_xlfn.XLOOKUP(Table6[[#This Row],[Affected WTG]],'Basic Data'!$A:$A,'Basic Data'!$C:$C),"")</f>
        <v>GEDA</v>
      </c>
      <c r="J1531" s="471">
        <f>IFERROR(_xlfn.XLOOKUP(Table6[[#This Row],[Affected WTG]],'Basic Data'!$A:$A,'Basic Data'!$E:$E),"")</f>
        <v>3.846153846153845E-2</v>
      </c>
      <c r="K1531" s="102">
        <v>6605</v>
      </c>
      <c r="L1531" s="35" t="str">
        <f>IFERROR(_xlfn.XLOOKUP(Table6[[#This Row],[Error Code]],'Basic Data'!$AA:$AA,'Basic Data'!$AB:$AB),"Incorrect Error Code")</f>
        <v>Wind.dir. diff. level 2</v>
      </c>
      <c r="M1531" s="35" t="s">
        <v>291</v>
      </c>
      <c r="N1531" s="475"/>
      <c r="O1531" s="476">
        <v>0.88680555555555551</v>
      </c>
      <c r="P1531" s="476">
        <v>0.88680555555555551</v>
      </c>
      <c r="Q1531" s="477">
        <v>0.88958333333333328</v>
      </c>
      <c r="R1531" s="472">
        <f>IF(Table6[[#This Row],[Work Start TimeStamp]]="","",(Table6[[#This Row],[Work Start TimeStamp]]-Table6[[#This Row],[Fault Start TimeStamp]])*24)</f>
        <v>0</v>
      </c>
      <c r="S1531" s="472">
        <f>(Table6[[#This Row],[Fault Clearance time]]-Table6[[#This Row],[Work Start TimeStamp]])*24</f>
        <v>6.666666666666643E-2</v>
      </c>
      <c r="T1531" s="472">
        <f>(Table6[[#This Row],[Fault Clearance time]]-Table6[[#This Row],[Fault Start TimeStamp]])*24</f>
        <v>6.666666666666643E-2</v>
      </c>
      <c r="U1531" s="35" t="s">
        <v>1924</v>
      </c>
      <c r="V1531" s="102" t="s">
        <v>293</v>
      </c>
      <c r="W1531" s="549">
        <f>IFERROR(Table6[[#This Row],[Breakdown Time]]*Table6[[#This Row],[Plant Equivalent Weightage]],"")</f>
        <v>2.5641025641025541E-3</v>
      </c>
      <c r="X1531" s="473" t="s">
        <v>294</v>
      </c>
      <c r="Y1531" s="474" t="s">
        <v>87</v>
      </c>
      <c r="Z1531" s="102">
        <v>24027</v>
      </c>
      <c r="AA1531" s="468">
        <f>(Table6[[#This Row],[Paired WTG Generation for loss calculation]]/24)*Table6[[#This Row],[Breakdown Time]]</f>
        <v>66.741666666666433</v>
      </c>
      <c r="AB1531" s="102"/>
      <c r="AC1531" s="35"/>
      <c r="AD1531" s="35"/>
    </row>
    <row r="1532" spans="1:30">
      <c r="A1532" s="102">
        <f t="shared" si="24"/>
        <v>1531</v>
      </c>
      <c r="B1532" s="468">
        <f>YEAR(Table6[[#This Row],[Date]])+IF(MONTH(Table6[[#This Row],[Date]])&gt;=4,1,0)</f>
        <v>2026</v>
      </c>
      <c r="C1532" s="102">
        <f>YEAR(Table6[[#This Row],[Date]])</f>
        <v>2025</v>
      </c>
      <c r="D1532" s="102" t="s">
        <v>1992</v>
      </c>
      <c r="E1532" s="469">
        <f>Table6[[#This Row],[Date]]-DAY(Table6[[#This Row],[Date]])+1</f>
        <v>45839</v>
      </c>
      <c r="F1532" s="470">
        <v>45851</v>
      </c>
      <c r="G1532" s="35" t="s">
        <v>86</v>
      </c>
      <c r="H1532" s="35" t="str">
        <f>IFERROR(_xlfn.XLOOKUP(Table6[[#This Row],[Affected WTG]],'Basic Data'!$A:$A,'Basic Data'!$B:$B),"")</f>
        <v>TQGXIIPL</v>
      </c>
      <c r="I1532" s="35" t="str">
        <f>IFERROR(_xlfn.XLOOKUP(Table6[[#This Row],[Affected WTG]],'Basic Data'!$A:$A,'Basic Data'!$C:$C),"")</f>
        <v>GEDA</v>
      </c>
      <c r="J1532" s="471">
        <f>IFERROR(_xlfn.XLOOKUP(Table6[[#This Row],[Affected WTG]],'Basic Data'!$A:$A,'Basic Data'!$E:$E),"")</f>
        <v>3.846153846153845E-2</v>
      </c>
      <c r="K1532" s="102">
        <v>55</v>
      </c>
      <c r="L1532" s="35" t="str">
        <f>IFERROR(_xlfn.XLOOKUP(Table6[[#This Row],[Error Code]],'Basic Data'!$AA:$AA,'Basic Data'!$AB:$AB),"Incorrect Error Code")</f>
        <v>WTG shut down</v>
      </c>
      <c r="M1532" s="35" t="s">
        <v>291</v>
      </c>
      <c r="N1532" s="475"/>
      <c r="O1532" s="476">
        <v>0.4465277777777778</v>
      </c>
      <c r="P1532" s="476">
        <v>0.4465277777777778</v>
      </c>
      <c r="Q1532" s="477">
        <v>0.47708333333333336</v>
      </c>
      <c r="R1532" s="472">
        <f>IF(Table6[[#This Row],[Work Start TimeStamp]]="","",(Table6[[#This Row],[Work Start TimeStamp]]-Table6[[#This Row],[Fault Start TimeStamp]])*24)</f>
        <v>0</v>
      </c>
      <c r="S1532" s="472">
        <f>(Table6[[#This Row],[Fault Clearance time]]-Table6[[#This Row],[Work Start TimeStamp]])*24</f>
        <v>0.73333333333333339</v>
      </c>
      <c r="T1532" s="472">
        <f>(Table6[[#This Row],[Fault Clearance time]]-Table6[[#This Row],[Fault Start TimeStamp]])*24</f>
        <v>0.73333333333333339</v>
      </c>
      <c r="U1532" s="35" t="s">
        <v>2084</v>
      </c>
      <c r="V1532" s="102" t="s">
        <v>293</v>
      </c>
      <c r="W1532" s="549">
        <f>IFERROR(Table6[[#This Row],[Breakdown Time]]*Table6[[#This Row],[Plant Equivalent Weightage]],"")</f>
        <v>2.8205128205128199E-2</v>
      </c>
      <c r="X1532" s="473" t="s">
        <v>290</v>
      </c>
      <c r="Y1532" s="474" t="s">
        <v>84</v>
      </c>
      <c r="Z1532" s="102">
        <v>23082</v>
      </c>
      <c r="AA1532" s="468">
        <f>(Table6[[#This Row],[Paired WTG Generation for loss calculation]]/24)*Table6[[#This Row],[Breakdown Time]]</f>
        <v>705.28333333333342</v>
      </c>
      <c r="AB1532" s="102"/>
      <c r="AC1532" s="35"/>
      <c r="AD1532" s="35"/>
    </row>
    <row r="1533" spans="1:30">
      <c r="A1533" s="102">
        <f t="shared" si="24"/>
        <v>1532</v>
      </c>
      <c r="B1533" s="468">
        <f>YEAR(Table6[[#This Row],[Date]])+IF(MONTH(Table6[[#This Row],[Date]])&gt;=4,1,0)</f>
        <v>2026</v>
      </c>
      <c r="C1533" s="102">
        <f>YEAR(Table6[[#This Row],[Date]])</f>
        <v>2025</v>
      </c>
      <c r="D1533" s="102" t="s">
        <v>1992</v>
      </c>
      <c r="E1533" s="469">
        <f>Table6[[#This Row],[Date]]-DAY(Table6[[#This Row],[Date]])+1</f>
        <v>45839</v>
      </c>
      <c r="F1533" s="470">
        <v>45851</v>
      </c>
      <c r="G1533" s="35" t="s">
        <v>88</v>
      </c>
      <c r="H1533" s="35" t="str">
        <f>IFERROR(_xlfn.XLOOKUP(Table6[[#This Row],[Affected WTG]],'Basic Data'!$A:$A,'Basic Data'!$B:$B),"")</f>
        <v>TQGXIIPL</v>
      </c>
      <c r="I1533" s="35" t="str">
        <f>IFERROR(_xlfn.XLOOKUP(Table6[[#This Row],[Affected WTG]],'Basic Data'!$A:$A,'Basic Data'!$C:$C),"")</f>
        <v>GEDA</v>
      </c>
      <c r="J1533" s="471">
        <f>IFERROR(_xlfn.XLOOKUP(Table6[[#This Row],[Affected WTG]],'Basic Data'!$A:$A,'Basic Data'!$E:$E),"")</f>
        <v>3.846153846153845E-2</v>
      </c>
      <c r="K1533" s="102">
        <v>88</v>
      </c>
      <c r="L1533" s="35" t="str">
        <f>IFERROR(_xlfn.XLOOKUP(Table6[[#This Row],[Error Code]],'Basic Data'!$AA:$AA,'Basic Data'!$AB:$AB),"Incorrect Error Code")</f>
        <v>Outs.temp. nacelle implaus.</v>
      </c>
      <c r="M1533" s="35" t="s">
        <v>291</v>
      </c>
      <c r="N1533" s="475"/>
      <c r="O1533" s="476">
        <v>0.62777777777777777</v>
      </c>
      <c r="P1533" s="476">
        <v>0.62777777777777777</v>
      </c>
      <c r="Q1533" s="477">
        <v>0.63402777777777775</v>
      </c>
      <c r="R1533" s="472">
        <f>IF(Table6[[#This Row],[Work Start TimeStamp]]="","",(Table6[[#This Row],[Work Start TimeStamp]]-Table6[[#This Row],[Fault Start TimeStamp]])*24)</f>
        <v>0</v>
      </c>
      <c r="S1533" s="472">
        <f>(Table6[[#This Row],[Fault Clearance time]]-Table6[[#This Row],[Work Start TimeStamp]])*24</f>
        <v>0.14999999999999947</v>
      </c>
      <c r="T1533" s="472">
        <f>(Table6[[#This Row],[Fault Clearance time]]-Table6[[#This Row],[Fault Start TimeStamp]])*24</f>
        <v>0.14999999999999947</v>
      </c>
      <c r="U1533" s="35" t="s">
        <v>1924</v>
      </c>
      <c r="V1533" s="102" t="s">
        <v>293</v>
      </c>
      <c r="W1533" s="549">
        <f>IFERROR(Table6[[#This Row],[Breakdown Time]]*Table6[[#This Row],[Plant Equivalent Weightage]],"")</f>
        <v>5.769230769230747E-3</v>
      </c>
      <c r="X1533" s="473" t="s">
        <v>294</v>
      </c>
      <c r="Y1533" s="474" t="s">
        <v>83</v>
      </c>
      <c r="Z1533" s="102">
        <v>23848</v>
      </c>
      <c r="AA1533" s="468">
        <f>(Table6[[#This Row],[Paired WTG Generation for loss calculation]]/24)*Table6[[#This Row],[Breakdown Time]]</f>
        <v>149.04999999999947</v>
      </c>
      <c r="AB1533" s="102"/>
      <c r="AC1533" s="35"/>
      <c r="AD1533" s="35"/>
    </row>
    <row r="1534" spans="1:30">
      <c r="A1534" s="102">
        <f t="shared" si="24"/>
        <v>1533</v>
      </c>
      <c r="B1534" s="468">
        <f>YEAR(Table6[[#This Row],[Date]])+IF(MONTH(Table6[[#This Row],[Date]])&gt;=4,1,0)</f>
        <v>2026</v>
      </c>
      <c r="C1534" s="102">
        <f>YEAR(Table6[[#This Row],[Date]])</f>
        <v>2025</v>
      </c>
      <c r="D1534" s="102" t="s">
        <v>1992</v>
      </c>
      <c r="E1534" s="469">
        <f>Table6[[#This Row],[Date]]-DAY(Table6[[#This Row],[Date]])+1</f>
        <v>45839</v>
      </c>
      <c r="F1534" s="470">
        <v>45851</v>
      </c>
      <c r="G1534" s="35" t="s">
        <v>88</v>
      </c>
      <c r="H1534" s="35" t="str">
        <f>IFERROR(_xlfn.XLOOKUP(Table6[[#This Row],[Affected WTG]],'Basic Data'!$A:$A,'Basic Data'!$B:$B),"")</f>
        <v>TQGXIIPL</v>
      </c>
      <c r="I1534" s="35" t="str">
        <f>IFERROR(_xlfn.XLOOKUP(Table6[[#This Row],[Affected WTG]],'Basic Data'!$A:$A,'Basic Data'!$C:$C),"")</f>
        <v>GEDA</v>
      </c>
      <c r="J1534" s="471">
        <f>IFERROR(_xlfn.XLOOKUP(Table6[[#This Row],[Affected WTG]],'Basic Data'!$A:$A,'Basic Data'!$E:$E),"")</f>
        <v>3.846153846153845E-2</v>
      </c>
      <c r="K1534" s="102">
        <v>88</v>
      </c>
      <c r="L1534" s="35" t="str">
        <f>IFERROR(_xlfn.XLOOKUP(Table6[[#This Row],[Error Code]],'Basic Data'!$AA:$AA,'Basic Data'!$AB:$AB),"Incorrect Error Code")</f>
        <v>Outs.temp. nacelle implaus.</v>
      </c>
      <c r="M1534" s="35" t="s">
        <v>291</v>
      </c>
      <c r="N1534" s="475"/>
      <c r="O1534" s="476">
        <v>0.67708333333333337</v>
      </c>
      <c r="P1534" s="476">
        <v>0.67708333333333337</v>
      </c>
      <c r="Q1534" s="477">
        <v>0.73958333333333337</v>
      </c>
      <c r="R1534" s="472">
        <f>IF(Table6[[#This Row],[Work Start TimeStamp]]="","",(Table6[[#This Row],[Work Start TimeStamp]]-Table6[[#This Row],[Fault Start TimeStamp]])*24)</f>
        <v>0</v>
      </c>
      <c r="S1534" s="472">
        <f>(Table6[[#This Row],[Fault Clearance time]]-Table6[[#This Row],[Work Start TimeStamp]])*24</f>
        <v>1.5</v>
      </c>
      <c r="T1534" s="472">
        <f>(Table6[[#This Row],[Fault Clearance time]]-Table6[[#This Row],[Fault Start TimeStamp]])*24</f>
        <v>1.5</v>
      </c>
      <c r="U1534" s="35" t="s">
        <v>2085</v>
      </c>
      <c r="V1534" s="102" t="s">
        <v>293</v>
      </c>
      <c r="W1534" s="549">
        <f>IFERROR(Table6[[#This Row],[Breakdown Time]]*Table6[[#This Row],[Plant Equivalent Weightage]],"")</f>
        <v>5.7692307692307675E-2</v>
      </c>
      <c r="X1534" s="473" t="s">
        <v>290</v>
      </c>
      <c r="Y1534" s="474" t="s">
        <v>83</v>
      </c>
      <c r="Z1534" s="102">
        <v>23848</v>
      </c>
      <c r="AA1534" s="468">
        <f>(Table6[[#This Row],[Paired WTG Generation for loss calculation]]/24)*Table6[[#This Row],[Breakdown Time]]</f>
        <v>1490.5</v>
      </c>
      <c r="AB1534" s="102"/>
      <c r="AC1534" s="35"/>
      <c r="AD1534" s="35"/>
    </row>
    <row r="1535" spans="1:30">
      <c r="A1535" s="102">
        <f t="shared" si="24"/>
        <v>1534</v>
      </c>
      <c r="B1535" s="468">
        <f>YEAR(Table6[[#This Row],[Date]])+IF(MONTH(Table6[[#This Row],[Date]])&gt;=4,1,0)</f>
        <v>2026</v>
      </c>
      <c r="C1535" s="102">
        <f>YEAR(Table6[[#This Row],[Date]])</f>
        <v>2025</v>
      </c>
      <c r="D1535" s="102" t="s">
        <v>1992</v>
      </c>
      <c r="E1535" s="469">
        <f>Table6[[#This Row],[Date]]-DAY(Table6[[#This Row],[Date]])+1</f>
        <v>45839</v>
      </c>
      <c r="F1535" s="470">
        <v>45851</v>
      </c>
      <c r="G1535" s="35" t="s">
        <v>88</v>
      </c>
      <c r="H1535" s="35" t="str">
        <f>IFERROR(_xlfn.XLOOKUP(Table6[[#This Row],[Affected WTG]],'Basic Data'!$A:$A,'Basic Data'!$B:$B),"")</f>
        <v>TQGXIIPL</v>
      </c>
      <c r="I1535" s="35" t="str">
        <f>IFERROR(_xlfn.XLOOKUP(Table6[[#This Row],[Affected WTG]],'Basic Data'!$A:$A,'Basic Data'!$C:$C),"")</f>
        <v>GEDA</v>
      </c>
      <c r="J1535" s="471">
        <f>IFERROR(_xlfn.XLOOKUP(Table6[[#This Row],[Affected WTG]],'Basic Data'!$A:$A,'Basic Data'!$E:$E),"")</f>
        <v>3.846153846153845E-2</v>
      </c>
      <c r="K1535" s="102">
        <v>88</v>
      </c>
      <c r="L1535" s="35" t="str">
        <f>IFERROR(_xlfn.XLOOKUP(Table6[[#This Row],[Error Code]],'Basic Data'!$AA:$AA,'Basic Data'!$AB:$AB),"Incorrect Error Code")</f>
        <v>Outs.temp. nacelle implaus.</v>
      </c>
      <c r="M1535" s="35" t="s">
        <v>291</v>
      </c>
      <c r="N1535" s="475"/>
      <c r="O1535" s="476">
        <v>0.90833333333333333</v>
      </c>
      <c r="P1535" s="476">
        <v>0.9375</v>
      </c>
      <c r="Q1535" s="477">
        <v>0.99998842592592596</v>
      </c>
      <c r="R1535" s="472">
        <f>IF(Table6[[#This Row],[Work Start TimeStamp]]="","",(Table6[[#This Row],[Work Start TimeStamp]]-Table6[[#This Row],[Fault Start TimeStamp]])*24)</f>
        <v>0.70000000000000018</v>
      </c>
      <c r="S1535" s="472">
        <f>(Table6[[#This Row],[Fault Clearance time]]-Table6[[#This Row],[Work Start TimeStamp]])*24</f>
        <v>1.4997222222222231</v>
      </c>
      <c r="T1535" s="472">
        <f>(Table6[[#This Row],[Fault Clearance time]]-Table6[[#This Row],[Fault Start TimeStamp]])*24</f>
        <v>2.1997222222222232</v>
      </c>
      <c r="U1535" s="35" t="s">
        <v>2086</v>
      </c>
      <c r="V1535" s="102" t="s">
        <v>289</v>
      </c>
      <c r="W1535" s="549">
        <f>IFERROR(Table6[[#This Row],[Breakdown Time]]*Table6[[#This Row],[Plant Equivalent Weightage]],"")</f>
        <v>8.4604700854700871E-2</v>
      </c>
      <c r="X1535" s="473" t="s">
        <v>290</v>
      </c>
      <c r="Y1535" s="474" t="s">
        <v>83</v>
      </c>
      <c r="Z1535" s="102">
        <v>23848</v>
      </c>
      <c r="AA1535" s="468">
        <f>(Table6[[#This Row],[Paired WTG Generation for loss calculation]]/24)*Table6[[#This Row],[Breakdown Time]]</f>
        <v>2185.7906481481491</v>
      </c>
      <c r="AB1535" s="102"/>
      <c r="AC1535" s="35"/>
      <c r="AD1535" s="35"/>
    </row>
    <row r="1536" spans="1:30">
      <c r="A1536" s="102">
        <f t="shared" si="24"/>
        <v>1535</v>
      </c>
      <c r="B1536" s="468">
        <f>YEAR(Table6[[#This Row],[Date]])+IF(MONTH(Table6[[#This Row],[Date]])&gt;=4,1,0)</f>
        <v>2026</v>
      </c>
      <c r="C1536" s="639">
        <f>YEAR(Table6[[#This Row],[Date]])</f>
        <v>2025</v>
      </c>
      <c r="D1536" s="102" t="s">
        <v>1992</v>
      </c>
      <c r="E1536" s="469">
        <f>Table6[[#This Row],[Date]]-DAY(Table6[[#This Row],[Date]])+1</f>
        <v>45839</v>
      </c>
      <c r="F1536" s="470">
        <v>45852</v>
      </c>
      <c r="G1536" s="35" t="s">
        <v>79</v>
      </c>
      <c r="H1536" s="640" t="str">
        <f>IFERROR(_xlfn.XLOOKUP(Table6[[#This Row],[Affected WTG]],'Basic Data'!$A:$A,'Basic Data'!$B:$B),"")</f>
        <v>TQGXIIPL</v>
      </c>
      <c r="I1536" s="640" t="str">
        <f>IFERROR(_xlfn.XLOOKUP(Table6[[#This Row],[Affected WTG]],'Basic Data'!$A:$A,'Basic Data'!$C:$C),"")</f>
        <v>GEDA</v>
      </c>
      <c r="J1536" s="471">
        <f>IFERROR(_xlfn.XLOOKUP(Table6[[#This Row],[Affected WTG]],'Basic Data'!$A:$A,'Basic Data'!$E:$E),"")</f>
        <v>3.846153846153845E-2</v>
      </c>
      <c r="K1536" s="102">
        <v>700</v>
      </c>
      <c r="L1536" s="640" t="str">
        <f>IFERROR(_xlfn.XLOOKUP(Table6[[#This Row],[Error Code]],'Basic Data'!$AA:$AA,'Basic Data'!$AB:$AB),"Incorrect Error Code")</f>
        <v>Batt. undervoltage/overvoltage</v>
      </c>
      <c r="M1536" s="35" t="s">
        <v>291</v>
      </c>
      <c r="N1536" s="475"/>
      <c r="O1536" s="476">
        <v>0.44722222222222224</v>
      </c>
      <c r="P1536" s="476">
        <v>0.44722222222222224</v>
      </c>
      <c r="Q1536" s="477">
        <v>0.46041666666666664</v>
      </c>
      <c r="R1536" s="472">
        <f>IF(Table6[[#This Row],[Work Start TimeStamp]]="","",(Table6[[#This Row],[Work Start TimeStamp]]-Table6[[#This Row],[Fault Start TimeStamp]])*24)</f>
        <v>0</v>
      </c>
      <c r="S1536" s="472">
        <f>(Table6[[#This Row],[Fault Clearance time]]-Table6[[#This Row],[Work Start TimeStamp]])*24</f>
        <v>0.31666666666666554</v>
      </c>
      <c r="T1536" s="472">
        <f>(Table6[[#This Row],[Fault Clearance time]]-Table6[[#This Row],[Fault Start TimeStamp]])*24</f>
        <v>0.31666666666666554</v>
      </c>
      <c r="U1536" s="35" t="s">
        <v>1924</v>
      </c>
      <c r="V1536" s="102" t="s">
        <v>293</v>
      </c>
      <c r="W1536" s="549">
        <f>IFERROR(Table6[[#This Row],[Breakdown Time]]*Table6[[#This Row],[Plant Equivalent Weightage]],"")</f>
        <v>1.2179487179487133E-2</v>
      </c>
      <c r="X1536" s="473" t="s">
        <v>290</v>
      </c>
      <c r="Y1536" s="474" t="s">
        <v>94</v>
      </c>
      <c r="Z1536" s="102">
        <v>29550</v>
      </c>
      <c r="AA1536" s="468">
        <f>(Table6[[#This Row],[Paired WTG Generation for loss calculation]]/24)*Table6[[#This Row],[Breakdown Time]]</f>
        <v>389.89583333333195</v>
      </c>
      <c r="AB1536" s="102"/>
      <c r="AC1536" s="35"/>
      <c r="AD1536" s="35"/>
    </row>
    <row r="1537" spans="1:30">
      <c r="A1537" s="102">
        <f t="shared" si="24"/>
        <v>1536</v>
      </c>
      <c r="B1537" s="468">
        <f>YEAR(Table6[[#This Row],[Date]])+IF(MONTH(Table6[[#This Row],[Date]])&gt;=4,1,0)</f>
        <v>2026</v>
      </c>
      <c r="C1537" s="639">
        <f>YEAR(Table6[[#This Row],[Date]])</f>
        <v>2025</v>
      </c>
      <c r="D1537" s="102" t="s">
        <v>1992</v>
      </c>
      <c r="E1537" s="469">
        <f>Table6[[#This Row],[Date]]-DAY(Table6[[#This Row],[Date]])+1</f>
        <v>45839</v>
      </c>
      <c r="F1537" s="470">
        <v>45852</v>
      </c>
      <c r="G1537" s="35" t="s">
        <v>85</v>
      </c>
      <c r="H1537" s="640" t="str">
        <f>IFERROR(_xlfn.XLOOKUP(Table6[[#This Row],[Affected WTG]],'Basic Data'!$A:$A,'Basic Data'!$B:$B),"")</f>
        <v>TQGXIIPL</v>
      </c>
      <c r="I1537" s="640" t="str">
        <f>IFERROR(_xlfn.XLOOKUP(Table6[[#This Row],[Affected WTG]],'Basic Data'!$A:$A,'Basic Data'!$C:$C),"")</f>
        <v>GEDA</v>
      </c>
      <c r="J1537" s="471">
        <f>IFERROR(_xlfn.XLOOKUP(Table6[[#This Row],[Affected WTG]],'Basic Data'!$A:$A,'Basic Data'!$E:$E),"")</f>
        <v>3.846153846153845E-2</v>
      </c>
      <c r="K1537" s="102">
        <v>6605</v>
      </c>
      <c r="L1537" s="640" t="str">
        <f>IFERROR(_xlfn.XLOOKUP(Table6[[#This Row],[Error Code]],'Basic Data'!$AA:$AA,'Basic Data'!$AB:$AB),"Incorrect Error Code")</f>
        <v>Wind.dir. diff. level 2</v>
      </c>
      <c r="M1537" s="35" t="s">
        <v>291</v>
      </c>
      <c r="N1537" s="475"/>
      <c r="O1537" s="476">
        <v>0.32708333333333334</v>
      </c>
      <c r="P1537" s="476">
        <v>0.32708333333333334</v>
      </c>
      <c r="Q1537" s="477">
        <v>0.32916666666666666</v>
      </c>
      <c r="R1537" s="472">
        <f>IF(Table6[[#This Row],[Work Start TimeStamp]]="","",(Table6[[#This Row],[Work Start TimeStamp]]-Table6[[#This Row],[Fault Start TimeStamp]])*24)</f>
        <v>0</v>
      </c>
      <c r="S1537" s="472">
        <f>(Table6[[#This Row],[Fault Clearance time]]-Table6[[#This Row],[Work Start TimeStamp]])*24</f>
        <v>4.9999999999999822E-2</v>
      </c>
      <c r="T1537" s="472">
        <f>(Table6[[#This Row],[Fault Clearance time]]-Table6[[#This Row],[Fault Start TimeStamp]])*24</f>
        <v>4.9999999999999822E-2</v>
      </c>
      <c r="U1537" s="35" t="s">
        <v>1924</v>
      </c>
      <c r="V1537" s="102" t="s">
        <v>293</v>
      </c>
      <c r="W1537" s="549">
        <f>IFERROR(Table6[[#This Row],[Breakdown Time]]*Table6[[#This Row],[Plant Equivalent Weightage]],"")</f>
        <v>1.9230769230769156E-3</v>
      </c>
      <c r="X1537" s="473" t="s">
        <v>290</v>
      </c>
      <c r="Y1537" s="474" t="s">
        <v>87</v>
      </c>
      <c r="Z1537" s="102">
        <v>27081</v>
      </c>
      <c r="AA1537" s="468">
        <f>(Table6[[#This Row],[Paired WTG Generation for loss calculation]]/24)*Table6[[#This Row],[Breakdown Time]]</f>
        <v>56.418749999999797</v>
      </c>
      <c r="AB1537" s="102"/>
      <c r="AC1537" s="35"/>
      <c r="AD1537" s="35"/>
    </row>
    <row r="1538" spans="1:30">
      <c r="A1538" s="102">
        <f t="shared" si="24"/>
        <v>1537</v>
      </c>
      <c r="B1538" s="468">
        <f>YEAR(Table6[[#This Row],[Date]])+IF(MONTH(Table6[[#This Row],[Date]])&gt;=4,1,0)</f>
        <v>2026</v>
      </c>
      <c r="C1538" s="639">
        <f>YEAR(Table6[[#This Row],[Date]])</f>
        <v>2025</v>
      </c>
      <c r="D1538" s="102" t="s">
        <v>1992</v>
      </c>
      <c r="E1538" s="469">
        <f>Table6[[#This Row],[Date]]-DAY(Table6[[#This Row],[Date]])+1</f>
        <v>45839</v>
      </c>
      <c r="F1538" s="470">
        <v>45852</v>
      </c>
      <c r="G1538" s="35" t="s">
        <v>85</v>
      </c>
      <c r="H1538" s="640" t="str">
        <f>IFERROR(_xlfn.XLOOKUP(Table6[[#This Row],[Affected WTG]],'Basic Data'!$A:$A,'Basic Data'!$B:$B),"")</f>
        <v>TQGXIIPL</v>
      </c>
      <c r="I1538" s="640" t="str">
        <f>IFERROR(_xlfn.XLOOKUP(Table6[[#This Row],[Affected WTG]],'Basic Data'!$A:$A,'Basic Data'!$C:$C),"")</f>
        <v>GEDA</v>
      </c>
      <c r="J1538" s="471">
        <f>IFERROR(_xlfn.XLOOKUP(Table6[[#This Row],[Affected WTG]],'Basic Data'!$A:$A,'Basic Data'!$E:$E),"")</f>
        <v>3.846153846153845E-2</v>
      </c>
      <c r="K1538" s="102">
        <v>6605</v>
      </c>
      <c r="L1538" s="640" t="str">
        <f>IFERROR(_xlfn.XLOOKUP(Table6[[#This Row],[Error Code]],'Basic Data'!$AA:$AA,'Basic Data'!$AB:$AB),"Incorrect Error Code")</f>
        <v>Wind.dir. diff. level 2</v>
      </c>
      <c r="M1538" s="35" t="s">
        <v>291</v>
      </c>
      <c r="N1538" s="475"/>
      <c r="O1538" s="476">
        <v>0.38194444444444442</v>
      </c>
      <c r="P1538" s="476">
        <v>0.38194444444444442</v>
      </c>
      <c r="Q1538" s="477">
        <v>0.39027777777777778</v>
      </c>
      <c r="R1538" s="472">
        <f>IF(Table6[[#This Row],[Work Start TimeStamp]]="","",(Table6[[#This Row],[Work Start TimeStamp]]-Table6[[#This Row],[Fault Start TimeStamp]])*24)</f>
        <v>0</v>
      </c>
      <c r="S1538" s="472">
        <f>(Table6[[#This Row],[Fault Clearance time]]-Table6[[#This Row],[Work Start TimeStamp]])*24</f>
        <v>0.20000000000000062</v>
      </c>
      <c r="T1538" s="472">
        <f>(Table6[[#This Row],[Fault Clearance time]]-Table6[[#This Row],[Fault Start TimeStamp]])*24</f>
        <v>0.20000000000000062</v>
      </c>
      <c r="U1538" s="35" t="s">
        <v>1924</v>
      </c>
      <c r="V1538" s="102" t="s">
        <v>293</v>
      </c>
      <c r="W1538" s="549">
        <f>IFERROR(Table6[[#This Row],[Breakdown Time]]*Table6[[#This Row],[Plant Equivalent Weightage]],"")</f>
        <v>7.6923076923077136E-3</v>
      </c>
      <c r="X1538" s="473" t="s">
        <v>290</v>
      </c>
      <c r="Y1538" s="474" t="s">
        <v>87</v>
      </c>
      <c r="Z1538" s="102">
        <v>27081</v>
      </c>
      <c r="AA1538" s="468">
        <f>(Table6[[#This Row],[Paired WTG Generation for loss calculation]]/24)*Table6[[#This Row],[Breakdown Time]]</f>
        <v>225.67500000000069</v>
      </c>
      <c r="AB1538" s="102"/>
      <c r="AC1538" s="35"/>
      <c r="AD1538" s="35"/>
    </row>
    <row r="1539" spans="1:30">
      <c r="A1539" s="102">
        <f t="shared" si="24"/>
        <v>1538</v>
      </c>
      <c r="B1539" s="468">
        <f>YEAR(Table6[[#This Row],[Date]])+IF(MONTH(Table6[[#This Row],[Date]])&gt;=4,1,0)</f>
        <v>2026</v>
      </c>
      <c r="C1539" s="639">
        <f>YEAR(Table6[[#This Row],[Date]])</f>
        <v>2025</v>
      </c>
      <c r="D1539" s="102" t="s">
        <v>1992</v>
      </c>
      <c r="E1539" s="469">
        <f>Table6[[#This Row],[Date]]-DAY(Table6[[#This Row],[Date]])+1</f>
        <v>45839</v>
      </c>
      <c r="F1539" s="470">
        <v>45852</v>
      </c>
      <c r="G1539" s="35" t="s">
        <v>85</v>
      </c>
      <c r="H1539" s="640" t="str">
        <f>IFERROR(_xlfn.XLOOKUP(Table6[[#This Row],[Affected WTG]],'Basic Data'!$A:$A,'Basic Data'!$B:$B),"")</f>
        <v>TQGXIIPL</v>
      </c>
      <c r="I1539" s="640" t="str">
        <f>IFERROR(_xlfn.XLOOKUP(Table6[[#This Row],[Affected WTG]],'Basic Data'!$A:$A,'Basic Data'!$C:$C),"")</f>
        <v>GEDA</v>
      </c>
      <c r="J1539" s="471">
        <f>IFERROR(_xlfn.XLOOKUP(Table6[[#This Row],[Affected WTG]],'Basic Data'!$A:$A,'Basic Data'!$E:$E),"")</f>
        <v>3.846153846153845E-2</v>
      </c>
      <c r="K1539" s="102">
        <v>55</v>
      </c>
      <c r="L1539" s="640" t="str">
        <f>IFERROR(_xlfn.XLOOKUP(Table6[[#This Row],[Error Code]],'Basic Data'!$AA:$AA,'Basic Data'!$AB:$AB),"Incorrect Error Code")</f>
        <v>WTG shut down</v>
      </c>
      <c r="M1539" s="35" t="s">
        <v>291</v>
      </c>
      <c r="N1539" s="475"/>
      <c r="O1539" s="476">
        <v>0.4548611111111111</v>
      </c>
      <c r="P1539" s="476">
        <v>0.4548611111111111</v>
      </c>
      <c r="Q1539" s="477">
        <v>0.52986111111111112</v>
      </c>
      <c r="R1539" s="472">
        <f>IF(Table6[[#This Row],[Work Start TimeStamp]]="","",(Table6[[#This Row],[Work Start TimeStamp]]-Table6[[#This Row],[Fault Start TimeStamp]])*24)</f>
        <v>0</v>
      </c>
      <c r="S1539" s="472">
        <f>(Table6[[#This Row],[Fault Clearance time]]-Table6[[#This Row],[Work Start TimeStamp]])*24</f>
        <v>1.8000000000000003</v>
      </c>
      <c r="T1539" s="472">
        <f>(Table6[[#This Row],[Fault Clearance time]]-Table6[[#This Row],[Fault Start TimeStamp]])*24</f>
        <v>1.8000000000000003</v>
      </c>
      <c r="U1539" s="35" t="s">
        <v>2093</v>
      </c>
      <c r="V1539" s="102" t="s">
        <v>293</v>
      </c>
      <c r="W1539" s="549">
        <f>IFERROR(Table6[[#This Row],[Breakdown Time]]*Table6[[#This Row],[Plant Equivalent Weightage]],"")</f>
        <v>6.9230769230769221E-2</v>
      </c>
      <c r="X1539" s="473" t="s">
        <v>290</v>
      </c>
      <c r="Y1539" s="474" t="s">
        <v>87</v>
      </c>
      <c r="Z1539" s="102">
        <v>27081</v>
      </c>
      <c r="AA1539" s="468">
        <f>(Table6[[#This Row],[Paired WTG Generation for loss calculation]]/24)*Table6[[#This Row],[Breakdown Time]]</f>
        <v>2031.0750000000003</v>
      </c>
      <c r="AB1539" s="102"/>
      <c r="AC1539" s="35"/>
      <c r="AD1539" s="35"/>
    </row>
    <row r="1540" spans="1:30">
      <c r="A1540" s="102">
        <f t="shared" si="24"/>
        <v>1539</v>
      </c>
      <c r="B1540" s="468">
        <f>YEAR(Table6[[#This Row],[Date]])+IF(MONTH(Table6[[#This Row],[Date]])&gt;=4,1,0)</f>
        <v>2026</v>
      </c>
      <c r="C1540" s="639">
        <f>YEAR(Table6[[#This Row],[Date]])</f>
        <v>2025</v>
      </c>
      <c r="D1540" s="102" t="s">
        <v>1992</v>
      </c>
      <c r="E1540" s="469">
        <f>Table6[[#This Row],[Date]]-DAY(Table6[[#This Row],[Date]])+1</f>
        <v>45839</v>
      </c>
      <c r="F1540" s="470">
        <v>45852</v>
      </c>
      <c r="G1540" s="35" t="s">
        <v>88</v>
      </c>
      <c r="H1540" s="640" t="str">
        <f>IFERROR(_xlfn.XLOOKUP(Table6[[#This Row],[Affected WTG]],'Basic Data'!$A:$A,'Basic Data'!$B:$B),"")</f>
        <v>TQGXIIPL</v>
      </c>
      <c r="I1540" s="640" t="str">
        <f>IFERROR(_xlfn.XLOOKUP(Table6[[#This Row],[Affected WTG]],'Basic Data'!$A:$A,'Basic Data'!$C:$C),"")</f>
        <v>GEDA</v>
      </c>
      <c r="J1540" s="471">
        <f>IFERROR(_xlfn.XLOOKUP(Table6[[#This Row],[Affected WTG]],'Basic Data'!$A:$A,'Basic Data'!$E:$E),"")</f>
        <v>3.846153846153845E-2</v>
      </c>
      <c r="K1540" s="102">
        <v>88</v>
      </c>
      <c r="L1540" s="640" t="str">
        <f>IFERROR(_xlfn.XLOOKUP(Table6[[#This Row],[Error Code]],'Basic Data'!$AA:$AA,'Basic Data'!$AB:$AB),"Incorrect Error Code")</f>
        <v>Outs.temp. nacelle implaus.</v>
      </c>
      <c r="M1540" s="35" t="s">
        <v>291</v>
      </c>
      <c r="N1540" s="475"/>
      <c r="O1540" s="476">
        <v>0</v>
      </c>
      <c r="P1540" s="476">
        <v>0</v>
      </c>
      <c r="Q1540" s="477">
        <v>3.0555555555555555E-2</v>
      </c>
      <c r="R1540" s="472">
        <f>IF(Table6[[#This Row],[Work Start TimeStamp]]="","",(Table6[[#This Row],[Work Start TimeStamp]]-Table6[[#This Row],[Fault Start TimeStamp]])*24)</f>
        <v>0</v>
      </c>
      <c r="S1540" s="472">
        <f>(Table6[[#This Row],[Fault Clearance time]]-Table6[[#This Row],[Work Start TimeStamp]])*24</f>
        <v>0.73333333333333328</v>
      </c>
      <c r="T1540" s="472">
        <f>(Table6[[#This Row],[Fault Clearance time]]-Table6[[#This Row],[Fault Start TimeStamp]])*24</f>
        <v>0.73333333333333328</v>
      </c>
      <c r="U1540" s="35" t="s">
        <v>2094</v>
      </c>
      <c r="V1540" s="102" t="s">
        <v>293</v>
      </c>
      <c r="W1540" s="549">
        <f>IFERROR(Table6[[#This Row],[Breakdown Time]]*Table6[[#This Row],[Plant Equivalent Weightage]],"")</f>
        <v>2.8205128205128195E-2</v>
      </c>
      <c r="X1540" s="473" t="s">
        <v>290</v>
      </c>
      <c r="Y1540" s="474" t="s">
        <v>83</v>
      </c>
      <c r="Z1540" s="102">
        <v>29890</v>
      </c>
      <c r="AA1540" s="468">
        <f>(Table6[[#This Row],[Paired WTG Generation for loss calculation]]/24)*Table6[[#This Row],[Breakdown Time]]</f>
        <v>913.30555555555554</v>
      </c>
      <c r="AB1540" s="102"/>
      <c r="AC1540" s="35"/>
      <c r="AD1540" s="35"/>
    </row>
    <row r="1541" spans="1:30">
      <c r="A1541" s="102">
        <f t="shared" si="24"/>
        <v>1540</v>
      </c>
      <c r="B1541" s="468">
        <f>YEAR(Table6[[#This Row],[Date]])+IF(MONTH(Table6[[#This Row],[Date]])&gt;=4,1,0)</f>
        <v>2026</v>
      </c>
      <c r="C1541" s="639">
        <f>YEAR(Table6[[#This Row],[Date]])</f>
        <v>2025</v>
      </c>
      <c r="D1541" s="102" t="s">
        <v>1992</v>
      </c>
      <c r="E1541" s="469">
        <f>Table6[[#This Row],[Date]]-DAY(Table6[[#This Row],[Date]])+1</f>
        <v>45839</v>
      </c>
      <c r="F1541" s="470">
        <v>45852</v>
      </c>
      <c r="G1541" s="35" t="s">
        <v>91</v>
      </c>
      <c r="H1541" s="640" t="str">
        <f>IFERROR(_xlfn.XLOOKUP(Table6[[#This Row],[Affected WTG]],'Basic Data'!$A:$A,'Basic Data'!$B:$B),"")</f>
        <v>TQGXIIPL</v>
      </c>
      <c r="I1541" s="640" t="str">
        <f>IFERROR(_xlfn.XLOOKUP(Table6[[#This Row],[Affected WTG]],'Basic Data'!$A:$A,'Basic Data'!$C:$C),"")</f>
        <v>GEDA</v>
      </c>
      <c r="J1541" s="471">
        <f>IFERROR(_xlfn.XLOOKUP(Table6[[#This Row],[Affected WTG]],'Basic Data'!$A:$A,'Basic Data'!$E:$E),"")</f>
        <v>3.846153846153845E-2</v>
      </c>
      <c r="K1541" s="102">
        <v>55</v>
      </c>
      <c r="L1541" s="640" t="str">
        <f>IFERROR(_xlfn.XLOOKUP(Table6[[#This Row],[Error Code]],'Basic Data'!$AA:$AA,'Basic Data'!$AB:$AB),"Incorrect Error Code")</f>
        <v>WTG shut down</v>
      </c>
      <c r="M1541" s="35" t="s">
        <v>291</v>
      </c>
      <c r="N1541" s="475"/>
      <c r="O1541" s="476">
        <v>0.61736111111111114</v>
      </c>
      <c r="P1541" s="476">
        <v>0.61736111111111114</v>
      </c>
      <c r="Q1541" s="477">
        <v>0.69791666666666663</v>
      </c>
      <c r="R1541" s="472">
        <f>IF(Table6[[#This Row],[Work Start TimeStamp]]="","",(Table6[[#This Row],[Work Start TimeStamp]]-Table6[[#This Row],[Fault Start TimeStamp]])*24)</f>
        <v>0</v>
      </c>
      <c r="S1541" s="472">
        <f>(Table6[[#This Row],[Fault Clearance time]]-Table6[[#This Row],[Work Start TimeStamp]])*24</f>
        <v>1.9333333333333318</v>
      </c>
      <c r="T1541" s="472">
        <f>(Table6[[#This Row],[Fault Clearance time]]-Table6[[#This Row],[Fault Start TimeStamp]])*24</f>
        <v>1.9333333333333318</v>
      </c>
      <c r="U1541" s="35" t="s">
        <v>2095</v>
      </c>
      <c r="V1541" s="102" t="s">
        <v>293</v>
      </c>
      <c r="W1541" s="549">
        <f>IFERROR(Table6[[#This Row],[Breakdown Time]]*Table6[[#This Row],[Plant Equivalent Weightage]],"")</f>
        <v>7.4358974358974275E-2</v>
      </c>
      <c r="X1541" s="473" t="s">
        <v>290</v>
      </c>
      <c r="Y1541" s="474" t="s">
        <v>79</v>
      </c>
      <c r="Z1541" s="102">
        <v>33446</v>
      </c>
      <c r="AA1541" s="468">
        <f>(Table6[[#This Row],[Paired WTG Generation for loss calculation]]/24)*Table6[[#This Row],[Breakdown Time]]</f>
        <v>2694.2611111111087</v>
      </c>
      <c r="AB1541" s="102"/>
      <c r="AC1541" s="35"/>
      <c r="AD1541" s="35"/>
    </row>
    <row r="1542" spans="1:30">
      <c r="A1542" s="102">
        <f t="shared" si="24"/>
        <v>1541</v>
      </c>
      <c r="B1542" s="468">
        <f>YEAR(Table6[[#This Row],[Date]])+IF(MONTH(Table6[[#This Row],[Date]])&gt;=4,1,0)</f>
        <v>2026</v>
      </c>
      <c r="C1542" s="639">
        <f>YEAR(Table6[[#This Row],[Date]])</f>
        <v>2025</v>
      </c>
      <c r="D1542" s="102" t="s">
        <v>1992</v>
      </c>
      <c r="E1542" s="469">
        <f>Table6[[#This Row],[Date]]-DAY(Table6[[#This Row],[Date]])+1</f>
        <v>45839</v>
      </c>
      <c r="F1542" s="470">
        <v>45852</v>
      </c>
      <c r="G1542" s="35" t="s">
        <v>95</v>
      </c>
      <c r="H1542" s="640" t="str">
        <f>IFERROR(_xlfn.XLOOKUP(Table6[[#This Row],[Affected WTG]],'Basic Data'!$A:$A,'Basic Data'!$B:$B),"")</f>
        <v>TQGXIIPL</v>
      </c>
      <c r="I1542" s="640" t="str">
        <f>IFERROR(_xlfn.XLOOKUP(Table6[[#This Row],[Affected WTG]],'Basic Data'!$A:$A,'Basic Data'!$C:$C),"")</f>
        <v>GEDA</v>
      </c>
      <c r="J1542" s="471">
        <f>IFERROR(_xlfn.XLOOKUP(Table6[[#This Row],[Affected WTG]],'Basic Data'!$A:$A,'Basic Data'!$E:$E),"")</f>
        <v>3.846153846153845E-2</v>
      </c>
      <c r="K1542" s="102">
        <v>55</v>
      </c>
      <c r="L1542" s="640" t="str">
        <f>IFERROR(_xlfn.XLOOKUP(Table6[[#This Row],[Error Code]],'Basic Data'!$AA:$AA,'Basic Data'!$AB:$AB),"Incorrect Error Code")</f>
        <v>WTG shut down</v>
      </c>
      <c r="M1542" s="35" t="s">
        <v>291</v>
      </c>
      <c r="N1542" s="475"/>
      <c r="O1542" s="476">
        <v>0.50902777777777775</v>
      </c>
      <c r="P1542" s="476">
        <v>0.50902777777777775</v>
      </c>
      <c r="Q1542" s="477">
        <v>0.5625</v>
      </c>
      <c r="R1542" s="472">
        <f>IF(Table6[[#This Row],[Work Start TimeStamp]]="","",(Table6[[#This Row],[Work Start TimeStamp]]-Table6[[#This Row],[Fault Start TimeStamp]])*24)</f>
        <v>0</v>
      </c>
      <c r="S1542" s="472">
        <f>(Table6[[#This Row],[Fault Clearance time]]-Table6[[#This Row],[Work Start TimeStamp]])*24</f>
        <v>1.2833333333333341</v>
      </c>
      <c r="T1542" s="472">
        <f>(Table6[[#This Row],[Fault Clearance time]]-Table6[[#This Row],[Fault Start TimeStamp]])*24</f>
        <v>1.2833333333333341</v>
      </c>
      <c r="U1542" s="35" t="s">
        <v>2096</v>
      </c>
      <c r="V1542" s="102" t="s">
        <v>293</v>
      </c>
      <c r="W1542" s="549">
        <f>IFERROR(Table6[[#This Row],[Breakdown Time]]*Table6[[#This Row],[Plant Equivalent Weightage]],"")</f>
        <v>4.9358974358974371E-2</v>
      </c>
      <c r="X1542" s="473" t="s">
        <v>290</v>
      </c>
      <c r="Y1542" s="474" t="s">
        <v>79</v>
      </c>
      <c r="Z1542" s="102">
        <v>33446</v>
      </c>
      <c r="AA1542" s="468">
        <f>(Table6[[#This Row],[Paired WTG Generation for loss calculation]]/24)*Table6[[#This Row],[Breakdown Time]]</f>
        <v>1788.4319444444454</v>
      </c>
      <c r="AB1542" s="102"/>
      <c r="AC1542" s="35"/>
      <c r="AD1542" s="35"/>
    </row>
  </sheetData>
  <phoneticPr fontId="10" type="noConversion"/>
  <conditionalFormatting sqref="L1:L1542">
    <cfRule type="containsText" dxfId="4" priority="1" operator="containsText" text="Incorrect Error Code">
      <formula>NOT(ISERROR(SEARCH("Incorrect Error Code",L1)))</formula>
    </cfRule>
  </conditionalFormatting>
  <pageMargins left="0.7" right="0.7" top="0.75" bottom="0.75" header="0.3" footer="0.3"/>
  <ignoredErrors>
    <ignoredError sqref="Y1543:Y1048576 Y42:Y87 Y1326:Y1363 Y1396:Y1431 Y2:Y40 Y88:Y1324"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G2:G1048576 Y2:Y1048576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AA153"/>
  <sheetViews>
    <sheetView zoomScale="80" workbookViewId="0">
      <pane xSplit="6" ySplit="1" topLeftCell="R133" activePane="bottomRight" state="frozen"/>
      <selection pane="topRight" activeCell="G1" sqref="G1"/>
      <selection pane="bottomLeft" activeCell="A2" sqref="A2"/>
      <selection pane="bottomRight" activeCell="T156" sqref="T156"/>
    </sheetView>
  </sheetViews>
  <sheetFormatPr defaultRowHeight="14.4"/>
  <cols>
    <col min="2" max="3" width="12.44140625" customWidth="1"/>
    <col min="4" max="4" width="13" customWidth="1"/>
    <col min="6" max="6" width="11.44140625" customWidth="1"/>
    <col min="7" max="7" width="14.109375" customWidth="1"/>
    <col min="9" max="9" width="9.5546875" customWidth="1"/>
    <col min="10" max="10" width="21.5546875" customWidth="1"/>
    <col min="11" max="11" width="50.5546875" customWidth="1"/>
    <col min="12" max="12" width="18" customWidth="1"/>
    <col min="13" max="13" width="18.44140625" customWidth="1"/>
    <col min="14" max="14" width="16.5546875" customWidth="1"/>
    <col min="15" max="15" width="13.109375" customWidth="1"/>
    <col min="16" max="16" width="13.5546875" customWidth="1"/>
    <col min="17" max="17" width="14.44140625" customWidth="1"/>
    <col min="18" max="18" width="129.44140625" style="494" customWidth="1"/>
    <col min="20" max="20" width="22.44140625" customWidth="1"/>
    <col min="21" max="21" width="28.44140625" customWidth="1"/>
    <col min="22" max="22" width="10" customWidth="1"/>
    <col min="23" max="23" width="12.5546875" customWidth="1"/>
    <col min="24" max="24" width="26" bestFit="1" customWidth="1"/>
    <col min="25" max="25" width="9.5546875" bestFit="1" customWidth="1"/>
    <col min="26" max="26" width="8.5546875" customWidth="1"/>
    <col min="27" max="27" width="11.5546875" customWidth="1"/>
  </cols>
  <sheetData>
    <row r="1" spans="1:27" s="102" customFormat="1" ht="49.5" customHeight="1" thickBot="1">
      <c r="A1" s="479" t="s">
        <v>7</v>
      </c>
      <c r="B1" s="480" t="s">
        <v>3</v>
      </c>
      <c r="C1" s="480" t="s">
        <v>129</v>
      </c>
      <c r="D1" s="480" t="s">
        <v>266</v>
      </c>
      <c r="E1" s="480" t="s">
        <v>169</v>
      </c>
      <c r="F1" s="481" t="s">
        <v>128</v>
      </c>
      <c r="G1" s="481" t="s">
        <v>443</v>
      </c>
      <c r="H1" s="481" t="s">
        <v>268</v>
      </c>
      <c r="I1" s="481" t="s">
        <v>501</v>
      </c>
      <c r="J1" s="481" t="s">
        <v>270</v>
      </c>
      <c r="K1" s="481" t="s">
        <v>273</v>
      </c>
      <c r="L1" s="481" t="s">
        <v>274</v>
      </c>
      <c r="M1" s="481" t="s">
        <v>275</v>
      </c>
      <c r="N1" s="481" t="s">
        <v>276</v>
      </c>
      <c r="O1" s="481" t="s">
        <v>277</v>
      </c>
      <c r="P1" s="481" t="s">
        <v>278</v>
      </c>
      <c r="Q1" s="481" t="s">
        <v>279</v>
      </c>
      <c r="R1" s="481" t="s">
        <v>280</v>
      </c>
      <c r="S1" s="481" t="s">
        <v>281</v>
      </c>
      <c r="T1" s="481" t="s">
        <v>282</v>
      </c>
      <c r="U1" s="481" t="s">
        <v>284</v>
      </c>
      <c r="V1" s="465" t="s">
        <v>2038</v>
      </c>
      <c r="W1" s="21" t="s">
        <v>2039</v>
      </c>
      <c r="X1" s="481" t="s">
        <v>1990</v>
      </c>
      <c r="Y1" s="481" t="s">
        <v>444</v>
      </c>
      <c r="Z1" s="481" t="s">
        <v>285</v>
      </c>
      <c r="AA1" s="481" t="s">
        <v>286</v>
      </c>
    </row>
    <row r="2" spans="1:27" ht="15" thickTop="1">
      <c r="A2" s="102">
        <v>1</v>
      </c>
      <c r="B2" s="102">
        <f>YEAR(Table10[[#This Row],[Date]])+IF(MONTH(Table10[[#This Row],[Date]])&gt;=4,1,0)</f>
        <v>2026</v>
      </c>
      <c r="C2" s="102">
        <f>YEAR(Table10[[#This Row],[Date]])</f>
        <v>2025</v>
      </c>
      <c r="D2" s="102" t="s">
        <v>446</v>
      </c>
      <c r="E2" s="469">
        <f>Table10[[#This Row],[Date]]-DAY(Table10[[#This Row],[Date]])+1</f>
        <v>45748</v>
      </c>
      <c r="F2" s="470">
        <v>45750</v>
      </c>
      <c r="G2" s="102" t="s">
        <v>83</v>
      </c>
      <c r="H2" s="102" t="str">
        <f>IFERROR(_xlfn.XLOOKUP(Table10[[#This Row],[Affected Feeder ]],'Basic Data'!$A$43:$A$70,'Basic Data'!$B$43:$B$70),"")</f>
        <v>TQGXIIPL</v>
      </c>
      <c r="I2" s="102" t="str">
        <f>IFERROR(_xlfn.XLOOKUP(Table10[[#This Row],[Affected Feeder ]],'Basic Data'!$A$43:$A$70,'Basic Data'!$C$43:$C$70),"")</f>
        <v>GEDA</v>
      </c>
      <c r="J2" s="482">
        <f>IFERROR(_xlfn.XLOOKUP(Table10[[#This Row],[Affected Feeder ]],'Basic Data'!$A$43:$A$70,'Basic Data'!$E$43:$E$70),"")</f>
        <v>3.846153846153845E-2</v>
      </c>
      <c r="K2" s="483" t="s">
        <v>470</v>
      </c>
      <c r="L2" s="484">
        <v>0.7416666666666667</v>
      </c>
      <c r="M2" s="484">
        <v>0.7416666666666667</v>
      </c>
      <c r="N2" s="484">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483" t="s">
        <v>471</v>
      </c>
      <c r="S2" s="102" t="s">
        <v>293</v>
      </c>
      <c r="T2" s="485">
        <f>IFERROR(Table10[[#This Row],[Breakdown Time]]*Table10[[#This Row],[Plant Equivalent Weightage]],"")</f>
        <v>1.346153846153841E-2</v>
      </c>
      <c r="U2" s="102" t="s">
        <v>450</v>
      </c>
      <c r="V2" s="547">
        <f>IFERROR(_xlfn.XLOOKUP(Table10[[#This Row],[Date]],'Daily KPI'!$A:$A,'Daily KPI'!$M:$M),"")</f>
        <v>4.848190264908002</v>
      </c>
      <c r="W2" s="102">
        <v>362</v>
      </c>
      <c r="X2" s="102">
        <f>Table10[[#This Row],[WTG Loss]]*1*Table10[[#This Row],[Breakdown Time]]</f>
        <v>126.69999999999955</v>
      </c>
      <c r="Y2" s="102" t="s">
        <v>449</v>
      </c>
      <c r="Z2" s="102"/>
      <c r="AA2" s="102"/>
    </row>
    <row r="3" spans="1:27">
      <c r="A3" s="102">
        <f t="shared" ref="A3:A38" si="0">A2+1</f>
        <v>2</v>
      </c>
      <c r="B3" s="102">
        <f>YEAR(Table10[[#This Row],[Date]])+IF(MONTH(Table10[[#This Row],[Date]])&gt;=4,1,0)</f>
        <v>2026</v>
      </c>
      <c r="C3" s="102">
        <f>YEAR(Table10[[#This Row],[Date]])</f>
        <v>2025</v>
      </c>
      <c r="D3" s="102" t="s">
        <v>446</v>
      </c>
      <c r="E3" s="469">
        <f>Table10[[#This Row],[Date]]-DAY(Table10[[#This Row],[Date]])+1</f>
        <v>45748</v>
      </c>
      <c r="F3" s="470">
        <v>45752</v>
      </c>
      <c r="G3" s="102" t="s">
        <v>447</v>
      </c>
      <c r="H3" s="102" t="str">
        <f>IFERROR(_xlfn.XLOOKUP(Table10[[#This Row],[Affected Feeder ]],'Basic Data'!$A$43:$A$70,'Basic Data'!$B$43:$B$70),"")</f>
        <v>TQGXIIPL</v>
      </c>
      <c r="I3" s="102" t="str">
        <f>IFERROR(_xlfn.XLOOKUP(Table10[[#This Row],[Affected Feeder ]],'Basic Data'!$A$43:$A$70,'Basic Data'!$C$43:$C$70),"")</f>
        <v>GEDA</v>
      </c>
      <c r="J3" s="482">
        <f>IFERROR(_xlfn.XLOOKUP(Table10[[#This Row],[Affected Feeder ]],'Basic Data'!$A$43:$A$70,'Basic Data'!$E$43:$E$70),"")</f>
        <v>0.49999999999999978</v>
      </c>
      <c r="K3" s="483" t="s">
        <v>452</v>
      </c>
      <c r="L3" s="484">
        <v>0.32291666666666669</v>
      </c>
      <c r="M3" s="484">
        <v>0.32291666666666669</v>
      </c>
      <c r="N3" s="484">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483" t="s">
        <v>472</v>
      </c>
      <c r="S3" s="102" t="s">
        <v>293</v>
      </c>
      <c r="T3" s="485">
        <f>IFERROR(Table10[[#This Row],[Breakdown Time]]*Table10[[#This Row],[Plant Equivalent Weightage]],"")</f>
        <v>0.29166666666666619</v>
      </c>
      <c r="U3" s="102" t="s">
        <v>450</v>
      </c>
      <c r="V3" s="547">
        <f>IFERROR(_xlfn.XLOOKUP(Table10[[#This Row],[Date]],'Daily KPI'!$A:$A,'Daily KPI'!$M:$M),"")</f>
        <v>4.3638956124082213</v>
      </c>
      <c r="W3" s="102">
        <v>274</v>
      </c>
      <c r="X3" s="102">
        <f>Table10[[#This Row],[WTG Loss]]*13*Table10[[#This Row],[Breakdown Time]]</f>
        <v>2077.8333333333308</v>
      </c>
      <c r="Y3" s="102" t="s">
        <v>449</v>
      </c>
      <c r="Z3" s="102"/>
      <c r="AA3" s="102"/>
    </row>
    <row r="4" spans="1:27">
      <c r="A4" s="102">
        <f t="shared" si="0"/>
        <v>3</v>
      </c>
      <c r="B4" s="102">
        <f>YEAR(Table10[[#This Row],[Date]])+IF(MONTH(Table10[[#This Row],[Date]])&gt;=4,1,0)</f>
        <v>2026</v>
      </c>
      <c r="C4" s="102">
        <f>YEAR(Table10[[#This Row],[Date]])</f>
        <v>2025</v>
      </c>
      <c r="D4" s="102" t="s">
        <v>446</v>
      </c>
      <c r="E4" s="469">
        <f>Table10[[#This Row],[Date]]-DAY(Table10[[#This Row],[Date]])+1</f>
        <v>45748</v>
      </c>
      <c r="F4" s="470">
        <v>45754</v>
      </c>
      <c r="G4" s="102" t="s">
        <v>447</v>
      </c>
      <c r="H4" s="102" t="str">
        <f>IFERROR(_xlfn.XLOOKUP(Table10[[#This Row],[Affected Feeder ]],'Basic Data'!$A$43:$A$70,'Basic Data'!$B$43:$B$70),"")</f>
        <v>TQGXIIPL</v>
      </c>
      <c r="I4" s="102" t="str">
        <f>IFERROR(_xlfn.XLOOKUP(Table10[[#This Row],[Affected Feeder ]],'Basic Data'!$A$43:$A$70,'Basic Data'!$C$43:$C$70),"")</f>
        <v>GEDA</v>
      </c>
      <c r="J4" s="482">
        <f>IFERROR(_xlfn.XLOOKUP(Table10[[#This Row],[Affected Feeder ]],'Basic Data'!$A$43:$A$70,'Basic Data'!$E$43:$E$70),"")</f>
        <v>0.49999999999999978</v>
      </c>
      <c r="K4" s="483" t="s">
        <v>452</v>
      </c>
      <c r="L4" s="484">
        <v>0.30902777777777779</v>
      </c>
      <c r="M4" s="484">
        <v>0.30902777777777779</v>
      </c>
      <c r="N4" s="484">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483" t="s">
        <v>473</v>
      </c>
      <c r="S4" s="102" t="s">
        <v>293</v>
      </c>
      <c r="T4" s="485">
        <f>IFERROR(Table10[[#This Row],[Breakdown Time]]*Table10[[#This Row],[Plant Equivalent Weightage]],"")</f>
        <v>0.19166666666666657</v>
      </c>
      <c r="U4" s="102" t="s">
        <v>450</v>
      </c>
      <c r="V4" s="547">
        <f>IFERROR(_xlfn.XLOOKUP(Table10[[#This Row],[Date]],'Daily KPI'!$A:$A,'Daily KPI'!$M:$M),"")</f>
        <v>7.1744298151518429</v>
      </c>
      <c r="W4" s="102">
        <v>1276</v>
      </c>
      <c r="X4" s="102">
        <f>Table10[[#This Row],[WTG Loss]]*13*Table10[[#This Row],[Breakdown Time]]</f>
        <v>6358.7333333333327</v>
      </c>
      <c r="Y4" s="102" t="s">
        <v>449</v>
      </c>
      <c r="Z4" s="102"/>
      <c r="AA4" s="102"/>
    </row>
    <row r="5" spans="1:27">
      <c r="A5" s="102">
        <f t="shared" si="0"/>
        <v>4</v>
      </c>
      <c r="B5" s="102">
        <f>YEAR(Table10[[#This Row],[Date]])+IF(MONTH(Table10[[#This Row],[Date]])&gt;=4,1,0)</f>
        <v>2026</v>
      </c>
      <c r="C5" s="102">
        <f>YEAR(Table10[[#This Row],[Date]])</f>
        <v>2025</v>
      </c>
      <c r="D5" s="102" t="s">
        <v>446</v>
      </c>
      <c r="E5" s="469">
        <f>Table10[[#This Row],[Date]]-DAY(Table10[[#This Row],[Date]])+1</f>
        <v>45748</v>
      </c>
      <c r="F5" s="470">
        <v>45759</v>
      </c>
      <c r="G5" s="102" t="s">
        <v>447</v>
      </c>
      <c r="H5" s="102" t="str">
        <f>IFERROR(_xlfn.XLOOKUP(Table10[[#This Row],[Affected Feeder ]],'Basic Data'!$A$43:$A$70,'Basic Data'!$B$43:$B$70),"")</f>
        <v>TQGXIIPL</v>
      </c>
      <c r="I5" s="102" t="str">
        <f>IFERROR(_xlfn.XLOOKUP(Table10[[#This Row],[Affected Feeder ]],'Basic Data'!$A$43:$A$70,'Basic Data'!$C$43:$C$70),"")</f>
        <v>GEDA</v>
      </c>
      <c r="J5" s="482">
        <f>IFERROR(_xlfn.XLOOKUP(Table10[[#This Row],[Affected Feeder ]],'Basic Data'!$A$43:$A$70,'Basic Data'!$E$43:$E$70),"")</f>
        <v>0.49999999999999978</v>
      </c>
      <c r="K5" s="483" t="s">
        <v>455</v>
      </c>
      <c r="L5" s="484">
        <v>0.30555555555555558</v>
      </c>
      <c r="M5" s="484">
        <v>0.30555555555555558</v>
      </c>
      <c r="N5" s="484">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483" t="s">
        <v>474</v>
      </c>
      <c r="S5" s="102" t="s">
        <v>293</v>
      </c>
      <c r="T5" s="485">
        <f>IFERROR(Table10[[#This Row],[Breakdown Time]]*Table10[[#This Row],[Plant Equivalent Weightage]],"")</f>
        <v>9.9999999999999603E-2</v>
      </c>
      <c r="U5" s="102" t="s">
        <v>450</v>
      </c>
      <c r="V5" s="547">
        <f>IFERROR(_xlfn.XLOOKUP(Table10[[#This Row],[Date]],'Daily KPI'!$A:$A,'Daily KPI'!$M:$M),"")</f>
        <v>4.983076923076923</v>
      </c>
      <c r="W5" s="102">
        <v>406</v>
      </c>
      <c r="X5" s="102">
        <f>Table10[[#This Row],[WTG Loss]]*13*Table10[[#This Row],[Breakdown Time]]</f>
        <v>1055.5999999999963</v>
      </c>
      <c r="Y5" s="102" t="s">
        <v>449</v>
      </c>
      <c r="Z5" s="102"/>
      <c r="AA5" s="102"/>
    </row>
    <row r="6" spans="1:27">
      <c r="A6" s="102">
        <f t="shared" si="0"/>
        <v>5</v>
      </c>
      <c r="B6" s="102">
        <f>YEAR(Table10[[#This Row],[Date]])+IF(MONTH(Table10[[#This Row],[Date]])&gt;=4,1,0)</f>
        <v>2026</v>
      </c>
      <c r="C6" s="102">
        <f>YEAR(Table10[[#This Row],[Date]])</f>
        <v>2025</v>
      </c>
      <c r="D6" s="102" t="s">
        <v>446</v>
      </c>
      <c r="E6" s="469">
        <f>Table10[[#This Row],[Date]]-DAY(Table10[[#This Row],[Date]])+1</f>
        <v>45748</v>
      </c>
      <c r="F6" s="470">
        <v>45759</v>
      </c>
      <c r="G6" s="102" t="s">
        <v>447</v>
      </c>
      <c r="H6" s="102" t="str">
        <f>IFERROR(_xlfn.XLOOKUP(Table10[[#This Row],[Affected Feeder ]],'Basic Data'!$A$43:$A$70,'Basic Data'!$B$43:$B$70),"")</f>
        <v>TQGXIIPL</v>
      </c>
      <c r="I6" s="102" t="str">
        <f>IFERROR(_xlfn.XLOOKUP(Table10[[#This Row],[Affected Feeder ]],'Basic Data'!$A$43:$A$70,'Basic Data'!$C$43:$C$70),"")</f>
        <v>GEDA</v>
      </c>
      <c r="J6" s="482">
        <f>IFERROR(_xlfn.XLOOKUP(Table10[[#This Row],[Affected Feeder ]],'Basic Data'!$A$43:$A$70,'Basic Data'!$E$43:$E$70),"")</f>
        <v>0.49999999999999978</v>
      </c>
      <c r="K6" s="483" t="s">
        <v>468</v>
      </c>
      <c r="L6" s="484">
        <v>0.5180555555555556</v>
      </c>
      <c r="M6" s="484">
        <v>0.5180555555555556</v>
      </c>
      <c r="N6" s="484">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483" t="s">
        <v>1752</v>
      </c>
      <c r="S6" s="102" t="s">
        <v>289</v>
      </c>
      <c r="T6" s="485">
        <f>IFERROR(Table10[[#This Row],[Breakdown Time]]*Table10[[#This Row],[Plant Equivalent Weightage]],"")</f>
        <v>5.7833333333333306</v>
      </c>
      <c r="U6" s="102" t="s">
        <v>450</v>
      </c>
      <c r="V6" s="547">
        <f>IFERROR(_xlfn.XLOOKUP(Table10[[#This Row],[Date]],'Daily KPI'!$A:$A,'Daily KPI'!$M:$M),"")</f>
        <v>4.983076923076923</v>
      </c>
      <c r="W6" s="102">
        <v>406</v>
      </c>
      <c r="X6" s="102">
        <f>Table10[[#This Row],[WTG Loss]]*13*Table10[[#This Row],[Breakdown Time]]</f>
        <v>61048.866666666669</v>
      </c>
      <c r="Y6" s="102" t="s">
        <v>449</v>
      </c>
      <c r="Z6" s="102"/>
      <c r="AA6" s="102"/>
    </row>
    <row r="7" spans="1:27">
      <c r="A7" s="102">
        <f t="shared" si="0"/>
        <v>6</v>
      </c>
      <c r="B7" s="102">
        <f>YEAR(Table10[[#This Row],[Date]])+IF(MONTH(Table10[[#This Row],[Date]])&gt;=4,1,0)</f>
        <v>2026</v>
      </c>
      <c r="C7" s="102">
        <f>YEAR(Table10[[#This Row],[Date]])</f>
        <v>2025</v>
      </c>
      <c r="D7" s="102" t="s">
        <v>446</v>
      </c>
      <c r="E7" s="469">
        <f>Table10[[#This Row],[Date]]-DAY(Table10[[#This Row],[Date]])+1</f>
        <v>45748</v>
      </c>
      <c r="F7" s="470">
        <v>45759</v>
      </c>
      <c r="G7" s="102" t="s">
        <v>451</v>
      </c>
      <c r="H7" s="102" t="str">
        <f>IFERROR(_xlfn.XLOOKUP(Table10[[#This Row],[Affected Feeder ]],'Basic Data'!$A$43:$A$70,'Basic Data'!$B$43:$B$70),"")</f>
        <v>TQGXIIPL</v>
      </c>
      <c r="I7" s="102" t="str">
        <f>IFERROR(_xlfn.XLOOKUP(Table10[[#This Row],[Affected Feeder ]],'Basic Data'!$A$43:$A$70,'Basic Data'!$C$43:$C$70),"")</f>
        <v>GEDA</v>
      </c>
      <c r="J7" s="482">
        <f>IFERROR(_xlfn.XLOOKUP(Table10[[#This Row],[Affected Feeder ]],'Basic Data'!$A$43:$A$70,'Basic Data'!$E$43:$E$70),"")</f>
        <v>0.49999999999999978</v>
      </c>
      <c r="K7" s="483" t="s">
        <v>469</v>
      </c>
      <c r="L7" s="484">
        <v>0.5180555555555556</v>
      </c>
      <c r="M7" s="484">
        <v>0.5180555555555556</v>
      </c>
      <c r="N7" s="484">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483" t="s">
        <v>1752</v>
      </c>
      <c r="S7" s="102" t="s">
        <v>289</v>
      </c>
      <c r="T7" s="485">
        <f>IFERROR(Table10[[#This Row],[Breakdown Time]]*Table10[[#This Row],[Plant Equivalent Weightage]],"")</f>
        <v>5.7833333333333306</v>
      </c>
      <c r="U7" s="102" t="s">
        <v>450</v>
      </c>
      <c r="V7" s="547">
        <f>IFERROR(_xlfn.XLOOKUP(Table10[[#This Row],[Date]],'Daily KPI'!$A:$A,'Daily KPI'!$M:$M),"")</f>
        <v>4.983076923076923</v>
      </c>
      <c r="W7" s="102">
        <v>406</v>
      </c>
      <c r="X7" s="102">
        <f>Table10[[#This Row],[WTG Loss]]*13*Table10[[#This Row],[Breakdown Time]]</f>
        <v>61048.866666666669</v>
      </c>
      <c r="Y7" s="102" t="s">
        <v>449</v>
      </c>
      <c r="Z7" s="102"/>
      <c r="AA7" s="102"/>
    </row>
    <row r="8" spans="1:27">
      <c r="A8" s="102">
        <f t="shared" si="0"/>
        <v>7</v>
      </c>
      <c r="B8" s="102">
        <f>YEAR(Table10[[#This Row],[Date]])+IF(MONTH(Table10[[#This Row],[Date]])&gt;=4,1,0)</f>
        <v>2026</v>
      </c>
      <c r="C8" s="102">
        <f>YEAR(Table10[[#This Row],[Date]])</f>
        <v>2025</v>
      </c>
      <c r="D8" s="102" t="s">
        <v>446</v>
      </c>
      <c r="E8" s="469">
        <f>Table10[[#This Row],[Date]]-DAY(Table10[[#This Row],[Date]])+1</f>
        <v>45748</v>
      </c>
      <c r="F8" s="470">
        <v>45760</v>
      </c>
      <c r="G8" s="102" t="s">
        <v>447</v>
      </c>
      <c r="H8" s="102" t="str">
        <f>IFERROR(_xlfn.XLOOKUP(Table10[[#This Row],[Affected Feeder ]],'Basic Data'!$A$43:$A$70,'Basic Data'!$B$43:$B$70),"")</f>
        <v>TQGXIIPL</v>
      </c>
      <c r="I8" s="102" t="str">
        <f>IFERROR(_xlfn.XLOOKUP(Table10[[#This Row],[Affected Feeder ]],'Basic Data'!$A$43:$A$70,'Basic Data'!$C$43:$C$70),"")</f>
        <v>GEDA</v>
      </c>
      <c r="J8" s="482">
        <f>IFERROR(_xlfn.XLOOKUP(Table10[[#This Row],[Affected Feeder ]],'Basic Data'!$A$43:$A$70,'Basic Data'!$E$43:$E$70),"")</f>
        <v>0.49999999999999978</v>
      </c>
      <c r="K8" s="483" t="s">
        <v>468</v>
      </c>
      <c r="L8" s="484">
        <v>0</v>
      </c>
      <c r="M8" s="484">
        <v>0</v>
      </c>
      <c r="N8" s="484">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483" t="s">
        <v>1752</v>
      </c>
      <c r="S8" s="102" t="s">
        <v>293</v>
      </c>
      <c r="T8" s="485">
        <f>IFERROR(Table10[[#This Row],[Breakdown Time]]*Table10[[#This Row],[Plant Equivalent Weightage]],"")</f>
        <v>3.5333333333333314</v>
      </c>
      <c r="U8" s="102" t="s">
        <v>450</v>
      </c>
      <c r="V8" s="547">
        <f>IFERROR(_xlfn.XLOOKUP(Table10[[#This Row],[Date]],'Daily KPI'!$A:$A,'Daily KPI'!$M:$M),"")</f>
        <v>7.6407920586270697</v>
      </c>
      <c r="W8" s="102">
        <v>1490</v>
      </c>
      <c r="X8" s="102">
        <f>Table10[[#This Row],[WTG Loss]]*13*Table10[[#This Row],[Breakdown Time]]</f>
        <v>136881.33333333334</v>
      </c>
      <c r="Y8" s="102" t="s">
        <v>449</v>
      </c>
      <c r="Z8" s="102"/>
      <c r="AA8" s="102"/>
    </row>
    <row r="9" spans="1:27">
      <c r="A9" s="102">
        <f t="shared" si="0"/>
        <v>8</v>
      </c>
      <c r="B9" s="102">
        <f>YEAR(Table10[[#This Row],[Date]])+IF(MONTH(Table10[[#This Row],[Date]])&gt;=4,1,0)</f>
        <v>2026</v>
      </c>
      <c r="C9" s="102">
        <f>YEAR(Table10[[#This Row],[Date]])</f>
        <v>2025</v>
      </c>
      <c r="D9" s="102" t="s">
        <v>446</v>
      </c>
      <c r="E9" s="469">
        <f>Table10[[#This Row],[Date]]-DAY(Table10[[#This Row],[Date]])+1</f>
        <v>45748</v>
      </c>
      <c r="F9" s="470">
        <v>45760</v>
      </c>
      <c r="G9" s="102" t="s">
        <v>451</v>
      </c>
      <c r="H9" s="102" t="str">
        <f>IFERROR(_xlfn.XLOOKUP(Table10[[#This Row],[Affected Feeder ]],'Basic Data'!$A$43:$A$70,'Basic Data'!$B$43:$B$70),"")</f>
        <v>TQGXIIPL</v>
      </c>
      <c r="I9" s="102" t="str">
        <f>IFERROR(_xlfn.XLOOKUP(Table10[[#This Row],[Affected Feeder ]],'Basic Data'!$A$43:$A$70,'Basic Data'!$C$43:$C$70),"")</f>
        <v>GEDA</v>
      </c>
      <c r="J9" s="482">
        <f>IFERROR(_xlfn.XLOOKUP(Table10[[#This Row],[Affected Feeder ]],'Basic Data'!$A$43:$A$70,'Basic Data'!$E$43:$E$70),"")</f>
        <v>0.49999999999999978</v>
      </c>
      <c r="K9" s="483" t="s">
        <v>469</v>
      </c>
      <c r="L9" s="484">
        <v>0</v>
      </c>
      <c r="M9" s="484">
        <v>0</v>
      </c>
      <c r="N9" s="484">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483" t="s">
        <v>1752</v>
      </c>
      <c r="S9" s="102" t="s">
        <v>293</v>
      </c>
      <c r="T9" s="485">
        <f>IFERROR(Table10[[#This Row],[Breakdown Time]]*Table10[[#This Row],[Plant Equivalent Weightage]],"")</f>
        <v>3.5333333333333314</v>
      </c>
      <c r="U9" s="102" t="s">
        <v>450</v>
      </c>
      <c r="V9" s="547">
        <f>IFERROR(_xlfn.XLOOKUP(Table10[[#This Row],[Date]],'Daily KPI'!$A:$A,'Daily KPI'!$M:$M),"")</f>
        <v>7.6407920586270697</v>
      </c>
      <c r="W9" s="102">
        <v>1490</v>
      </c>
      <c r="X9" s="102">
        <f>Table10[[#This Row],[WTG Loss]]*13*Table10[[#This Row],[Breakdown Time]]</f>
        <v>136881.33333333334</v>
      </c>
      <c r="Y9" s="102" t="s">
        <v>449</v>
      </c>
      <c r="Z9" s="102"/>
      <c r="AA9" s="102"/>
    </row>
    <row r="10" spans="1:27">
      <c r="A10" s="102">
        <f t="shared" si="0"/>
        <v>9</v>
      </c>
      <c r="B10" s="102">
        <f>YEAR(Table10[[#This Row],[Date]])+IF(MONTH(Table10[[#This Row],[Date]])&gt;=4,1,0)</f>
        <v>2026</v>
      </c>
      <c r="C10" s="102">
        <f>YEAR(Table10[[#This Row],[Date]])</f>
        <v>2025</v>
      </c>
      <c r="D10" s="102" t="s">
        <v>446</v>
      </c>
      <c r="E10" s="469">
        <f>Table10[[#This Row],[Date]]-DAY(Table10[[#This Row],[Date]])+1</f>
        <v>45748</v>
      </c>
      <c r="F10" s="470">
        <v>45763</v>
      </c>
      <c r="G10" s="102" t="s">
        <v>83</v>
      </c>
      <c r="H10" s="102" t="str">
        <f>IFERROR(_xlfn.XLOOKUP(Table10[[#This Row],[Affected Feeder ]],'Basic Data'!$A$43:$A$70,'Basic Data'!$B$43:$B$70),"")</f>
        <v>TQGXIIPL</v>
      </c>
      <c r="I10" s="102" t="str">
        <f>IFERROR(_xlfn.XLOOKUP(Table10[[#This Row],[Affected Feeder ]],'Basic Data'!$A$43:$A$70,'Basic Data'!$C$43:$C$70),"")</f>
        <v>GEDA</v>
      </c>
      <c r="J10" s="482">
        <f>IFERROR(_xlfn.XLOOKUP(Table10[[#This Row],[Affected Feeder ]],'Basic Data'!$A$43:$A$70,'Basic Data'!$E$43:$E$70),"")</f>
        <v>3.846153846153845E-2</v>
      </c>
      <c r="K10" s="483" t="s">
        <v>475</v>
      </c>
      <c r="L10" s="484">
        <v>0.38055555555555554</v>
      </c>
      <c r="M10" s="484">
        <v>0.38055555555555554</v>
      </c>
      <c r="N10" s="484">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483" t="s">
        <v>476</v>
      </c>
      <c r="S10" s="102" t="s">
        <v>293</v>
      </c>
      <c r="T10" s="485">
        <f>IFERROR(Table10[[#This Row],[Breakdown Time]]*Table10[[#This Row],[Plant Equivalent Weightage]],"")</f>
        <v>1.0256410256410269E-2</v>
      </c>
      <c r="U10" s="102" t="s">
        <v>450</v>
      </c>
      <c r="V10" s="547">
        <f>IFERROR(_xlfn.XLOOKUP(Table10[[#This Row],[Date]],'Daily KPI'!$A:$A,'Daily KPI'!$M:$M),"")</f>
        <v>7.9018868801493038</v>
      </c>
      <c r="W10" s="102">
        <v>1650.5</v>
      </c>
      <c r="X10" s="102">
        <f>Table10[[#This Row],[WTG Loss]]*1*Table10[[#This Row],[Breakdown Time]]</f>
        <v>440.13333333333395</v>
      </c>
      <c r="Y10" s="102" t="s">
        <v>449</v>
      </c>
      <c r="Z10" s="102"/>
      <c r="AA10" s="102"/>
    </row>
    <row r="11" spans="1:27">
      <c r="A11" s="102">
        <f t="shared" si="0"/>
        <v>10</v>
      </c>
      <c r="B11" s="102">
        <f>YEAR(Table10[[#This Row],[Date]])+IF(MONTH(Table10[[#This Row],[Date]])&gt;=4,1,0)</f>
        <v>2026</v>
      </c>
      <c r="C11" s="102">
        <f>YEAR(Table10[[#This Row],[Date]])</f>
        <v>2025</v>
      </c>
      <c r="D11" s="102" t="s">
        <v>446</v>
      </c>
      <c r="E11" s="469">
        <f>Table10[[#This Row],[Date]]-DAY(Table10[[#This Row],[Date]])+1</f>
        <v>45748</v>
      </c>
      <c r="F11" s="470">
        <v>45768</v>
      </c>
      <c r="G11" s="102" t="s">
        <v>447</v>
      </c>
      <c r="H11" s="102" t="str">
        <f>IFERROR(_xlfn.XLOOKUP(Table10[[#This Row],[Affected Feeder ]],'Basic Data'!$A$43:$A$70,'Basic Data'!$B$43:$B$70),"")</f>
        <v>TQGXIIPL</v>
      </c>
      <c r="I11" s="102" t="str">
        <f>IFERROR(_xlfn.XLOOKUP(Table10[[#This Row],[Affected Feeder ]],'Basic Data'!$A$43:$A$70,'Basic Data'!$C$43:$C$70),"")</f>
        <v>GEDA</v>
      </c>
      <c r="J11" s="482">
        <f>IFERROR(_xlfn.XLOOKUP(Table10[[#This Row],[Affected Feeder ]],'Basic Data'!$A$43:$A$70,'Basic Data'!$E$43:$E$70),"")</f>
        <v>0.49999999999999978</v>
      </c>
      <c r="K11" s="483" t="s">
        <v>468</v>
      </c>
      <c r="L11" s="484">
        <v>0.37222222222222223</v>
      </c>
      <c r="M11" s="484">
        <v>0.37222222222222223</v>
      </c>
      <c r="N11" s="484">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483" t="s">
        <v>1753</v>
      </c>
      <c r="S11" s="102" t="s">
        <v>293</v>
      </c>
      <c r="T11" s="485">
        <f>IFERROR(Table10[[#This Row],[Breakdown Time]]*Table10[[#This Row],[Plant Equivalent Weightage]],"")</f>
        <v>0.29166666666666619</v>
      </c>
      <c r="U11" s="102" t="s">
        <v>450</v>
      </c>
      <c r="V11" s="547">
        <f>IFERROR(_xlfn.XLOOKUP(Table10[[#This Row],[Date]],'Daily KPI'!$A:$A,'Daily KPI'!$M:$M),"")</f>
        <v>4.9753116044268859</v>
      </c>
      <c r="W11" s="102">
        <v>406</v>
      </c>
      <c r="X11" s="102">
        <f>Table10[[#This Row],[WTG Loss]]*6*Table10[[#This Row],[Breakdown Time]]</f>
        <v>1420.9999999999982</v>
      </c>
      <c r="Y11" s="102" t="s">
        <v>449</v>
      </c>
      <c r="Z11" s="102"/>
      <c r="AA11" s="102"/>
    </row>
    <row r="12" spans="1:27">
      <c r="A12" s="102">
        <f t="shared" si="0"/>
        <v>11</v>
      </c>
      <c r="B12" s="102">
        <f>YEAR(Table10[[#This Row],[Date]])+IF(MONTH(Table10[[#This Row],[Date]])&gt;=4,1,0)</f>
        <v>2026</v>
      </c>
      <c r="C12" s="102">
        <f>YEAR(Table10[[#This Row],[Date]])</f>
        <v>2025</v>
      </c>
      <c r="D12" s="102" t="s">
        <v>446</v>
      </c>
      <c r="E12" s="469">
        <f>Table10[[#This Row],[Date]]-DAY(Table10[[#This Row],[Date]])+1</f>
        <v>45748</v>
      </c>
      <c r="F12" s="470">
        <v>45768</v>
      </c>
      <c r="G12" s="102" t="s">
        <v>447</v>
      </c>
      <c r="H12" s="102" t="str">
        <f>IFERROR(_xlfn.XLOOKUP(Table10[[#This Row],[Affected Feeder ]],'Basic Data'!$A$43:$A$70,'Basic Data'!$B$43:$B$70),"")</f>
        <v>TQGXIIPL</v>
      </c>
      <c r="I12" s="102" t="str">
        <f>IFERROR(_xlfn.XLOOKUP(Table10[[#This Row],[Affected Feeder ]],'Basic Data'!$A$43:$A$70,'Basic Data'!$C$43:$C$70),"")</f>
        <v>GEDA</v>
      </c>
      <c r="J12" s="482">
        <f>IFERROR(_xlfn.XLOOKUP(Table10[[#This Row],[Affected Feeder ]],'Basic Data'!$A$43:$A$70,'Basic Data'!$E$43:$E$70),"")</f>
        <v>0.49999999999999978</v>
      </c>
      <c r="K12" s="483" t="s">
        <v>468</v>
      </c>
      <c r="L12" s="484">
        <v>0.78055555555555556</v>
      </c>
      <c r="M12" s="484">
        <v>0.78055555555555556</v>
      </c>
      <c r="N12" s="484">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483" t="s">
        <v>1753</v>
      </c>
      <c r="S12" s="102" t="s">
        <v>293</v>
      </c>
      <c r="T12" s="485">
        <f>IFERROR(Table10[[#This Row],[Breakdown Time]]*Table10[[#This Row],[Plant Equivalent Weightage]],"")</f>
        <v>0.21666666666666715</v>
      </c>
      <c r="U12" s="102" t="s">
        <v>450</v>
      </c>
      <c r="V12" s="547">
        <f>IFERROR(_xlfn.XLOOKUP(Table10[[#This Row],[Date]],'Daily KPI'!$A:$A,'Daily KPI'!$M:$M),"")</f>
        <v>4.9753116044268859</v>
      </c>
      <c r="W12" s="102">
        <v>406</v>
      </c>
      <c r="X12" s="102">
        <f>Table10[[#This Row],[WTG Loss]]*6*Table10[[#This Row],[Breakdown Time]]</f>
        <v>1055.6000000000026</v>
      </c>
      <c r="Y12" s="102" t="s">
        <v>449</v>
      </c>
      <c r="Z12" s="102"/>
      <c r="AA12" s="102"/>
    </row>
    <row r="13" spans="1:27">
      <c r="A13" s="102">
        <f t="shared" si="0"/>
        <v>12</v>
      </c>
      <c r="B13" s="102">
        <f>YEAR(Table10[[#This Row],[Date]])+IF(MONTH(Table10[[#This Row],[Date]])&gt;=4,1,0)</f>
        <v>2026</v>
      </c>
      <c r="C13" s="102">
        <f>YEAR(Table10[[#This Row],[Date]])</f>
        <v>2025</v>
      </c>
      <c r="D13" s="102" t="s">
        <v>446</v>
      </c>
      <c r="E13" s="469">
        <f>Table10[[#This Row],[Date]]-DAY(Table10[[#This Row],[Date]])+1</f>
        <v>45748</v>
      </c>
      <c r="F13" s="470">
        <v>45768</v>
      </c>
      <c r="G13" s="102" t="s">
        <v>74</v>
      </c>
      <c r="H13" s="102" t="str">
        <f>IFERROR(_xlfn.XLOOKUP(Table10[[#This Row],[Affected Feeder ]],'Basic Data'!$A$43:$A$70,'Basic Data'!$B$43:$B$70),"")</f>
        <v>TQGXIIPL</v>
      </c>
      <c r="I13" s="102" t="str">
        <f>IFERROR(_xlfn.XLOOKUP(Table10[[#This Row],[Affected Feeder ]],'Basic Data'!$A$43:$A$70,'Basic Data'!$C$43:$C$70),"")</f>
        <v>GEDA</v>
      </c>
      <c r="J13" s="482">
        <f>IFERROR(_xlfn.XLOOKUP(Table10[[#This Row],[Affected Feeder ]],'Basic Data'!$A$43:$A$70,'Basic Data'!$E$43:$E$70),"")</f>
        <v>3.846153846153845E-2</v>
      </c>
      <c r="K13" s="483" t="s">
        <v>1703</v>
      </c>
      <c r="L13" s="484">
        <v>0.39652777777777776</v>
      </c>
      <c r="M13" s="484">
        <v>0.39652777777777776</v>
      </c>
      <c r="N13" s="484">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483" t="s">
        <v>1753</v>
      </c>
      <c r="S13" s="102" t="s">
        <v>293</v>
      </c>
      <c r="T13" s="485">
        <f>IFERROR(Table10[[#This Row],[Breakdown Time]]*Table10[[#This Row],[Plant Equivalent Weightage]],"")</f>
        <v>0.35448717948717939</v>
      </c>
      <c r="U13" s="102" t="s">
        <v>450</v>
      </c>
      <c r="V13" s="547">
        <f>IFERROR(_xlfn.XLOOKUP(Table10[[#This Row],[Date]],'Daily KPI'!$A:$A,'Daily KPI'!$M:$M),"")</f>
        <v>4.9753116044268859</v>
      </c>
      <c r="W13" s="102">
        <v>406</v>
      </c>
      <c r="X13" s="102">
        <f>Table10[[#This Row],[WTG Loss]]*6*Table10[[#This Row],[Breakdown Time]]</f>
        <v>22451.8</v>
      </c>
      <c r="Y13" s="102" t="s">
        <v>449</v>
      </c>
      <c r="Z13" s="102"/>
      <c r="AA13" s="102"/>
    </row>
    <row r="14" spans="1:27">
      <c r="A14" s="102">
        <f t="shared" si="0"/>
        <v>13</v>
      </c>
      <c r="B14" s="102">
        <f>YEAR(Table10[[#This Row],[Date]])+IF(MONTH(Table10[[#This Row],[Date]])&gt;=4,1,0)</f>
        <v>2026</v>
      </c>
      <c r="C14" s="102">
        <f>YEAR(Table10[[#This Row],[Date]])</f>
        <v>2025</v>
      </c>
      <c r="D14" s="102" t="s">
        <v>446</v>
      </c>
      <c r="E14" s="469">
        <f>Table10[[#This Row],[Date]]-DAY(Table10[[#This Row],[Date]])+1</f>
        <v>45748</v>
      </c>
      <c r="F14" s="470">
        <v>45768</v>
      </c>
      <c r="G14" s="102" t="s">
        <v>75</v>
      </c>
      <c r="H14" s="102" t="str">
        <f>IFERROR(_xlfn.XLOOKUP(Table10[[#This Row],[Affected Feeder ]],'Basic Data'!$A$43:$A$70,'Basic Data'!$B$43:$B$70),"")</f>
        <v>TQGXIIPL</v>
      </c>
      <c r="I14" s="102" t="str">
        <f>IFERROR(_xlfn.XLOOKUP(Table10[[#This Row],[Affected Feeder ]],'Basic Data'!$A$43:$A$70,'Basic Data'!$C$43:$C$70),"")</f>
        <v>GEDA</v>
      </c>
      <c r="J14" s="482">
        <f>IFERROR(_xlfn.XLOOKUP(Table10[[#This Row],[Affected Feeder ]],'Basic Data'!$A$43:$A$70,'Basic Data'!$E$43:$E$70),"")</f>
        <v>3.846153846153845E-2</v>
      </c>
      <c r="K14" s="483" t="s">
        <v>1704</v>
      </c>
      <c r="L14" s="484">
        <v>0.39652777777777776</v>
      </c>
      <c r="M14" s="484">
        <v>0.39652777777777776</v>
      </c>
      <c r="N14" s="484">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483" t="s">
        <v>1753</v>
      </c>
      <c r="S14" s="102" t="s">
        <v>293</v>
      </c>
      <c r="T14" s="485">
        <f>IFERROR(Table10[[#This Row],[Breakdown Time]]*Table10[[#This Row],[Plant Equivalent Weightage]],"")</f>
        <v>0.35448717948717939</v>
      </c>
      <c r="U14" s="102" t="s">
        <v>450</v>
      </c>
      <c r="V14" s="547">
        <f>IFERROR(_xlfn.XLOOKUP(Table10[[#This Row],[Date]],'Daily KPI'!$A:$A,'Daily KPI'!$M:$M),"")</f>
        <v>4.9753116044268859</v>
      </c>
      <c r="W14" s="102">
        <v>406</v>
      </c>
      <c r="X14" s="102">
        <f>Table10[[#This Row],[WTG Loss]]*6*Table10[[#This Row],[Breakdown Time]]</f>
        <v>22451.8</v>
      </c>
      <c r="Y14" s="102" t="s">
        <v>449</v>
      </c>
      <c r="Z14" s="102"/>
      <c r="AA14" s="102"/>
    </row>
    <row r="15" spans="1:27">
      <c r="A15" s="102">
        <f t="shared" si="0"/>
        <v>14</v>
      </c>
      <c r="B15" s="102">
        <f>YEAR(Table10[[#This Row],[Date]])+IF(MONTH(Table10[[#This Row],[Date]])&gt;=4,1,0)</f>
        <v>2026</v>
      </c>
      <c r="C15" s="102">
        <f>YEAR(Table10[[#This Row],[Date]])</f>
        <v>2025</v>
      </c>
      <c r="D15" s="102" t="s">
        <v>446</v>
      </c>
      <c r="E15" s="469">
        <f>Table10[[#This Row],[Date]]-DAY(Table10[[#This Row],[Date]])+1</f>
        <v>45748</v>
      </c>
      <c r="F15" s="470">
        <v>45768</v>
      </c>
      <c r="G15" s="102" t="s">
        <v>78</v>
      </c>
      <c r="H15" s="102" t="str">
        <f>IFERROR(_xlfn.XLOOKUP(Table10[[#This Row],[Affected Feeder ]],'Basic Data'!$A$43:$A$70,'Basic Data'!$B$43:$B$70),"")</f>
        <v>TQGXIIPL</v>
      </c>
      <c r="I15" s="102" t="str">
        <f>IFERROR(_xlfn.XLOOKUP(Table10[[#This Row],[Affected Feeder ]],'Basic Data'!$A$43:$A$70,'Basic Data'!$C$43:$C$70),"")</f>
        <v>GEDA</v>
      </c>
      <c r="J15" s="482">
        <f>IFERROR(_xlfn.XLOOKUP(Table10[[#This Row],[Affected Feeder ]],'Basic Data'!$A$43:$A$70,'Basic Data'!$E$43:$E$70),"")</f>
        <v>3.846153846153845E-2</v>
      </c>
      <c r="K15" s="483" t="s">
        <v>1705</v>
      </c>
      <c r="L15" s="484">
        <v>0.39652777777777776</v>
      </c>
      <c r="M15" s="484">
        <v>0.39652777777777776</v>
      </c>
      <c r="N15" s="484">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483" t="s">
        <v>1753</v>
      </c>
      <c r="S15" s="102" t="s">
        <v>293</v>
      </c>
      <c r="T15" s="485">
        <f>IFERROR(Table10[[#This Row],[Breakdown Time]]*Table10[[#This Row],[Plant Equivalent Weightage]],"")</f>
        <v>0.35448717948717939</v>
      </c>
      <c r="U15" s="102" t="s">
        <v>450</v>
      </c>
      <c r="V15" s="547">
        <f>IFERROR(_xlfn.XLOOKUP(Table10[[#This Row],[Date]],'Daily KPI'!$A:$A,'Daily KPI'!$M:$M),"")</f>
        <v>4.9753116044268859</v>
      </c>
      <c r="W15" s="102">
        <v>406</v>
      </c>
      <c r="X15" s="102">
        <f>Table10[[#This Row],[WTG Loss]]*6*Table10[[#This Row],[Breakdown Time]]</f>
        <v>22451.8</v>
      </c>
      <c r="Y15" s="102" t="s">
        <v>449</v>
      </c>
      <c r="Z15" s="102"/>
      <c r="AA15" s="102"/>
    </row>
    <row r="16" spans="1:27">
      <c r="A16" s="102">
        <f t="shared" si="0"/>
        <v>15</v>
      </c>
      <c r="B16" s="102">
        <f>YEAR(Table10[[#This Row],[Date]])+IF(MONTH(Table10[[#This Row],[Date]])&gt;=4,1,0)</f>
        <v>2026</v>
      </c>
      <c r="C16" s="102">
        <f>YEAR(Table10[[#This Row],[Date]])</f>
        <v>2025</v>
      </c>
      <c r="D16" s="102" t="s">
        <v>446</v>
      </c>
      <c r="E16" s="469">
        <f>Table10[[#This Row],[Date]]-DAY(Table10[[#This Row],[Date]])+1</f>
        <v>45748</v>
      </c>
      <c r="F16" s="470">
        <v>45768</v>
      </c>
      <c r="G16" s="102" t="s">
        <v>81</v>
      </c>
      <c r="H16" s="102" t="str">
        <f>IFERROR(_xlfn.XLOOKUP(Table10[[#This Row],[Affected Feeder ]],'Basic Data'!$A$43:$A$70,'Basic Data'!$B$43:$B$70),"")</f>
        <v>TQGXIIPL</v>
      </c>
      <c r="I16" s="102" t="str">
        <f>IFERROR(_xlfn.XLOOKUP(Table10[[#This Row],[Affected Feeder ]],'Basic Data'!$A$43:$A$70,'Basic Data'!$C$43:$C$70),"")</f>
        <v>GEDA</v>
      </c>
      <c r="J16" s="482">
        <f>IFERROR(_xlfn.XLOOKUP(Table10[[#This Row],[Affected Feeder ]],'Basic Data'!$A$43:$A$70,'Basic Data'!$E$43:$E$70),"")</f>
        <v>3.846153846153845E-2</v>
      </c>
      <c r="K16" s="483" t="s">
        <v>1706</v>
      </c>
      <c r="L16" s="484">
        <v>0.39652777777777776</v>
      </c>
      <c r="M16" s="484">
        <v>0.39652777777777776</v>
      </c>
      <c r="N16" s="484">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483" t="s">
        <v>1753</v>
      </c>
      <c r="S16" s="102" t="s">
        <v>293</v>
      </c>
      <c r="T16" s="485">
        <f>IFERROR(Table10[[#This Row],[Breakdown Time]]*Table10[[#This Row],[Plant Equivalent Weightage]],"")</f>
        <v>0.35448717948717939</v>
      </c>
      <c r="U16" s="102" t="s">
        <v>450</v>
      </c>
      <c r="V16" s="547">
        <f>IFERROR(_xlfn.XLOOKUP(Table10[[#This Row],[Date]],'Daily KPI'!$A:$A,'Daily KPI'!$M:$M),"")</f>
        <v>4.9753116044268859</v>
      </c>
      <c r="W16" s="102">
        <v>406</v>
      </c>
      <c r="X16" s="102">
        <f>Table10[[#This Row],[WTG Loss]]*6*Table10[[#This Row],[Breakdown Time]]</f>
        <v>22451.8</v>
      </c>
      <c r="Y16" s="102" t="s">
        <v>449</v>
      </c>
      <c r="Z16" s="102"/>
      <c r="AA16" s="102"/>
    </row>
    <row r="17" spans="1:27">
      <c r="A17" s="102">
        <f t="shared" si="0"/>
        <v>16</v>
      </c>
      <c r="B17" s="102">
        <f>YEAR(Table10[[#This Row],[Date]])+IF(MONTH(Table10[[#This Row],[Date]])&gt;=4,1,0)</f>
        <v>2026</v>
      </c>
      <c r="C17" s="102">
        <f>YEAR(Table10[[#This Row],[Date]])</f>
        <v>2025</v>
      </c>
      <c r="D17" s="102" t="s">
        <v>446</v>
      </c>
      <c r="E17" s="469">
        <f>Table10[[#This Row],[Date]]-DAY(Table10[[#This Row],[Date]])+1</f>
        <v>45748</v>
      </c>
      <c r="F17" s="470">
        <v>45768</v>
      </c>
      <c r="G17" s="102" t="s">
        <v>98</v>
      </c>
      <c r="H17" s="102" t="str">
        <f>IFERROR(_xlfn.XLOOKUP(Table10[[#This Row],[Affected Feeder ]],'Basic Data'!$A$43:$A$70,'Basic Data'!$B$43:$B$70),"")</f>
        <v>TQGXIIPL</v>
      </c>
      <c r="I17" s="102" t="str">
        <f>IFERROR(_xlfn.XLOOKUP(Table10[[#This Row],[Affected Feeder ]],'Basic Data'!$A$43:$A$70,'Basic Data'!$C$43:$C$70),"")</f>
        <v>GEDA</v>
      </c>
      <c r="J17" s="482">
        <f>IFERROR(_xlfn.XLOOKUP(Table10[[#This Row],[Affected Feeder ]],'Basic Data'!$A$43:$A$70,'Basic Data'!$E$43:$E$70),"")</f>
        <v>3.846153846153845E-2</v>
      </c>
      <c r="K17" s="483" t="s">
        <v>1707</v>
      </c>
      <c r="L17" s="484">
        <v>0.39652777777777776</v>
      </c>
      <c r="M17" s="484">
        <v>0.39652777777777776</v>
      </c>
      <c r="N17" s="484">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483" t="s">
        <v>1753</v>
      </c>
      <c r="S17" s="102" t="s">
        <v>293</v>
      </c>
      <c r="T17" s="485">
        <f>IFERROR(Table10[[#This Row],[Breakdown Time]]*Table10[[#This Row],[Plant Equivalent Weightage]],"")</f>
        <v>0.35448717948717939</v>
      </c>
      <c r="U17" s="102" t="s">
        <v>450</v>
      </c>
      <c r="V17" s="547">
        <f>IFERROR(_xlfn.XLOOKUP(Table10[[#This Row],[Date]],'Daily KPI'!$A:$A,'Daily KPI'!$M:$M),"")</f>
        <v>4.9753116044268859</v>
      </c>
      <c r="W17" s="102">
        <v>406</v>
      </c>
      <c r="X17" s="102">
        <f>Table10[[#This Row],[WTG Loss]]*6*Table10[[#This Row],[Breakdown Time]]</f>
        <v>22451.8</v>
      </c>
      <c r="Y17" s="102" t="s">
        <v>449</v>
      </c>
      <c r="Z17" s="102"/>
      <c r="AA17" s="102"/>
    </row>
    <row r="18" spans="1:27">
      <c r="A18" s="102">
        <f t="shared" si="0"/>
        <v>17</v>
      </c>
      <c r="B18" s="102">
        <f>YEAR(Table10[[#This Row],[Date]])+IF(MONTH(Table10[[#This Row],[Date]])&gt;=4,1,0)</f>
        <v>2026</v>
      </c>
      <c r="C18" s="102">
        <f>YEAR(Table10[[#This Row],[Date]])</f>
        <v>2025</v>
      </c>
      <c r="D18" s="102" t="s">
        <v>446</v>
      </c>
      <c r="E18" s="469">
        <f>Table10[[#This Row],[Date]]-DAY(Table10[[#This Row],[Date]])+1</f>
        <v>45748</v>
      </c>
      <c r="F18" s="470">
        <v>45768</v>
      </c>
      <c r="G18" s="102" t="s">
        <v>99</v>
      </c>
      <c r="H18" s="102" t="str">
        <f>IFERROR(_xlfn.XLOOKUP(Table10[[#This Row],[Affected Feeder ]],'Basic Data'!$A$43:$A$70,'Basic Data'!$B$43:$B$70),"")</f>
        <v>TQGXIIPL</v>
      </c>
      <c r="I18" s="102" t="str">
        <f>IFERROR(_xlfn.XLOOKUP(Table10[[#This Row],[Affected Feeder ]],'Basic Data'!$A$43:$A$70,'Basic Data'!$C$43:$C$70),"")</f>
        <v>GEDA</v>
      </c>
      <c r="J18" s="482">
        <f>IFERROR(_xlfn.XLOOKUP(Table10[[#This Row],[Affected Feeder ]],'Basic Data'!$A$43:$A$70,'Basic Data'!$E$43:$E$70),"")</f>
        <v>3.846153846153845E-2</v>
      </c>
      <c r="K18" s="483" t="s">
        <v>1708</v>
      </c>
      <c r="L18" s="484">
        <v>0.39652777777777776</v>
      </c>
      <c r="M18" s="484">
        <v>0.39652777777777776</v>
      </c>
      <c r="N18" s="484">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483" t="s">
        <v>1753</v>
      </c>
      <c r="S18" s="102" t="s">
        <v>293</v>
      </c>
      <c r="T18" s="485">
        <f>IFERROR(Table10[[#This Row],[Breakdown Time]]*Table10[[#This Row],[Plant Equivalent Weightage]],"")</f>
        <v>0.35448717948717939</v>
      </c>
      <c r="U18" s="102" t="s">
        <v>450</v>
      </c>
      <c r="V18" s="547">
        <f>IFERROR(_xlfn.XLOOKUP(Table10[[#This Row],[Date]],'Daily KPI'!$A:$A,'Daily KPI'!$M:$M),"")</f>
        <v>4.9753116044268859</v>
      </c>
      <c r="W18" s="102">
        <v>406</v>
      </c>
      <c r="X18" s="102">
        <f>Table10[[#This Row],[WTG Loss]]*3*Table10[[#This Row],[Breakdown Time]]</f>
        <v>11225.9</v>
      </c>
      <c r="Y18" s="102" t="s">
        <v>449</v>
      </c>
      <c r="Z18" s="102"/>
      <c r="AA18" s="102"/>
    </row>
    <row r="19" spans="1:27">
      <c r="A19" s="102">
        <f t="shared" si="0"/>
        <v>18</v>
      </c>
      <c r="B19" s="102">
        <f>YEAR(Table10[[#This Row],[Date]])+IF(MONTH(Table10[[#This Row],[Date]])&gt;=4,1,0)</f>
        <v>2026</v>
      </c>
      <c r="C19" s="102">
        <f>YEAR(Table10[[#This Row],[Date]])</f>
        <v>2025</v>
      </c>
      <c r="D19" s="102" t="s">
        <v>446</v>
      </c>
      <c r="E19" s="469">
        <f>Table10[[#This Row],[Date]]-DAY(Table10[[#This Row],[Date]])+1</f>
        <v>45748</v>
      </c>
      <c r="F19" s="470">
        <v>45769</v>
      </c>
      <c r="G19" s="102" t="s">
        <v>451</v>
      </c>
      <c r="H19" s="102" t="str">
        <f>IFERROR(_xlfn.XLOOKUP(Table10[[#This Row],[Affected Feeder ]],'Basic Data'!$A$43:$A$70,'Basic Data'!$B$43:$B$70),"")</f>
        <v>TQGXIIPL</v>
      </c>
      <c r="I19" s="102" t="str">
        <f>IFERROR(_xlfn.XLOOKUP(Table10[[#This Row],[Affected Feeder ]],'Basic Data'!$A$43:$A$70,'Basic Data'!$C$43:$C$70),"")</f>
        <v>GEDA</v>
      </c>
      <c r="J19" s="482">
        <f>IFERROR(_xlfn.XLOOKUP(Table10[[#This Row],[Affected Feeder ]],'Basic Data'!$A$43:$A$70,'Basic Data'!$E$43:$E$70),"")</f>
        <v>0.49999999999999978</v>
      </c>
      <c r="K19" s="483" t="s">
        <v>469</v>
      </c>
      <c r="L19" s="484">
        <v>0.6381944444444444</v>
      </c>
      <c r="M19" s="484">
        <v>0.6381944444444444</v>
      </c>
      <c r="N19" s="484">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483" t="s">
        <v>1754</v>
      </c>
      <c r="S19" s="102" t="s">
        <v>293</v>
      </c>
      <c r="T19" s="485">
        <f>IFERROR(Table10[[#This Row],[Breakdown Time]]*Table10[[#This Row],[Plant Equivalent Weightage]],"")</f>
        <v>0.24166666666666703</v>
      </c>
      <c r="U19" s="102" t="s">
        <v>450</v>
      </c>
      <c r="V19" s="547">
        <f>IFERROR(_xlfn.XLOOKUP(Table10[[#This Row],[Date]],'Daily KPI'!$A:$A,'Daily KPI'!$M:$M),"")</f>
        <v>5.2119762384735528</v>
      </c>
      <c r="W19" s="102">
        <v>469.4</v>
      </c>
      <c r="X19" s="102">
        <f>Table10[[#This Row],[WTG Loss]]*3*Table10[[#This Row],[Breakdown Time]]</f>
        <v>680.63000000000125</v>
      </c>
      <c r="Y19" s="102" t="s">
        <v>449</v>
      </c>
      <c r="Z19" s="102"/>
      <c r="AA19" s="102"/>
    </row>
    <row r="20" spans="1:27">
      <c r="A20" s="102">
        <f t="shared" si="0"/>
        <v>19</v>
      </c>
      <c r="B20" s="102">
        <f>YEAR(Table10[[#This Row],[Date]])+IF(MONTH(Table10[[#This Row],[Date]])&gt;=4,1,0)</f>
        <v>2026</v>
      </c>
      <c r="C20" s="102">
        <f>YEAR(Table10[[#This Row],[Date]])</f>
        <v>2025</v>
      </c>
      <c r="D20" s="102" t="s">
        <v>446</v>
      </c>
      <c r="E20" s="469">
        <f>Table10[[#This Row],[Date]]-DAY(Table10[[#This Row],[Date]])+1</f>
        <v>45748</v>
      </c>
      <c r="F20" s="470">
        <v>45769</v>
      </c>
      <c r="G20" s="102" t="s">
        <v>77</v>
      </c>
      <c r="H20" s="102" t="str">
        <f>IFERROR(_xlfn.XLOOKUP(Table10[[#This Row],[Affected Feeder ]],'Basic Data'!$A$43:$A$70,'Basic Data'!$B$43:$B$70),"")</f>
        <v>TQGXIIPL</v>
      </c>
      <c r="I20" s="102" t="str">
        <f>IFERROR(_xlfn.XLOOKUP(Table10[[#This Row],[Affected Feeder ]],'Basic Data'!$A$43:$A$70,'Basic Data'!$C$43:$C$70),"")</f>
        <v>GEDA</v>
      </c>
      <c r="J20" s="482">
        <f>IFERROR(_xlfn.XLOOKUP(Table10[[#This Row],[Affected Feeder ]],'Basic Data'!$A$43:$A$70,'Basic Data'!$E$43:$E$70),"")</f>
        <v>3.846153846153845E-2</v>
      </c>
      <c r="K20" s="483" t="s">
        <v>1713</v>
      </c>
      <c r="L20" s="484">
        <v>0.52500000000000002</v>
      </c>
      <c r="M20" s="484">
        <v>0.52500000000000002</v>
      </c>
      <c r="N20" s="484">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483" t="s">
        <v>1754</v>
      </c>
      <c r="S20" s="102" t="s">
        <v>293</v>
      </c>
      <c r="T20" s="485">
        <f>IFERROR(Table10[[#This Row],[Breakdown Time]]*Table10[[#This Row],[Plant Equivalent Weightage]],"")</f>
        <v>0.10448717948717939</v>
      </c>
      <c r="U20" s="102" t="s">
        <v>450</v>
      </c>
      <c r="V20" s="547">
        <f>IFERROR(_xlfn.XLOOKUP(Table10[[#This Row],[Date]],'Daily KPI'!$A:$A,'Daily KPI'!$M:$M),"")</f>
        <v>5.2119762384735528</v>
      </c>
      <c r="W20" s="102">
        <v>469.4</v>
      </c>
      <c r="X20" s="102">
        <f>Table10[[#This Row],[WTG Loss]]*3*Table10[[#This Row],[Breakdown Time]]</f>
        <v>3825.6099999999969</v>
      </c>
      <c r="Y20" s="102" t="s">
        <v>449</v>
      </c>
      <c r="Z20" s="102"/>
      <c r="AA20" s="102"/>
    </row>
    <row r="21" spans="1:27">
      <c r="A21" s="102">
        <f t="shared" si="0"/>
        <v>20</v>
      </c>
      <c r="B21" s="102">
        <f>YEAR(Table10[[#This Row],[Date]])+IF(MONTH(Table10[[#This Row],[Date]])&gt;=4,1,0)</f>
        <v>2026</v>
      </c>
      <c r="C21" s="102">
        <f>YEAR(Table10[[#This Row],[Date]])</f>
        <v>2025</v>
      </c>
      <c r="D21" s="102" t="s">
        <v>446</v>
      </c>
      <c r="E21" s="469">
        <f>Table10[[#This Row],[Date]]-DAY(Table10[[#This Row],[Date]])+1</f>
        <v>45748</v>
      </c>
      <c r="F21" s="470">
        <v>45769</v>
      </c>
      <c r="G21" s="102" t="s">
        <v>80</v>
      </c>
      <c r="H21" s="102" t="str">
        <f>IFERROR(_xlfn.XLOOKUP(Table10[[#This Row],[Affected Feeder ]],'Basic Data'!$A$43:$A$70,'Basic Data'!$B$43:$B$70),"")</f>
        <v>TQGXIIPL</v>
      </c>
      <c r="I21" s="102" t="str">
        <f>IFERROR(_xlfn.XLOOKUP(Table10[[#This Row],[Affected Feeder ]],'Basic Data'!$A$43:$A$70,'Basic Data'!$C$43:$C$70),"")</f>
        <v>GEDA</v>
      </c>
      <c r="J21" s="482">
        <f>IFERROR(_xlfn.XLOOKUP(Table10[[#This Row],[Affected Feeder ]],'Basic Data'!$A$43:$A$70,'Basic Data'!$E$43:$E$70),"")</f>
        <v>3.846153846153845E-2</v>
      </c>
      <c r="K21" s="483" t="s">
        <v>1714</v>
      </c>
      <c r="L21" s="484">
        <v>0.52500000000000002</v>
      </c>
      <c r="M21" s="484">
        <v>0.52500000000000002</v>
      </c>
      <c r="N21" s="484">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483" t="s">
        <v>1754</v>
      </c>
      <c r="S21" s="102" t="s">
        <v>293</v>
      </c>
      <c r="T21" s="485">
        <f>IFERROR(Table10[[#This Row],[Breakdown Time]]*Table10[[#This Row],[Plant Equivalent Weightage]],"")</f>
        <v>0.10448717948717939</v>
      </c>
      <c r="U21" s="102" t="s">
        <v>450</v>
      </c>
      <c r="V21" s="547">
        <f>IFERROR(_xlfn.XLOOKUP(Table10[[#This Row],[Date]],'Daily KPI'!$A:$A,'Daily KPI'!$M:$M),"")</f>
        <v>5.2119762384735528</v>
      </c>
      <c r="W21" s="102">
        <v>469.4</v>
      </c>
      <c r="X21" s="102">
        <f>Table10[[#This Row],[WTG Loss]]*3*Table10[[#This Row],[Breakdown Time]]</f>
        <v>3825.6099999999969</v>
      </c>
      <c r="Y21" s="102" t="s">
        <v>449</v>
      </c>
      <c r="Z21" s="102"/>
      <c r="AA21" s="102"/>
    </row>
    <row r="22" spans="1:27">
      <c r="A22" s="102">
        <f t="shared" si="0"/>
        <v>21</v>
      </c>
      <c r="B22" s="102">
        <f>YEAR(Table10[[#This Row],[Date]])+IF(MONTH(Table10[[#This Row],[Date]])&gt;=4,1,0)</f>
        <v>2026</v>
      </c>
      <c r="C22" s="102">
        <f>YEAR(Table10[[#This Row],[Date]])</f>
        <v>2025</v>
      </c>
      <c r="D22" s="102" t="s">
        <v>446</v>
      </c>
      <c r="E22" s="469">
        <f>Table10[[#This Row],[Date]]-DAY(Table10[[#This Row],[Date]])+1</f>
        <v>45748</v>
      </c>
      <c r="F22" s="470">
        <v>45769</v>
      </c>
      <c r="G22" s="102" t="s">
        <v>92</v>
      </c>
      <c r="H22" s="102" t="str">
        <f>IFERROR(_xlfn.XLOOKUP(Table10[[#This Row],[Affected Feeder ]],'Basic Data'!$A$43:$A$70,'Basic Data'!$B$43:$B$70),"")</f>
        <v>TQGXIIPL</v>
      </c>
      <c r="I22" s="102" t="str">
        <f>IFERROR(_xlfn.XLOOKUP(Table10[[#This Row],[Affected Feeder ]],'Basic Data'!$A$43:$A$70,'Basic Data'!$C$43:$C$70),"")</f>
        <v>GEDA</v>
      </c>
      <c r="J22" s="482">
        <f>IFERROR(_xlfn.XLOOKUP(Table10[[#This Row],[Affected Feeder ]],'Basic Data'!$A$43:$A$70,'Basic Data'!$E$43:$E$70),"")</f>
        <v>3.846153846153845E-2</v>
      </c>
      <c r="K22" s="483" t="s">
        <v>1715</v>
      </c>
      <c r="L22" s="484">
        <v>0.52500000000000002</v>
      </c>
      <c r="M22" s="484">
        <v>0.52500000000000002</v>
      </c>
      <c r="N22" s="484">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483" t="s">
        <v>1754</v>
      </c>
      <c r="S22" s="102" t="s">
        <v>293</v>
      </c>
      <c r="T22" s="485">
        <f>IFERROR(Table10[[#This Row],[Breakdown Time]]*Table10[[#This Row],[Plant Equivalent Weightage]],"")</f>
        <v>0.10448717948717939</v>
      </c>
      <c r="U22" s="102" t="s">
        <v>450</v>
      </c>
      <c r="V22" s="547">
        <f>IFERROR(_xlfn.XLOOKUP(Table10[[#This Row],[Date]],'Daily KPI'!$A:$A,'Daily KPI'!$M:$M),"")</f>
        <v>5.2119762384735528</v>
      </c>
      <c r="W22" s="102">
        <v>469.4</v>
      </c>
      <c r="X22" s="102">
        <f>Table10[[#This Row],[WTG Loss]]*3*Table10[[#This Row],[Breakdown Time]]</f>
        <v>3825.6099999999969</v>
      </c>
      <c r="Y22" s="102" t="s">
        <v>449</v>
      </c>
      <c r="Z22" s="102"/>
      <c r="AA22" s="102"/>
    </row>
    <row r="23" spans="1:27">
      <c r="A23" s="102">
        <f t="shared" si="0"/>
        <v>22</v>
      </c>
      <c r="B23" s="102">
        <f>YEAR(Table10[[#This Row],[Date]])+IF(MONTH(Table10[[#This Row],[Date]])&gt;=4,1,0)</f>
        <v>2026</v>
      </c>
      <c r="C23" s="102">
        <f>YEAR(Table10[[#This Row],[Date]])</f>
        <v>2025</v>
      </c>
      <c r="D23" s="102" t="s">
        <v>446</v>
      </c>
      <c r="E23" s="469">
        <f>Table10[[#This Row],[Date]]-DAY(Table10[[#This Row],[Date]])+1</f>
        <v>45748</v>
      </c>
      <c r="F23" s="470">
        <v>45775</v>
      </c>
      <c r="G23" s="102" t="s">
        <v>447</v>
      </c>
      <c r="H23" s="102" t="str">
        <f>IFERROR(_xlfn.XLOOKUP(Table10[[#This Row],[Affected Feeder ]],'Basic Data'!$A$43:$A$70,'Basic Data'!$B$43:$B$70),"")</f>
        <v>TQGXIIPL</v>
      </c>
      <c r="I23" s="102" t="str">
        <f>IFERROR(_xlfn.XLOOKUP(Table10[[#This Row],[Affected Feeder ]],'Basic Data'!$A$43:$A$70,'Basic Data'!$C$43:$C$70),"")</f>
        <v>GEDA</v>
      </c>
      <c r="J23" s="482">
        <f>IFERROR(_xlfn.XLOOKUP(Table10[[#This Row],[Affected Feeder ]],'Basic Data'!$A$43:$A$70,'Basic Data'!$E$43:$E$70),"")</f>
        <v>0.49999999999999978</v>
      </c>
      <c r="K23" s="483" t="s">
        <v>455</v>
      </c>
      <c r="L23" s="484">
        <v>0.7583333333333333</v>
      </c>
      <c r="M23" s="484">
        <v>0.7583333333333333</v>
      </c>
      <c r="N23" s="484">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483" t="s">
        <v>474</v>
      </c>
      <c r="S23" s="102" t="s">
        <v>293</v>
      </c>
      <c r="T23" s="485">
        <f>IFERROR(Table10[[#This Row],[Breakdown Time]]*Table10[[#This Row],[Plant Equivalent Weightage]],"")</f>
        <v>9.1666666666667632E-2</v>
      </c>
      <c r="U23" s="102" t="s">
        <v>450</v>
      </c>
      <c r="V23" s="547">
        <f>IFERROR(_xlfn.XLOOKUP(Table10[[#This Row],[Date]],'Daily KPI'!$A:$A,'Daily KPI'!$M:$M),"")</f>
        <v>6.610001795649624</v>
      </c>
      <c r="W23" s="102">
        <v>990.6</v>
      </c>
      <c r="X23" s="102">
        <f>Table10[[#This Row],[WTG Loss]]*13*Table10[[#This Row],[Breakdown Time]]</f>
        <v>2360.9300000000262</v>
      </c>
      <c r="Y23" s="102" t="s">
        <v>449</v>
      </c>
      <c r="Z23" s="102"/>
      <c r="AA23" s="102"/>
    </row>
    <row r="24" spans="1:27">
      <c r="A24" s="102">
        <f t="shared" si="0"/>
        <v>23</v>
      </c>
      <c r="B24" s="102">
        <f>YEAR(Table10[[#This Row],[Date]])+IF(MONTH(Table10[[#This Row],[Date]])&gt;=4,1,0)</f>
        <v>2026</v>
      </c>
      <c r="C24" s="102">
        <f>YEAR(Table10[[#This Row],[Date]])</f>
        <v>2025</v>
      </c>
      <c r="D24" s="102" t="s">
        <v>446</v>
      </c>
      <c r="E24" s="469">
        <f>Table10[[#This Row],[Date]]-DAY(Table10[[#This Row],[Date]])+1</f>
        <v>45748</v>
      </c>
      <c r="F24" s="470">
        <v>45775</v>
      </c>
      <c r="G24" s="102" t="s">
        <v>87</v>
      </c>
      <c r="H24" s="102" t="str">
        <f>IFERROR(_xlfn.XLOOKUP(Table10[[#This Row],[Affected Feeder ]],'Basic Data'!$A$43:$A$70,'Basic Data'!$B$43:$B$70),"")</f>
        <v>TQGXIIPL</v>
      </c>
      <c r="I24" s="102" t="str">
        <f>IFERROR(_xlfn.XLOOKUP(Table10[[#This Row],[Affected Feeder ]],'Basic Data'!$A$43:$A$70,'Basic Data'!$C$43:$C$70),"")</f>
        <v>GEDA</v>
      </c>
      <c r="J24" s="482">
        <f>IFERROR(_xlfn.XLOOKUP(Table10[[#This Row],[Affected Feeder ]],'Basic Data'!$A$43:$A$70,'Basic Data'!$E$43:$E$70),"")</f>
        <v>3.846153846153845E-2</v>
      </c>
      <c r="K24" s="483" t="s">
        <v>1745</v>
      </c>
      <c r="L24" s="484">
        <v>0.6118055555555556</v>
      </c>
      <c r="M24" s="484">
        <v>0.6118055555555556</v>
      </c>
      <c r="N24" s="484">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483" t="s">
        <v>1739</v>
      </c>
      <c r="S24" s="102" t="s">
        <v>293</v>
      </c>
      <c r="T24" s="485">
        <f>IFERROR(Table10[[#This Row],[Breakdown Time]]*Table10[[#This Row],[Plant Equivalent Weightage]],"")</f>
        <v>3.6538461538461499E-2</v>
      </c>
      <c r="U24" s="102" t="s">
        <v>450</v>
      </c>
      <c r="V24" s="547">
        <f>IFERROR(_xlfn.XLOOKUP(Table10[[#This Row],[Date]],'Daily KPI'!$A:$A,'Daily KPI'!$M:$M),"")</f>
        <v>6.610001795649624</v>
      </c>
      <c r="W24" s="102">
        <v>990.6</v>
      </c>
      <c r="X24" s="102">
        <f>Table10[[#This Row],[WTG Loss]]*1*Table10[[#This Row],[Breakdown Time]]</f>
        <v>941.06999999999937</v>
      </c>
      <c r="Y24" s="102" t="s">
        <v>449</v>
      </c>
      <c r="Z24" s="102"/>
      <c r="AA24" s="102"/>
    </row>
    <row r="25" spans="1:27">
      <c r="A25" s="102">
        <f t="shared" si="0"/>
        <v>24</v>
      </c>
      <c r="B25" s="102">
        <f>YEAR(Table10[[#This Row],[Date]])+IF(MONTH(Table10[[#This Row],[Date]])&gt;=4,1,0)</f>
        <v>2026</v>
      </c>
      <c r="C25" s="102">
        <f>YEAR(Table10[[#This Row],[Date]])</f>
        <v>2025</v>
      </c>
      <c r="D25" s="102" t="s">
        <v>446</v>
      </c>
      <c r="E25" s="469">
        <f>Table10[[#This Row],[Date]]-DAY(Table10[[#This Row],[Date]])+1</f>
        <v>45778</v>
      </c>
      <c r="F25" s="470">
        <v>45783</v>
      </c>
      <c r="G25" s="102" t="s">
        <v>451</v>
      </c>
      <c r="H25" s="102" t="str">
        <f>IFERROR(_xlfn.XLOOKUP(Table10[[#This Row],[Affected Feeder ]],'Basic Data'!$A$43:$A$70,'Basic Data'!$B$43:$B$70),"")</f>
        <v>TQGXIIPL</v>
      </c>
      <c r="I25" s="102" t="str">
        <f>IFERROR(_xlfn.XLOOKUP(Table10[[#This Row],[Affected Feeder ]],'Basic Data'!$A$43:$A$70,'Basic Data'!$C$43:$C$70),"")</f>
        <v>GEDA</v>
      </c>
      <c r="J25" s="482">
        <f>IFERROR(_xlfn.XLOOKUP(Table10[[#This Row],[Affected Feeder ]],'Basic Data'!$A$43:$A$70,'Basic Data'!$E$43:$E$70),"")</f>
        <v>0.49999999999999978</v>
      </c>
      <c r="K25" s="483" t="s">
        <v>1755</v>
      </c>
      <c r="L25" s="484">
        <v>9.7222222222222224E-3</v>
      </c>
      <c r="M25" s="484">
        <v>9.7222222222222224E-3</v>
      </c>
      <c r="N25" s="484">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483" t="s">
        <v>1757</v>
      </c>
      <c r="S25" s="102" t="s">
        <v>293</v>
      </c>
      <c r="T25" s="485">
        <f>IFERROR(Table10[[#This Row],[Breakdown Time]]*Table10[[#This Row],[Plant Equivalent Weightage]],"")</f>
        <v>0.2666666666666665</v>
      </c>
      <c r="U25" s="102" t="s">
        <v>450</v>
      </c>
      <c r="V25" s="547">
        <f>IFERROR(_xlfn.XLOOKUP(Table10[[#This Row],[Date]],'Daily KPI'!$A:$A,'Daily KPI'!$M:$M),"")</f>
        <v>6.8863246513857428</v>
      </c>
      <c r="W25" s="102">
        <v>1124.4000000000001</v>
      </c>
      <c r="X25" s="102">
        <f>Table10[[#This Row],[WTG Loss]]*13*Table10[[#This Row],[Breakdown Time]]</f>
        <v>7795.8399999999983</v>
      </c>
      <c r="Y25" s="102" t="s">
        <v>449</v>
      </c>
      <c r="Z25" s="102"/>
      <c r="AA25" s="102"/>
    </row>
    <row r="26" spans="1:27">
      <c r="A26" s="102">
        <f t="shared" si="0"/>
        <v>25</v>
      </c>
      <c r="B26" s="102">
        <f>YEAR(Table10[[#This Row],[Date]])+IF(MONTH(Table10[[#This Row],[Date]])&gt;=4,1,0)</f>
        <v>2026</v>
      </c>
      <c r="C26" s="102">
        <f>YEAR(Table10[[#This Row],[Date]])</f>
        <v>2025</v>
      </c>
      <c r="D26" s="102" t="s">
        <v>446</v>
      </c>
      <c r="E26" s="469">
        <f>Table10[[#This Row],[Date]]-DAY(Table10[[#This Row],[Date]])+1</f>
        <v>45778</v>
      </c>
      <c r="F26" s="470">
        <v>45783</v>
      </c>
      <c r="G26" s="102" t="s">
        <v>451</v>
      </c>
      <c r="H26" s="102" t="str">
        <f>IFERROR(_xlfn.XLOOKUP(Table10[[#This Row],[Affected Feeder ]],'Basic Data'!$A$43:$A$70,'Basic Data'!$B$43:$B$70),"")</f>
        <v>TQGXIIPL</v>
      </c>
      <c r="I26" s="102" t="str">
        <f>IFERROR(_xlfn.XLOOKUP(Table10[[#This Row],[Affected Feeder ]],'Basic Data'!$A$43:$A$70,'Basic Data'!$C$43:$C$70),"")</f>
        <v>GEDA</v>
      </c>
      <c r="J26" s="482">
        <f>IFERROR(_xlfn.XLOOKUP(Table10[[#This Row],[Affected Feeder ]],'Basic Data'!$A$43:$A$70,'Basic Data'!$E$43:$E$70),"")</f>
        <v>0.49999999999999978</v>
      </c>
      <c r="K26" s="483" t="s">
        <v>1755</v>
      </c>
      <c r="L26" s="484">
        <v>0.64722222222222225</v>
      </c>
      <c r="M26" s="484">
        <v>0.64722222222222225</v>
      </c>
      <c r="N26" s="484">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483" t="s">
        <v>1757</v>
      </c>
      <c r="S26" s="102" t="s">
        <v>293</v>
      </c>
      <c r="T26" s="485">
        <f>IFERROR(Table10[[#This Row],[Breakdown Time]]*Table10[[#This Row],[Plant Equivalent Weightage]],"")</f>
        <v>1.1499999999999995</v>
      </c>
      <c r="U26" s="102" t="s">
        <v>450</v>
      </c>
      <c r="V26" s="547">
        <f>IFERROR(_xlfn.XLOOKUP(Table10[[#This Row],[Date]],'Daily KPI'!$A:$A,'Daily KPI'!$M:$M),"")</f>
        <v>6.8863246513857428</v>
      </c>
      <c r="W26" s="102">
        <v>1124.4000000000001</v>
      </c>
      <c r="X26" s="102">
        <f>Table10[[#This Row],[WTG Loss]]*13*Table10[[#This Row],[Breakdown Time]]</f>
        <v>33619.56</v>
      </c>
      <c r="Y26" s="102" t="s">
        <v>449</v>
      </c>
      <c r="Z26" s="102"/>
      <c r="AA26" s="102"/>
    </row>
    <row r="27" spans="1:27">
      <c r="A27" s="102">
        <f t="shared" si="0"/>
        <v>26</v>
      </c>
      <c r="B27" s="102">
        <f>YEAR(Table10[[#This Row],[Date]])+IF(MONTH(Table10[[#This Row],[Date]])&gt;=4,1,0)</f>
        <v>2026</v>
      </c>
      <c r="C27" s="102">
        <f>YEAR(Table10[[#This Row],[Date]])</f>
        <v>2025</v>
      </c>
      <c r="D27" s="102" t="s">
        <v>446</v>
      </c>
      <c r="E27" s="469">
        <f>Table10[[#This Row],[Date]]-DAY(Table10[[#This Row],[Date]])+1</f>
        <v>45778</v>
      </c>
      <c r="F27" s="470">
        <v>45783</v>
      </c>
      <c r="G27" s="102" t="s">
        <v>447</v>
      </c>
      <c r="H27" s="102" t="str">
        <f>IFERROR(_xlfn.XLOOKUP(Table10[[#This Row],[Affected Feeder ]],'Basic Data'!$A$43:$A$70,'Basic Data'!$B$43:$B$70),"")</f>
        <v>TQGXIIPL</v>
      </c>
      <c r="I27" s="102" t="str">
        <f>IFERROR(_xlfn.XLOOKUP(Table10[[#This Row],[Affected Feeder ]],'Basic Data'!$A$43:$A$70,'Basic Data'!$C$43:$C$70),"")</f>
        <v>GEDA</v>
      </c>
      <c r="J27" s="482">
        <f>IFERROR(_xlfn.XLOOKUP(Table10[[#This Row],[Affected Feeder ]],'Basic Data'!$A$43:$A$70,'Basic Data'!$E$43:$E$70),"")</f>
        <v>0.49999999999999978</v>
      </c>
      <c r="K27" s="483" t="s">
        <v>455</v>
      </c>
      <c r="L27" s="484">
        <v>0.66319444444444442</v>
      </c>
      <c r="M27" s="484">
        <v>0.66319444444444442</v>
      </c>
      <c r="N27" s="484">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483" t="s">
        <v>1758</v>
      </c>
      <c r="S27" s="102" t="s">
        <v>289</v>
      </c>
      <c r="T27" s="485">
        <f>IFERROR(Table10[[#This Row],[Breakdown Time]]*Table10[[#This Row],[Plant Equivalent Weightage]],"")</f>
        <v>4.0416666666666652</v>
      </c>
      <c r="U27" s="102" t="s">
        <v>450</v>
      </c>
      <c r="V27" s="547">
        <f>IFERROR(_xlfn.XLOOKUP(Table10[[#This Row],[Date]],'Daily KPI'!$A:$A,'Daily KPI'!$M:$M),"")</f>
        <v>6.8863246513857428</v>
      </c>
      <c r="W27" s="102">
        <v>1124.4000000000001</v>
      </c>
      <c r="X27" s="102">
        <f>Table10[[#This Row],[WTG Loss]]*13*Table10[[#This Row],[Breakdown Time]]</f>
        <v>118155.70000000001</v>
      </c>
      <c r="Y27" s="102" t="s">
        <v>449</v>
      </c>
      <c r="Z27" s="102"/>
      <c r="AA27" s="102"/>
    </row>
    <row r="28" spans="1:27">
      <c r="A28" s="102">
        <f t="shared" si="0"/>
        <v>27</v>
      </c>
      <c r="B28" s="102">
        <f>YEAR(Table10[[#This Row],[Date]])+IF(MONTH(Table10[[#This Row],[Date]])&gt;=4,1,0)</f>
        <v>2026</v>
      </c>
      <c r="C28" s="102">
        <f>YEAR(Table10[[#This Row],[Date]])</f>
        <v>2025</v>
      </c>
      <c r="D28" s="102" t="s">
        <v>446</v>
      </c>
      <c r="E28" s="469">
        <f>Table10[[#This Row],[Date]]-DAY(Table10[[#This Row],[Date]])+1</f>
        <v>45778</v>
      </c>
      <c r="F28" s="470">
        <v>45783</v>
      </c>
      <c r="G28" s="102" t="s">
        <v>89</v>
      </c>
      <c r="H28" s="102" t="str">
        <f>IFERROR(_xlfn.XLOOKUP(Table10[[#This Row],[Affected Feeder ]],'Basic Data'!$A$43:$A$70,'Basic Data'!$B$43:$B$70),"")</f>
        <v>TQGXIIPL</v>
      </c>
      <c r="I28" s="102" t="str">
        <f>IFERROR(_xlfn.XLOOKUP(Table10[[#This Row],[Affected Feeder ]],'Basic Data'!$A$43:$A$70,'Basic Data'!$C$43:$C$70),"")</f>
        <v>GEDA</v>
      </c>
      <c r="J28" s="482">
        <f>IFERROR(_xlfn.XLOOKUP(Table10[[#This Row],[Affected Feeder ]],'Basic Data'!$A$43:$A$70,'Basic Data'!$E$43:$E$70),"")</f>
        <v>3.846153846153845E-2</v>
      </c>
      <c r="K28" s="483" t="s">
        <v>1756</v>
      </c>
      <c r="L28" s="484">
        <v>0.74305555555555558</v>
      </c>
      <c r="M28" s="484">
        <v>0.74305555555555558</v>
      </c>
      <c r="N28" s="484">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483" t="s">
        <v>1759</v>
      </c>
      <c r="S28" s="102" t="s">
        <v>293</v>
      </c>
      <c r="T28" s="485">
        <f>IFERROR(Table10[[#This Row],[Breakdown Time]]*Table10[[#This Row],[Plant Equivalent Weightage]],"")</f>
        <v>0.11410256410256407</v>
      </c>
      <c r="U28" s="102" t="s">
        <v>450</v>
      </c>
      <c r="V28" s="547">
        <f>IFERROR(_xlfn.XLOOKUP(Table10[[#This Row],[Date]],'Daily KPI'!$A:$A,'Daily KPI'!$M:$M),"")</f>
        <v>6.8863246513857428</v>
      </c>
      <c r="W28" s="102">
        <v>1124.4000000000001</v>
      </c>
      <c r="X28" s="102">
        <f>Table10[[#This Row],[WTG Loss]]*1*Table10[[#This Row],[Breakdown Time]]</f>
        <v>3335.7200000000003</v>
      </c>
      <c r="Y28" s="102" t="s">
        <v>449</v>
      </c>
      <c r="Z28" s="102"/>
      <c r="AA28" s="102"/>
    </row>
    <row r="29" spans="1:27">
      <c r="A29" s="102">
        <f t="shared" si="0"/>
        <v>28</v>
      </c>
      <c r="B29" s="102">
        <f>YEAR(Table10[[#This Row],[Date]])+IF(MONTH(Table10[[#This Row],[Date]])&gt;=4,1,0)</f>
        <v>2026</v>
      </c>
      <c r="C29" s="102">
        <f>YEAR(Table10[[#This Row],[Date]])</f>
        <v>2025</v>
      </c>
      <c r="D29" s="102" t="s">
        <v>446</v>
      </c>
      <c r="E29" s="469">
        <f>Table10[[#This Row],[Date]]-DAY(Table10[[#This Row],[Date]])+1</f>
        <v>45778</v>
      </c>
      <c r="F29" s="470">
        <v>45784</v>
      </c>
      <c r="G29" s="102" t="s">
        <v>447</v>
      </c>
      <c r="H29" s="102" t="str">
        <f>IFERROR(_xlfn.XLOOKUP(Table10[[#This Row],[Affected Feeder ]],'Basic Data'!$A$43:$A$70,'Basic Data'!$B$43:$B$70),"")</f>
        <v>TQGXIIPL</v>
      </c>
      <c r="I29" s="102" t="str">
        <f>IFERROR(_xlfn.XLOOKUP(Table10[[#This Row],[Affected Feeder ]],'Basic Data'!$A$43:$A$70,'Basic Data'!$C$43:$C$70),"")</f>
        <v>GEDA</v>
      </c>
      <c r="J29" s="482">
        <f>IFERROR(_xlfn.XLOOKUP(Table10[[#This Row],[Affected Feeder ]],'Basic Data'!$A$43:$A$70,'Basic Data'!$E$43:$E$70),"")</f>
        <v>0.49999999999999978</v>
      </c>
      <c r="K29" s="483" t="s">
        <v>455</v>
      </c>
      <c r="L29" s="484">
        <v>0</v>
      </c>
      <c r="M29" s="484">
        <v>0</v>
      </c>
      <c r="N29" s="484">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483" t="s">
        <v>1790</v>
      </c>
      <c r="S29" s="102" t="s">
        <v>293</v>
      </c>
      <c r="T29" s="485">
        <f>IFERROR(Table10[[#This Row],[Breakdown Time]]*Table10[[#This Row],[Plant Equivalent Weightage]],"")</f>
        <v>1.0833333333333328</v>
      </c>
      <c r="U29" s="102" t="s">
        <v>450</v>
      </c>
      <c r="V29" s="547">
        <f>IFERROR(_xlfn.XLOOKUP(Table10[[#This Row],[Date]],'Daily KPI'!$A:$A,'Daily KPI'!$M:$M),"")</f>
        <v>5.8334462271515468</v>
      </c>
      <c r="W29" s="102">
        <v>659.6</v>
      </c>
      <c r="X29" s="102">
        <f>Table10[[#This Row],[WTG Loss]]*13*Table10[[#This Row],[Breakdown Time]]</f>
        <v>18578.733333333334</v>
      </c>
      <c r="Y29" s="102" t="s">
        <v>449</v>
      </c>
      <c r="Z29" s="102"/>
      <c r="AA29" s="102"/>
    </row>
    <row r="30" spans="1:27">
      <c r="A30" s="102">
        <f t="shared" si="0"/>
        <v>29</v>
      </c>
      <c r="B30" s="102">
        <f>YEAR(Table10[[#This Row],[Date]])+IF(MONTH(Table10[[#This Row],[Date]])&gt;=4,1,0)</f>
        <v>2026</v>
      </c>
      <c r="C30" s="102">
        <f>YEAR(Table10[[#This Row],[Date]])</f>
        <v>2025</v>
      </c>
      <c r="D30" s="102" t="s">
        <v>446</v>
      </c>
      <c r="E30" s="469">
        <f>Table10[[#This Row],[Date]]-DAY(Table10[[#This Row],[Date]])+1</f>
        <v>45778</v>
      </c>
      <c r="F30" s="470">
        <v>45784</v>
      </c>
      <c r="G30" s="102" t="s">
        <v>447</v>
      </c>
      <c r="H30" s="102" t="str">
        <f>IFERROR(_xlfn.XLOOKUP(Table10[[#This Row],[Affected Feeder ]],'Basic Data'!$A$43:$A$70,'Basic Data'!$B$43:$B$70),"")</f>
        <v>TQGXIIPL</v>
      </c>
      <c r="I30" s="102" t="str">
        <f>IFERROR(_xlfn.XLOOKUP(Table10[[#This Row],[Affected Feeder ]],'Basic Data'!$A$43:$A$70,'Basic Data'!$C$43:$C$70),"")</f>
        <v>GEDA</v>
      </c>
      <c r="J30" s="482">
        <f>IFERROR(_xlfn.XLOOKUP(Table10[[#This Row],[Affected Feeder ]],'Basic Data'!$A$43:$A$70,'Basic Data'!$E$43:$E$70),"")</f>
        <v>0.49999999999999978</v>
      </c>
      <c r="K30" s="483" t="s">
        <v>468</v>
      </c>
      <c r="L30" s="484">
        <v>0.66805555555555551</v>
      </c>
      <c r="M30" s="484">
        <v>0.66805555555555551</v>
      </c>
      <c r="N30" s="484">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483" t="s">
        <v>1785</v>
      </c>
      <c r="S30" s="102" t="s">
        <v>293</v>
      </c>
      <c r="T30" s="485">
        <f>IFERROR(Table10[[#This Row],[Breakdown Time]]*Table10[[#This Row],[Plant Equivalent Weightage]],"")</f>
        <v>0.46666666666666745</v>
      </c>
      <c r="U30" s="102" t="s">
        <v>450</v>
      </c>
      <c r="V30" s="547">
        <f>IFERROR(_xlfn.XLOOKUP(Table10[[#This Row],[Date]],'Daily KPI'!$A:$A,'Daily KPI'!$M:$M),"")</f>
        <v>5.8334462271515468</v>
      </c>
      <c r="W30" s="102">
        <v>659.6</v>
      </c>
      <c r="X30" s="102">
        <f>Table10[[#This Row],[WTG Loss]]*13*Table10[[#This Row],[Breakdown Time]]</f>
        <v>8003.1466666666847</v>
      </c>
      <c r="Y30" s="102" t="s">
        <v>449</v>
      </c>
      <c r="Z30" s="102"/>
      <c r="AA30" s="102"/>
    </row>
    <row r="31" spans="1:27">
      <c r="A31" s="102">
        <f t="shared" si="0"/>
        <v>30</v>
      </c>
      <c r="B31" s="102">
        <f>YEAR(Table10[[#This Row],[Date]])+IF(MONTH(Table10[[#This Row],[Date]])&gt;=4,1,0)</f>
        <v>2026</v>
      </c>
      <c r="C31" s="102">
        <f>YEAR(Table10[[#This Row],[Date]])</f>
        <v>2025</v>
      </c>
      <c r="D31" s="102" t="s">
        <v>446</v>
      </c>
      <c r="E31" s="469">
        <f>Table10[[#This Row],[Date]]-DAY(Table10[[#This Row],[Date]])+1</f>
        <v>45778</v>
      </c>
      <c r="F31" s="470">
        <v>45784</v>
      </c>
      <c r="G31" s="102" t="s">
        <v>86</v>
      </c>
      <c r="H31" s="102" t="str">
        <f>IFERROR(_xlfn.XLOOKUP(Table10[[#This Row],[Affected Feeder ]],'Basic Data'!$A$43:$A$70,'Basic Data'!$B$43:$B$70),"")</f>
        <v>TQGXIIPL</v>
      </c>
      <c r="I31" s="102" t="str">
        <f>IFERROR(_xlfn.XLOOKUP(Table10[[#This Row],[Affected Feeder ]],'Basic Data'!$A$43:$A$70,'Basic Data'!$C$43:$C$70),"")</f>
        <v>GEDA</v>
      </c>
      <c r="J31" s="482">
        <f>IFERROR(_xlfn.XLOOKUP(Table10[[#This Row],[Affected Feeder ]],'Basic Data'!$A$43:$A$70,'Basic Data'!$E$43:$E$70),"")</f>
        <v>3.846153846153845E-2</v>
      </c>
      <c r="K31" s="483" t="s">
        <v>460</v>
      </c>
      <c r="L31" s="484">
        <v>9.0277777777777776E-2</v>
      </c>
      <c r="M31" s="484">
        <v>9.0277777777777776E-2</v>
      </c>
      <c r="N31" s="484">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483" t="s">
        <v>1759</v>
      </c>
      <c r="S31" s="102" t="s">
        <v>293</v>
      </c>
      <c r="T31" s="485">
        <f>IFERROR(Table10[[#This Row],[Breakdown Time]]*Table10[[#This Row],[Plant Equivalent Weightage]],"")</f>
        <v>8.3333333333333263E-3</v>
      </c>
      <c r="U31" s="102" t="s">
        <v>450</v>
      </c>
      <c r="V31" s="547">
        <f>IFERROR(_xlfn.XLOOKUP(Table10[[#This Row],[Date]],'Daily KPI'!$A:$A,'Daily KPI'!$M:$M),"")</f>
        <v>5.8334462271515468</v>
      </c>
      <c r="W31" s="102">
        <v>659.6</v>
      </c>
      <c r="X31" s="102">
        <f>Table10[[#This Row],[WTG Loss]]*1*Table10[[#This Row],[Breakdown Time]]</f>
        <v>142.91333333333327</v>
      </c>
      <c r="Y31" s="102" t="s">
        <v>449</v>
      </c>
      <c r="Z31" s="102"/>
      <c r="AA31" s="102"/>
    </row>
    <row r="32" spans="1:27">
      <c r="A32" s="102">
        <f t="shared" si="0"/>
        <v>31</v>
      </c>
      <c r="B32" s="102">
        <f>YEAR(Table10[[#This Row],[Date]])+IF(MONTH(Table10[[#This Row],[Date]])&gt;=4,1,0)</f>
        <v>2026</v>
      </c>
      <c r="C32" s="102">
        <f>YEAR(Table10[[#This Row],[Date]])</f>
        <v>2025</v>
      </c>
      <c r="D32" s="102" t="s">
        <v>446</v>
      </c>
      <c r="E32" s="469">
        <f>Table10[[#This Row],[Date]]-DAY(Table10[[#This Row],[Date]])+1</f>
        <v>45778</v>
      </c>
      <c r="F32" s="470">
        <v>45784</v>
      </c>
      <c r="G32" s="102" t="s">
        <v>87</v>
      </c>
      <c r="H32" s="102" t="str">
        <f>IFERROR(_xlfn.XLOOKUP(Table10[[#This Row],[Affected Feeder ]],'Basic Data'!$A$43:$A$70,'Basic Data'!$B$43:$B$70),"")</f>
        <v>TQGXIIPL</v>
      </c>
      <c r="I32" s="102" t="str">
        <f>IFERROR(_xlfn.XLOOKUP(Table10[[#This Row],[Affected Feeder ]],'Basic Data'!$A$43:$A$70,'Basic Data'!$C$43:$C$70),"")</f>
        <v>GEDA</v>
      </c>
      <c r="J32" s="482">
        <f>IFERROR(_xlfn.XLOOKUP(Table10[[#This Row],[Affected Feeder ]],'Basic Data'!$A$43:$A$70,'Basic Data'!$E$43:$E$70),"")</f>
        <v>3.846153846153845E-2</v>
      </c>
      <c r="K32" s="483" t="s">
        <v>1783</v>
      </c>
      <c r="L32" s="484">
        <v>9.0277777777777776E-2</v>
      </c>
      <c r="M32" s="484">
        <v>9.0277777777777776E-2</v>
      </c>
      <c r="N32" s="484">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483" t="s">
        <v>1759</v>
      </c>
      <c r="S32" s="102" t="s">
        <v>293</v>
      </c>
      <c r="T32" s="485">
        <f>IFERROR(Table10[[#This Row],[Breakdown Time]]*Table10[[#This Row],[Plant Equivalent Weightage]],"")</f>
        <v>1.4102564102564099E-2</v>
      </c>
      <c r="U32" s="102" t="s">
        <v>450</v>
      </c>
      <c r="V32" s="547">
        <f>IFERROR(_xlfn.XLOOKUP(Table10[[#This Row],[Date]],'Daily KPI'!$A:$A,'Daily KPI'!$M:$M),"")</f>
        <v>5.8334462271515468</v>
      </c>
      <c r="W32" s="102">
        <v>659.6</v>
      </c>
      <c r="X32" s="102">
        <f>Table10[[#This Row],[WTG Loss]]*1*Table10[[#This Row],[Breakdown Time]]</f>
        <v>241.85333333333335</v>
      </c>
      <c r="Y32" s="102" t="s">
        <v>449</v>
      </c>
      <c r="Z32" s="102"/>
      <c r="AA32" s="102"/>
    </row>
    <row r="33" spans="1:27">
      <c r="A33" s="102">
        <f t="shared" si="0"/>
        <v>32</v>
      </c>
      <c r="B33" s="102">
        <f>YEAR(Table10[[#This Row],[Date]])+IF(MONTH(Table10[[#This Row],[Date]])&gt;=4,1,0)</f>
        <v>2026</v>
      </c>
      <c r="C33" s="102">
        <f>YEAR(Table10[[#This Row],[Date]])</f>
        <v>2025</v>
      </c>
      <c r="D33" s="102" t="s">
        <v>446</v>
      </c>
      <c r="E33" s="469">
        <f>Table10[[#This Row],[Date]]-DAY(Table10[[#This Row],[Date]])+1</f>
        <v>45778</v>
      </c>
      <c r="F33" s="470">
        <v>45784</v>
      </c>
      <c r="G33" s="102" t="s">
        <v>98</v>
      </c>
      <c r="H33" s="102" t="str">
        <f>IFERROR(_xlfn.XLOOKUP(Table10[[#This Row],[Affected Feeder ]],'Basic Data'!$A$43:$A$70,'Basic Data'!$B$43:$B$70),"")</f>
        <v>TQGXIIPL</v>
      </c>
      <c r="I33" s="102" t="str">
        <f>IFERROR(_xlfn.XLOOKUP(Table10[[#This Row],[Affected Feeder ]],'Basic Data'!$A$43:$A$70,'Basic Data'!$C$43:$C$70),"")</f>
        <v>GEDA</v>
      </c>
      <c r="J33" s="482">
        <f>IFERROR(_xlfn.XLOOKUP(Table10[[#This Row],[Affected Feeder ]],'Basic Data'!$A$43:$A$70,'Basic Data'!$E$43:$E$70),"")</f>
        <v>3.846153846153845E-2</v>
      </c>
      <c r="K33" s="483" t="s">
        <v>1784</v>
      </c>
      <c r="L33" s="484">
        <v>9.0277777777777776E-2</v>
      </c>
      <c r="M33" s="484">
        <v>9.0277777777777776E-2</v>
      </c>
      <c r="N33" s="484">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483" t="s">
        <v>1759</v>
      </c>
      <c r="S33" s="102" t="s">
        <v>293</v>
      </c>
      <c r="T33" s="485">
        <f>IFERROR(Table10[[#This Row],[Breakdown Time]]*Table10[[#This Row],[Plant Equivalent Weightage]],"")</f>
        <v>3.846153846153845E-2</v>
      </c>
      <c r="U33" s="102" t="s">
        <v>450</v>
      </c>
      <c r="V33" s="547">
        <f>IFERROR(_xlfn.XLOOKUP(Table10[[#This Row],[Date]],'Daily KPI'!$A:$A,'Daily KPI'!$M:$M),"")</f>
        <v>5.8334462271515468</v>
      </c>
      <c r="W33" s="102">
        <v>659.6</v>
      </c>
      <c r="X33" s="102">
        <f>Table10[[#This Row],[WTG Loss]]*1*Table10[[#This Row],[Breakdown Time]]</f>
        <v>659.6</v>
      </c>
      <c r="Y33" s="102" t="s">
        <v>449</v>
      </c>
      <c r="Z33" s="102"/>
      <c r="AA33" s="102"/>
    </row>
    <row r="34" spans="1:27">
      <c r="A34" s="102">
        <f t="shared" si="0"/>
        <v>33</v>
      </c>
      <c r="B34" s="102">
        <f>YEAR(Table10[[#This Row],[Date]])+IF(MONTH(Table10[[#This Row],[Date]])&gt;=4,1,0)</f>
        <v>2026</v>
      </c>
      <c r="C34" s="102">
        <f>YEAR(Table10[[#This Row],[Date]])</f>
        <v>2025</v>
      </c>
      <c r="D34" s="102" t="s">
        <v>446</v>
      </c>
      <c r="E34" s="469">
        <f>Table10[[#This Row],[Date]]-DAY(Table10[[#This Row],[Date]])+1</f>
        <v>45778</v>
      </c>
      <c r="F34" s="470">
        <v>45785</v>
      </c>
      <c r="G34" s="102" t="s">
        <v>447</v>
      </c>
      <c r="H34" s="102" t="str">
        <f>IFERROR(_xlfn.XLOOKUP(Table10[[#This Row],[Affected Feeder ]],'Basic Data'!$A$43:$A$70,'Basic Data'!$B$43:$B$70),"")</f>
        <v>TQGXIIPL</v>
      </c>
      <c r="I34" s="102" t="str">
        <f>IFERROR(_xlfn.XLOOKUP(Table10[[#This Row],[Affected Feeder ]],'Basic Data'!$A$43:$A$70,'Basic Data'!$C$43:$C$70),"")</f>
        <v>GEDA</v>
      </c>
      <c r="J34" s="482">
        <f>IFERROR(_xlfn.XLOOKUP(Table10[[#This Row],[Affected Feeder ]],'Basic Data'!$A$43:$A$70,'Basic Data'!$E$43:$E$70),"")</f>
        <v>0.49999999999999978</v>
      </c>
      <c r="K34" s="483" t="s">
        <v>455</v>
      </c>
      <c r="L34" s="484">
        <v>0.74583333333333335</v>
      </c>
      <c r="M34" s="484">
        <v>0.74583333333333335</v>
      </c>
      <c r="N34" s="484">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483" t="s">
        <v>474</v>
      </c>
      <c r="S34" s="102" t="s">
        <v>293</v>
      </c>
      <c r="T34" s="485">
        <f>IFERROR(Table10[[#This Row],[Breakdown Time]]*Table10[[#This Row],[Plant Equivalent Weightage]],"")</f>
        <v>0.49999999999999933</v>
      </c>
      <c r="U34" s="102" t="s">
        <v>450</v>
      </c>
      <c r="V34" s="547">
        <f>IFERROR(_xlfn.XLOOKUP(Table10[[#This Row],[Date]],'Daily KPI'!$A:$A,'Daily KPI'!$M:$M),"")</f>
        <v>4.1440249624271237</v>
      </c>
      <c r="W34" s="102">
        <v>208</v>
      </c>
      <c r="X34" s="102">
        <f>Table10[[#This Row],[WTG Loss]]*13*Table10[[#This Row],[Breakdown Time]]</f>
        <v>2703.9999999999977</v>
      </c>
      <c r="Y34" s="102" t="s">
        <v>449</v>
      </c>
      <c r="Z34" s="102"/>
      <c r="AA34" s="102"/>
    </row>
    <row r="35" spans="1:27">
      <c r="A35" s="102">
        <f t="shared" si="0"/>
        <v>34</v>
      </c>
      <c r="B35" s="102">
        <f>YEAR(Table10[[#This Row],[Date]])+IF(MONTH(Table10[[#This Row],[Date]])&gt;=4,1,0)</f>
        <v>2026</v>
      </c>
      <c r="C35" s="102">
        <f>YEAR(Table10[[#This Row],[Date]])</f>
        <v>2025</v>
      </c>
      <c r="D35" s="102" t="s">
        <v>446</v>
      </c>
      <c r="E35" s="469">
        <f>Table10[[#This Row],[Date]]-DAY(Table10[[#This Row],[Date]])+1</f>
        <v>45778</v>
      </c>
      <c r="F35" s="470">
        <v>45786</v>
      </c>
      <c r="G35" s="102" t="s">
        <v>451</v>
      </c>
      <c r="H35" s="102" t="str">
        <f>IFERROR(_xlfn.XLOOKUP(Table10[[#This Row],[Affected Feeder ]],'Basic Data'!$A$43:$A$70,'Basic Data'!$B$43:$B$70),"")</f>
        <v>TQGXIIPL</v>
      </c>
      <c r="I35" s="102" t="str">
        <f>IFERROR(_xlfn.XLOOKUP(Table10[[#This Row],[Affected Feeder ]],'Basic Data'!$A$43:$A$70,'Basic Data'!$C$43:$C$70),"")</f>
        <v>GEDA</v>
      </c>
      <c r="J35" s="482">
        <f>IFERROR(_xlfn.XLOOKUP(Table10[[#This Row],[Affected Feeder ]],'Basic Data'!$A$43:$A$70,'Basic Data'!$E$43:$E$70),"")</f>
        <v>0.49999999999999978</v>
      </c>
      <c r="K35" s="483" t="s">
        <v>1791</v>
      </c>
      <c r="L35" s="484">
        <v>0.72013888888888888</v>
      </c>
      <c r="M35" s="484">
        <v>0.72013888888888888</v>
      </c>
      <c r="N35" s="484">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483" t="s">
        <v>1914</v>
      </c>
      <c r="S35" s="102" t="s">
        <v>293</v>
      </c>
      <c r="T35" s="485">
        <f>IFERROR(Table10[[#This Row],[Breakdown Time]]*Table10[[#This Row],[Plant Equivalent Weightage]],"")</f>
        <v>0.88333333333333242</v>
      </c>
      <c r="U35" s="102" t="s">
        <v>450</v>
      </c>
      <c r="V35" s="547">
        <f>IFERROR(_xlfn.XLOOKUP(Table10[[#This Row],[Date]],'Daily KPI'!$A:$A,'Daily KPI'!$M:$M),"")</f>
        <v>4.2123076923076939</v>
      </c>
      <c r="W35" s="102">
        <v>230</v>
      </c>
      <c r="X35" s="102">
        <f>Table10[[#This Row],[WTG Loss]]*13*Table10[[#This Row],[Breakdown Time]]</f>
        <v>5282.3333333333303</v>
      </c>
      <c r="Y35" s="102" t="s">
        <v>449</v>
      </c>
      <c r="Z35" s="102"/>
      <c r="AA35" s="102"/>
    </row>
    <row r="36" spans="1:27">
      <c r="A36" s="102">
        <f t="shared" si="0"/>
        <v>35</v>
      </c>
      <c r="B36" s="102">
        <f>YEAR(Table10[[#This Row],[Date]])+IF(MONTH(Table10[[#This Row],[Date]])&gt;=4,1,0)</f>
        <v>2026</v>
      </c>
      <c r="C36" s="102">
        <f>YEAR(Table10[[#This Row],[Date]])</f>
        <v>2025</v>
      </c>
      <c r="D36" s="102" t="s">
        <v>446</v>
      </c>
      <c r="E36" s="469">
        <f>Table10[[#This Row],[Date]]-DAY(Table10[[#This Row],[Date]])+1</f>
        <v>45778</v>
      </c>
      <c r="F36" s="470">
        <v>45786</v>
      </c>
      <c r="G36" s="102" t="s">
        <v>451</v>
      </c>
      <c r="H36" s="102" t="str">
        <f>IFERROR(_xlfn.XLOOKUP(Table10[[#This Row],[Affected Feeder ]],'Basic Data'!$A$43:$A$70,'Basic Data'!$B$43:$B$70),"")</f>
        <v>TQGXIIPL</v>
      </c>
      <c r="I36" s="102" t="str">
        <f>IFERROR(_xlfn.XLOOKUP(Table10[[#This Row],[Affected Feeder ]],'Basic Data'!$A$43:$A$70,'Basic Data'!$C$43:$C$70),"")</f>
        <v>GEDA</v>
      </c>
      <c r="J36" s="482">
        <f>IFERROR(_xlfn.XLOOKUP(Table10[[#This Row],[Affected Feeder ]],'Basic Data'!$A$43:$A$70,'Basic Data'!$E$43:$E$70),"")</f>
        <v>0.49999999999999978</v>
      </c>
      <c r="K36" s="483" t="s">
        <v>1792</v>
      </c>
      <c r="L36" s="484">
        <v>0.90763888888888888</v>
      </c>
      <c r="M36" s="484">
        <v>0.90763888888888888</v>
      </c>
      <c r="N36" s="484">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483" t="s">
        <v>1792</v>
      </c>
      <c r="S36" s="102" t="s">
        <v>293</v>
      </c>
      <c r="T36" s="485">
        <f>IFERROR(Table10[[#This Row],[Breakdown Time]]*Table10[[#This Row],[Plant Equivalent Weightage]],"")</f>
        <v>8.3333333333332996E-2</v>
      </c>
      <c r="U36" s="102" t="s">
        <v>450</v>
      </c>
      <c r="V36" s="547">
        <f>IFERROR(_xlfn.XLOOKUP(Table10[[#This Row],[Date]],'Daily KPI'!$A:$A,'Daily KPI'!$M:$M),"")</f>
        <v>4.2123076923076939</v>
      </c>
      <c r="W36" s="102">
        <v>230</v>
      </c>
      <c r="X36" s="102">
        <f>Table10[[#This Row],[WTG Loss]]*13*Table10[[#This Row],[Breakdown Time]]</f>
        <v>498.33333333333155</v>
      </c>
      <c r="Y36" s="102" t="s">
        <v>449</v>
      </c>
      <c r="Z36" s="102"/>
      <c r="AA36" s="102"/>
    </row>
    <row r="37" spans="1:27">
      <c r="A37" s="102">
        <f t="shared" si="0"/>
        <v>36</v>
      </c>
      <c r="B37" s="102">
        <f>YEAR(Table10[[#This Row],[Date]])+IF(MONTH(Table10[[#This Row],[Date]])&gt;=4,1,0)</f>
        <v>2026</v>
      </c>
      <c r="C37" s="102">
        <f>YEAR(Table10[[#This Row],[Date]])</f>
        <v>2025</v>
      </c>
      <c r="D37" s="102" t="s">
        <v>446</v>
      </c>
      <c r="E37" s="469">
        <f>Table10[[#This Row],[Date]]-DAY(Table10[[#This Row],[Date]])+1</f>
        <v>45778</v>
      </c>
      <c r="F37" s="470">
        <v>45786</v>
      </c>
      <c r="G37" s="102" t="s">
        <v>77</v>
      </c>
      <c r="H37" s="102" t="str">
        <f>IFERROR(_xlfn.XLOOKUP(Table10[[#This Row],[Affected Feeder ]],'Basic Data'!$A$43:$A$70,'Basic Data'!$B$43:$B$70),"")</f>
        <v>TQGXIIPL</v>
      </c>
      <c r="I37" s="102" t="str">
        <f>IFERROR(_xlfn.XLOOKUP(Table10[[#This Row],[Affected Feeder ]],'Basic Data'!$A$43:$A$70,'Basic Data'!$C$43:$C$70),"")</f>
        <v>GEDA</v>
      </c>
      <c r="J37" s="482">
        <f>IFERROR(_xlfn.XLOOKUP(Table10[[#This Row],[Affected Feeder ]],'Basic Data'!$A$43:$A$70,'Basic Data'!$E$43:$E$70),"")</f>
        <v>3.846153846153845E-2</v>
      </c>
      <c r="K37" s="483" t="s">
        <v>457</v>
      </c>
      <c r="L37" s="484">
        <v>0.7944444444444444</v>
      </c>
      <c r="M37" s="484">
        <v>0.7944444444444444</v>
      </c>
      <c r="N37" s="484">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483" t="s">
        <v>1793</v>
      </c>
      <c r="S37" s="102" t="s">
        <v>293</v>
      </c>
      <c r="T37" s="485">
        <f>IFERROR(Table10[[#This Row],[Breakdown Time]]*Table10[[#This Row],[Plant Equivalent Weightage]],"")</f>
        <v>0.10384615384615385</v>
      </c>
      <c r="U37" s="102" t="s">
        <v>450</v>
      </c>
      <c r="V37" s="547">
        <f>IFERROR(_xlfn.XLOOKUP(Table10[[#This Row],[Date]],'Daily KPI'!$A:$A,'Daily KPI'!$M:$M),"")</f>
        <v>4.2123076923076939</v>
      </c>
      <c r="W37" s="102">
        <v>230</v>
      </c>
      <c r="X37" s="102">
        <f>Table10[[#This Row],[WTG Loss]]*1*Table10[[#This Row],[Breakdown Time]]</f>
        <v>621.00000000000023</v>
      </c>
      <c r="Y37" s="102" t="s">
        <v>449</v>
      </c>
      <c r="Z37" s="102"/>
      <c r="AA37" s="102"/>
    </row>
    <row r="38" spans="1:27">
      <c r="A38" s="102">
        <f t="shared" si="0"/>
        <v>37</v>
      </c>
      <c r="B38" s="102">
        <f>YEAR(Table10[[#This Row],[Date]])+IF(MONTH(Table10[[#This Row],[Date]])&gt;=4,1,0)</f>
        <v>2026</v>
      </c>
      <c r="C38" s="102">
        <f>YEAR(Table10[[#This Row],[Date]])</f>
        <v>2025</v>
      </c>
      <c r="D38" s="102" t="s">
        <v>446</v>
      </c>
      <c r="E38" s="469">
        <f>Table10[[#This Row],[Date]]-DAY(Table10[[#This Row],[Date]])+1</f>
        <v>45778</v>
      </c>
      <c r="F38" s="470">
        <v>45786</v>
      </c>
      <c r="G38" s="102" t="s">
        <v>80</v>
      </c>
      <c r="H38" s="102" t="str">
        <f>IFERROR(_xlfn.XLOOKUP(Table10[[#This Row],[Affected Feeder ]],'Basic Data'!$A$43:$A$70,'Basic Data'!$B$43:$B$70),"")</f>
        <v>TQGXIIPL</v>
      </c>
      <c r="I38" s="102" t="str">
        <f>IFERROR(_xlfn.XLOOKUP(Table10[[#This Row],[Affected Feeder ]],'Basic Data'!$A$43:$A$70,'Basic Data'!$C$43:$C$70),"")</f>
        <v>GEDA</v>
      </c>
      <c r="J38" s="482">
        <f>IFERROR(_xlfn.XLOOKUP(Table10[[#This Row],[Affected Feeder ]],'Basic Data'!$A$43:$A$70,'Basic Data'!$E$43:$E$70),"")</f>
        <v>3.846153846153845E-2</v>
      </c>
      <c r="K38" s="483" t="s">
        <v>459</v>
      </c>
      <c r="L38" s="484">
        <v>0.7944444444444444</v>
      </c>
      <c r="M38" s="484">
        <v>0.7944444444444444</v>
      </c>
      <c r="N38" s="484">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483" t="s">
        <v>1793</v>
      </c>
      <c r="S38" s="102" t="s">
        <v>293</v>
      </c>
      <c r="T38" s="485">
        <f>IFERROR(Table10[[#This Row],[Breakdown Time]]*Table10[[#This Row],[Plant Equivalent Weightage]],"")</f>
        <v>0.10384615384615385</v>
      </c>
      <c r="U38" s="102" t="s">
        <v>450</v>
      </c>
      <c r="V38" s="547">
        <f>IFERROR(_xlfn.XLOOKUP(Table10[[#This Row],[Date]],'Daily KPI'!$A:$A,'Daily KPI'!$M:$M),"")</f>
        <v>4.2123076923076939</v>
      </c>
      <c r="W38" s="102">
        <v>230</v>
      </c>
      <c r="X38" s="102">
        <f>Table10[[#This Row],[WTG Loss]]*1*Table10[[#This Row],[Breakdown Time]]</f>
        <v>621.00000000000023</v>
      </c>
      <c r="Y38" s="102" t="s">
        <v>449</v>
      </c>
      <c r="Z38" s="102"/>
      <c r="AA38" s="102"/>
    </row>
    <row r="39" spans="1:27">
      <c r="A39" s="102">
        <f t="shared" ref="A39:A102" si="1">A38+1</f>
        <v>38</v>
      </c>
      <c r="B39" s="102">
        <f>YEAR(Table10[[#This Row],[Date]])+IF(MONTH(Table10[[#This Row],[Date]])&gt;=4,1,0)</f>
        <v>2026</v>
      </c>
      <c r="C39" s="102">
        <f>YEAR(Table10[[#This Row],[Date]])</f>
        <v>2025</v>
      </c>
      <c r="D39" s="102" t="s">
        <v>446</v>
      </c>
      <c r="E39" s="469">
        <f>Table10[[#This Row],[Date]]-DAY(Table10[[#This Row],[Date]])+1</f>
        <v>45778</v>
      </c>
      <c r="F39" s="470">
        <v>45786</v>
      </c>
      <c r="G39" s="102" t="s">
        <v>92</v>
      </c>
      <c r="H39" s="102" t="str">
        <f>IFERROR(_xlfn.XLOOKUP(Table10[[#This Row],[Affected Feeder ]],'Basic Data'!$A$43:$A$70,'Basic Data'!$B$43:$B$70),"")</f>
        <v>TQGXIIPL</v>
      </c>
      <c r="I39" s="102" t="str">
        <f>IFERROR(_xlfn.XLOOKUP(Table10[[#This Row],[Affected Feeder ]],'Basic Data'!$A$43:$A$70,'Basic Data'!$C$43:$C$70),"")</f>
        <v>GEDA</v>
      </c>
      <c r="J39" s="482">
        <f>IFERROR(_xlfn.XLOOKUP(Table10[[#This Row],[Affected Feeder ]],'Basic Data'!$A$43:$A$70,'Basic Data'!$E$43:$E$70),"")</f>
        <v>3.846153846153845E-2</v>
      </c>
      <c r="K39" s="483" t="s">
        <v>458</v>
      </c>
      <c r="L39" s="484">
        <v>0.7944444444444444</v>
      </c>
      <c r="M39" s="484">
        <v>0.7944444444444444</v>
      </c>
      <c r="N39" s="484">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483" t="s">
        <v>1793</v>
      </c>
      <c r="S39" s="102" t="s">
        <v>293</v>
      </c>
      <c r="T39" s="485">
        <f>IFERROR(Table10[[#This Row],[Breakdown Time]]*Table10[[#This Row],[Plant Equivalent Weightage]],"")</f>
        <v>0.10384615384615385</v>
      </c>
      <c r="U39" s="102" t="s">
        <v>450</v>
      </c>
      <c r="V39" s="547">
        <f>IFERROR(_xlfn.XLOOKUP(Table10[[#This Row],[Date]],'Daily KPI'!$A:$A,'Daily KPI'!$M:$M),"")</f>
        <v>4.2123076923076939</v>
      </c>
      <c r="W39" s="102">
        <v>230</v>
      </c>
      <c r="X39" s="102">
        <f>Table10[[#This Row],[WTG Loss]]*1*Table10[[#This Row],[Breakdown Time]]</f>
        <v>621.00000000000023</v>
      </c>
      <c r="Y39" s="102" t="s">
        <v>449</v>
      </c>
      <c r="Z39" s="102"/>
      <c r="AA39" s="102"/>
    </row>
    <row r="40" spans="1:27">
      <c r="A40" s="102">
        <f t="shared" si="1"/>
        <v>39</v>
      </c>
      <c r="B40" s="102">
        <f>YEAR(Table10[[#This Row],[Date]])+IF(MONTH(Table10[[#This Row],[Date]])&gt;=4,1,0)</f>
        <v>2026</v>
      </c>
      <c r="C40" s="102">
        <f>YEAR(Table10[[#This Row],[Date]])</f>
        <v>2025</v>
      </c>
      <c r="D40" s="102" t="s">
        <v>446</v>
      </c>
      <c r="E40" s="469">
        <f>Table10[[#This Row],[Date]]-DAY(Table10[[#This Row],[Date]])+1</f>
        <v>45778</v>
      </c>
      <c r="F40" s="470">
        <v>45786</v>
      </c>
      <c r="G40" s="102" t="s">
        <v>92</v>
      </c>
      <c r="H40" s="102" t="str">
        <f>IFERROR(_xlfn.XLOOKUP(Table10[[#This Row],[Affected Feeder ]],'Basic Data'!$A$43:$A$70,'Basic Data'!$B$43:$B$70),"")</f>
        <v>TQGXIIPL</v>
      </c>
      <c r="I40" s="102" t="str">
        <f>IFERROR(_xlfn.XLOOKUP(Table10[[#This Row],[Affected Feeder ]],'Basic Data'!$A$43:$A$70,'Basic Data'!$C$43:$C$70),"")</f>
        <v>GEDA</v>
      </c>
      <c r="J40" s="482">
        <f>IFERROR(_xlfn.XLOOKUP(Table10[[#This Row],[Affected Feeder ]],'Basic Data'!$A$43:$A$70,'Basic Data'!$E$43:$E$70),"")</f>
        <v>3.846153846153845E-2</v>
      </c>
      <c r="K40" s="483" t="s">
        <v>458</v>
      </c>
      <c r="L40" s="484">
        <v>0.91527777777777775</v>
      </c>
      <c r="M40" s="484">
        <v>0.91527777777777775</v>
      </c>
      <c r="N40" s="484">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483" t="s">
        <v>1794</v>
      </c>
      <c r="S40" s="102" t="s">
        <v>289</v>
      </c>
      <c r="T40" s="485">
        <f>IFERROR(Table10[[#This Row],[Breakdown Time]]*Table10[[#This Row],[Plant Equivalent Weightage]],"")</f>
        <v>7.8205128205128205E-2</v>
      </c>
      <c r="U40" s="102" t="s">
        <v>450</v>
      </c>
      <c r="V40" s="547">
        <f>IFERROR(_xlfn.XLOOKUP(Table10[[#This Row],[Date]],'Daily KPI'!$A:$A,'Daily KPI'!$M:$M),"")</f>
        <v>4.2123076923076939</v>
      </c>
      <c r="W40" s="102">
        <v>230</v>
      </c>
      <c r="X40" s="102">
        <f>Table10[[#This Row],[WTG Loss]]*1*Table10[[#This Row],[Breakdown Time]]</f>
        <v>467.66666666666686</v>
      </c>
      <c r="Y40" s="102" t="s">
        <v>449</v>
      </c>
      <c r="Z40" s="102"/>
      <c r="AA40" s="102"/>
    </row>
    <row r="41" spans="1:27">
      <c r="A41" s="102">
        <f t="shared" si="1"/>
        <v>40</v>
      </c>
      <c r="B41" s="102">
        <f>YEAR(Table10[[#This Row],[Date]])+IF(MONTH(Table10[[#This Row],[Date]])&gt;=4,1,0)</f>
        <v>2026</v>
      </c>
      <c r="C41" s="102">
        <f>YEAR(Table10[[#This Row],[Date]])</f>
        <v>2025</v>
      </c>
      <c r="D41" s="102" t="s">
        <v>446</v>
      </c>
      <c r="E41" s="469">
        <f>Table10[[#This Row],[Date]]-DAY(Table10[[#This Row],[Date]])+1</f>
        <v>45778</v>
      </c>
      <c r="F41" s="470">
        <v>45786</v>
      </c>
      <c r="G41" s="102" t="s">
        <v>77</v>
      </c>
      <c r="H41" s="102" t="str">
        <f>IFERROR(_xlfn.XLOOKUP(Table10[[#This Row],[Affected Feeder ]],'Basic Data'!$A$43:$A$70,'Basic Data'!$B$43:$B$70),"")</f>
        <v>TQGXIIPL</v>
      </c>
      <c r="I41" s="102" t="str">
        <f>IFERROR(_xlfn.XLOOKUP(Table10[[#This Row],[Affected Feeder ]],'Basic Data'!$A$43:$A$70,'Basic Data'!$C$43:$C$70),"")</f>
        <v>GEDA</v>
      </c>
      <c r="J41" s="482">
        <f>IFERROR(_xlfn.XLOOKUP(Table10[[#This Row],[Affected Feeder ]],'Basic Data'!$A$43:$A$70,'Basic Data'!$E$43:$E$70),"")</f>
        <v>3.846153846153845E-2</v>
      </c>
      <c r="K41" s="483" t="s">
        <v>457</v>
      </c>
      <c r="L41" s="484">
        <v>0.98958333333333337</v>
      </c>
      <c r="M41" s="484">
        <v>0.98958333333333337</v>
      </c>
      <c r="N41" s="484">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483" t="s">
        <v>1795</v>
      </c>
      <c r="S41" s="102" t="s">
        <v>293</v>
      </c>
      <c r="T41" s="485">
        <f>IFERROR(Table10[[#This Row],[Breakdown Time]]*Table10[[#This Row],[Plant Equivalent Weightage]],"")</f>
        <v>9.6153846153845778E-3</v>
      </c>
      <c r="U41" s="102" t="s">
        <v>450</v>
      </c>
      <c r="V41" s="547">
        <f>IFERROR(_xlfn.XLOOKUP(Table10[[#This Row],[Date]],'Daily KPI'!$A:$A,'Daily KPI'!$M:$M),"")</f>
        <v>4.2123076923076939</v>
      </c>
      <c r="W41" s="102">
        <v>230</v>
      </c>
      <c r="X41" s="102">
        <f>Table10[[#This Row],[WTG Loss]]*1*Table10[[#This Row],[Breakdown Time]]</f>
        <v>57.499999999999794</v>
      </c>
      <c r="Y41" s="102" t="s">
        <v>449</v>
      </c>
      <c r="Z41" s="102"/>
      <c r="AA41" s="102"/>
    </row>
    <row r="42" spans="1:27">
      <c r="A42" s="102">
        <f t="shared" si="1"/>
        <v>41</v>
      </c>
      <c r="B42" s="102">
        <f>YEAR(Table10[[#This Row],[Date]])+IF(MONTH(Table10[[#This Row],[Date]])&gt;=4,1,0)</f>
        <v>2026</v>
      </c>
      <c r="C42" s="102">
        <f>YEAR(Table10[[#This Row],[Date]])</f>
        <v>2025</v>
      </c>
      <c r="D42" s="102" t="s">
        <v>446</v>
      </c>
      <c r="E42" s="469">
        <f>Table10[[#This Row],[Date]]-DAY(Table10[[#This Row],[Date]])+1</f>
        <v>45778</v>
      </c>
      <c r="F42" s="470">
        <v>45786</v>
      </c>
      <c r="G42" s="102" t="s">
        <v>80</v>
      </c>
      <c r="H42" s="102" t="str">
        <f>IFERROR(_xlfn.XLOOKUP(Table10[[#This Row],[Affected Feeder ]],'Basic Data'!$A$43:$A$70,'Basic Data'!$B$43:$B$70),"")</f>
        <v>TQGXIIPL</v>
      </c>
      <c r="I42" s="102" t="str">
        <f>IFERROR(_xlfn.XLOOKUP(Table10[[#This Row],[Affected Feeder ]],'Basic Data'!$A$43:$A$70,'Basic Data'!$C$43:$C$70),"")</f>
        <v>GEDA</v>
      </c>
      <c r="J42" s="482">
        <f>IFERROR(_xlfn.XLOOKUP(Table10[[#This Row],[Affected Feeder ]],'Basic Data'!$A$43:$A$70,'Basic Data'!$E$43:$E$70),"")</f>
        <v>3.846153846153845E-2</v>
      </c>
      <c r="K42" s="483" t="s">
        <v>459</v>
      </c>
      <c r="L42" s="484">
        <v>0.98958333333333337</v>
      </c>
      <c r="M42" s="484">
        <v>0.98958333333333337</v>
      </c>
      <c r="N42" s="484">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483" t="s">
        <v>1795</v>
      </c>
      <c r="S42" s="102" t="s">
        <v>293</v>
      </c>
      <c r="T42" s="485">
        <f>IFERROR(Table10[[#This Row],[Breakdown Time]]*Table10[[#This Row],[Plant Equivalent Weightage]],"")</f>
        <v>9.6153846153845778E-3</v>
      </c>
      <c r="U42" s="102" t="s">
        <v>450</v>
      </c>
      <c r="V42" s="547">
        <f>IFERROR(_xlfn.XLOOKUP(Table10[[#This Row],[Date]],'Daily KPI'!$A:$A,'Daily KPI'!$M:$M),"")</f>
        <v>4.2123076923076939</v>
      </c>
      <c r="W42" s="102">
        <v>230</v>
      </c>
      <c r="X42" s="102">
        <f>Table10[[#This Row],[WTG Loss]]*1*Table10[[#This Row],[Breakdown Time]]</f>
        <v>57.499999999999794</v>
      </c>
      <c r="Y42" s="102" t="s">
        <v>449</v>
      </c>
      <c r="Z42" s="102"/>
      <c r="AA42" s="102"/>
    </row>
    <row r="43" spans="1:27">
      <c r="A43" s="102">
        <f t="shared" si="1"/>
        <v>42</v>
      </c>
      <c r="B43" s="102">
        <f>YEAR(Table10[[#This Row],[Date]])+IF(MONTH(Table10[[#This Row],[Date]])&gt;=4,1,0)</f>
        <v>2026</v>
      </c>
      <c r="C43" s="102">
        <f>YEAR(Table10[[#This Row],[Date]])</f>
        <v>2025</v>
      </c>
      <c r="D43" s="102" t="s">
        <v>446</v>
      </c>
      <c r="E43" s="469">
        <f>Table10[[#This Row],[Date]]-DAY(Table10[[#This Row],[Date]])+1</f>
        <v>45778</v>
      </c>
      <c r="F43" s="470">
        <v>45787</v>
      </c>
      <c r="G43" s="102" t="s">
        <v>451</v>
      </c>
      <c r="H43" s="102" t="str">
        <f>IFERROR(_xlfn.XLOOKUP(Table10[[#This Row],[Affected Feeder ]],'Basic Data'!$A$43:$A$70,'Basic Data'!$B$43:$B$70),"")</f>
        <v>TQGXIIPL</v>
      </c>
      <c r="I43" s="102" t="str">
        <f>IFERROR(_xlfn.XLOOKUP(Table10[[#This Row],[Affected Feeder ]],'Basic Data'!$A$43:$A$70,'Basic Data'!$C$43:$C$70),"")</f>
        <v>GEDA</v>
      </c>
      <c r="J43" s="482">
        <f>IFERROR(_xlfn.XLOOKUP(Table10[[#This Row],[Affected Feeder ]],'Basic Data'!$A$43:$A$70,'Basic Data'!$E$43:$E$70),"")</f>
        <v>0.49999999999999978</v>
      </c>
      <c r="K43" s="483" t="s">
        <v>1791</v>
      </c>
      <c r="L43" s="484">
        <v>0.54166666666666663</v>
      </c>
      <c r="M43" s="484">
        <v>0.54166666666666663</v>
      </c>
      <c r="N43" s="484">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483" t="s">
        <v>1914</v>
      </c>
      <c r="S43" s="102" t="s">
        <v>293</v>
      </c>
      <c r="T43" s="485">
        <f>IFERROR(Table10[[#This Row],[Breakdown Time]]*Table10[[#This Row],[Plant Equivalent Weightage]],"")</f>
        <v>0.79166666666666619</v>
      </c>
      <c r="U43" s="102" t="s">
        <v>450</v>
      </c>
      <c r="V43" s="547">
        <f>IFERROR(_xlfn.XLOOKUP(Table10[[#This Row],[Date]],'Daily KPI'!$A:$A,'Daily KPI'!$M:$M),"")</f>
        <v>4.9289662776948795</v>
      </c>
      <c r="W43" s="102">
        <v>384</v>
      </c>
      <c r="X43" s="102">
        <f>Table10[[#This Row],[WTG Loss]]*13*Table10[[#This Row],[Breakdown Time]]</f>
        <v>7903.9999999999982</v>
      </c>
      <c r="Y43" s="102" t="s">
        <v>449</v>
      </c>
      <c r="Z43" s="102"/>
      <c r="AA43" s="102"/>
    </row>
    <row r="44" spans="1:27">
      <c r="A44" s="102">
        <f t="shared" si="1"/>
        <v>43</v>
      </c>
      <c r="B44" s="102">
        <f>YEAR(Table10[[#This Row],[Date]])+IF(MONTH(Table10[[#This Row],[Date]])&gt;=4,1,0)</f>
        <v>2026</v>
      </c>
      <c r="C44" s="102">
        <f>YEAR(Table10[[#This Row],[Date]])</f>
        <v>2025</v>
      </c>
      <c r="D44" s="102" t="s">
        <v>446</v>
      </c>
      <c r="E44" s="469">
        <f>Table10[[#This Row],[Date]]-DAY(Table10[[#This Row],[Date]])+1</f>
        <v>45778</v>
      </c>
      <c r="F44" s="470">
        <v>45787</v>
      </c>
      <c r="G44" s="102" t="s">
        <v>451</v>
      </c>
      <c r="H44" s="102" t="str">
        <f>IFERROR(_xlfn.XLOOKUP(Table10[[#This Row],[Affected Feeder ]],'Basic Data'!$A$43:$A$70,'Basic Data'!$B$43:$B$70),"")</f>
        <v>TQGXIIPL</v>
      </c>
      <c r="I44" s="102" t="str">
        <f>IFERROR(_xlfn.XLOOKUP(Table10[[#This Row],[Affected Feeder ]],'Basic Data'!$A$43:$A$70,'Basic Data'!$C$43:$C$70),"")</f>
        <v>GEDA</v>
      </c>
      <c r="J44" s="482">
        <f>IFERROR(_xlfn.XLOOKUP(Table10[[#This Row],[Affected Feeder ]],'Basic Data'!$A$43:$A$70,'Basic Data'!$E$43:$E$70),"")</f>
        <v>0.49999999999999978</v>
      </c>
      <c r="K44" s="483" t="s">
        <v>1791</v>
      </c>
      <c r="L44" s="484">
        <v>0.76666666666666672</v>
      </c>
      <c r="M44" s="484">
        <v>0.76666666666666672</v>
      </c>
      <c r="N44" s="484">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483" t="s">
        <v>1914</v>
      </c>
      <c r="S44" s="102" t="s">
        <v>293</v>
      </c>
      <c r="T44" s="485">
        <f>IFERROR(Table10[[#This Row],[Breakdown Time]]*Table10[[#This Row],[Plant Equivalent Weightage]],"")</f>
        <v>9.1666666666666299E-2</v>
      </c>
      <c r="U44" s="102" t="s">
        <v>450</v>
      </c>
      <c r="V44" s="547">
        <f>IFERROR(_xlfn.XLOOKUP(Table10[[#This Row],[Date]],'Daily KPI'!$A:$A,'Daily KPI'!$M:$M),"")</f>
        <v>4.9289662776948795</v>
      </c>
      <c r="W44" s="102">
        <v>384</v>
      </c>
      <c r="X44" s="102">
        <f>Table10[[#This Row],[WTG Loss]]*13*Table10[[#This Row],[Breakdown Time]]</f>
        <v>915.19999999999675</v>
      </c>
      <c r="Y44" s="102" t="s">
        <v>449</v>
      </c>
      <c r="Z44" s="102"/>
      <c r="AA44" s="102"/>
    </row>
    <row r="45" spans="1:27">
      <c r="A45" s="102">
        <f t="shared" si="1"/>
        <v>44</v>
      </c>
      <c r="B45" s="102">
        <f>YEAR(Table10[[#This Row],[Date]])+IF(MONTH(Table10[[#This Row],[Date]])&gt;=4,1,0)</f>
        <v>2026</v>
      </c>
      <c r="C45" s="102">
        <f>YEAR(Table10[[#This Row],[Date]])</f>
        <v>2025</v>
      </c>
      <c r="D45" s="102" t="s">
        <v>446</v>
      </c>
      <c r="E45" s="469">
        <f>Table10[[#This Row],[Date]]-DAY(Table10[[#This Row],[Date]])+1</f>
        <v>45778</v>
      </c>
      <c r="F45" s="470">
        <v>45787</v>
      </c>
      <c r="G45" s="102" t="s">
        <v>77</v>
      </c>
      <c r="H45" s="102" t="str">
        <f>IFERROR(_xlfn.XLOOKUP(Table10[[#This Row],[Affected Feeder ]],'Basic Data'!$A$43:$A$70,'Basic Data'!$B$43:$B$70),"")</f>
        <v>TQGXIIPL</v>
      </c>
      <c r="I45" s="102" t="str">
        <f>IFERROR(_xlfn.XLOOKUP(Table10[[#This Row],[Affected Feeder ]],'Basic Data'!$A$43:$A$70,'Basic Data'!$C$43:$C$70),"")</f>
        <v>GEDA</v>
      </c>
      <c r="J45" s="482">
        <f>IFERROR(_xlfn.XLOOKUP(Table10[[#This Row],[Affected Feeder ]],'Basic Data'!$A$43:$A$70,'Basic Data'!$E$43:$E$70),"")</f>
        <v>3.846153846153845E-2</v>
      </c>
      <c r="K45" s="483" t="s">
        <v>457</v>
      </c>
      <c r="L45" s="484">
        <v>0</v>
      </c>
      <c r="M45" s="484">
        <v>0</v>
      </c>
      <c r="N45" s="484">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483" t="s">
        <v>1795</v>
      </c>
      <c r="S45" s="102" t="s">
        <v>293</v>
      </c>
      <c r="T45" s="485">
        <f>IFERROR(Table10[[#This Row],[Breakdown Time]]*Table10[[#This Row],[Plant Equivalent Weightage]],"")</f>
        <v>3.4615384615384603E-2</v>
      </c>
      <c r="U45" s="102" t="s">
        <v>450</v>
      </c>
      <c r="V45" s="547">
        <f>IFERROR(_xlfn.XLOOKUP(Table10[[#This Row],[Date]],'Daily KPI'!$A:$A,'Daily KPI'!$M:$M),"")</f>
        <v>4.9289662776948795</v>
      </c>
      <c r="W45" s="102">
        <v>384</v>
      </c>
      <c r="X45" s="102">
        <f>Table10[[#This Row],[WTG Loss]]*1*Table10[[#This Row],[Breakdown Time]]</f>
        <v>345.59999999999997</v>
      </c>
      <c r="Y45" s="102" t="s">
        <v>449</v>
      </c>
      <c r="Z45" s="102"/>
      <c r="AA45" s="102"/>
    </row>
    <row r="46" spans="1:27">
      <c r="A46" s="102">
        <f t="shared" si="1"/>
        <v>45</v>
      </c>
      <c r="B46" s="102">
        <f>YEAR(Table10[[#This Row],[Date]])+IF(MONTH(Table10[[#This Row],[Date]])&gt;=4,1,0)</f>
        <v>2026</v>
      </c>
      <c r="C46" s="102">
        <f>YEAR(Table10[[#This Row],[Date]])</f>
        <v>2025</v>
      </c>
      <c r="D46" s="102" t="s">
        <v>446</v>
      </c>
      <c r="E46" s="469">
        <f>Table10[[#This Row],[Date]]-DAY(Table10[[#This Row],[Date]])+1</f>
        <v>45778</v>
      </c>
      <c r="F46" s="470">
        <v>45787</v>
      </c>
      <c r="G46" s="102" t="s">
        <v>80</v>
      </c>
      <c r="H46" s="102" t="str">
        <f>IFERROR(_xlfn.XLOOKUP(Table10[[#This Row],[Affected Feeder ]],'Basic Data'!$A$43:$A$70,'Basic Data'!$B$43:$B$70),"")</f>
        <v>TQGXIIPL</v>
      </c>
      <c r="I46" s="102" t="str">
        <f>IFERROR(_xlfn.XLOOKUP(Table10[[#This Row],[Affected Feeder ]],'Basic Data'!$A$43:$A$70,'Basic Data'!$C$43:$C$70),"")</f>
        <v>GEDA</v>
      </c>
      <c r="J46" s="482">
        <f>IFERROR(_xlfn.XLOOKUP(Table10[[#This Row],[Affected Feeder ]],'Basic Data'!$A$43:$A$70,'Basic Data'!$E$43:$E$70),"")</f>
        <v>3.846153846153845E-2</v>
      </c>
      <c r="K46" s="483" t="s">
        <v>459</v>
      </c>
      <c r="L46" s="484">
        <v>0</v>
      </c>
      <c r="M46" s="484">
        <v>0</v>
      </c>
      <c r="N46" s="484">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483" t="s">
        <v>1795</v>
      </c>
      <c r="S46" s="102" t="s">
        <v>293</v>
      </c>
      <c r="T46" s="485">
        <f>IFERROR(Table10[[#This Row],[Breakdown Time]]*Table10[[#This Row],[Plant Equivalent Weightage]],"")</f>
        <v>3.4615384615384603E-2</v>
      </c>
      <c r="U46" s="102" t="s">
        <v>450</v>
      </c>
      <c r="V46" s="547">
        <f>IFERROR(_xlfn.XLOOKUP(Table10[[#This Row],[Date]],'Daily KPI'!$A:$A,'Daily KPI'!$M:$M),"")</f>
        <v>4.9289662776948795</v>
      </c>
      <c r="W46" s="102">
        <v>384</v>
      </c>
      <c r="X46" s="102">
        <f>Table10[[#This Row],[WTG Loss]]*1*Table10[[#This Row],[Breakdown Time]]</f>
        <v>345.59999999999997</v>
      </c>
      <c r="Y46" s="102" t="s">
        <v>449</v>
      </c>
      <c r="Z46" s="102"/>
      <c r="AA46" s="102"/>
    </row>
    <row r="47" spans="1:27">
      <c r="A47" s="102">
        <f t="shared" si="1"/>
        <v>46</v>
      </c>
      <c r="B47" s="102">
        <f>YEAR(Table10[[#This Row],[Date]])+IF(MONTH(Table10[[#This Row],[Date]])&gt;=4,1,0)</f>
        <v>2026</v>
      </c>
      <c r="C47" s="102">
        <f>YEAR(Table10[[#This Row],[Date]])</f>
        <v>2025</v>
      </c>
      <c r="D47" s="102" t="s">
        <v>446</v>
      </c>
      <c r="E47" s="469">
        <f>Table10[[#This Row],[Date]]-DAY(Table10[[#This Row],[Date]])+1</f>
        <v>45778</v>
      </c>
      <c r="F47" s="470">
        <v>45787</v>
      </c>
      <c r="G47" s="102" t="s">
        <v>90</v>
      </c>
      <c r="H47" s="102" t="str">
        <f>IFERROR(_xlfn.XLOOKUP(Table10[[#This Row],[Affected Feeder ]],'Basic Data'!$A$43:$A$70,'Basic Data'!$B$43:$B$70),"")</f>
        <v>TQGXIIPL</v>
      </c>
      <c r="I47" s="102" t="str">
        <f>IFERROR(_xlfn.XLOOKUP(Table10[[#This Row],[Affected Feeder ]],'Basic Data'!$A$43:$A$70,'Basic Data'!$C$43:$C$70),"")</f>
        <v>GEDA</v>
      </c>
      <c r="J47" s="482">
        <f>IFERROR(_xlfn.XLOOKUP(Table10[[#This Row],[Affected Feeder ]],'Basic Data'!$A$43:$A$70,'Basic Data'!$E$43:$E$70),"")</f>
        <v>3.846153846153845E-2</v>
      </c>
      <c r="K47" s="483" t="s">
        <v>1796</v>
      </c>
      <c r="L47" s="484">
        <v>0.60833333333333328</v>
      </c>
      <c r="M47" s="484">
        <v>0.60833333333333328</v>
      </c>
      <c r="N47" s="484">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483" t="s">
        <v>1797</v>
      </c>
      <c r="S47" s="102" t="s">
        <v>293</v>
      </c>
      <c r="T47" s="485">
        <f>IFERROR(Table10[[#This Row],[Breakdown Time]]*Table10[[#This Row],[Plant Equivalent Weightage]],"")</f>
        <v>7.8205128205128205E-2</v>
      </c>
      <c r="U47" s="102" t="s">
        <v>450</v>
      </c>
      <c r="V47" s="547">
        <f>IFERROR(_xlfn.XLOOKUP(Table10[[#This Row],[Date]],'Daily KPI'!$A:$A,'Daily KPI'!$M:$M),"")</f>
        <v>4.9289662776948795</v>
      </c>
      <c r="W47" s="102">
        <v>384</v>
      </c>
      <c r="X47" s="102">
        <f>Table10[[#This Row],[WTG Loss]]*1*Table10[[#This Row],[Breakdown Time]]</f>
        <v>780.8000000000003</v>
      </c>
      <c r="Y47" s="102" t="s">
        <v>449</v>
      </c>
      <c r="Z47" s="102"/>
      <c r="AA47" s="102"/>
    </row>
    <row r="48" spans="1:27">
      <c r="A48" s="102">
        <f t="shared" si="1"/>
        <v>47</v>
      </c>
      <c r="B48" s="102">
        <f>YEAR(Table10[[#This Row],[Date]])+IF(MONTH(Table10[[#This Row],[Date]])&gt;=4,1,0)</f>
        <v>2026</v>
      </c>
      <c r="C48" s="102">
        <f>YEAR(Table10[[#This Row],[Date]])</f>
        <v>2025</v>
      </c>
      <c r="D48" s="102" t="s">
        <v>446</v>
      </c>
      <c r="E48" s="469">
        <f>Table10[[#This Row],[Date]]-DAY(Table10[[#This Row],[Date]])+1</f>
        <v>45778</v>
      </c>
      <c r="F48" s="470">
        <v>45787</v>
      </c>
      <c r="G48" s="102" t="s">
        <v>95</v>
      </c>
      <c r="H48" s="102" t="str">
        <f>IFERROR(_xlfn.XLOOKUP(Table10[[#This Row],[Affected Feeder ]],'Basic Data'!$A$43:$A$70,'Basic Data'!$B$43:$B$70),"")</f>
        <v>TQGXIIPL</v>
      </c>
      <c r="I48" s="102" t="str">
        <f>IFERROR(_xlfn.XLOOKUP(Table10[[#This Row],[Affected Feeder ]],'Basic Data'!$A$43:$A$70,'Basic Data'!$C$43:$C$70),"")</f>
        <v>GEDA</v>
      </c>
      <c r="J48" s="482">
        <f>IFERROR(_xlfn.XLOOKUP(Table10[[#This Row],[Affected Feeder ]],'Basic Data'!$A$43:$A$70,'Basic Data'!$E$43:$E$70),"")</f>
        <v>3.846153846153845E-2</v>
      </c>
      <c r="K48" s="483" t="s">
        <v>467</v>
      </c>
      <c r="L48" s="484">
        <v>0.60833333333333328</v>
      </c>
      <c r="M48" s="484">
        <v>0.60833333333333328</v>
      </c>
      <c r="N48" s="484">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483" t="s">
        <v>1797</v>
      </c>
      <c r="S48" s="102" t="s">
        <v>293</v>
      </c>
      <c r="T48" s="485">
        <f>IFERROR(Table10[[#This Row],[Breakdown Time]]*Table10[[#This Row],[Plant Equivalent Weightage]],"")</f>
        <v>7.8205128205128205E-2</v>
      </c>
      <c r="U48" s="102" t="s">
        <v>450</v>
      </c>
      <c r="V48" s="547">
        <f>IFERROR(_xlfn.XLOOKUP(Table10[[#This Row],[Date]],'Daily KPI'!$A:$A,'Daily KPI'!$M:$M),"")</f>
        <v>4.9289662776948795</v>
      </c>
      <c r="W48" s="102">
        <v>384</v>
      </c>
      <c r="X48" s="102">
        <f>Table10[[#This Row],[WTG Loss]]*1*Table10[[#This Row],[Breakdown Time]]</f>
        <v>780.8000000000003</v>
      </c>
      <c r="Y48" s="102" t="s">
        <v>449</v>
      </c>
      <c r="Z48" s="102"/>
      <c r="AA48" s="102"/>
    </row>
    <row r="49" spans="1:27">
      <c r="A49" s="102">
        <f t="shared" si="1"/>
        <v>48</v>
      </c>
      <c r="B49" s="102">
        <f>YEAR(Table10[[#This Row],[Date]])+IF(MONTH(Table10[[#This Row],[Date]])&gt;=4,1,0)</f>
        <v>2026</v>
      </c>
      <c r="C49" s="102">
        <f>YEAR(Table10[[#This Row],[Date]])</f>
        <v>2025</v>
      </c>
      <c r="D49" s="102" t="s">
        <v>446</v>
      </c>
      <c r="E49" s="469">
        <f>Table10[[#This Row],[Date]]-DAY(Table10[[#This Row],[Date]])+1</f>
        <v>45778</v>
      </c>
      <c r="F49" s="470">
        <v>45787</v>
      </c>
      <c r="G49" s="102" t="s">
        <v>92</v>
      </c>
      <c r="H49" s="102" t="str">
        <f>IFERROR(_xlfn.XLOOKUP(Table10[[#This Row],[Affected Feeder ]],'Basic Data'!$A$43:$A$70,'Basic Data'!$B$43:$B$70),"")</f>
        <v>TQGXIIPL</v>
      </c>
      <c r="I49" s="102" t="str">
        <f>IFERROR(_xlfn.XLOOKUP(Table10[[#This Row],[Affected Feeder ]],'Basic Data'!$A$43:$A$70,'Basic Data'!$C$43:$C$70),"")</f>
        <v>GEDA</v>
      </c>
      <c r="J49" s="482">
        <f>IFERROR(_xlfn.XLOOKUP(Table10[[#This Row],[Affected Feeder ]],'Basic Data'!$A$43:$A$70,'Basic Data'!$E$43:$E$70),"")</f>
        <v>3.846153846153845E-2</v>
      </c>
      <c r="K49" s="483" t="s">
        <v>458</v>
      </c>
      <c r="L49" s="484">
        <v>0</v>
      </c>
      <c r="M49" s="484">
        <v>0</v>
      </c>
      <c r="N49" s="484">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483" t="s">
        <v>1798</v>
      </c>
      <c r="S49" s="102" t="s">
        <v>289</v>
      </c>
      <c r="T49" s="485">
        <f>IFERROR(Table10[[#This Row],[Breakdown Time]]*Table10[[#This Row],[Plant Equivalent Weightage]],"")</f>
        <v>0.9230662393162391</v>
      </c>
      <c r="U49" s="102" t="s">
        <v>450</v>
      </c>
      <c r="V49" s="547">
        <f>IFERROR(_xlfn.XLOOKUP(Table10[[#This Row],[Date]],'Daily KPI'!$A:$A,'Daily KPI'!$M:$M),"")</f>
        <v>4.9289662776948795</v>
      </c>
      <c r="W49" s="102">
        <v>384</v>
      </c>
      <c r="X49" s="102">
        <f>Table10[[#This Row],[WTG Loss]]*1*Table10[[#This Row],[Breakdown Time]]</f>
        <v>9215.8933333333334</v>
      </c>
      <c r="Y49" s="102" t="s">
        <v>449</v>
      </c>
      <c r="Z49" s="102"/>
      <c r="AA49" s="102"/>
    </row>
    <row r="50" spans="1:27">
      <c r="A50" s="102">
        <f t="shared" si="1"/>
        <v>49</v>
      </c>
      <c r="B50" s="102">
        <f>YEAR(Table10[[#This Row],[Date]])+IF(MONTH(Table10[[#This Row],[Date]])&gt;=4,1,0)</f>
        <v>2026</v>
      </c>
      <c r="C50" s="102">
        <f>YEAR(Table10[[#This Row],[Date]])</f>
        <v>2025</v>
      </c>
      <c r="D50" s="102" t="s">
        <v>446</v>
      </c>
      <c r="E50" s="469">
        <f>Table10[[#This Row],[Date]]-DAY(Table10[[#This Row],[Date]])+1</f>
        <v>45778</v>
      </c>
      <c r="F50" s="470">
        <v>45788</v>
      </c>
      <c r="G50" s="102" t="s">
        <v>451</v>
      </c>
      <c r="H50" s="102" t="str">
        <f>IFERROR(_xlfn.XLOOKUP(Table10[[#This Row],[Affected Feeder ]],'Basic Data'!$A$43:$A$70,'Basic Data'!$B$43:$B$70),"")</f>
        <v>TQGXIIPL</v>
      </c>
      <c r="I50" s="102" t="str">
        <f>IFERROR(_xlfn.XLOOKUP(Table10[[#This Row],[Affected Feeder ]],'Basic Data'!$A$43:$A$70,'Basic Data'!$C$43:$C$70),"")</f>
        <v>GEDA</v>
      </c>
      <c r="J50" s="482">
        <f>IFERROR(_xlfn.XLOOKUP(Table10[[#This Row],[Affected Feeder ]],'Basic Data'!$A$43:$A$70,'Basic Data'!$E$43:$E$70),"")</f>
        <v>0.49999999999999978</v>
      </c>
      <c r="K50" s="483" t="s">
        <v>1791</v>
      </c>
      <c r="L50" s="484">
        <v>0.68125000000000002</v>
      </c>
      <c r="M50" s="484">
        <v>0.68125000000000002</v>
      </c>
      <c r="N50" s="484">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483" t="s">
        <v>1914</v>
      </c>
      <c r="S50" s="102" t="s">
        <v>293</v>
      </c>
      <c r="T50" s="485">
        <f>IFERROR(Table10[[#This Row],[Breakdown Time]]*Table10[[#This Row],[Plant Equivalent Weightage]],"")</f>
        <v>0.53333333333333255</v>
      </c>
      <c r="U50" s="102" t="s">
        <v>450</v>
      </c>
      <c r="V50" s="547">
        <f>IFERROR(_xlfn.XLOOKUP(Table10[[#This Row],[Date]],'Daily KPI'!$A:$A,'Daily KPI'!$M:$M),"")</f>
        <v>4.7261538461538457</v>
      </c>
      <c r="W50" s="102">
        <v>340</v>
      </c>
      <c r="X50" s="102">
        <f>Table10[[#This Row],[WTG Loss]]*13*Table10[[#This Row],[Breakdown Time]]</f>
        <v>4714.6666666666615</v>
      </c>
      <c r="Y50" s="102" t="s">
        <v>449</v>
      </c>
      <c r="Z50" s="102"/>
      <c r="AA50" s="102"/>
    </row>
    <row r="51" spans="1:27">
      <c r="A51" s="102">
        <f t="shared" si="1"/>
        <v>50</v>
      </c>
      <c r="B51" s="102">
        <f>YEAR(Table10[[#This Row],[Date]])+IF(MONTH(Table10[[#This Row],[Date]])&gt;=4,1,0)</f>
        <v>2026</v>
      </c>
      <c r="C51" s="102">
        <f>YEAR(Table10[[#This Row],[Date]])</f>
        <v>2025</v>
      </c>
      <c r="D51" s="102" t="s">
        <v>446</v>
      </c>
      <c r="E51" s="469">
        <f>Table10[[#This Row],[Date]]-DAY(Table10[[#This Row],[Date]])+1</f>
        <v>45778</v>
      </c>
      <c r="F51" s="470">
        <v>45788</v>
      </c>
      <c r="G51" s="102" t="s">
        <v>447</v>
      </c>
      <c r="H51" s="102" t="str">
        <f>IFERROR(_xlfn.XLOOKUP(Table10[[#This Row],[Affected Feeder ]],'Basic Data'!$A$43:$A$70,'Basic Data'!$B$43:$B$70),"")</f>
        <v>TQGXIIPL</v>
      </c>
      <c r="I51" s="102" t="str">
        <f>IFERROR(_xlfn.XLOOKUP(Table10[[#This Row],[Affected Feeder ]],'Basic Data'!$A$43:$A$70,'Basic Data'!$C$43:$C$70),"")</f>
        <v>GEDA</v>
      </c>
      <c r="J51" s="482">
        <f>IFERROR(_xlfn.XLOOKUP(Table10[[#This Row],[Affected Feeder ]],'Basic Data'!$A$43:$A$70,'Basic Data'!$E$43:$E$70),"")</f>
        <v>0.49999999999999978</v>
      </c>
      <c r="K51" s="483" t="s">
        <v>1812</v>
      </c>
      <c r="L51" s="484">
        <v>0.73472222222222228</v>
      </c>
      <c r="M51" s="484">
        <v>0.73472222222222228</v>
      </c>
      <c r="N51" s="484">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483" t="s">
        <v>1809</v>
      </c>
      <c r="S51" s="102" t="s">
        <v>293</v>
      </c>
      <c r="T51" s="485">
        <f>IFERROR(Table10[[#This Row],[Breakdown Time]]*Table10[[#This Row],[Plant Equivalent Weightage]],"")</f>
        <v>0.26666666666666561</v>
      </c>
      <c r="U51" s="102" t="s">
        <v>450</v>
      </c>
      <c r="V51" s="547">
        <f>IFERROR(_xlfn.XLOOKUP(Table10[[#This Row],[Date]],'Daily KPI'!$A:$A,'Daily KPI'!$M:$M),"")</f>
        <v>4.7261538461538457</v>
      </c>
      <c r="W51" s="102">
        <v>340</v>
      </c>
      <c r="X51" s="102">
        <f>Table10[[#This Row],[WTG Loss]]*13*Table10[[#This Row],[Breakdown Time]]</f>
        <v>2357.3333333333248</v>
      </c>
      <c r="Y51" s="102" t="s">
        <v>449</v>
      </c>
      <c r="Z51" s="102"/>
      <c r="AA51" s="102"/>
    </row>
    <row r="52" spans="1:27">
      <c r="A52" s="102">
        <f t="shared" si="1"/>
        <v>51</v>
      </c>
      <c r="B52" s="102">
        <f>YEAR(Table10[[#This Row],[Date]])+IF(MONTH(Table10[[#This Row],[Date]])&gt;=4,1,0)</f>
        <v>2026</v>
      </c>
      <c r="C52" s="102">
        <f>YEAR(Table10[[#This Row],[Date]])</f>
        <v>2025</v>
      </c>
      <c r="D52" s="102" t="s">
        <v>446</v>
      </c>
      <c r="E52" s="469">
        <f>Table10[[#This Row],[Date]]-DAY(Table10[[#This Row],[Date]])+1</f>
        <v>45778</v>
      </c>
      <c r="F52" s="470">
        <v>45788</v>
      </c>
      <c r="G52" s="102" t="s">
        <v>92</v>
      </c>
      <c r="H52" s="102" t="str">
        <f>IFERROR(_xlfn.XLOOKUP(Table10[[#This Row],[Affected Feeder ]],'Basic Data'!$A$43:$A$70,'Basic Data'!$B$43:$B$70),"")</f>
        <v>TQGXIIPL</v>
      </c>
      <c r="I52" s="102" t="str">
        <f>IFERROR(_xlfn.XLOOKUP(Table10[[#This Row],[Affected Feeder ]],'Basic Data'!$A$43:$A$70,'Basic Data'!$C$43:$C$70),"")</f>
        <v>GEDA</v>
      </c>
      <c r="J52" s="482">
        <f>IFERROR(_xlfn.XLOOKUP(Table10[[#This Row],[Affected Feeder ]],'Basic Data'!$A$43:$A$70,'Basic Data'!$E$43:$E$70),"")</f>
        <v>3.846153846153845E-2</v>
      </c>
      <c r="K52" s="483" t="s">
        <v>466</v>
      </c>
      <c r="L52" s="484">
        <v>0.72638888888888886</v>
      </c>
      <c r="M52" s="484">
        <v>0.72638888888888886</v>
      </c>
      <c r="N52" s="484">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483" t="s">
        <v>1810</v>
      </c>
      <c r="S52" s="102" t="s">
        <v>293</v>
      </c>
      <c r="T52" s="485">
        <f>IFERROR(Table10[[#This Row],[Breakdown Time]]*Table10[[#This Row],[Plant Equivalent Weightage]],"")</f>
        <v>7.3076923076923109E-2</v>
      </c>
      <c r="U52" s="102" t="s">
        <v>450</v>
      </c>
      <c r="V52" s="547">
        <f>IFERROR(_xlfn.XLOOKUP(Table10[[#This Row],[Date]],'Daily KPI'!$A:$A,'Daily KPI'!$M:$M),"")</f>
        <v>4.7261538461538457</v>
      </c>
      <c r="W52" s="102">
        <v>340</v>
      </c>
      <c r="X52" s="102">
        <f>Table10[[#This Row],[WTG Loss]]*1*Table10[[#This Row],[Breakdown Time]]</f>
        <v>646.00000000000045</v>
      </c>
      <c r="Y52" s="102" t="s">
        <v>449</v>
      </c>
      <c r="Z52" s="102"/>
      <c r="AA52" s="102"/>
    </row>
    <row r="53" spans="1:27">
      <c r="A53" s="102">
        <f t="shared" si="1"/>
        <v>52</v>
      </c>
      <c r="B53" s="102">
        <f>YEAR(Table10[[#This Row],[Date]])+IF(MONTH(Table10[[#This Row],[Date]])&gt;=4,1,0)</f>
        <v>2026</v>
      </c>
      <c r="C53" s="102">
        <f>YEAR(Table10[[#This Row],[Date]])</f>
        <v>2025</v>
      </c>
      <c r="D53" s="102" t="s">
        <v>446</v>
      </c>
      <c r="E53" s="469">
        <f>Table10[[#This Row],[Date]]-DAY(Table10[[#This Row],[Date]])+1</f>
        <v>45778</v>
      </c>
      <c r="F53" s="470">
        <v>45788</v>
      </c>
      <c r="G53" s="102" t="s">
        <v>451</v>
      </c>
      <c r="H53" s="102" t="str">
        <f>IFERROR(_xlfn.XLOOKUP(Table10[[#This Row],[Affected Feeder ]],'Basic Data'!$A$43:$A$70,'Basic Data'!$B$43:$B$70),"")</f>
        <v>TQGXIIPL</v>
      </c>
      <c r="I53" s="102" t="str">
        <f>IFERROR(_xlfn.XLOOKUP(Table10[[#This Row],[Affected Feeder ]],'Basic Data'!$A$43:$A$70,'Basic Data'!$C$43:$C$70),"")</f>
        <v>GEDA</v>
      </c>
      <c r="J53" s="482">
        <f>IFERROR(_xlfn.XLOOKUP(Table10[[#This Row],[Affected Feeder ]],'Basic Data'!$A$43:$A$70,'Basic Data'!$E$43:$E$70),"")</f>
        <v>0.49999999999999978</v>
      </c>
      <c r="K53" s="483" t="s">
        <v>1811</v>
      </c>
      <c r="L53" s="484">
        <v>0</v>
      </c>
      <c r="M53" s="484">
        <v>0</v>
      </c>
      <c r="N53" s="484">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483" t="s">
        <v>1811</v>
      </c>
      <c r="S53" s="102" t="s">
        <v>293</v>
      </c>
      <c r="T53" s="485">
        <f>IFERROR(Table10[[#This Row],[Breakdown Time]]*Table10[[#This Row],[Plant Equivalent Weightage]],"")</f>
        <v>4.9999999999999982E-2</v>
      </c>
      <c r="U53" s="102" t="s">
        <v>450</v>
      </c>
      <c r="V53" s="547">
        <f>IFERROR(_xlfn.XLOOKUP(Table10[[#This Row],[Date]],'Daily KPI'!$A:$A,'Daily KPI'!$M:$M),"")</f>
        <v>4.7261538461538457</v>
      </c>
      <c r="W53" s="102">
        <v>340</v>
      </c>
      <c r="X53" s="102">
        <f>Table10[[#This Row],[WTG Loss]]*13*Table10[[#This Row],[Breakdown Time]]</f>
        <v>442</v>
      </c>
      <c r="Y53" s="102" t="s">
        <v>449</v>
      </c>
      <c r="Z53" s="102"/>
      <c r="AA53" s="102"/>
    </row>
    <row r="54" spans="1:27">
      <c r="A54" s="102">
        <f t="shared" si="1"/>
        <v>53</v>
      </c>
      <c r="B54" s="102">
        <f>YEAR(Table10[[#This Row],[Date]])+IF(MONTH(Table10[[#This Row],[Date]])&gt;=4,1,0)</f>
        <v>2026</v>
      </c>
      <c r="C54" s="102">
        <f>YEAR(Table10[[#This Row],[Date]])</f>
        <v>2025</v>
      </c>
      <c r="D54" s="102" t="s">
        <v>446</v>
      </c>
      <c r="E54" s="469">
        <f>Table10[[#This Row],[Date]]-DAY(Table10[[#This Row],[Date]])+1</f>
        <v>45778</v>
      </c>
      <c r="F54" s="470">
        <v>45789</v>
      </c>
      <c r="G54" s="102" t="s">
        <v>451</v>
      </c>
      <c r="H54" s="102" t="str">
        <f>IFERROR(_xlfn.XLOOKUP(Table10[[#This Row],[Affected Feeder ]],'Basic Data'!$A$43:$A$70,'Basic Data'!$B$43:$B$70),"")</f>
        <v>TQGXIIPL</v>
      </c>
      <c r="I54" s="102" t="str">
        <f>IFERROR(_xlfn.XLOOKUP(Table10[[#This Row],[Affected Feeder ]],'Basic Data'!$A$43:$A$70,'Basic Data'!$C$43:$C$70),"")</f>
        <v>GEDA</v>
      </c>
      <c r="J54" s="482">
        <f>IFERROR(_xlfn.XLOOKUP(Table10[[#This Row],[Affected Feeder ]],'Basic Data'!$A$43:$A$70,'Basic Data'!$E$43:$E$70),"")</f>
        <v>0.49999999999999978</v>
      </c>
      <c r="K54" s="483" t="s">
        <v>1791</v>
      </c>
      <c r="L54" s="484">
        <v>0.63611111111111107</v>
      </c>
      <c r="M54" s="484">
        <v>0.63611111111111107</v>
      </c>
      <c r="N54" s="484">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483" t="s">
        <v>1914</v>
      </c>
      <c r="S54" s="102" t="s">
        <v>293</v>
      </c>
      <c r="T54" s="485">
        <f>IFERROR(Table10[[#This Row],[Breakdown Time]]*Table10[[#This Row],[Plant Equivalent Weightage]],"")</f>
        <v>0.5833333333333337</v>
      </c>
      <c r="U54" s="102" t="s">
        <v>450</v>
      </c>
      <c r="V54" s="547">
        <f>IFERROR(_xlfn.XLOOKUP(Table10[[#This Row],[Date]],'Daily KPI'!$A:$A,'Daily KPI'!$M:$M),"")</f>
        <v>4.9300000000000006</v>
      </c>
      <c r="W54" s="102">
        <v>384</v>
      </c>
      <c r="X54" s="102">
        <f>Table10[[#This Row],[WTG Loss]]*13*Table10[[#This Row],[Breakdown Time]]</f>
        <v>5824.0000000000055</v>
      </c>
      <c r="Y54" s="102" t="s">
        <v>449</v>
      </c>
      <c r="Z54" s="102"/>
      <c r="AA54" s="102"/>
    </row>
    <row r="55" spans="1:27">
      <c r="A55" s="102">
        <f t="shared" si="1"/>
        <v>54</v>
      </c>
      <c r="B55" s="102">
        <f>YEAR(Table10[[#This Row],[Date]])+IF(MONTH(Table10[[#This Row],[Date]])&gt;=4,1,0)</f>
        <v>2026</v>
      </c>
      <c r="C55" s="102">
        <f>YEAR(Table10[[#This Row],[Date]])</f>
        <v>2025</v>
      </c>
      <c r="D55" s="102" t="s">
        <v>446</v>
      </c>
      <c r="E55" s="469">
        <f>Table10[[#This Row],[Date]]-DAY(Table10[[#This Row],[Date]])+1</f>
        <v>45778</v>
      </c>
      <c r="F55" s="470">
        <v>45789</v>
      </c>
      <c r="G55" s="102" t="s">
        <v>92</v>
      </c>
      <c r="H55" s="102" t="str">
        <f>IFERROR(_xlfn.XLOOKUP(Table10[[#This Row],[Affected Feeder ]],'Basic Data'!$A$43:$A$70,'Basic Data'!$B$43:$B$70),"")</f>
        <v>TQGXIIPL</v>
      </c>
      <c r="I55" s="102" t="str">
        <f>IFERROR(_xlfn.XLOOKUP(Table10[[#This Row],[Affected Feeder ]],'Basic Data'!$A$43:$A$70,'Basic Data'!$C$43:$C$70),"")</f>
        <v>GEDA</v>
      </c>
      <c r="J55" s="482">
        <f>IFERROR(_xlfn.XLOOKUP(Table10[[#This Row],[Affected Feeder ]],'Basic Data'!$A$43:$A$70,'Basic Data'!$E$43:$E$70),"")</f>
        <v>3.846153846153845E-2</v>
      </c>
      <c r="K55" s="483" t="s">
        <v>1814</v>
      </c>
      <c r="L55" s="484">
        <v>0.68541666666666667</v>
      </c>
      <c r="M55" s="484">
        <v>0.68541666666666667</v>
      </c>
      <c r="N55" s="484">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483" t="s">
        <v>1815</v>
      </c>
      <c r="S55" s="102" t="s">
        <v>293</v>
      </c>
      <c r="T55" s="485">
        <f>IFERROR(Table10[[#This Row],[Breakdown Time]]*Table10[[#This Row],[Plant Equivalent Weightage]],"")</f>
        <v>0.16346153846153844</v>
      </c>
      <c r="U55" s="102" t="s">
        <v>450</v>
      </c>
      <c r="V55" s="547">
        <f>IFERROR(_xlfn.XLOOKUP(Table10[[#This Row],[Date]],'Daily KPI'!$A:$A,'Daily KPI'!$M:$M),"")</f>
        <v>4.9300000000000006</v>
      </c>
      <c r="W55" s="102">
        <v>384</v>
      </c>
      <c r="X55" s="102">
        <f>Table10[[#This Row],[WTG Loss]]*1*Table10[[#This Row],[Breakdown Time]]</f>
        <v>1632.0000000000005</v>
      </c>
      <c r="Y55" s="102" t="s">
        <v>449</v>
      </c>
      <c r="Z55" s="102"/>
      <c r="AA55" s="102"/>
    </row>
    <row r="56" spans="1:27">
      <c r="A56" s="102">
        <f t="shared" si="1"/>
        <v>55</v>
      </c>
      <c r="B56" s="102">
        <f>YEAR(Table10[[#This Row],[Date]])+IF(MONTH(Table10[[#This Row],[Date]])&gt;=4,1,0)</f>
        <v>2026</v>
      </c>
      <c r="C56" s="102">
        <f>YEAR(Table10[[#This Row],[Date]])</f>
        <v>2025</v>
      </c>
      <c r="D56" s="102" t="s">
        <v>446</v>
      </c>
      <c r="E56" s="469">
        <f>Table10[[#This Row],[Date]]-DAY(Table10[[#This Row],[Date]])+1</f>
        <v>45778</v>
      </c>
      <c r="F56" s="470">
        <v>45790</v>
      </c>
      <c r="G56" s="102" t="s">
        <v>80</v>
      </c>
      <c r="H56" s="102" t="str">
        <f>IFERROR(_xlfn.XLOOKUP(Table10[[#This Row],[Affected Feeder ]],'Basic Data'!$A$43:$A$70,'Basic Data'!$B$43:$B$70),"")</f>
        <v>TQGXIIPL</v>
      </c>
      <c r="I56" s="102" t="str">
        <f>IFERROR(_xlfn.XLOOKUP(Table10[[#This Row],[Affected Feeder ]],'Basic Data'!$A$43:$A$70,'Basic Data'!$C$43:$C$70),"")</f>
        <v>GEDA</v>
      </c>
      <c r="J56" s="482">
        <f>IFERROR(_xlfn.XLOOKUP(Table10[[#This Row],[Affected Feeder ]],'Basic Data'!$A$43:$A$70,'Basic Data'!$E$43:$E$70),"")</f>
        <v>3.846153846153845E-2</v>
      </c>
      <c r="K56" s="483" t="s">
        <v>459</v>
      </c>
      <c r="L56" s="484">
        <v>0.93680555555555556</v>
      </c>
      <c r="M56" s="484">
        <v>0.93680555555555556</v>
      </c>
      <c r="N56" s="484">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483" t="s">
        <v>1817</v>
      </c>
      <c r="S56" s="102" t="s">
        <v>293</v>
      </c>
      <c r="T56" s="485">
        <f>IFERROR(Table10[[#This Row],[Breakdown Time]]*Table10[[#This Row],[Plant Equivalent Weightage]],"")</f>
        <v>5.8322649572649585E-2</v>
      </c>
      <c r="U56" s="102" t="s">
        <v>450</v>
      </c>
      <c r="V56" s="547">
        <f>IFERROR(_xlfn.XLOOKUP(Table10[[#This Row],[Date]],'Daily KPI'!$A:$A,'Daily KPI'!$M:$M),"")</f>
        <v>5.2229000333455513</v>
      </c>
      <c r="W56" s="102">
        <v>469.4</v>
      </c>
      <c r="X56" s="102">
        <f>Table10[[#This Row],[WTG Loss]]*1*Table10[[#This Row],[Breakdown Time]]</f>
        <v>711.79294444444474</v>
      </c>
      <c r="Y56" s="102" t="s">
        <v>449</v>
      </c>
      <c r="Z56" s="102"/>
      <c r="AA56" s="102"/>
    </row>
    <row r="57" spans="1:27">
      <c r="A57" s="102">
        <f t="shared" si="1"/>
        <v>56</v>
      </c>
      <c r="B57" s="102">
        <f>YEAR(Table10[[#This Row],[Date]])+IF(MONTH(Table10[[#This Row],[Date]])&gt;=4,1,0)</f>
        <v>2026</v>
      </c>
      <c r="C57" s="102">
        <f>YEAR(Table10[[#This Row],[Date]])</f>
        <v>2025</v>
      </c>
      <c r="D57" s="102" t="s">
        <v>446</v>
      </c>
      <c r="E57" s="469">
        <f>Table10[[#This Row],[Date]]-DAY(Table10[[#This Row],[Date]])+1</f>
        <v>45778</v>
      </c>
      <c r="F57" s="470">
        <v>45791</v>
      </c>
      <c r="G57" s="102" t="s">
        <v>80</v>
      </c>
      <c r="H57" s="102" t="str">
        <f>IFERROR(_xlfn.XLOOKUP(Table10[[#This Row],[Affected Feeder ]],'Basic Data'!$A$43:$A$70,'Basic Data'!$B$43:$B$70),"")</f>
        <v>TQGXIIPL</v>
      </c>
      <c r="I57" s="102" t="str">
        <f>IFERROR(_xlfn.XLOOKUP(Table10[[#This Row],[Affected Feeder ]],'Basic Data'!$A$43:$A$70,'Basic Data'!$C$43:$C$70),"")</f>
        <v>GEDA</v>
      </c>
      <c r="J57" s="482">
        <f>IFERROR(_xlfn.XLOOKUP(Table10[[#This Row],[Affected Feeder ]],'Basic Data'!$A$43:$A$70,'Basic Data'!$E$43:$E$70),"")</f>
        <v>3.846153846153845E-2</v>
      </c>
      <c r="K57" s="483" t="s">
        <v>459</v>
      </c>
      <c r="L57" s="484">
        <v>0</v>
      </c>
      <c r="M57" s="484">
        <v>0</v>
      </c>
      <c r="N57" s="484">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483" t="s">
        <v>1820</v>
      </c>
      <c r="S57" s="102" t="s">
        <v>293</v>
      </c>
      <c r="T57" s="485">
        <f>IFERROR(Table10[[#This Row],[Breakdown Time]]*Table10[[#This Row],[Plant Equivalent Weightage]],"")</f>
        <v>3.8461538461538451E-3</v>
      </c>
      <c r="U57" s="102" t="s">
        <v>450</v>
      </c>
      <c r="V57" s="547">
        <f>IFERROR(_xlfn.XLOOKUP(Table10[[#This Row],[Date]],'Daily KPI'!$A:$A,'Daily KPI'!$M:$M),"")</f>
        <v>5.1362116483646725</v>
      </c>
      <c r="W57" s="102">
        <v>437.7</v>
      </c>
      <c r="X57" s="102">
        <f>Table10[[#This Row],[WTG Loss]]*1*Table10[[#This Row],[Breakdown Time]]</f>
        <v>43.77</v>
      </c>
      <c r="Y57" s="102" t="s">
        <v>449</v>
      </c>
      <c r="Z57" s="102"/>
      <c r="AA57" s="102"/>
    </row>
    <row r="58" spans="1:27">
      <c r="A58" s="102">
        <f t="shared" si="1"/>
        <v>57</v>
      </c>
      <c r="B58" s="102">
        <f>YEAR(Table10[[#This Row],[Date]])+IF(MONTH(Table10[[#This Row],[Date]])&gt;=4,1,0)</f>
        <v>2026</v>
      </c>
      <c r="C58" s="102">
        <f>YEAR(Table10[[#This Row],[Date]])</f>
        <v>2025</v>
      </c>
      <c r="D58" s="102" t="s">
        <v>446</v>
      </c>
      <c r="E58" s="469">
        <f>Table10[[#This Row],[Date]]-DAY(Table10[[#This Row],[Date]])+1</f>
        <v>45778</v>
      </c>
      <c r="F58" s="470">
        <v>45791</v>
      </c>
      <c r="G58" s="102" t="s">
        <v>80</v>
      </c>
      <c r="H58" s="102" t="str">
        <f>IFERROR(_xlfn.XLOOKUP(Table10[[#This Row],[Affected Feeder ]],'Basic Data'!$A$43:$A$70,'Basic Data'!$B$43:$B$70),"")</f>
        <v>TQGXIIPL</v>
      </c>
      <c r="I58" s="102" t="str">
        <f>IFERROR(_xlfn.XLOOKUP(Table10[[#This Row],[Affected Feeder ]],'Basic Data'!$A$43:$A$70,'Basic Data'!$C$43:$C$70),"")</f>
        <v>GEDA</v>
      </c>
      <c r="J58" s="482">
        <f>IFERROR(_xlfn.XLOOKUP(Table10[[#This Row],[Affected Feeder ]],'Basic Data'!$A$43:$A$70,'Basic Data'!$E$43:$E$70),"")</f>
        <v>3.846153846153845E-2</v>
      </c>
      <c r="K58" s="483" t="s">
        <v>459</v>
      </c>
      <c r="L58" s="484">
        <v>0.34513888888888888</v>
      </c>
      <c r="M58" s="484">
        <v>0.34513888888888888</v>
      </c>
      <c r="N58" s="484">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483" t="s">
        <v>1821</v>
      </c>
      <c r="S58" s="102" t="s">
        <v>293</v>
      </c>
      <c r="T58" s="485">
        <f>IFERROR(Table10[[#This Row],[Breakdown Time]]*Table10[[#This Row],[Plant Equivalent Weightage]],"")</f>
        <v>3.5256410256410277E-2</v>
      </c>
      <c r="U58" s="102" t="s">
        <v>450</v>
      </c>
      <c r="V58" s="547">
        <f>IFERROR(_xlfn.XLOOKUP(Table10[[#This Row],[Date]],'Daily KPI'!$A:$A,'Daily KPI'!$M:$M),"")</f>
        <v>5.1362116483646725</v>
      </c>
      <c r="W58" s="102">
        <v>437.7</v>
      </c>
      <c r="X58" s="102">
        <f>Table10[[#This Row],[WTG Loss]]*1*Table10[[#This Row],[Breakdown Time]]</f>
        <v>401.22500000000031</v>
      </c>
      <c r="Y58" s="102" t="s">
        <v>449</v>
      </c>
      <c r="Z58" s="102"/>
      <c r="AA58" s="102"/>
    </row>
    <row r="59" spans="1:27">
      <c r="A59" s="102">
        <f t="shared" si="1"/>
        <v>58</v>
      </c>
      <c r="B59" s="102">
        <f>YEAR(Table10[[#This Row],[Date]])+IF(MONTH(Table10[[#This Row],[Date]])&gt;=4,1,0)</f>
        <v>2026</v>
      </c>
      <c r="C59" s="102">
        <f>YEAR(Table10[[#This Row],[Date]])</f>
        <v>2025</v>
      </c>
      <c r="D59" s="102" t="s">
        <v>446</v>
      </c>
      <c r="E59" s="469">
        <f>Table10[[#This Row],[Date]]-DAY(Table10[[#This Row],[Date]])+1</f>
        <v>45778</v>
      </c>
      <c r="F59" s="470">
        <v>45791</v>
      </c>
      <c r="G59" s="102" t="s">
        <v>80</v>
      </c>
      <c r="H59" s="102" t="str">
        <f>IFERROR(_xlfn.XLOOKUP(Table10[[#This Row],[Affected Feeder ]],'Basic Data'!$A$43:$A$70,'Basic Data'!$B$43:$B$70),"")</f>
        <v>TQGXIIPL</v>
      </c>
      <c r="I59" s="102" t="str">
        <f>IFERROR(_xlfn.XLOOKUP(Table10[[#This Row],[Affected Feeder ]],'Basic Data'!$A$43:$A$70,'Basic Data'!$C$43:$C$70),"")</f>
        <v>GEDA</v>
      </c>
      <c r="J59" s="482">
        <f>IFERROR(_xlfn.XLOOKUP(Table10[[#This Row],[Affected Feeder ]],'Basic Data'!$A$43:$A$70,'Basic Data'!$E$43:$E$70),"")</f>
        <v>3.846153846153845E-2</v>
      </c>
      <c r="K59" s="483" t="s">
        <v>459</v>
      </c>
      <c r="L59" s="484">
        <v>0.86944444444444446</v>
      </c>
      <c r="M59" s="484">
        <v>0.86944444444444446</v>
      </c>
      <c r="N59" s="484">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483" t="s">
        <v>1821</v>
      </c>
      <c r="S59" s="102" t="s">
        <v>293</v>
      </c>
      <c r="T59" s="485">
        <f>IFERROR(Table10[[#This Row],[Breakdown Time]]*Table10[[#This Row],[Plant Equivalent Weightage]],"")</f>
        <v>2.5641025641025644E-2</v>
      </c>
      <c r="U59" s="102" t="s">
        <v>450</v>
      </c>
      <c r="V59" s="547">
        <f>IFERROR(_xlfn.XLOOKUP(Table10[[#This Row],[Date]],'Daily KPI'!$A:$A,'Daily KPI'!$M:$M),"")</f>
        <v>5.1362116483646725</v>
      </c>
      <c r="W59" s="102">
        <v>437.7</v>
      </c>
      <c r="X59" s="102">
        <f>Table10[[#This Row],[WTG Loss]]*1*Table10[[#This Row],[Breakdown Time]]</f>
        <v>291.80000000000013</v>
      </c>
      <c r="Y59" s="102" t="s">
        <v>449</v>
      </c>
      <c r="Z59" s="102"/>
      <c r="AA59" s="102"/>
    </row>
    <row r="60" spans="1:27">
      <c r="A60" s="102">
        <f t="shared" si="1"/>
        <v>59</v>
      </c>
      <c r="B60" s="102">
        <f>YEAR(Table10[[#This Row],[Date]])+IF(MONTH(Table10[[#This Row],[Date]])&gt;=4,1,0)</f>
        <v>2026</v>
      </c>
      <c r="C60" s="102">
        <f>YEAR(Table10[[#This Row],[Date]])</f>
        <v>2025</v>
      </c>
      <c r="D60" s="102" t="s">
        <v>446</v>
      </c>
      <c r="E60" s="469">
        <f>Table10[[#This Row],[Date]]-DAY(Table10[[#This Row],[Date]])+1</f>
        <v>45778</v>
      </c>
      <c r="F60" s="470">
        <v>45792</v>
      </c>
      <c r="G60" s="102" t="s">
        <v>451</v>
      </c>
      <c r="H60" s="102" t="str">
        <f>IFERROR(_xlfn.XLOOKUP(Table10[[#This Row],[Affected Feeder ]],'Basic Data'!$A$43:$A$70,'Basic Data'!$B$43:$B$70),"")</f>
        <v>TQGXIIPL</v>
      </c>
      <c r="I60" s="102" t="str">
        <f>IFERROR(_xlfn.XLOOKUP(Table10[[#This Row],[Affected Feeder ]],'Basic Data'!$A$43:$A$70,'Basic Data'!$C$43:$C$70),"")</f>
        <v>GEDA</v>
      </c>
      <c r="J60" s="482">
        <f>IFERROR(_xlfn.XLOOKUP(Table10[[#This Row],[Affected Feeder ]],'Basic Data'!$A$43:$A$70,'Basic Data'!$E$43:$E$70),"")</f>
        <v>0.49999999999999978</v>
      </c>
      <c r="K60" s="483" t="s">
        <v>1791</v>
      </c>
      <c r="L60" s="484">
        <v>0.74236111111111114</v>
      </c>
      <c r="M60" s="484">
        <v>0.74236111111111114</v>
      </c>
      <c r="N60" s="484">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483" t="s">
        <v>1825</v>
      </c>
      <c r="S60" s="102" t="s">
        <v>293</v>
      </c>
      <c r="T60" s="485">
        <f>IFERROR(Table10[[#This Row],[Breakdown Time]]*Table10[[#This Row],[Plant Equivalent Weightage]],"")</f>
        <v>0.29166666666666685</v>
      </c>
      <c r="U60" s="102" t="s">
        <v>450</v>
      </c>
      <c r="V60" s="547">
        <f>IFERROR(_xlfn.XLOOKUP(Table10[[#This Row],[Date]],'Daily KPI'!$A:$A,'Daily KPI'!$M:$M),"")</f>
        <v>4.5068744442425146</v>
      </c>
      <c r="W60" s="102">
        <v>296</v>
      </c>
      <c r="X60" s="102">
        <f>Table10[[#This Row],[WTG Loss]]*13*Table10[[#This Row],[Breakdown Time]]</f>
        <v>2244.6666666666688</v>
      </c>
      <c r="Y60" s="102" t="s">
        <v>449</v>
      </c>
      <c r="Z60" s="102"/>
      <c r="AA60" s="102"/>
    </row>
    <row r="61" spans="1:27">
      <c r="A61" s="102">
        <f t="shared" si="1"/>
        <v>60</v>
      </c>
      <c r="B61" s="102">
        <f>YEAR(Table10[[#This Row],[Date]])+IF(MONTH(Table10[[#This Row],[Date]])&gt;=4,1,0)</f>
        <v>2026</v>
      </c>
      <c r="C61" s="102">
        <f>YEAR(Table10[[#This Row],[Date]])</f>
        <v>2025</v>
      </c>
      <c r="D61" s="102" t="s">
        <v>446</v>
      </c>
      <c r="E61" s="469">
        <f>Table10[[#This Row],[Date]]-DAY(Table10[[#This Row],[Date]])+1</f>
        <v>45778</v>
      </c>
      <c r="F61" s="470">
        <v>45792</v>
      </c>
      <c r="G61" s="102" t="s">
        <v>451</v>
      </c>
      <c r="H61" s="102" t="str">
        <f>IFERROR(_xlfn.XLOOKUP(Table10[[#This Row],[Affected Feeder ]],'Basic Data'!$A$43:$A$70,'Basic Data'!$B$43:$B$70),"")</f>
        <v>TQGXIIPL</v>
      </c>
      <c r="I61" s="102" t="str">
        <f>IFERROR(_xlfn.XLOOKUP(Table10[[#This Row],[Affected Feeder ]],'Basic Data'!$A$43:$A$70,'Basic Data'!$C$43:$C$70),"")</f>
        <v>GEDA</v>
      </c>
      <c r="J61" s="482">
        <f>IFERROR(_xlfn.XLOOKUP(Table10[[#This Row],[Affected Feeder ]],'Basic Data'!$A$43:$A$70,'Basic Data'!$E$43:$E$70),"")</f>
        <v>0.49999999999999978</v>
      </c>
      <c r="K61" s="483" t="s">
        <v>1824</v>
      </c>
      <c r="L61" s="484">
        <v>0.8930555555555556</v>
      </c>
      <c r="M61" s="484">
        <v>0.8930555555555556</v>
      </c>
      <c r="N61" s="484">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483" t="s">
        <v>1826</v>
      </c>
      <c r="S61" s="102" t="s">
        <v>293</v>
      </c>
      <c r="T61" s="485">
        <f>IFERROR(Table10[[#This Row],[Breakdown Time]]*Table10[[#This Row],[Plant Equivalent Weightage]],"")</f>
        <v>5.8333333333333098E-2</v>
      </c>
      <c r="U61" s="102" t="s">
        <v>450</v>
      </c>
      <c r="V61" s="547">
        <f>IFERROR(_xlfn.XLOOKUP(Table10[[#This Row],[Date]],'Daily KPI'!$A:$A,'Daily KPI'!$M:$M),"")</f>
        <v>4.5068744442425146</v>
      </c>
      <c r="W61" s="102">
        <v>296</v>
      </c>
      <c r="X61" s="102">
        <f>Table10[[#This Row],[WTG Loss]]*13*Table10[[#This Row],[Breakdown Time]]</f>
        <v>448.93333333333175</v>
      </c>
      <c r="Y61" s="102" t="s">
        <v>449</v>
      </c>
      <c r="Z61" s="102"/>
      <c r="AA61" s="102"/>
    </row>
    <row r="62" spans="1:27">
      <c r="A62" s="102">
        <f t="shared" si="1"/>
        <v>61</v>
      </c>
      <c r="B62" s="102">
        <f>YEAR(Table10[[#This Row],[Date]])+IF(MONTH(Table10[[#This Row],[Date]])&gt;=4,1,0)</f>
        <v>2026</v>
      </c>
      <c r="C62" s="102">
        <f>YEAR(Table10[[#This Row],[Date]])</f>
        <v>2025</v>
      </c>
      <c r="D62" s="102" t="s">
        <v>446</v>
      </c>
      <c r="E62" s="469">
        <f>Table10[[#This Row],[Date]]-DAY(Table10[[#This Row],[Date]])+1</f>
        <v>45778</v>
      </c>
      <c r="F62" s="470">
        <v>45792</v>
      </c>
      <c r="G62" s="102" t="s">
        <v>90</v>
      </c>
      <c r="H62" s="102" t="str">
        <f>IFERROR(_xlfn.XLOOKUP(Table10[[#This Row],[Affected Feeder ]],'Basic Data'!$A$43:$A$70,'Basic Data'!$B$43:$B$70),"")</f>
        <v>TQGXIIPL</v>
      </c>
      <c r="I62" s="102" t="str">
        <f>IFERROR(_xlfn.XLOOKUP(Table10[[#This Row],[Affected Feeder ]],'Basic Data'!$A$43:$A$70,'Basic Data'!$C$43:$C$70),"")</f>
        <v>GEDA</v>
      </c>
      <c r="J62" s="482">
        <f>IFERROR(_xlfn.XLOOKUP(Table10[[#This Row],[Affected Feeder ]],'Basic Data'!$A$43:$A$70,'Basic Data'!$E$43:$E$70),"")</f>
        <v>3.846153846153845E-2</v>
      </c>
      <c r="K62" s="483" t="s">
        <v>1796</v>
      </c>
      <c r="L62" s="484">
        <v>0.76666666666666672</v>
      </c>
      <c r="M62" s="484">
        <v>0.76666666666666672</v>
      </c>
      <c r="N62" s="484">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483" t="s">
        <v>1827</v>
      </c>
      <c r="S62" s="102" t="s">
        <v>293</v>
      </c>
      <c r="T62" s="485">
        <f>IFERROR(Table10[[#This Row],[Breakdown Time]]*Table10[[#This Row],[Plant Equivalent Weightage]],"")</f>
        <v>0.11666666666666663</v>
      </c>
      <c r="U62" s="102" t="s">
        <v>450</v>
      </c>
      <c r="V62" s="547">
        <f>IFERROR(_xlfn.XLOOKUP(Table10[[#This Row],[Date]],'Daily KPI'!$A:$A,'Daily KPI'!$M:$M),"")</f>
        <v>4.5068744442425146</v>
      </c>
      <c r="W62" s="102">
        <v>296</v>
      </c>
      <c r="X62" s="102">
        <f>Table10[[#This Row],[WTG Loss]]*1*Table10[[#This Row],[Breakdown Time]]</f>
        <v>897.86666666666667</v>
      </c>
      <c r="Y62" s="102" t="s">
        <v>449</v>
      </c>
      <c r="Z62" s="102"/>
      <c r="AA62" s="102"/>
    </row>
    <row r="63" spans="1:27">
      <c r="A63" s="102">
        <f t="shared" si="1"/>
        <v>62</v>
      </c>
      <c r="B63" s="102">
        <f>YEAR(Table10[[#This Row],[Date]])+IF(MONTH(Table10[[#This Row],[Date]])&gt;=4,1,0)</f>
        <v>2026</v>
      </c>
      <c r="C63" s="102">
        <f>YEAR(Table10[[#This Row],[Date]])</f>
        <v>2025</v>
      </c>
      <c r="D63" s="102" t="s">
        <v>446</v>
      </c>
      <c r="E63" s="469">
        <f>Table10[[#This Row],[Date]]-DAY(Table10[[#This Row],[Date]])+1</f>
        <v>45778</v>
      </c>
      <c r="F63" s="470">
        <v>45792</v>
      </c>
      <c r="G63" s="102" t="s">
        <v>95</v>
      </c>
      <c r="H63" s="102" t="str">
        <f>IFERROR(_xlfn.XLOOKUP(Table10[[#This Row],[Affected Feeder ]],'Basic Data'!$A$43:$A$70,'Basic Data'!$B$43:$B$70),"")</f>
        <v>TQGXIIPL</v>
      </c>
      <c r="I63" s="102" t="str">
        <f>IFERROR(_xlfn.XLOOKUP(Table10[[#This Row],[Affected Feeder ]],'Basic Data'!$A$43:$A$70,'Basic Data'!$C$43:$C$70),"")</f>
        <v>GEDA</v>
      </c>
      <c r="J63" s="482">
        <f>IFERROR(_xlfn.XLOOKUP(Table10[[#This Row],[Affected Feeder ]],'Basic Data'!$A$43:$A$70,'Basic Data'!$E$43:$E$70),"")</f>
        <v>3.846153846153845E-2</v>
      </c>
      <c r="K63" s="483" t="s">
        <v>467</v>
      </c>
      <c r="L63" s="484">
        <v>0.76666666666666672</v>
      </c>
      <c r="M63" s="484">
        <v>0.76666666666666672</v>
      </c>
      <c r="N63" s="484">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483" t="s">
        <v>1827</v>
      </c>
      <c r="S63" s="102" t="s">
        <v>293</v>
      </c>
      <c r="T63" s="485">
        <f>IFERROR(Table10[[#This Row],[Breakdown Time]]*Table10[[#This Row],[Plant Equivalent Weightage]],"")</f>
        <v>0.11666666666666663</v>
      </c>
      <c r="U63" s="102" t="s">
        <v>450</v>
      </c>
      <c r="V63" s="547">
        <f>IFERROR(_xlfn.XLOOKUP(Table10[[#This Row],[Date]],'Daily KPI'!$A:$A,'Daily KPI'!$M:$M),"")</f>
        <v>4.5068744442425146</v>
      </c>
      <c r="W63" s="102">
        <v>296</v>
      </c>
      <c r="X63" s="102">
        <f>Table10[[#This Row],[WTG Loss]]*1*Table10[[#This Row],[Breakdown Time]]</f>
        <v>897.86666666666667</v>
      </c>
      <c r="Y63" s="102" t="s">
        <v>449</v>
      </c>
      <c r="Z63" s="102"/>
      <c r="AA63" s="102"/>
    </row>
    <row r="64" spans="1:27">
      <c r="A64" s="102">
        <f t="shared" si="1"/>
        <v>63</v>
      </c>
      <c r="B64" s="102">
        <f>YEAR(Table10[[#This Row],[Date]])+IF(MONTH(Table10[[#This Row],[Date]])&gt;=4,1,0)</f>
        <v>2026</v>
      </c>
      <c r="C64" s="102">
        <f>YEAR(Table10[[#This Row],[Date]])</f>
        <v>2025</v>
      </c>
      <c r="D64" s="102" t="s">
        <v>446</v>
      </c>
      <c r="E64" s="469">
        <f>Table10[[#This Row],[Date]]-DAY(Table10[[#This Row],[Date]])+1</f>
        <v>45778</v>
      </c>
      <c r="F64" s="470">
        <v>45793</v>
      </c>
      <c r="G64" s="102" t="s">
        <v>451</v>
      </c>
      <c r="H64" s="102" t="str">
        <f>IFERROR(_xlfn.XLOOKUP(Table10[[#This Row],[Affected Feeder ]],'Basic Data'!$A$43:$A$70,'Basic Data'!$B$43:$B$70),"")</f>
        <v>TQGXIIPL</v>
      </c>
      <c r="I64" s="102" t="str">
        <f>IFERROR(_xlfn.XLOOKUP(Table10[[#This Row],[Affected Feeder ]],'Basic Data'!$A$43:$A$70,'Basic Data'!$C$43:$C$70),"")</f>
        <v>GEDA</v>
      </c>
      <c r="J64" s="482">
        <f>IFERROR(_xlfn.XLOOKUP(Table10[[#This Row],[Affected Feeder ]],'Basic Data'!$A$43:$A$70,'Basic Data'!$E$43:$E$70),"")</f>
        <v>0.49999999999999978</v>
      </c>
      <c r="K64" s="483" t="s">
        <v>1833</v>
      </c>
      <c r="L64" s="484">
        <v>0.69444444444444442</v>
      </c>
      <c r="M64" s="484">
        <v>0.69444444444444442</v>
      </c>
      <c r="N64" s="484">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483" t="s">
        <v>1857</v>
      </c>
      <c r="S64" s="102" t="s">
        <v>293</v>
      </c>
      <c r="T64" s="485">
        <f>IFERROR(Table10[[#This Row],[Breakdown Time]]*Table10[[#This Row],[Plant Equivalent Weightage]],"")</f>
        <v>0.8249999999999994</v>
      </c>
      <c r="U64" s="102" t="s">
        <v>450</v>
      </c>
      <c r="V64" s="547">
        <f>IFERROR(_xlfn.XLOOKUP(Table10[[#This Row],[Date]],'Daily KPI'!$A:$A,'Daily KPI'!$M:$M),"")</f>
        <v>5.4679982613248184</v>
      </c>
      <c r="W64" s="102">
        <v>564.5</v>
      </c>
      <c r="X64" s="102">
        <f>Table10[[#This Row],[WTG Loss]]*13*Table10[[#This Row],[Breakdown Time]]</f>
        <v>12108.524999999996</v>
      </c>
      <c r="Y64" s="102" t="s">
        <v>449</v>
      </c>
      <c r="Z64" s="102"/>
      <c r="AA64" s="102"/>
    </row>
    <row r="65" spans="1:27">
      <c r="A65" s="102">
        <f t="shared" si="1"/>
        <v>64</v>
      </c>
      <c r="B65" s="102">
        <f>YEAR(Table10[[#This Row],[Date]])+IF(MONTH(Table10[[#This Row],[Date]])&gt;=4,1,0)</f>
        <v>2026</v>
      </c>
      <c r="C65" s="102">
        <f>YEAR(Table10[[#This Row],[Date]])</f>
        <v>2025</v>
      </c>
      <c r="D65" s="102" t="s">
        <v>446</v>
      </c>
      <c r="E65" s="469">
        <f>Table10[[#This Row],[Date]]-DAY(Table10[[#This Row],[Date]])+1</f>
        <v>45778</v>
      </c>
      <c r="F65" s="470">
        <v>45793</v>
      </c>
      <c r="G65" s="102" t="s">
        <v>451</v>
      </c>
      <c r="H65" s="102" t="str">
        <f>IFERROR(_xlfn.XLOOKUP(Table10[[#This Row],[Affected Feeder ]],'Basic Data'!$A$43:$A$70,'Basic Data'!$B$43:$B$70),"")</f>
        <v>TQGXIIPL</v>
      </c>
      <c r="I65" s="102" t="str">
        <f>IFERROR(_xlfn.XLOOKUP(Table10[[#This Row],[Affected Feeder ]],'Basic Data'!$A$43:$A$70,'Basic Data'!$C$43:$C$70),"")</f>
        <v>GEDA</v>
      </c>
      <c r="J65" s="482">
        <f>IFERROR(_xlfn.XLOOKUP(Table10[[#This Row],[Affected Feeder ]],'Basic Data'!$A$43:$A$70,'Basic Data'!$E$43:$E$70),"")</f>
        <v>0.49999999999999978</v>
      </c>
      <c r="K65" s="483" t="s">
        <v>1824</v>
      </c>
      <c r="L65" s="484">
        <v>0.7944444444444444</v>
      </c>
      <c r="M65" s="484">
        <v>0.7944444444444444</v>
      </c>
      <c r="N65" s="484">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483" t="s">
        <v>1834</v>
      </c>
      <c r="S65" s="102" t="s">
        <v>293</v>
      </c>
      <c r="T65" s="485">
        <f>IFERROR(Table10[[#This Row],[Breakdown Time]]*Table10[[#This Row],[Plant Equivalent Weightage]],"")</f>
        <v>5.8333333333334431E-2</v>
      </c>
      <c r="U65" s="102" t="s">
        <v>450</v>
      </c>
      <c r="V65" s="547">
        <f>IFERROR(_xlfn.XLOOKUP(Table10[[#This Row],[Date]],'Daily KPI'!$A:$A,'Daily KPI'!$M:$M),"")</f>
        <v>5.4679982613248184</v>
      </c>
      <c r="W65" s="102">
        <v>564.5</v>
      </c>
      <c r="X65" s="102">
        <f>Table10[[#This Row],[WTG Loss]]*13*Table10[[#This Row],[Breakdown Time]]</f>
        <v>856.1583333333499</v>
      </c>
      <c r="Y65" s="102" t="s">
        <v>449</v>
      </c>
      <c r="Z65" s="102"/>
      <c r="AA65" s="102"/>
    </row>
    <row r="66" spans="1:27">
      <c r="A66" s="102">
        <f t="shared" si="1"/>
        <v>65</v>
      </c>
      <c r="B66" s="102">
        <f>YEAR(Table10[[#This Row],[Date]])+IF(MONTH(Table10[[#This Row],[Date]])&gt;=4,1,0)</f>
        <v>2026</v>
      </c>
      <c r="C66" s="102">
        <f>YEAR(Table10[[#This Row],[Date]])</f>
        <v>2025</v>
      </c>
      <c r="D66" s="102" t="s">
        <v>446</v>
      </c>
      <c r="E66" s="469">
        <f>Table10[[#This Row],[Date]]-DAY(Table10[[#This Row],[Date]])+1</f>
        <v>45778</v>
      </c>
      <c r="F66" s="470">
        <v>45793</v>
      </c>
      <c r="G66" s="102" t="s">
        <v>90</v>
      </c>
      <c r="H66" s="102" t="str">
        <f>IFERROR(_xlfn.XLOOKUP(Table10[[#This Row],[Affected Feeder ]],'Basic Data'!$A$43:$A$70,'Basic Data'!$B$43:$B$70),"")</f>
        <v>TQGXIIPL</v>
      </c>
      <c r="I66" s="102" t="str">
        <f>IFERROR(_xlfn.XLOOKUP(Table10[[#This Row],[Affected Feeder ]],'Basic Data'!$A$43:$A$70,'Basic Data'!$C$43:$C$70),"")</f>
        <v>GEDA</v>
      </c>
      <c r="J66" s="482">
        <f>IFERROR(_xlfn.XLOOKUP(Table10[[#This Row],[Affected Feeder ]],'Basic Data'!$A$43:$A$70,'Basic Data'!$E$43:$E$70),"")</f>
        <v>3.846153846153845E-2</v>
      </c>
      <c r="K66" s="483" t="s">
        <v>1832</v>
      </c>
      <c r="L66" s="484">
        <v>0.66249999999999998</v>
      </c>
      <c r="M66" s="484">
        <v>0.66249999999999998</v>
      </c>
      <c r="N66" s="484">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483" t="s">
        <v>1827</v>
      </c>
      <c r="S66" s="102" t="s">
        <v>293</v>
      </c>
      <c r="T66" s="485">
        <f>IFERROR(Table10[[#This Row],[Breakdown Time]]*Table10[[#This Row],[Plant Equivalent Weightage]],"")</f>
        <v>2.9487179487179476E-2</v>
      </c>
      <c r="U66" s="102" t="s">
        <v>450</v>
      </c>
      <c r="V66" s="547">
        <f>IFERROR(_xlfn.XLOOKUP(Table10[[#This Row],[Date]],'Daily KPI'!$A:$A,'Daily KPI'!$M:$M),"")</f>
        <v>5.4679982613248184</v>
      </c>
      <c r="W66" s="102">
        <v>564.5</v>
      </c>
      <c r="X66" s="102">
        <f>Table10[[#This Row],[WTG Loss]]*1*Table10[[#This Row],[Breakdown Time]]</f>
        <v>432.7833333333333</v>
      </c>
      <c r="Y66" s="102" t="s">
        <v>449</v>
      </c>
      <c r="Z66" s="102"/>
      <c r="AA66" s="102"/>
    </row>
    <row r="67" spans="1:27">
      <c r="A67" s="102">
        <f t="shared" si="1"/>
        <v>66</v>
      </c>
      <c r="B67" s="102">
        <f>YEAR(Table10[[#This Row],[Date]])+IF(MONTH(Table10[[#This Row],[Date]])&gt;=4,1,0)</f>
        <v>2026</v>
      </c>
      <c r="C67" s="102">
        <f>YEAR(Table10[[#This Row],[Date]])</f>
        <v>2025</v>
      </c>
      <c r="D67" s="102" t="s">
        <v>446</v>
      </c>
      <c r="E67" s="469">
        <f>Table10[[#This Row],[Date]]-DAY(Table10[[#This Row],[Date]])+1</f>
        <v>45778</v>
      </c>
      <c r="F67" s="470">
        <v>45793</v>
      </c>
      <c r="G67" s="102" t="s">
        <v>95</v>
      </c>
      <c r="H67" s="102" t="str">
        <f>IFERROR(_xlfn.XLOOKUP(Table10[[#This Row],[Affected Feeder ]],'Basic Data'!$A$43:$A$70,'Basic Data'!$B$43:$B$70),"")</f>
        <v>TQGXIIPL</v>
      </c>
      <c r="I67" s="102" t="str">
        <f>IFERROR(_xlfn.XLOOKUP(Table10[[#This Row],[Affected Feeder ]],'Basic Data'!$A$43:$A$70,'Basic Data'!$C$43:$C$70),"")</f>
        <v>GEDA</v>
      </c>
      <c r="J67" s="482">
        <f>IFERROR(_xlfn.XLOOKUP(Table10[[#This Row],[Affected Feeder ]],'Basic Data'!$A$43:$A$70,'Basic Data'!$E$43:$E$70),"")</f>
        <v>3.846153846153845E-2</v>
      </c>
      <c r="K67" s="483" t="s">
        <v>453</v>
      </c>
      <c r="L67" s="484">
        <v>0.66249999999999998</v>
      </c>
      <c r="M67" s="484">
        <v>0.66249999999999998</v>
      </c>
      <c r="N67" s="484">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483" t="s">
        <v>1827</v>
      </c>
      <c r="S67" s="102" t="s">
        <v>293</v>
      </c>
      <c r="T67" s="485">
        <f>IFERROR(Table10[[#This Row],[Breakdown Time]]*Table10[[#This Row],[Plant Equivalent Weightage]],"")</f>
        <v>2.9487179487179476E-2</v>
      </c>
      <c r="U67" s="102" t="s">
        <v>450</v>
      </c>
      <c r="V67" s="547">
        <f>IFERROR(_xlfn.XLOOKUP(Table10[[#This Row],[Date]],'Daily KPI'!$A:$A,'Daily KPI'!$M:$M),"")</f>
        <v>5.4679982613248184</v>
      </c>
      <c r="W67" s="102">
        <v>564.5</v>
      </c>
      <c r="X67" s="102">
        <f>Table10[[#This Row],[WTG Loss]]*1*Table10[[#This Row],[Breakdown Time]]</f>
        <v>432.7833333333333</v>
      </c>
      <c r="Y67" s="102" t="s">
        <v>449</v>
      </c>
      <c r="Z67" s="102"/>
      <c r="AA67" s="102"/>
    </row>
    <row r="68" spans="1:27">
      <c r="A68" s="102">
        <f t="shared" si="1"/>
        <v>67</v>
      </c>
      <c r="B68" s="102">
        <f>YEAR(Table10[[#This Row],[Date]])+IF(MONTH(Table10[[#This Row],[Date]])&gt;=4,1,0)</f>
        <v>2026</v>
      </c>
      <c r="C68" s="102">
        <f>YEAR(Table10[[#This Row],[Date]])</f>
        <v>2025</v>
      </c>
      <c r="D68" s="102" t="s">
        <v>446</v>
      </c>
      <c r="E68" s="469">
        <f>Table10[[#This Row],[Date]]-DAY(Table10[[#This Row],[Date]])+1</f>
        <v>45778</v>
      </c>
      <c r="F68" s="470">
        <v>45793</v>
      </c>
      <c r="G68" s="102" t="s">
        <v>80</v>
      </c>
      <c r="H68" s="102" t="str">
        <f>IFERROR(_xlfn.XLOOKUP(Table10[[#This Row],[Affected Feeder ]],'Basic Data'!$A$43:$A$70,'Basic Data'!$B$43:$B$70),"")</f>
        <v>TQGXIIPL</v>
      </c>
      <c r="I68" s="102" t="str">
        <f>IFERROR(_xlfn.XLOOKUP(Table10[[#This Row],[Affected Feeder ]],'Basic Data'!$A$43:$A$70,'Basic Data'!$C$43:$C$70),"")</f>
        <v>GEDA</v>
      </c>
      <c r="J68" s="482">
        <f>IFERROR(_xlfn.XLOOKUP(Table10[[#This Row],[Affected Feeder ]],'Basic Data'!$A$43:$A$70,'Basic Data'!$E$43:$E$70),"")</f>
        <v>3.846153846153845E-2</v>
      </c>
      <c r="K68" s="483" t="s">
        <v>456</v>
      </c>
      <c r="L68" s="484">
        <v>0.7631944444444444</v>
      </c>
      <c r="M68" s="484">
        <v>0.7631944444444444</v>
      </c>
      <c r="N68" s="484">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483" t="s">
        <v>1835</v>
      </c>
      <c r="S68" s="102" t="s">
        <v>293</v>
      </c>
      <c r="T68" s="485">
        <f>IFERROR(Table10[[#This Row],[Breakdown Time]]*Table10[[#This Row],[Plant Equivalent Weightage]],"")</f>
        <v>2.8846153846153837E-2</v>
      </c>
      <c r="U68" s="102" t="s">
        <v>450</v>
      </c>
      <c r="V68" s="547">
        <f>IFERROR(_xlfn.XLOOKUP(Table10[[#This Row],[Date]],'Daily KPI'!$A:$A,'Daily KPI'!$M:$M),"")</f>
        <v>5.4679982613248184</v>
      </c>
      <c r="W68" s="102">
        <v>564.5</v>
      </c>
      <c r="X68" s="102">
        <f>Table10[[#This Row],[WTG Loss]]*1*Table10[[#This Row],[Breakdown Time]]</f>
        <v>423.375</v>
      </c>
      <c r="Y68" s="102" t="s">
        <v>449</v>
      </c>
      <c r="Z68" s="102"/>
      <c r="AA68" s="102"/>
    </row>
    <row r="69" spans="1:27">
      <c r="A69" s="102">
        <f t="shared" si="1"/>
        <v>68</v>
      </c>
      <c r="B69" s="102">
        <f>YEAR(Table10[[#This Row],[Date]])+IF(MONTH(Table10[[#This Row],[Date]])&gt;=4,1,0)</f>
        <v>2026</v>
      </c>
      <c r="C69" s="102">
        <f>YEAR(Table10[[#This Row],[Date]])</f>
        <v>2025</v>
      </c>
      <c r="D69" s="102" t="s">
        <v>446</v>
      </c>
      <c r="E69" s="469">
        <f>Table10[[#This Row],[Date]]-DAY(Table10[[#This Row],[Date]])+1</f>
        <v>45778</v>
      </c>
      <c r="F69" s="470">
        <v>45793</v>
      </c>
      <c r="G69" s="102" t="s">
        <v>77</v>
      </c>
      <c r="H69" s="102" t="str">
        <f>IFERROR(_xlfn.XLOOKUP(Table10[[#This Row],[Affected Feeder ]],'Basic Data'!$A$43:$A$70,'Basic Data'!$B$43:$B$70),"")</f>
        <v>TQGXIIPL</v>
      </c>
      <c r="I69" s="102" t="str">
        <f>IFERROR(_xlfn.XLOOKUP(Table10[[#This Row],[Affected Feeder ]],'Basic Data'!$A$43:$A$70,'Basic Data'!$C$43:$C$70),"")</f>
        <v>GEDA</v>
      </c>
      <c r="J69" s="482">
        <f>IFERROR(_xlfn.XLOOKUP(Table10[[#This Row],[Affected Feeder ]],'Basic Data'!$A$43:$A$70,'Basic Data'!$E$43:$E$70),"")</f>
        <v>3.846153846153845E-2</v>
      </c>
      <c r="K69" s="483" t="s">
        <v>465</v>
      </c>
      <c r="L69" s="484">
        <v>0.7631944444444444</v>
      </c>
      <c r="M69" s="484">
        <v>0.7631944444444444</v>
      </c>
      <c r="N69" s="484">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483" t="s">
        <v>1835</v>
      </c>
      <c r="S69" s="102" t="s">
        <v>293</v>
      </c>
      <c r="T69" s="485">
        <f>IFERROR(Table10[[#This Row],[Breakdown Time]]*Table10[[#This Row],[Plant Equivalent Weightage]],"")</f>
        <v>2.8846153846153837E-2</v>
      </c>
      <c r="U69" s="102" t="s">
        <v>450</v>
      </c>
      <c r="V69" s="547">
        <f>IFERROR(_xlfn.XLOOKUP(Table10[[#This Row],[Date]],'Daily KPI'!$A:$A,'Daily KPI'!$M:$M),"")</f>
        <v>5.4679982613248184</v>
      </c>
      <c r="W69" s="102">
        <v>564.5</v>
      </c>
      <c r="X69" s="102">
        <f>Table10[[#This Row],[WTG Loss]]*1*Table10[[#This Row],[Breakdown Time]]</f>
        <v>423.375</v>
      </c>
      <c r="Y69" s="102" t="s">
        <v>449</v>
      </c>
      <c r="Z69" s="102"/>
      <c r="AA69" s="102"/>
    </row>
    <row r="70" spans="1:27">
      <c r="A70" s="102">
        <f t="shared" si="1"/>
        <v>69</v>
      </c>
      <c r="B70" s="102">
        <f>YEAR(Table10[[#This Row],[Date]])+IF(MONTH(Table10[[#This Row],[Date]])&gt;=4,1,0)</f>
        <v>2026</v>
      </c>
      <c r="C70" s="102">
        <f>YEAR(Table10[[#This Row],[Date]])</f>
        <v>2025</v>
      </c>
      <c r="D70" s="102" t="s">
        <v>446</v>
      </c>
      <c r="E70" s="469">
        <f>Table10[[#This Row],[Date]]-DAY(Table10[[#This Row],[Date]])+1</f>
        <v>45778</v>
      </c>
      <c r="F70" s="470">
        <v>45793</v>
      </c>
      <c r="G70" s="102" t="s">
        <v>92</v>
      </c>
      <c r="H70" s="102" t="str">
        <f>IFERROR(_xlfn.XLOOKUP(Table10[[#This Row],[Affected Feeder ]],'Basic Data'!$A$43:$A$70,'Basic Data'!$B$43:$B$70),"")</f>
        <v>TQGXIIPL</v>
      </c>
      <c r="I70" s="102" t="str">
        <f>IFERROR(_xlfn.XLOOKUP(Table10[[#This Row],[Affected Feeder ]],'Basic Data'!$A$43:$A$70,'Basic Data'!$C$43:$C$70),"")</f>
        <v>GEDA</v>
      </c>
      <c r="J70" s="482">
        <f>IFERROR(_xlfn.XLOOKUP(Table10[[#This Row],[Affected Feeder ]],'Basic Data'!$A$43:$A$70,'Basic Data'!$E$43:$E$70),"")</f>
        <v>3.846153846153845E-2</v>
      </c>
      <c r="K70" s="483" t="s">
        <v>466</v>
      </c>
      <c r="L70" s="484">
        <v>0.7631944444444444</v>
      </c>
      <c r="M70" s="484">
        <v>0.7631944444444444</v>
      </c>
      <c r="N70" s="484">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483" t="s">
        <v>1835</v>
      </c>
      <c r="S70" s="102" t="s">
        <v>293</v>
      </c>
      <c r="T70" s="485">
        <f>IFERROR(Table10[[#This Row],[Breakdown Time]]*Table10[[#This Row],[Plant Equivalent Weightage]],"")</f>
        <v>2.8846153846153837E-2</v>
      </c>
      <c r="U70" s="102" t="s">
        <v>450</v>
      </c>
      <c r="V70" s="547">
        <f>IFERROR(_xlfn.XLOOKUP(Table10[[#This Row],[Date]],'Daily KPI'!$A:$A,'Daily KPI'!$M:$M),"")</f>
        <v>5.4679982613248184</v>
      </c>
      <c r="W70" s="102">
        <v>564.5</v>
      </c>
      <c r="X70" s="102">
        <f>Table10[[#This Row],[WTG Loss]]*1*Table10[[#This Row],[Breakdown Time]]</f>
        <v>423.375</v>
      </c>
      <c r="Y70" s="102" t="s">
        <v>449</v>
      </c>
      <c r="Z70" s="102"/>
      <c r="AA70" s="102"/>
    </row>
    <row r="71" spans="1:27">
      <c r="A71" s="102">
        <f t="shared" si="1"/>
        <v>70</v>
      </c>
      <c r="B71" s="102">
        <f>YEAR(Table10[[#This Row],[Date]])+IF(MONTH(Table10[[#This Row],[Date]])&gt;=4,1,0)</f>
        <v>2026</v>
      </c>
      <c r="C71" s="102">
        <f>YEAR(Table10[[#This Row],[Date]])</f>
        <v>2025</v>
      </c>
      <c r="D71" s="102" t="s">
        <v>446</v>
      </c>
      <c r="E71" s="469">
        <f>Table10[[#This Row],[Date]]-DAY(Table10[[#This Row],[Date]])+1</f>
        <v>45778</v>
      </c>
      <c r="F71" s="470">
        <v>45794</v>
      </c>
      <c r="G71" s="102" t="s">
        <v>451</v>
      </c>
      <c r="H71" s="102" t="str">
        <f>IFERROR(_xlfn.XLOOKUP(Table10[[#This Row],[Affected Feeder ]],'Basic Data'!$A$43:$A$70,'Basic Data'!$B$43:$B$70),"")</f>
        <v>TQGXIIPL</v>
      </c>
      <c r="I71" s="102" t="str">
        <f>IFERROR(_xlfn.XLOOKUP(Table10[[#This Row],[Affected Feeder ]],'Basic Data'!$A$43:$A$70,'Basic Data'!$C$43:$C$70),"")</f>
        <v>GEDA</v>
      </c>
      <c r="J71" s="482">
        <f>IFERROR(_xlfn.XLOOKUP(Table10[[#This Row],[Affected Feeder ]],'Basic Data'!$A$43:$A$70,'Basic Data'!$E$43:$E$70),"")</f>
        <v>0.49999999999999978</v>
      </c>
      <c r="K71" s="483" t="s">
        <v>1833</v>
      </c>
      <c r="L71" s="484">
        <v>0.28055555555555556</v>
      </c>
      <c r="M71" s="484">
        <v>0.28055555555555556</v>
      </c>
      <c r="N71" s="484">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483" t="s">
        <v>1857</v>
      </c>
      <c r="S71" s="102" t="s">
        <v>293</v>
      </c>
      <c r="T71" s="485">
        <f>IFERROR(Table10[[#This Row],[Breakdown Time]]*Table10[[#This Row],[Plant Equivalent Weightage]],"")</f>
        <v>0.10833333333333357</v>
      </c>
      <c r="U71" s="102" t="s">
        <v>450</v>
      </c>
      <c r="V71" s="547">
        <f>IFERROR(_xlfn.XLOOKUP(Table10[[#This Row],[Date]],'Daily KPI'!$A:$A,'Daily KPI'!$M:$M),"")</f>
        <v>5.164970831219434</v>
      </c>
      <c r="W71" s="102">
        <v>469.4</v>
      </c>
      <c r="X71" s="102">
        <f>Table10[[#This Row],[WTG Loss]]*13*Table10[[#This Row],[Breakdown Time]]</f>
        <v>1322.1433333333366</v>
      </c>
      <c r="Y71" s="102" t="s">
        <v>449</v>
      </c>
      <c r="Z71" s="102"/>
      <c r="AA71" s="102"/>
    </row>
    <row r="72" spans="1:27">
      <c r="A72" s="102">
        <f t="shared" si="1"/>
        <v>71</v>
      </c>
      <c r="B72" s="102">
        <f>YEAR(Table10[[#This Row],[Date]])+IF(MONTH(Table10[[#This Row],[Date]])&gt;=4,1,0)</f>
        <v>2026</v>
      </c>
      <c r="C72" s="102">
        <f>YEAR(Table10[[#This Row],[Date]])</f>
        <v>2025</v>
      </c>
      <c r="D72" s="102" t="s">
        <v>446</v>
      </c>
      <c r="E72" s="469">
        <f>Table10[[#This Row],[Date]]-DAY(Table10[[#This Row],[Date]])+1</f>
        <v>45778</v>
      </c>
      <c r="F72" s="470">
        <v>45795</v>
      </c>
      <c r="G72" s="102" t="s">
        <v>447</v>
      </c>
      <c r="H72" s="102" t="str">
        <f>IFERROR(_xlfn.XLOOKUP(Table10[[#This Row],[Affected Feeder ]],'Basic Data'!$A$43:$A$70,'Basic Data'!$B$43:$B$70),"")</f>
        <v>TQGXIIPL</v>
      </c>
      <c r="I72" s="102" t="str">
        <f>IFERROR(_xlfn.XLOOKUP(Table10[[#This Row],[Affected Feeder ]],'Basic Data'!$A$43:$A$70,'Basic Data'!$C$43:$C$70),"")</f>
        <v>GEDA</v>
      </c>
      <c r="J72" s="482">
        <f>IFERROR(_xlfn.XLOOKUP(Table10[[#This Row],[Affected Feeder ]],'Basic Data'!$A$43:$A$70,'Basic Data'!$E$43:$E$70),"")</f>
        <v>0.49999999999999978</v>
      </c>
      <c r="K72" s="483" t="s">
        <v>1840</v>
      </c>
      <c r="L72" s="484">
        <v>0.46666666666666667</v>
      </c>
      <c r="M72" s="484">
        <v>0.46666666666666667</v>
      </c>
      <c r="N72" s="484">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483" t="s">
        <v>1841</v>
      </c>
      <c r="S72" s="102" t="s">
        <v>293</v>
      </c>
      <c r="T72" s="485">
        <f>IFERROR(Table10[[#This Row],[Breakdown Time]]*Table10[[#This Row],[Plant Equivalent Weightage]],"")</f>
        <v>0.61666666666666692</v>
      </c>
      <c r="U72" s="102" t="s">
        <v>450</v>
      </c>
      <c r="V72" s="547">
        <f>IFERROR(_xlfn.XLOOKUP(Table10[[#This Row],[Date]],'Daily KPI'!$A:$A,'Daily KPI'!$M:$M),"")</f>
        <v>5.0871620374231474</v>
      </c>
      <c r="W72" s="102">
        <v>437.7</v>
      </c>
      <c r="X72" s="102">
        <f>Table10[[#This Row],[WTG Loss]]*13*Table10[[#This Row],[Breakdown Time]]</f>
        <v>7017.7900000000045</v>
      </c>
      <c r="Y72" s="102" t="s">
        <v>449</v>
      </c>
      <c r="Z72" s="102"/>
      <c r="AA72" s="102"/>
    </row>
    <row r="73" spans="1:27">
      <c r="A73" s="102">
        <f t="shared" si="1"/>
        <v>72</v>
      </c>
      <c r="B73" s="102">
        <f>YEAR(Table10[[#This Row],[Date]])+IF(MONTH(Table10[[#This Row],[Date]])&gt;=4,1,0)</f>
        <v>2026</v>
      </c>
      <c r="C73" s="102">
        <f>YEAR(Table10[[#This Row],[Date]])</f>
        <v>2025</v>
      </c>
      <c r="D73" s="102" t="s">
        <v>446</v>
      </c>
      <c r="E73" s="469">
        <f>Table10[[#This Row],[Date]]-DAY(Table10[[#This Row],[Date]])+1</f>
        <v>45778</v>
      </c>
      <c r="F73" s="470">
        <v>45797</v>
      </c>
      <c r="G73" s="102" t="s">
        <v>447</v>
      </c>
      <c r="H73" s="102" t="str">
        <f>IFERROR(_xlfn.XLOOKUP(Table10[[#This Row],[Affected Feeder ]],'Basic Data'!$A$43:$A$70,'Basic Data'!$B$43:$B$70),"")</f>
        <v>TQGXIIPL</v>
      </c>
      <c r="I73" s="102" t="str">
        <f>IFERROR(_xlfn.XLOOKUP(Table10[[#This Row],[Affected Feeder ]],'Basic Data'!$A$43:$A$70,'Basic Data'!$C$43:$C$70),"")</f>
        <v>GEDA</v>
      </c>
      <c r="J73" s="482">
        <f>IFERROR(_xlfn.XLOOKUP(Table10[[#This Row],[Affected Feeder ]],'Basic Data'!$A$43:$A$70,'Basic Data'!$E$43:$E$70),"")</f>
        <v>0.49999999999999978</v>
      </c>
      <c r="K73" s="483" t="s">
        <v>1855</v>
      </c>
      <c r="L73" s="484">
        <v>0.35902777777777778</v>
      </c>
      <c r="M73" s="484">
        <v>0.35902777777777778</v>
      </c>
      <c r="N73" s="484">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483" t="s">
        <v>1856</v>
      </c>
      <c r="S73" s="102" t="s">
        <v>293</v>
      </c>
      <c r="T73" s="485">
        <f>IFERROR(Table10[[#This Row],[Breakdown Time]]*Table10[[#This Row],[Plant Equivalent Weightage]],"")</f>
        <v>0.14166666666666677</v>
      </c>
      <c r="U73" s="102" t="s">
        <v>450</v>
      </c>
      <c r="V73" s="547">
        <f>IFERROR(_xlfn.XLOOKUP(Table10[[#This Row],[Date]],'Daily KPI'!$A:$A,'Daily KPI'!$M:$M),"")</f>
        <v>5.2799223096243102</v>
      </c>
      <c r="W73" s="102">
        <v>501.1</v>
      </c>
      <c r="X73" s="102">
        <f>Table10[[#This Row],[WTG Loss]]*13*Table10[[#This Row],[Breakdown Time]]</f>
        <v>1845.7183333333355</v>
      </c>
      <c r="Y73" s="102" t="s">
        <v>449</v>
      </c>
      <c r="Z73" s="102"/>
      <c r="AA73" s="102"/>
    </row>
    <row r="74" spans="1:27">
      <c r="A74" s="102">
        <f t="shared" si="1"/>
        <v>73</v>
      </c>
      <c r="B74" s="102">
        <f>YEAR(Table10[[#This Row],[Date]])+IF(MONTH(Table10[[#This Row],[Date]])&gt;=4,1,0)</f>
        <v>2026</v>
      </c>
      <c r="C74" s="102">
        <f>YEAR(Table10[[#This Row],[Date]])</f>
        <v>2025</v>
      </c>
      <c r="D74" s="102" t="s">
        <v>446</v>
      </c>
      <c r="E74" s="469">
        <f>Table10[[#This Row],[Date]]-DAY(Table10[[#This Row],[Date]])+1</f>
        <v>45778</v>
      </c>
      <c r="F74" s="470">
        <v>45797</v>
      </c>
      <c r="G74" s="102" t="s">
        <v>451</v>
      </c>
      <c r="H74" s="102" t="str">
        <f>IFERROR(_xlfn.XLOOKUP(Table10[[#This Row],[Affected Feeder ]],'Basic Data'!$A$43:$A$70,'Basic Data'!$B$43:$B$70),"")</f>
        <v>TQGXIIPL</v>
      </c>
      <c r="I74" s="102" t="str">
        <f>IFERROR(_xlfn.XLOOKUP(Table10[[#This Row],[Affected Feeder ]],'Basic Data'!$A$43:$A$70,'Basic Data'!$C$43:$C$70),"")</f>
        <v>GEDA</v>
      </c>
      <c r="J74" s="482">
        <f>IFERROR(_xlfn.XLOOKUP(Table10[[#This Row],[Affected Feeder ]],'Basic Data'!$A$43:$A$70,'Basic Data'!$E$43:$E$70),"")</f>
        <v>0.49999999999999978</v>
      </c>
      <c r="K74" s="483" t="s">
        <v>1791</v>
      </c>
      <c r="L74" s="484">
        <v>0.72361111111111109</v>
      </c>
      <c r="M74" s="484">
        <v>0.72361111111111109</v>
      </c>
      <c r="N74" s="484">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483" t="s">
        <v>1857</v>
      </c>
      <c r="S74" s="102" t="s">
        <v>293</v>
      </c>
      <c r="T74" s="485">
        <f>IFERROR(Table10[[#This Row],[Breakdown Time]]*Table10[[#This Row],[Plant Equivalent Weightage]],"")</f>
        <v>0.15000000000000074</v>
      </c>
      <c r="U74" s="102" t="s">
        <v>450</v>
      </c>
      <c r="V74" s="547">
        <f>IFERROR(_xlfn.XLOOKUP(Table10[[#This Row],[Date]],'Daily KPI'!$A:$A,'Daily KPI'!$M:$M),"")</f>
        <v>5.2799223096243102</v>
      </c>
      <c r="W74" s="102">
        <v>501.1</v>
      </c>
      <c r="X74" s="102">
        <f>Table10[[#This Row],[WTG Loss]]*13*Table10[[#This Row],[Breakdown Time]]</f>
        <v>1954.2900000000104</v>
      </c>
      <c r="Y74" s="102" t="s">
        <v>449</v>
      </c>
      <c r="Z74" s="102"/>
      <c r="AA74" s="102"/>
    </row>
    <row r="75" spans="1:27">
      <c r="A75" s="102">
        <f t="shared" si="1"/>
        <v>74</v>
      </c>
      <c r="B75" s="102">
        <f>YEAR(Table10[[#This Row],[Date]])+IF(MONTH(Table10[[#This Row],[Date]])&gt;=4,1,0)</f>
        <v>2026</v>
      </c>
      <c r="C75" s="102">
        <f>YEAR(Table10[[#This Row],[Date]])</f>
        <v>2025</v>
      </c>
      <c r="D75" s="102" t="s">
        <v>446</v>
      </c>
      <c r="E75" s="469">
        <f>Table10[[#This Row],[Date]]-DAY(Table10[[#This Row],[Date]])+1</f>
        <v>45778</v>
      </c>
      <c r="F75" s="470">
        <v>45798</v>
      </c>
      <c r="G75" s="102" t="s">
        <v>447</v>
      </c>
      <c r="H75" s="102" t="str">
        <f>IFERROR(_xlfn.XLOOKUP(Table10[[#This Row],[Affected Feeder ]],'Basic Data'!$A$43:$A$70,'Basic Data'!$B$43:$B$70),"")</f>
        <v>TQGXIIPL</v>
      </c>
      <c r="I75" s="102" t="str">
        <f>IFERROR(_xlfn.XLOOKUP(Table10[[#This Row],[Affected Feeder ]],'Basic Data'!$A$43:$A$70,'Basic Data'!$C$43:$C$70),"")</f>
        <v>GEDA</v>
      </c>
      <c r="J75" s="482">
        <f>IFERROR(_xlfn.XLOOKUP(Table10[[#This Row],[Affected Feeder ]],'Basic Data'!$A$43:$A$70,'Basic Data'!$E$43:$E$70),"")</f>
        <v>0.49999999999999978</v>
      </c>
      <c r="K75" s="483" t="s">
        <v>1861</v>
      </c>
      <c r="L75" s="484">
        <v>0.42638888888888887</v>
      </c>
      <c r="M75" s="484">
        <v>0.42638888888888887</v>
      </c>
      <c r="N75" s="484">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483" t="s">
        <v>1862</v>
      </c>
      <c r="S75" s="102" t="s">
        <v>293</v>
      </c>
      <c r="T75" s="485">
        <f>IFERROR(Table10[[#This Row],[Breakdown Time]]*Table10[[#This Row],[Plant Equivalent Weightage]],"")</f>
        <v>1.6333333333333329</v>
      </c>
      <c r="U75" s="102" t="s">
        <v>450</v>
      </c>
      <c r="V75" s="547">
        <f>IFERROR(_xlfn.XLOOKUP(Table10[[#This Row],[Date]],'Daily KPI'!$A:$A,'Daily KPI'!$M:$M),"")</f>
        <v>4.5324132546722824</v>
      </c>
      <c r="W75" s="102">
        <v>296</v>
      </c>
      <c r="X75" s="102">
        <f>Table10[[#This Row],[WTG Loss]]*13*Table10[[#This Row],[Breakdown Time]]</f>
        <v>12570.133333333335</v>
      </c>
      <c r="Y75" s="102" t="s">
        <v>449</v>
      </c>
      <c r="Z75" s="102"/>
      <c r="AA75" s="102"/>
    </row>
    <row r="76" spans="1:27">
      <c r="A76" s="102">
        <f t="shared" si="1"/>
        <v>75</v>
      </c>
      <c r="B76" s="102">
        <f>YEAR(Table10[[#This Row],[Date]])+IF(MONTH(Table10[[#This Row],[Date]])&gt;=4,1,0)</f>
        <v>2026</v>
      </c>
      <c r="C76" s="102">
        <f>YEAR(Table10[[#This Row],[Date]])</f>
        <v>2025</v>
      </c>
      <c r="D76" s="102" t="s">
        <v>446</v>
      </c>
      <c r="E76" s="469">
        <f>Table10[[#This Row],[Date]]-DAY(Table10[[#This Row],[Date]])+1</f>
        <v>45778</v>
      </c>
      <c r="F76" s="470">
        <v>45798</v>
      </c>
      <c r="G76" s="102" t="s">
        <v>447</v>
      </c>
      <c r="H76" s="102" t="str">
        <f>IFERROR(_xlfn.XLOOKUP(Table10[[#This Row],[Affected Feeder ]],'Basic Data'!$A$43:$A$70,'Basic Data'!$B$43:$B$70),"")</f>
        <v>TQGXIIPL</v>
      </c>
      <c r="I76" s="102" t="str">
        <f>IFERROR(_xlfn.XLOOKUP(Table10[[#This Row],[Affected Feeder ]],'Basic Data'!$A$43:$A$70,'Basic Data'!$C$43:$C$70),"")</f>
        <v>GEDA</v>
      </c>
      <c r="J76" s="482">
        <f>IFERROR(_xlfn.XLOOKUP(Table10[[#This Row],[Affected Feeder ]],'Basic Data'!$A$43:$A$70,'Basic Data'!$E$43:$E$70),"")</f>
        <v>0.49999999999999978</v>
      </c>
      <c r="K76" s="483" t="s">
        <v>1840</v>
      </c>
      <c r="L76" s="484">
        <v>0.5625</v>
      </c>
      <c r="M76" s="484">
        <v>0.5625</v>
      </c>
      <c r="N76" s="484">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483" t="s">
        <v>1863</v>
      </c>
      <c r="S76" s="102" t="s">
        <v>293</v>
      </c>
      <c r="T76" s="485">
        <f>IFERROR(Table10[[#This Row],[Breakdown Time]]*Table10[[#This Row],[Plant Equivalent Weightage]],"")</f>
        <v>2.8833333333333324</v>
      </c>
      <c r="U76" s="102" t="s">
        <v>450</v>
      </c>
      <c r="V76" s="547">
        <f>IFERROR(_xlfn.XLOOKUP(Table10[[#This Row],[Date]],'Daily KPI'!$A:$A,'Daily KPI'!$M:$M),"")</f>
        <v>4.5324132546722824</v>
      </c>
      <c r="W76" s="102">
        <v>296</v>
      </c>
      <c r="X76" s="102">
        <f>Table10[[#This Row],[WTG Loss]]*13*Table10[[#This Row],[Breakdown Time]]</f>
        <v>22190.133333333335</v>
      </c>
      <c r="Y76" s="102" t="s">
        <v>449</v>
      </c>
      <c r="Z76" s="102"/>
      <c r="AA76" s="102"/>
    </row>
    <row r="77" spans="1:27">
      <c r="A77" s="102">
        <f t="shared" si="1"/>
        <v>76</v>
      </c>
      <c r="B77" s="102">
        <f>YEAR(Table10[[#This Row],[Date]])+IF(MONTH(Table10[[#This Row],[Date]])&gt;=4,1,0)</f>
        <v>2026</v>
      </c>
      <c r="C77" s="102">
        <f>YEAR(Table10[[#This Row],[Date]])</f>
        <v>2025</v>
      </c>
      <c r="D77" s="102" t="s">
        <v>446</v>
      </c>
      <c r="E77" s="469">
        <f>Table10[[#This Row],[Date]]-DAY(Table10[[#This Row],[Date]])+1</f>
        <v>45778</v>
      </c>
      <c r="F77" s="470">
        <v>45798</v>
      </c>
      <c r="G77" s="102" t="s">
        <v>451</v>
      </c>
      <c r="H77" s="102" t="str">
        <f>IFERROR(_xlfn.XLOOKUP(Table10[[#This Row],[Affected Feeder ]],'Basic Data'!$A$43:$A$70,'Basic Data'!$B$43:$B$70),"")</f>
        <v>TQGXIIPL</v>
      </c>
      <c r="I77" s="102" t="str">
        <f>IFERROR(_xlfn.XLOOKUP(Table10[[#This Row],[Affected Feeder ]],'Basic Data'!$A$43:$A$70,'Basic Data'!$C$43:$C$70),"")</f>
        <v>GEDA</v>
      </c>
      <c r="J77" s="482">
        <f>IFERROR(_xlfn.XLOOKUP(Table10[[#This Row],[Affected Feeder ]],'Basic Data'!$A$43:$A$70,'Basic Data'!$E$43:$E$70),"")</f>
        <v>0.49999999999999978</v>
      </c>
      <c r="K77" s="483" t="s">
        <v>1824</v>
      </c>
      <c r="L77" s="484">
        <v>0.60763888888888884</v>
      </c>
      <c r="M77" s="484">
        <v>0.60763888888888884</v>
      </c>
      <c r="N77" s="484">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483" t="s">
        <v>1864</v>
      </c>
      <c r="S77" s="102" t="s">
        <v>293</v>
      </c>
      <c r="T77" s="485">
        <f>IFERROR(Table10[[#This Row],[Breakdown Time]]*Table10[[#This Row],[Plant Equivalent Weightage]],"")</f>
        <v>2.291666666666667</v>
      </c>
      <c r="U77" s="102" t="s">
        <v>450</v>
      </c>
      <c r="V77" s="547">
        <f>IFERROR(_xlfn.XLOOKUP(Table10[[#This Row],[Date]],'Daily KPI'!$A:$A,'Daily KPI'!$M:$M),"")</f>
        <v>4.5324132546722824</v>
      </c>
      <c r="W77" s="102">
        <v>296</v>
      </c>
      <c r="X77" s="102">
        <f>Table10[[#This Row],[WTG Loss]]*13*Table10[[#This Row],[Breakdown Time]]</f>
        <v>17636.666666666675</v>
      </c>
      <c r="Y77" s="102" t="s">
        <v>449</v>
      </c>
      <c r="Z77" s="102"/>
      <c r="AA77" s="102"/>
    </row>
    <row r="78" spans="1:27">
      <c r="A78" s="102">
        <f t="shared" si="1"/>
        <v>77</v>
      </c>
      <c r="B78" s="102">
        <f>YEAR(Table10[[#This Row],[Date]])+IF(MONTH(Table10[[#This Row],[Date]])&gt;=4,1,0)</f>
        <v>2026</v>
      </c>
      <c r="C78" s="102">
        <f>YEAR(Table10[[#This Row],[Date]])</f>
        <v>2025</v>
      </c>
      <c r="D78" s="102" t="s">
        <v>446</v>
      </c>
      <c r="E78" s="469">
        <f>Table10[[#This Row],[Date]]-DAY(Table10[[#This Row],[Date]])+1</f>
        <v>45778</v>
      </c>
      <c r="F78" s="470">
        <v>45799</v>
      </c>
      <c r="G78" s="102" t="s">
        <v>451</v>
      </c>
      <c r="H78" s="102" t="str">
        <f>IFERROR(_xlfn.XLOOKUP(Table10[[#This Row],[Affected Feeder ]],'Basic Data'!$A$43:$A$70,'Basic Data'!$B$43:$B$70),"")</f>
        <v>TQGXIIPL</v>
      </c>
      <c r="I78" s="102" t="str">
        <f>IFERROR(_xlfn.XLOOKUP(Table10[[#This Row],[Affected Feeder ]],'Basic Data'!$A$43:$A$70,'Basic Data'!$C$43:$C$70),"")</f>
        <v>GEDA</v>
      </c>
      <c r="J78" s="482">
        <f>IFERROR(_xlfn.XLOOKUP(Table10[[#This Row],[Affected Feeder ]],'Basic Data'!$A$43:$A$70,'Basic Data'!$E$43:$E$70),"")</f>
        <v>0.49999999999999978</v>
      </c>
      <c r="K78" s="483" t="s">
        <v>1791</v>
      </c>
      <c r="L78" s="484">
        <v>1.3194444444444444E-2</v>
      </c>
      <c r="M78" s="484">
        <v>1.3194444444444444E-2</v>
      </c>
      <c r="N78" s="484">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483" t="s">
        <v>1913</v>
      </c>
      <c r="S78" s="102" t="s">
        <v>293</v>
      </c>
      <c r="T78" s="485">
        <f>IFERROR(Table10[[#This Row],[Breakdown Time]]*Table10[[#This Row],[Plant Equivalent Weightage]],"")</f>
        <v>0.43333333333333313</v>
      </c>
      <c r="U78" s="102" t="s">
        <v>450</v>
      </c>
      <c r="V78" s="547">
        <f>IFERROR(_xlfn.XLOOKUP(Table10[[#This Row],[Date]],'Daily KPI'!$A:$A,'Daily KPI'!$M:$M),"")</f>
        <v>3.7634574295913192</v>
      </c>
      <c r="W78" s="102">
        <v>154.80000000000001</v>
      </c>
      <c r="X78" s="102">
        <f>Table10[[#This Row],[WTG Loss]]*13*Table10[[#This Row],[Breakdown Time]]</f>
        <v>1744.08</v>
      </c>
      <c r="Y78" s="102" t="s">
        <v>449</v>
      </c>
      <c r="Z78" s="102"/>
      <c r="AA78" s="102"/>
    </row>
    <row r="79" spans="1:27">
      <c r="A79" s="102">
        <f t="shared" si="1"/>
        <v>78</v>
      </c>
      <c r="B79" s="102">
        <f>YEAR(Table10[[#This Row],[Date]])+IF(MONTH(Table10[[#This Row],[Date]])&gt;=4,1,0)</f>
        <v>2026</v>
      </c>
      <c r="C79" s="102">
        <f>YEAR(Table10[[#This Row],[Date]])</f>
        <v>2025</v>
      </c>
      <c r="D79" s="102" t="s">
        <v>446</v>
      </c>
      <c r="E79" s="469">
        <f>Table10[[#This Row],[Date]]-DAY(Table10[[#This Row],[Date]])+1</f>
        <v>45778</v>
      </c>
      <c r="F79" s="470">
        <v>45799</v>
      </c>
      <c r="G79" s="102" t="s">
        <v>77</v>
      </c>
      <c r="H79" s="102" t="str">
        <f>IFERROR(_xlfn.XLOOKUP(Table10[[#This Row],[Affected Feeder ]],'Basic Data'!$A$43:$A$70,'Basic Data'!$B$43:$B$70),"")</f>
        <v>TQGXIIPL</v>
      </c>
      <c r="I79" s="102" t="str">
        <f>IFERROR(_xlfn.XLOOKUP(Table10[[#This Row],[Affected Feeder ]],'Basic Data'!$A$43:$A$70,'Basic Data'!$C$43:$C$70),"")</f>
        <v>GEDA</v>
      </c>
      <c r="J79" s="482">
        <f>IFERROR(_xlfn.XLOOKUP(Table10[[#This Row],[Affected Feeder ]],'Basic Data'!$A$43:$A$70,'Basic Data'!$E$43:$E$70),"")</f>
        <v>3.846153846153845E-2</v>
      </c>
      <c r="K79" s="483" t="s">
        <v>465</v>
      </c>
      <c r="L79" s="484">
        <v>4.9305555555555554E-2</v>
      </c>
      <c r="M79" s="484">
        <v>4.9305555555555554E-2</v>
      </c>
      <c r="N79" s="484">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483" t="s">
        <v>1898</v>
      </c>
      <c r="S79" s="102" t="s">
        <v>293</v>
      </c>
      <c r="T79" s="485">
        <f>IFERROR(Table10[[#This Row],[Breakdown Time]]*Table10[[#This Row],[Plant Equivalent Weightage]],"")</f>
        <v>0.10192307692307689</v>
      </c>
      <c r="U79" s="102" t="s">
        <v>450</v>
      </c>
      <c r="V79" s="547">
        <f>IFERROR(_xlfn.XLOOKUP(Table10[[#This Row],[Date]],'Daily KPI'!$A:$A,'Daily KPI'!$M:$M),"")</f>
        <v>3.7634574295913192</v>
      </c>
      <c r="W79" s="102">
        <v>154.80000000000001</v>
      </c>
      <c r="X79" s="102">
        <f>Table10[[#This Row],[WTG Loss]]*1*Table10[[#This Row],[Breakdown Time]]</f>
        <v>410.22</v>
      </c>
      <c r="Y79" s="102" t="s">
        <v>449</v>
      </c>
      <c r="Z79" s="102"/>
      <c r="AA79" s="102"/>
    </row>
    <row r="80" spans="1:27">
      <c r="A80" s="102">
        <f t="shared" si="1"/>
        <v>79</v>
      </c>
      <c r="B80" s="102">
        <f>YEAR(Table10[[#This Row],[Date]])+IF(MONTH(Table10[[#This Row],[Date]])&gt;=4,1,0)</f>
        <v>2026</v>
      </c>
      <c r="C80" s="102">
        <f>YEAR(Table10[[#This Row],[Date]])</f>
        <v>2025</v>
      </c>
      <c r="D80" s="102" t="s">
        <v>446</v>
      </c>
      <c r="E80" s="469">
        <f>Table10[[#This Row],[Date]]-DAY(Table10[[#This Row],[Date]])+1</f>
        <v>45778</v>
      </c>
      <c r="F80" s="470">
        <v>45799</v>
      </c>
      <c r="G80" s="102" t="s">
        <v>80</v>
      </c>
      <c r="H80" s="102" t="str">
        <f>IFERROR(_xlfn.XLOOKUP(Table10[[#This Row],[Affected Feeder ]],'Basic Data'!$A$43:$A$70,'Basic Data'!$B$43:$B$70),"")</f>
        <v>TQGXIIPL</v>
      </c>
      <c r="I80" s="102" t="str">
        <f>IFERROR(_xlfn.XLOOKUP(Table10[[#This Row],[Affected Feeder ]],'Basic Data'!$A$43:$A$70,'Basic Data'!$C$43:$C$70),"")</f>
        <v>GEDA</v>
      </c>
      <c r="J80" s="482">
        <f>IFERROR(_xlfn.XLOOKUP(Table10[[#This Row],[Affected Feeder ]],'Basic Data'!$A$43:$A$70,'Basic Data'!$E$43:$E$70),"")</f>
        <v>3.846153846153845E-2</v>
      </c>
      <c r="K80" s="483" t="s">
        <v>456</v>
      </c>
      <c r="L80" s="484">
        <v>4.9305555555555554E-2</v>
      </c>
      <c r="M80" s="484">
        <v>4.9305555555555554E-2</v>
      </c>
      <c r="N80" s="484">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483" t="s">
        <v>1898</v>
      </c>
      <c r="S80" s="102" t="s">
        <v>293</v>
      </c>
      <c r="T80" s="485">
        <f>IFERROR(Table10[[#This Row],[Breakdown Time]]*Table10[[#This Row],[Plant Equivalent Weightage]],"")</f>
        <v>0.10192307692307689</v>
      </c>
      <c r="U80" s="102" t="s">
        <v>450</v>
      </c>
      <c r="V80" s="547">
        <f>IFERROR(_xlfn.XLOOKUP(Table10[[#This Row],[Date]],'Daily KPI'!$A:$A,'Daily KPI'!$M:$M),"")</f>
        <v>3.7634574295913192</v>
      </c>
      <c r="W80" s="102">
        <v>154.80000000000001</v>
      </c>
      <c r="X80" s="102">
        <f>Table10[[#This Row],[WTG Loss]]*1*Table10[[#This Row],[Breakdown Time]]</f>
        <v>410.22</v>
      </c>
      <c r="Y80" s="102" t="s">
        <v>449</v>
      </c>
      <c r="Z80" s="102"/>
      <c r="AA80" s="102"/>
    </row>
    <row r="81" spans="1:27">
      <c r="A81" s="102">
        <f t="shared" si="1"/>
        <v>80</v>
      </c>
      <c r="B81" s="102">
        <f>YEAR(Table10[[#This Row],[Date]])+IF(MONTH(Table10[[#This Row],[Date]])&gt;=4,1,0)</f>
        <v>2026</v>
      </c>
      <c r="C81" s="102">
        <f>YEAR(Table10[[#This Row],[Date]])</f>
        <v>2025</v>
      </c>
      <c r="D81" s="102" t="s">
        <v>446</v>
      </c>
      <c r="E81" s="469">
        <f>Table10[[#This Row],[Date]]-DAY(Table10[[#This Row],[Date]])+1</f>
        <v>45778</v>
      </c>
      <c r="F81" s="470">
        <v>45799</v>
      </c>
      <c r="G81" s="102" t="s">
        <v>92</v>
      </c>
      <c r="H81" s="102" t="str">
        <f>IFERROR(_xlfn.XLOOKUP(Table10[[#This Row],[Affected Feeder ]],'Basic Data'!$A$43:$A$70,'Basic Data'!$B$43:$B$70),"")</f>
        <v>TQGXIIPL</v>
      </c>
      <c r="I81" s="102" t="str">
        <f>IFERROR(_xlfn.XLOOKUP(Table10[[#This Row],[Affected Feeder ]],'Basic Data'!$A$43:$A$70,'Basic Data'!$C$43:$C$70),"")</f>
        <v>GEDA</v>
      </c>
      <c r="J81" s="482">
        <f>IFERROR(_xlfn.XLOOKUP(Table10[[#This Row],[Affected Feeder ]],'Basic Data'!$A$43:$A$70,'Basic Data'!$E$43:$E$70),"")</f>
        <v>3.846153846153845E-2</v>
      </c>
      <c r="K81" s="483" t="s">
        <v>466</v>
      </c>
      <c r="L81" s="484">
        <v>4.9305555555555554E-2</v>
      </c>
      <c r="M81" s="484">
        <v>4.9305555555555554E-2</v>
      </c>
      <c r="N81" s="484">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483" t="s">
        <v>1898</v>
      </c>
      <c r="S81" s="102" t="s">
        <v>293</v>
      </c>
      <c r="T81" s="485">
        <f>IFERROR(Table10[[#This Row],[Breakdown Time]]*Table10[[#This Row],[Plant Equivalent Weightage]],"")</f>
        <v>0.10192307692307689</v>
      </c>
      <c r="U81" s="102" t="s">
        <v>450</v>
      </c>
      <c r="V81" s="547">
        <f>IFERROR(_xlfn.XLOOKUP(Table10[[#This Row],[Date]],'Daily KPI'!$A:$A,'Daily KPI'!$M:$M),"")</f>
        <v>3.7634574295913192</v>
      </c>
      <c r="W81" s="102">
        <v>154.80000000000001</v>
      </c>
      <c r="X81" s="102">
        <f>Table10[[#This Row],[WTG Loss]]*1*Table10[[#This Row],[Breakdown Time]]</f>
        <v>410.22</v>
      </c>
      <c r="Y81" s="102" t="s">
        <v>449</v>
      </c>
      <c r="Z81" s="102"/>
      <c r="AA81" s="102"/>
    </row>
    <row r="82" spans="1:27">
      <c r="A82" s="102">
        <f t="shared" si="1"/>
        <v>81</v>
      </c>
      <c r="B82" s="102">
        <f>YEAR(Table10[[#This Row],[Date]])+IF(MONTH(Table10[[#This Row],[Date]])&gt;=4,1,0)</f>
        <v>2026</v>
      </c>
      <c r="C82" s="102">
        <f>YEAR(Table10[[#This Row],[Date]])</f>
        <v>2025</v>
      </c>
      <c r="D82" s="102" t="s">
        <v>446</v>
      </c>
      <c r="E82" s="469">
        <f>Table10[[#This Row],[Date]]-DAY(Table10[[#This Row],[Date]])+1</f>
        <v>45778</v>
      </c>
      <c r="F82" s="470">
        <v>45799</v>
      </c>
      <c r="G82" s="102" t="s">
        <v>447</v>
      </c>
      <c r="H82" s="102" t="str">
        <f>IFERROR(_xlfn.XLOOKUP(Table10[[#This Row],[Affected Feeder ]],'Basic Data'!$A$43:$A$70,'Basic Data'!$B$43:$B$70),"")</f>
        <v>TQGXIIPL</v>
      </c>
      <c r="I82" s="102" t="str">
        <f>IFERROR(_xlfn.XLOOKUP(Table10[[#This Row],[Affected Feeder ]],'Basic Data'!$A$43:$A$70,'Basic Data'!$C$43:$C$70),"")</f>
        <v>GEDA</v>
      </c>
      <c r="J82" s="482">
        <f>IFERROR(_xlfn.XLOOKUP(Table10[[#This Row],[Affected Feeder ]],'Basic Data'!$A$43:$A$70,'Basic Data'!$E$43:$E$70),"")</f>
        <v>0.49999999999999978</v>
      </c>
      <c r="K82" s="483" t="s">
        <v>1840</v>
      </c>
      <c r="L82" s="484">
        <v>0.38263888888888886</v>
      </c>
      <c r="M82" s="484">
        <v>0.38263888888888886</v>
      </c>
      <c r="N82" s="484">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483" t="s">
        <v>1899</v>
      </c>
      <c r="S82" s="102" t="s">
        <v>293</v>
      </c>
      <c r="T82" s="485">
        <f>IFERROR(Table10[[#This Row],[Breakdown Time]]*Table10[[#This Row],[Plant Equivalent Weightage]],"")</f>
        <v>1.0999999999999996</v>
      </c>
      <c r="U82" s="102" t="s">
        <v>450</v>
      </c>
      <c r="V82" s="547">
        <f>IFERROR(_xlfn.XLOOKUP(Table10[[#This Row],[Date]],'Daily KPI'!$A:$A,'Daily KPI'!$M:$M),"")</f>
        <v>3.7634574295913192</v>
      </c>
      <c r="W82" s="102">
        <v>154.80000000000001</v>
      </c>
      <c r="X82" s="102">
        <f>Table10[[#This Row],[WTG Loss]]*13*Table10[[#This Row],[Breakdown Time]]</f>
        <v>4427.2800000000007</v>
      </c>
      <c r="Y82" s="102" t="s">
        <v>449</v>
      </c>
      <c r="Z82" s="102"/>
      <c r="AA82" s="102"/>
    </row>
    <row r="83" spans="1:27">
      <c r="A83" s="102">
        <f t="shared" si="1"/>
        <v>82</v>
      </c>
      <c r="B83" s="102">
        <f>YEAR(Table10[[#This Row],[Date]])+IF(MONTH(Table10[[#This Row],[Date]])&gt;=4,1,0)</f>
        <v>2026</v>
      </c>
      <c r="C83" s="102">
        <f>YEAR(Table10[[#This Row],[Date]])</f>
        <v>2025</v>
      </c>
      <c r="D83" s="102" t="s">
        <v>446</v>
      </c>
      <c r="E83" s="469">
        <f>Table10[[#This Row],[Date]]-DAY(Table10[[#This Row],[Date]])+1</f>
        <v>45778</v>
      </c>
      <c r="F83" s="470">
        <v>45799</v>
      </c>
      <c r="G83" s="102" t="s">
        <v>74</v>
      </c>
      <c r="H83" s="102" t="str">
        <f>IFERROR(_xlfn.XLOOKUP(Table10[[#This Row],[Affected Feeder ]],'Basic Data'!$A$43:$A$70,'Basic Data'!$B$43:$B$70),"")</f>
        <v>TQGXIIPL</v>
      </c>
      <c r="I83" s="102" t="str">
        <f>IFERROR(_xlfn.XLOOKUP(Table10[[#This Row],[Affected Feeder ]],'Basic Data'!$A$43:$A$70,'Basic Data'!$C$43:$C$70),"")</f>
        <v>GEDA</v>
      </c>
      <c r="J83" s="482">
        <f>IFERROR(_xlfn.XLOOKUP(Table10[[#This Row],[Affected Feeder ]],'Basic Data'!$A$43:$A$70,'Basic Data'!$E$43:$E$70),"")</f>
        <v>3.846153846153845E-2</v>
      </c>
      <c r="K83" s="483" t="s">
        <v>1887</v>
      </c>
      <c r="L83" s="484">
        <v>0.47430555555555554</v>
      </c>
      <c r="M83" s="484">
        <v>0.47430555555555554</v>
      </c>
      <c r="N83" s="484">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483" t="s">
        <v>1909</v>
      </c>
      <c r="S83" s="102" t="s">
        <v>293</v>
      </c>
      <c r="T83" s="485">
        <f>IFERROR(Table10[[#This Row],[Breakdown Time]]*Table10[[#This Row],[Plant Equivalent Weightage]],"")</f>
        <v>0.25128205128205122</v>
      </c>
      <c r="U83" s="102" t="s">
        <v>450</v>
      </c>
      <c r="V83" s="547">
        <f>IFERROR(_xlfn.XLOOKUP(Table10[[#This Row],[Date]],'Daily KPI'!$A:$A,'Daily KPI'!$M:$M),"")</f>
        <v>3.7634574295913192</v>
      </c>
      <c r="W83" s="102">
        <v>154.80000000000001</v>
      </c>
      <c r="X83" s="102">
        <f>Table10[[#This Row],[WTG Loss]]*1*Table10[[#This Row],[Breakdown Time]]</f>
        <v>1011.3600000000002</v>
      </c>
      <c r="Y83" s="102" t="s">
        <v>449</v>
      </c>
      <c r="Z83" s="102"/>
      <c r="AA83" s="102"/>
    </row>
    <row r="84" spans="1:27">
      <c r="A84" s="102">
        <f t="shared" si="1"/>
        <v>83</v>
      </c>
      <c r="B84" s="102">
        <f>YEAR(Table10[[#This Row],[Date]])+IF(MONTH(Table10[[#This Row],[Date]])&gt;=4,1,0)</f>
        <v>2026</v>
      </c>
      <c r="C84" s="102">
        <f>YEAR(Table10[[#This Row],[Date]])</f>
        <v>2025</v>
      </c>
      <c r="D84" s="102" t="s">
        <v>446</v>
      </c>
      <c r="E84" s="469">
        <f>Table10[[#This Row],[Date]]-DAY(Table10[[#This Row],[Date]])+1</f>
        <v>45778</v>
      </c>
      <c r="F84" s="470">
        <v>45799</v>
      </c>
      <c r="G84" s="102" t="s">
        <v>75</v>
      </c>
      <c r="H84" s="102" t="str">
        <f>IFERROR(_xlfn.XLOOKUP(Table10[[#This Row],[Affected Feeder ]],'Basic Data'!$A$43:$A$70,'Basic Data'!$B$43:$B$70),"")</f>
        <v>TQGXIIPL</v>
      </c>
      <c r="I84" s="102" t="str">
        <f>IFERROR(_xlfn.XLOOKUP(Table10[[#This Row],[Affected Feeder ]],'Basic Data'!$A$43:$A$70,'Basic Data'!$C$43:$C$70),"")</f>
        <v>GEDA</v>
      </c>
      <c r="J84" s="482">
        <f>IFERROR(_xlfn.XLOOKUP(Table10[[#This Row],[Affected Feeder ]],'Basic Data'!$A$43:$A$70,'Basic Data'!$E$43:$E$70),"")</f>
        <v>3.846153846153845E-2</v>
      </c>
      <c r="K84" s="483" t="s">
        <v>1888</v>
      </c>
      <c r="L84" s="484">
        <v>0.47430555555555554</v>
      </c>
      <c r="M84" s="484">
        <v>0.47430555555555554</v>
      </c>
      <c r="N84" s="484">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483" t="s">
        <v>1909</v>
      </c>
      <c r="S84" s="102" t="s">
        <v>293</v>
      </c>
      <c r="T84" s="485">
        <f>IFERROR(Table10[[#This Row],[Breakdown Time]]*Table10[[#This Row],[Plant Equivalent Weightage]],"")</f>
        <v>0.25128205128205122</v>
      </c>
      <c r="U84" s="102" t="s">
        <v>450</v>
      </c>
      <c r="V84" s="547">
        <f>IFERROR(_xlfn.XLOOKUP(Table10[[#This Row],[Date]],'Daily KPI'!$A:$A,'Daily KPI'!$M:$M),"")</f>
        <v>3.7634574295913192</v>
      </c>
      <c r="W84" s="102">
        <v>154.80000000000001</v>
      </c>
      <c r="X84" s="102">
        <f>Table10[[#This Row],[WTG Loss]]*1*Table10[[#This Row],[Breakdown Time]]</f>
        <v>1011.3600000000002</v>
      </c>
      <c r="Y84" s="102" t="s">
        <v>449</v>
      </c>
      <c r="Z84" s="102"/>
      <c r="AA84" s="102"/>
    </row>
    <row r="85" spans="1:27">
      <c r="A85" s="102">
        <f t="shared" si="1"/>
        <v>84</v>
      </c>
      <c r="B85" s="102">
        <f>YEAR(Table10[[#This Row],[Date]])+IF(MONTH(Table10[[#This Row],[Date]])&gt;=4,1,0)</f>
        <v>2026</v>
      </c>
      <c r="C85" s="102">
        <f>YEAR(Table10[[#This Row],[Date]])</f>
        <v>2025</v>
      </c>
      <c r="D85" s="102" t="s">
        <v>1992</v>
      </c>
      <c r="E85" s="469">
        <f>Table10[[#This Row],[Date]]-DAY(Table10[[#This Row],[Date]])+1</f>
        <v>45778</v>
      </c>
      <c r="F85" s="470">
        <v>45799</v>
      </c>
      <c r="G85" s="102" t="s">
        <v>76</v>
      </c>
      <c r="H85" s="102" t="str">
        <f>IFERROR(_xlfn.XLOOKUP(Table10[[#This Row],[Affected Feeder ]],'Basic Data'!$A$43:$A$70,'Basic Data'!$B$43:$B$70),"")</f>
        <v>TQGXIIPL</v>
      </c>
      <c r="I85" s="102" t="str">
        <f>IFERROR(_xlfn.XLOOKUP(Table10[[#This Row],[Affected Feeder ]],'Basic Data'!$A$43:$A$70,'Basic Data'!$C$43:$C$70),"")</f>
        <v>GEDA</v>
      </c>
      <c r="J85" s="482">
        <f>IFERROR(_xlfn.XLOOKUP(Table10[[#This Row],[Affected Feeder ]],'Basic Data'!$A$43:$A$70,'Basic Data'!$E$43:$E$70),"")</f>
        <v>3.846153846153845E-2</v>
      </c>
      <c r="K85" s="483" t="s">
        <v>1889</v>
      </c>
      <c r="L85" s="484">
        <v>0.47430555555555554</v>
      </c>
      <c r="M85" s="484">
        <v>0.47430555555555554</v>
      </c>
      <c r="N85" s="484">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483" t="s">
        <v>1909</v>
      </c>
      <c r="S85" s="102" t="s">
        <v>293</v>
      </c>
      <c r="T85" s="485">
        <f>IFERROR(Table10[[#This Row],[Breakdown Time]]*Table10[[#This Row],[Plant Equivalent Weightage]],"")</f>
        <v>0.25128205128205122</v>
      </c>
      <c r="U85" s="102" t="s">
        <v>450</v>
      </c>
      <c r="V85" s="547">
        <f>IFERROR(_xlfn.XLOOKUP(Table10[[#This Row],[Date]],'Daily KPI'!$A:$A,'Daily KPI'!$M:$M),"")</f>
        <v>3.7634574295913192</v>
      </c>
      <c r="W85" s="102">
        <v>154.80000000000001</v>
      </c>
      <c r="X85" s="102">
        <f>Table10[[#This Row],[WTG Loss]]*1*Table10[[#This Row],[Breakdown Time]]</f>
        <v>1011.3600000000002</v>
      </c>
      <c r="Y85" s="102" t="s">
        <v>449</v>
      </c>
      <c r="Z85" s="102"/>
      <c r="AA85" s="102"/>
    </row>
    <row r="86" spans="1:27">
      <c r="A86" s="102">
        <f t="shared" si="1"/>
        <v>85</v>
      </c>
      <c r="B86" s="102">
        <f>YEAR(Table10[[#This Row],[Date]])+IF(MONTH(Table10[[#This Row],[Date]])&gt;=4,1,0)</f>
        <v>2026</v>
      </c>
      <c r="C86" s="102">
        <f>YEAR(Table10[[#This Row],[Date]])</f>
        <v>2025</v>
      </c>
      <c r="D86" s="102" t="s">
        <v>1992</v>
      </c>
      <c r="E86" s="469">
        <f>Table10[[#This Row],[Date]]-DAY(Table10[[#This Row],[Date]])+1</f>
        <v>45778</v>
      </c>
      <c r="F86" s="470">
        <v>45799</v>
      </c>
      <c r="G86" s="102" t="s">
        <v>78</v>
      </c>
      <c r="H86" s="102" t="str">
        <f>IFERROR(_xlfn.XLOOKUP(Table10[[#This Row],[Affected Feeder ]],'Basic Data'!$A$43:$A$70,'Basic Data'!$B$43:$B$70),"")</f>
        <v>TQGXIIPL</v>
      </c>
      <c r="I86" s="102" t="str">
        <f>IFERROR(_xlfn.XLOOKUP(Table10[[#This Row],[Affected Feeder ]],'Basic Data'!$A$43:$A$70,'Basic Data'!$C$43:$C$70),"")</f>
        <v>GEDA</v>
      </c>
      <c r="J86" s="482">
        <f>IFERROR(_xlfn.XLOOKUP(Table10[[#This Row],[Affected Feeder ]],'Basic Data'!$A$43:$A$70,'Basic Data'!$E$43:$E$70),"")</f>
        <v>3.846153846153845E-2</v>
      </c>
      <c r="K86" s="483" t="s">
        <v>1890</v>
      </c>
      <c r="L86" s="484">
        <v>0.47430555555555554</v>
      </c>
      <c r="M86" s="484">
        <v>0.47430555555555554</v>
      </c>
      <c r="N86" s="484">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483" t="s">
        <v>1909</v>
      </c>
      <c r="S86" s="102" t="s">
        <v>293</v>
      </c>
      <c r="T86" s="485">
        <f>IFERROR(Table10[[#This Row],[Breakdown Time]]*Table10[[#This Row],[Plant Equivalent Weightage]],"")</f>
        <v>0.25128205128205122</v>
      </c>
      <c r="U86" s="102" t="s">
        <v>450</v>
      </c>
      <c r="V86" s="547">
        <f>IFERROR(_xlfn.XLOOKUP(Table10[[#This Row],[Date]],'Daily KPI'!$A:$A,'Daily KPI'!$M:$M),"")</f>
        <v>3.7634574295913192</v>
      </c>
      <c r="W86" s="102">
        <v>154.80000000000001</v>
      </c>
      <c r="X86" s="102">
        <f>Table10[[#This Row],[WTG Loss]]*1*Table10[[#This Row],[Breakdown Time]]</f>
        <v>1011.3600000000002</v>
      </c>
      <c r="Y86" s="102" t="s">
        <v>449</v>
      </c>
      <c r="Z86" s="102"/>
      <c r="AA86" s="102"/>
    </row>
    <row r="87" spans="1:27">
      <c r="A87" s="102">
        <f t="shared" si="1"/>
        <v>86</v>
      </c>
      <c r="B87" s="102">
        <f>YEAR(Table10[[#This Row],[Date]])+IF(MONTH(Table10[[#This Row],[Date]])&gt;=4,1,0)</f>
        <v>2026</v>
      </c>
      <c r="C87" s="102">
        <f>YEAR(Table10[[#This Row],[Date]])</f>
        <v>2025</v>
      </c>
      <c r="D87" s="102" t="s">
        <v>1992</v>
      </c>
      <c r="E87" s="469">
        <f>Table10[[#This Row],[Date]]-DAY(Table10[[#This Row],[Date]])+1</f>
        <v>45778</v>
      </c>
      <c r="F87" s="470">
        <v>45799</v>
      </c>
      <c r="G87" s="102" t="s">
        <v>81</v>
      </c>
      <c r="H87" s="102" t="str">
        <f>IFERROR(_xlfn.XLOOKUP(Table10[[#This Row],[Affected Feeder ]],'Basic Data'!$A$43:$A$70,'Basic Data'!$B$43:$B$70),"")</f>
        <v>TQGXIIPL</v>
      </c>
      <c r="I87" s="102" t="str">
        <f>IFERROR(_xlfn.XLOOKUP(Table10[[#This Row],[Affected Feeder ]],'Basic Data'!$A$43:$A$70,'Basic Data'!$C$43:$C$70),"")</f>
        <v>GEDA</v>
      </c>
      <c r="J87" s="482">
        <f>IFERROR(_xlfn.XLOOKUP(Table10[[#This Row],[Affected Feeder ]],'Basic Data'!$A$43:$A$70,'Basic Data'!$E$43:$E$70),"")</f>
        <v>3.846153846153845E-2</v>
      </c>
      <c r="K87" s="483" t="s">
        <v>1891</v>
      </c>
      <c r="L87" s="484">
        <v>0.47430555555555554</v>
      </c>
      <c r="M87" s="484">
        <v>0.47430555555555554</v>
      </c>
      <c r="N87" s="484">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483" t="s">
        <v>1909</v>
      </c>
      <c r="S87" s="102" t="s">
        <v>293</v>
      </c>
      <c r="T87" s="485">
        <f>IFERROR(Table10[[#This Row],[Breakdown Time]]*Table10[[#This Row],[Plant Equivalent Weightage]],"")</f>
        <v>0.25128205128205122</v>
      </c>
      <c r="U87" s="102" t="s">
        <v>450</v>
      </c>
      <c r="V87" s="547">
        <f>IFERROR(_xlfn.XLOOKUP(Table10[[#This Row],[Date]],'Daily KPI'!$A:$A,'Daily KPI'!$M:$M),"")</f>
        <v>3.7634574295913192</v>
      </c>
      <c r="W87" s="102">
        <v>154.80000000000001</v>
      </c>
      <c r="X87" s="102">
        <f>Table10[[#This Row],[WTG Loss]]*1*Table10[[#This Row],[Breakdown Time]]</f>
        <v>1011.3600000000002</v>
      </c>
      <c r="Y87" s="102" t="s">
        <v>449</v>
      </c>
      <c r="Z87" s="102"/>
      <c r="AA87" s="102"/>
    </row>
    <row r="88" spans="1:27">
      <c r="A88" s="102">
        <f t="shared" si="1"/>
        <v>87</v>
      </c>
      <c r="B88" s="102">
        <f>YEAR(Table10[[#This Row],[Date]])+IF(MONTH(Table10[[#This Row],[Date]])&gt;=4,1,0)</f>
        <v>2026</v>
      </c>
      <c r="C88" s="102">
        <f>YEAR(Table10[[#This Row],[Date]])</f>
        <v>2025</v>
      </c>
      <c r="D88" s="102" t="s">
        <v>1992</v>
      </c>
      <c r="E88" s="469">
        <f>Table10[[#This Row],[Date]]-DAY(Table10[[#This Row],[Date]])+1</f>
        <v>45778</v>
      </c>
      <c r="F88" s="470">
        <v>45799</v>
      </c>
      <c r="G88" s="102" t="s">
        <v>82</v>
      </c>
      <c r="H88" s="102" t="str">
        <f>IFERROR(_xlfn.XLOOKUP(Table10[[#This Row],[Affected Feeder ]],'Basic Data'!$A$43:$A$70,'Basic Data'!$B$43:$B$70),"")</f>
        <v>TQGXIIPL</v>
      </c>
      <c r="I88" s="102" t="str">
        <f>IFERROR(_xlfn.XLOOKUP(Table10[[#This Row],[Affected Feeder ]],'Basic Data'!$A$43:$A$70,'Basic Data'!$C$43:$C$70),"")</f>
        <v>GEDA</v>
      </c>
      <c r="J88" s="482">
        <f>IFERROR(_xlfn.XLOOKUP(Table10[[#This Row],[Affected Feeder ]],'Basic Data'!$A$43:$A$70,'Basic Data'!$E$43:$E$70),"")</f>
        <v>3.846153846153845E-2</v>
      </c>
      <c r="K88" s="483" t="s">
        <v>1892</v>
      </c>
      <c r="L88" s="484">
        <v>0.47430555555555554</v>
      </c>
      <c r="M88" s="484">
        <v>0.47430555555555554</v>
      </c>
      <c r="N88" s="484">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483" t="s">
        <v>1909</v>
      </c>
      <c r="S88" s="102" t="s">
        <v>293</v>
      </c>
      <c r="T88" s="485">
        <f>IFERROR(Table10[[#This Row],[Breakdown Time]]*Table10[[#This Row],[Plant Equivalent Weightage]],"")</f>
        <v>0.25128205128205122</v>
      </c>
      <c r="U88" s="102" t="s">
        <v>450</v>
      </c>
      <c r="V88" s="547">
        <f>IFERROR(_xlfn.XLOOKUP(Table10[[#This Row],[Date]],'Daily KPI'!$A:$A,'Daily KPI'!$M:$M),"")</f>
        <v>3.7634574295913192</v>
      </c>
      <c r="W88" s="102">
        <v>154.80000000000001</v>
      </c>
      <c r="X88" s="102">
        <f>Table10[[#This Row],[WTG Loss]]*1*Table10[[#This Row],[Breakdown Time]]</f>
        <v>1011.3600000000002</v>
      </c>
      <c r="Y88" s="102" t="s">
        <v>449</v>
      </c>
      <c r="Z88" s="102"/>
      <c r="AA88" s="102"/>
    </row>
    <row r="89" spans="1:27">
      <c r="A89" s="102">
        <f t="shared" si="1"/>
        <v>88</v>
      </c>
      <c r="B89" s="102">
        <f>YEAR(Table10[[#This Row],[Date]])+IF(MONTH(Table10[[#This Row],[Date]])&gt;=4,1,0)</f>
        <v>2026</v>
      </c>
      <c r="C89" s="102">
        <f>YEAR(Table10[[#This Row],[Date]])</f>
        <v>2025</v>
      </c>
      <c r="D89" s="102" t="s">
        <v>1992</v>
      </c>
      <c r="E89" s="469">
        <f>Table10[[#This Row],[Date]]-DAY(Table10[[#This Row],[Date]])+1</f>
        <v>45778</v>
      </c>
      <c r="F89" s="470">
        <v>45799</v>
      </c>
      <c r="G89" s="102" t="s">
        <v>84</v>
      </c>
      <c r="H89" s="102" t="str">
        <f>IFERROR(_xlfn.XLOOKUP(Table10[[#This Row],[Affected Feeder ]],'Basic Data'!$A$43:$A$70,'Basic Data'!$B$43:$B$70),"")</f>
        <v>TQGXIIPL</v>
      </c>
      <c r="I89" s="102" t="str">
        <f>IFERROR(_xlfn.XLOOKUP(Table10[[#This Row],[Affected Feeder ]],'Basic Data'!$A$43:$A$70,'Basic Data'!$C$43:$C$70),"")</f>
        <v>GEDA</v>
      </c>
      <c r="J89" s="482">
        <f>IFERROR(_xlfn.XLOOKUP(Table10[[#This Row],[Affected Feeder ]],'Basic Data'!$A$43:$A$70,'Basic Data'!$E$43:$E$70),"")</f>
        <v>3.846153846153845E-2</v>
      </c>
      <c r="K89" s="483" t="s">
        <v>1893</v>
      </c>
      <c r="L89" s="484">
        <v>0.47430555555555554</v>
      </c>
      <c r="M89" s="484">
        <v>0.47430555555555554</v>
      </c>
      <c r="N89" s="484">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483" t="s">
        <v>1909</v>
      </c>
      <c r="S89" s="102" t="s">
        <v>293</v>
      </c>
      <c r="T89" s="485">
        <f>IFERROR(Table10[[#This Row],[Breakdown Time]]*Table10[[#This Row],[Plant Equivalent Weightage]],"")</f>
        <v>0.25128205128205122</v>
      </c>
      <c r="U89" s="102" t="s">
        <v>450</v>
      </c>
      <c r="V89" s="547">
        <f>IFERROR(_xlfn.XLOOKUP(Table10[[#This Row],[Date]],'Daily KPI'!$A:$A,'Daily KPI'!$M:$M),"")</f>
        <v>3.7634574295913192</v>
      </c>
      <c r="W89" s="102">
        <v>154.80000000000001</v>
      </c>
      <c r="X89" s="102">
        <f>Table10[[#This Row],[WTG Loss]]*1*Table10[[#This Row],[Breakdown Time]]</f>
        <v>1011.3600000000002</v>
      </c>
      <c r="Y89" s="102" t="s">
        <v>449</v>
      </c>
      <c r="Z89" s="102"/>
      <c r="AA89" s="102"/>
    </row>
    <row r="90" spans="1:27">
      <c r="A90" s="102">
        <f t="shared" si="1"/>
        <v>89</v>
      </c>
      <c r="B90" s="102">
        <f>YEAR(Table10[[#This Row],[Date]])+IF(MONTH(Table10[[#This Row],[Date]])&gt;=4,1,0)</f>
        <v>2026</v>
      </c>
      <c r="C90" s="102">
        <f>YEAR(Table10[[#This Row],[Date]])</f>
        <v>2025</v>
      </c>
      <c r="D90" s="102" t="s">
        <v>1992</v>
      </c>
      <c r="E90" s="469">
        <f>Table10[[#This Row],[Date]]-DAY(Table10[[#This Row],[Date]])+1</f>
        <v>45778</v>
      </c>
      <c r="F90" s="470">
        <v>45799</v>
      </c>
      <c r="G90" s="102" t="s">
        <v>85</v>
      </c>
      <c r="H90" s="102" t="str">
        <f>IFERROR(_xlfn.XLOOKUP(Table10[[#This Row],[Affected Feeder ]],'Basic Data'!$A$43:$A$70,'Basic Data'!$B$43:$B$70),"")</f>
        <v>TQGXIIPL</v>
      </c>
      <c r="I90" s="102" t="str">
        <f>IFERROR(_xlfn.XLOOKUP(Table10[[#This Row],[Affected Feeder ]],'Basic Data'!$A$43:$A$70,'Basic Data'!$C$43:$C$70),"")</f>
        <v>GEDA</v>
      </c>
      <c r="J90" s="482">
        <f>IFERROR(_xlfn.XLOOKUP(Table10[[#This Row],[Affected Feeder ]],'Basic Data'!$A$43:$A$70,'Basic Data'!$E$43:$E$70),"")</f>
        <v>3.846153846153845E-2</v>
      </c>
      <c r="K90" s="483" t="s">
        <v>1894</v>
      </c>
      <c r="L90" s="484">
        <v>0.47430555555555554</v>
      </c>
      <c r="M90" s="484">
        <v>0.47430555555555554</v>
      </c>
      <c r="N90" s="484">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483" t="s">
        <v>1909</v>
      </c>
      <c r="S90" s="102" t="s">
        <v>293</v>
      </c>
      <c r="T90" s="485">
        <f>IFERROR(Table10[[#This Row],[Breakdown Time]]*Table10[[#This Row],[Plant Equivalent Weightage]],"")</f>
        <v>0.25128205128205122</v>
      </c>
      <c r="U90" s="102" t="s">
        <v>450</v>
      </c>
      <c r="V90" s="547">
        <f>IFERROR(_xlfn.XLOOKUP(Table10[[#This Row],[Date]],'Daily KPI'!$A:$A,'Daily KPI'!$M:$M),"")</f>
        <v>3.7634574295913192</v>
      </c>
      <c r="W90" s="102">
        <v>154.80000000000001</v>
      </c>
      <c r="X90" s="102">
        <f>Table10[[#This Row],[WTG Loss]]*1*Table10[[#This Row],[Breakdown Time]]</f>
        <v>1011.3600000000002</v>
      </c>
      <c r="Y90" s="102" t="s">
        <v>449</v>
      </c>
      <c r="Z90" s="102"/>
      <c r="AA90" s="102"/>
    </row>
    <row r="91" spans="1:27">
      <c r="A91" s="102">
        <f t="shared" si="1"/>
        <v>90</v>
      </c>
      <c r="B91" s="102">
        <f>YEAR(Table10[[#This Row],[Date]])+IF(MONTH(Table10[[#This Row],[Date]])&gt;=4,1,0)</f>
        <v>2026</v>
      </c>
      <c r="C91" s="102">
        <f>YEAR(Table10[[#This Row],[Date]])</f>
        <v>2025</v>
      </c>
      <c r="D91" s="102" t="s">
        <v>1992</v>
      </c>
      <c r="E91" s="469">
        <f>Table10[[#This Row],[Date]]-DAY(Table10[[#This Row],[Date]])+1</f>
        <v>45778</v>
      </c>
      <c r="F91" s="470">
        <v>45799</v>
      </c>
      <c r="G91" s="102" t="s">
        <v>87</v>
      </c>
      <c r="H91" s="102" t="str">
        <f>IFERROR(_xlfn.XLOOKUP(Table10[[#This Row],[Affected Feeder ]],'Basic Data'!$A$43:$A$70,'Basic Data'!$B$43:$B$70),"")</f>
        <v>TQGXIIPL</v>
      </c>
      <c r="I91" s="102" t="str">
        <f>IFERROR(_xlfn.XLOOKUP(Table10[[#This Row],[Affected Feeder ]],'Basic Data'!$A$43:$A$70,'Basic Data'!$C$43:$C$70),"")</f>
        <v>GEDA</v>
      </c>
      <c r="J91" s="482">
        <f>IFERROR(_xlfn.XLOOKUP(Table10[[#This Row],[Affected Feeder ]],'Basic Data'!$A$43:$A$70,'Basic Data'!$E$43:$E$70),"")</f>
        <v>3.846153846153845E-2</v>
      </c>
      <c r="K91" s="483" t="s">
        <v>1745</v>
      </c>
      <c r="L91" s="484">
        <v>0.47430555555555554</v>
      </c>
      <c r="M91" s="484">
        <v>0.47430555555555554</v>
      </c>
      <c r="N91" s="484">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483" t="s">
        <v>1909</v>
      </c>
      <c r="S91" s="102" t="s">
        <v>293</v>
      </c>
      <c r="T91" s="485">
        <f>IFERROR(Table10[[#This Row],[Breakdown Time]]*Table10[[#This Row],[Plant Equivalent Weightage]],"")</f>
        <v>0.25128205128205122</v>
      </c>
      <c r="U91" s="102" t="s">
        <v>450</v>
      </c>
      <c r="V91" s="547">
        <f>IFERROR(_xlfn.XLOOKUP(Table10[[#This Row],[Date]],'Daily KPI'!$A:$A,'Daily KPI'!$M:$M),"")</f>
        <v>3.7634574295913192</v>
      </c>
      <c r="W91" s="102">
        <v>154.80000000000001</v>
      </c>
      <c r="X91" s="102">
        <f>Table10[[#This Row],[WTG Loss]]*1*Table10[[#This Row],[Breakdown Time]]</f>
        <v>1011.3600000000002</v>
      </c>
      <c r="Y91" s="102" t="s">
        <v>449</v>
      </c>
      <c r="Z91" s="102"/>
      <c r="AA91" s="102"/>
    </row>
    <row r="92" spans="1:27">
      <c r="A92" s="102">
        <f t="shared" si="1"/>
        <v>91</v>
      </c>
      <c r="B92" s="102">
        <f>YEAR(Table10[[#This Row],[Date]])+IF(MONTH(Table10[[#This Row],[Date]])&gt;=4,1,0)</f>
        <v>2026</v>
      </c>
      <c r="C92" s="102">
        <f>YEAR(Table10[[#This Row],[Date]])</f>
        <v>2025</v>
      </c>
      <c r="D92" s="102" t="s">
        <v>1992</v>
      </c>
      <c r="E92" s="469">
        <f>Table10[[#This Row],[Date]]-DAY(Table10[[#This Row],[Date]])+1</f>
        <v>45778</v>
      </c>
      <c r="F92" s="470">
        <v>45799</v>
      </c>
      <c r="G92" s="102" t="s">
        <v>96</v>
      </c>
      <c r="H92" s="102" t="str">
        <f>IFERROR(_xlfn.XLOOKUP(Table10[[#This Row],[Affected Feeder ]],'Basic Data'!$A$43:$A$70,'Basic Data'!$B$43:$B$70),"")</f>
        <v>TQGXIIPL</v>
      </c>
      <c r="I92" s="102" t="str">
        <f>IFERROR(_xlfn.XLOOKUP(Table10[[#This Row],[Affected Feeder ]],'Basic Data'!$A$43:$A$70,'Basic Data'!$C$43:$C$70),"")</f>
        <v>GEDA</v>
      </c>
      <c r="J92" s="482">
        <f>IFERROR(_xlfn.XLOOKUP(Table10[[#This Row],[Affected Feeder ]],'Basic Data'!$A$43:$A$70,'Basic Data'!$E$43:$E$70),"")</f>
        <v>3.846153846153845E-2</v>
      </c>
      <c r="K92" s="483" t="s">
        <v>1895</v>
      </c>
      <c r="L92" s="484">
        <v>0.47430555555555554</v>
      </c>
      <c r="M92" s="484">
        <v>0.47430555555555554</v>
      </c>
      <c r="N92" s="484">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483" t="s">
        <v>1909</v>
      </c>
      <c r="S92" s="102" t="s">
        <v>293</v>
      </c>
      <c r="T92" s="485">
        <f>IFERROR(Table10[[#This Row],[Breakdown Time]]*Table10[[#This Row],[Plant Equivalent Weightage]],"")</f>
        <v>0.25128205128205122</v>
      </c>
      <c r="U92" s="102" t="s">
        <v>450</v>
      </c>
      <c r="V92" s="547">
        <f>IFERROR(_xlfn.XLOOKUP(Table10[[#This Row],[Date]],'Daily KPI'!$A:$A,'Daily KPI'!$M:$M),"")</f>
        <v>3.7634574295913192</v>
      </c>
      <c r="W92" s="102">
        <v>154.80000000000001</v>
      </c>
      <c r="X92" s="102">
        <f>Table10[[#This Row],[WTG Loss]]*1*Table10[[#This Row],[Breakdown Time]]</f>
        <v>1011.3600000000002</v>
      </c>
      <c r="Y92" s="102" t="s">
        <v>449</v>
      </c>
      <c r="Z92" s="102"/>
      <c r="AA92" s="102"/>
    </row>
    <row r="93" spans="1:27">
      <c r="A93" s="102">
        <f t="shared" si="1"/>
        <v>92</v>
      </c>
      <c r="B93" s="102">
        <f>YEAR(Table10[[#This Row],[Date]])+IF(MONTH(Table10[[#This Row],[Date]])&gt;=4,1,0)</f>
        <v>2026</v>
      </c>
      <c r="C93" s="102">
        <f>YEAR(Table10[[#This Row],[Date]])</f>
        <v>2025</v>
      </c>
      <c r="D93" s="102" t="s">
        <v>1992</v>
      </c>
      <c r="E93" s="469">
        <f>Table10[[#This Row],[Date]]-DAY(Table10[[#This Row],[Date]])+1</f>
        <v>45778</v>
      </c>
      <c r="F93" s="470">
        <v>45799</v>
      </c>
      <c r="G93" s="102" t="s">
        <v>98</v>
      </c>
      <c r="H93" s="102" t="str">
        <f>IFERROR(_xlfn.XLOOKUP(Table10[[#This Row],[Affected Feeder ]],'Basic Data'!$A$43:$A$70,'Basic Data'!$B$43:$B$70),"")</f>
        <v>TQGXIIPL</v>
      </c>
      <c r="I93" s="102" t="str">
        <f>IFERROR(_xlfn.XLOOKUP(Table10[[#This Row],[Affected Feeder ]],'Basic Data'!$A$43:$A$70,'Basic Data'!$C$43:$C$70),"")</f>
        <v>GEDA</v>
      </c>
      <c r="J93" s="482">
        <f>IFERROR(_xlfn.XLOOKUP(Table10[[#This Row],[Affected Feeder ]],'Basic Data'!$A$43:$A$70,'Basic Data'!$E$43:$E$70),"")</f>
        <v>3.846153846153845E-2</v>
      </c>
      <c r="K93" s="483" t="s">
        <v>1896</v>
      </c>
      <c r="L93" s="484">
        <v>0.47430555555555554</v>
      </c>
      <c r="M93" s="484">
        <v>0.47430555555555554</v>
      </c>
      <c r="N93" s="484">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483" t="s">
        <v>1909</v>
      </c>
      <c r="S93" s="102" t="s">
        <v>293</v>
      </c>
      <c r="T93" s="485">
        <f>IFERROR(Table10[[#This Row],[Breakdown Time]]*Table10[[#This Row],[Plant Equivalent Weightage]],"")</f>
        <v>0.25128205128205122</v>
      </c>
      <c r="U93" s="102" t="s">
        <v>450</v>
      </c>
      <c r="V93" s="547">
        <f>IFERROR(_xlfn.XLOOKUP(Table10[[#This Row],[Date]],'Daily KPI'!$A:$A,'Daily KPI'!$M:$M),"")</f>
        <v>3.7634574295913192</v>
      </c>
      <c r="W93" s="102">
        <v>154.80000000000001</v>
      </c>
      <c r="X93" s="102">
        <f>Table10[[#This Row],[WTG Loss]]*1*Table10[[#This Row],[Breakdown Time]]</f>
        <v>1011.3600000000002</v>
      </c>
      <c r="Y93" s="102" t="s">
        <v>449</v>
      </c>
      <c r="Z93" s="102"/>
      <c r="AA93" s="102"/>
    </row>
    <row r="94" spans="1:27">
      <c r="A94" s="102">
        <f t="shared" si="1"/>
        <v>93</v>
      </c>
      <c r="B94" s="102">
        <f>YEAR(Table10[[#This Row],[Date]])+IF(MONTH(Table10[[#This Row],[Date]])&gt;=4,1,0)</f>
        <v>2026</v>
      </c>
      <c r="C94" s="102">
        <f>YEAR(Table10[[#This Row],[Date]])</f>
        <v>2025</v>
      </c>
      <c r="D94" s="102" t="s">
        <v>1992</v>
      </c>
      <c r="E94" s="469">
        <f>Table10[[#This Row],[Date]]-DAY(Table10[[#This Row],[Date]])+1</f>
        <v>45778</v>
      </c>
      <c r="F94" s="470">
        <v>45799</v>
      </c>
      <c r="G94" s="102" t="s">
        <v>99</v>
      </c>
      <c r="H94" s="102" t="str">
        <f>IFERROR(_xlfn.XLOOKUP(Table10[[#This Row],[Affected Feeder ]],'Basic Data'!$A$43:$A$70,'Basic Data'!$B$43:$B$70),"")</f>
        <v>TQGXIIPL</v>
      </c>
      <c r="I94" s="102" t="str">
        <f>IFERROR(_xlfn.XLOOKUP(Table10[[#This Row],[Affected Feeder ]],'Basic Data'!$A$43:$A$70,'Basic Data'!$C$43:$C$70),"")</f>
        <v>GEDA</v>
      </c>
      <c r="J94" s="482">
        <f>IFERROR(_xlfn.XLOOKUP(Table10[[#This Row],[Affected Feeder ]],'Basic Data'!$A$43:$A$70,'Basic Data'!$E$43:$E$70),"")</f>
        <v>3.846153846153845E-2</v>
      </c>
      <c r="K94" s="483" t="s">
        <v>1897</v>
      </c>
      <c r="L94" s="484">
        <v>0.47430555555555554</v>
      </c>
      <c r="M94" s="484">
        <v>0.47430555555555554</v>
      </c>
      <c r="N94" s="484">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483" t="s">
        <v>1909</v>
      </c>
      <c r="S94" s="102" t="s">
        <v>293</v>
      </c>
      <c r="T94" s="485">
        <f>IFERROR(Table10[[#This Row],[Breakdown Time]]*Table10[[#This Row],[Plant Equivalent Weightage]],"")</f>
        <v>0.25128205128205122</v>
      </c>
      <c r="U94" s="102" t="s">
        <v>450</v>
      </c>
      <c r="V94" s="547">
        <f>IFERROR(_xlfn.XLOOKUP(Table10[[#This Row],[Date]],'Daily KPI'!$A:$A,'Daily KPI'!$M:$M),"")</f>
        <v>3.7634574295913192</v>
      </c>
      <c r="W94" s="102">
        <v>154.80000000000001</v>
      </c>
      <c r="X94" s="102">
        <f>Table10[[#This Row],[WTG Loss]]*1*Table10[[#This Row],[Breakdown Time]]</f>
        <v>1011.3600000000002</v>
      </c>
      <c r="Y94" s="102" t="s">
        <v>449</v>
      </c>
      <c r="Z94" s="102"/>
      <c r="AA94" s="102"/>
    </row>
    <row r="95" spans="1:27">
      <c r="A95" s="102">
        <f t="shared" si="1"/>
        <v>94</v>
      </c>
      <c r="B95" s="102">
        <f>YEAR(Table10[[#This Row],[Date]])+IF(MONTH(Table10[[#This Row],[Date]])&gt;=4,1,0)</f>
        <v>2026</v>
      </c>
      <c r="C95" s="102">
        <f>YEAR(Table10[[#This Row],[Date]])</f>
        <v>2025</v>
      </c>
      <c r="D95" s="102" t="s">
        <v>1992</v>
      </c>
      <c r="E95" s="469">
        <f>Table10[[#This Row],[Date]]-DAY(Table10[[#This Row],[Date]])+1</f>
        <v>45778</v>
      </c>
      <c r="F95" s="470">
        <v>45799</v>
      </c>
      <c r="G95" s="102" t="s">
        <v>447</v>
      </c>
      <c r="H95" s="102" t="str">
        <f>IFERROR(_xlfn.XLOOKUP(Table10[[#This Row],[Affected Feeder ]],'Basic Data'!$A$43:$A$70,'Basic Data'!$B$43:$B$70),"")</f>
        <v>TQGXIIPL</v>
      </c>
      <c r="I95" s="102" t="str">
        <f>IFERROR(_xlfn.XLOOKUP(Table10[[#This Row],[Affected Feeder ]],'Basic Data'!$A$43:$A$70,'Basic Data'!$C$43:$C$70),"")</f>
        <v>GEDA</v>
      </c>
      <c r="J95" s="482">
        <f>IFERROR(_xlfn.XLOOKUP(Table10[[#This Row],[Affected Feeder ]],'Basic Data'!$A$43:$A$70,'Basic Data'!$E$43:$E$70),"")</f>
        <v>0.49999999999999978</v>
      </c>
      <c r="K95" s="483" t="s">
        <v>1840</v>
      </c>
      <c r="L95" s="484">
        <v>0.74652777777777779</v>
      </c>
      <c r="M95" s="484">
        <v>0.74652777777777779</v>
      </c>
      <c r="N95" s="484">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483" t="s">
        <v>1912</v>
      </c>
      <c r="S95" s="102" t="s">
        <v>293</v>
      </c>
      <c r="T95" s="485">
        <f>IFERROR(Table10[[#This Row],[Breakdown Time]]*Table10[[#This Row],[Plant Equivalent Weightage]],"")</f>
        <v>0.54999999999999916</v>
      </c>
      <c r="U95" s="102" t="s">
        <v>450</v>
      </c>
      <c r="V95" s="547">
        <f>IFERROR(_xlfn.XLOOKUP(Table10[[#This Row],[Date]],'Daily KPI'!$A:$A,'Daily KPI'!$M:$M),"")</f>
        <v>3.7634574295913192</v>
      </c>
      <c r="W95" s="102">
        <v>154.80000000000001</v>
      </c>
      <c r="X95" s="102">
        <f>Table10[[#This Row],[WTG Loss]]*13*Table10[[#This Row],[Breakdown Time]]</f>
        <v>2213.6399999999976</v>
      </c>
      <c r="Y95" s="102" t="s">
        <v>449</v>
      </c>
      <c r="Z95" s="102"/>
      <c r="AA95" s="102"/>
    </row>
    <row r="96" spans="1:27">
      <c r="A96" s="102">
        <f t="shared" si="1"/>
        <v>95</v>
      </c>
      <c r="B96" s="102">
        <f>YEAR(Table10[[#This Row],[Date]])+IF(MONTH(Table10[[#This Row],[Date]])&gt;=4,1,0)</f>
        <v>2026</v>
      </c>
      <c r="C96" s="102">
        <f>YEAR(Table10[[#This Row],[Date]])</f>
        <v>2025</v>
      </c>
      <c r="D96" s="102" t="s">
        <v>1992</v>
      </c>
      <c r="E96" s="469">
        <f>Table10[[#This Row],[Date]]-DAY(Table10[[#This Row],[Date]])+1</f>
        <v>45778</v>
      </c>
      <c r="F96" s="470">
        <v>45800</v>
      </c>
      <c r="G96" s="102" t="s">
        <v>451</v>
      </c>
      <c r="H96" s="102" t="str">
        <f>IFERROR(_xlfn.XLOOKUP(Table10[[#This Row],[Affected Feeder ]],'Basic Data'!$A$43:$A$70,'Basic Data'!$B$43:$B$70),"")</f>
        <v>TQGXIIPL</v>
      </c>
      <c r="I96" s="102" t="str">
        <f>IFERROR(_xlfn.XLOOKUP(Table10[[#This Row],[Affected Feeder ]],'Basic Data'!$A$43:$A$70,'Basic Data'!$C$43:$C$70),"")</f>
        <v>GEDA</v>
      </c>
      <c r="J96" s="482">
        <f>IFERROR(_xlfn.XLOOKUP(Table10[[#This Row],[Affected Feeder ]],'Basic Data'!$A$43:$A$70,'Basic Data'!$E$43:$E$70),"")</f>
        <v>0.49999999999999978</v>
      </c>
      <c r="K96" s="483" t="s">
        <v>1791</v>
      </c>
      <c r="L96" s="484">
        <v>0.85833333333333328</v>
      </c>
      <c r="M96" s="484">
        <v>0.85833333333333328</v>
      </c>
      <c r="N96" s="484">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483" t="s">
        <v>454</v>
      </c>
      <c r="S96" s="102" t="s">
        <v>293</v>
      </c>
      <c r="T96" s="485">
        <f>IFERROR(Table10[[#This Row],[Breakdown Time]]*Table10[[#This Row],[Plant Equivalent Weightage]],"")</f>
        <v>0.16666666666666732</v>
      </c>
      <c r="U96" s="102" t="s">
        <v>450</v>
      </c>
      <c r="V96" s="547">
        <f>IFERROR(_xlfn.XLOOKUP(Table10[[#This Row],[Date]],'Daily KPI'!$A:$A,'Daily KPI'!$M:$M),"")</f>
        <v>4.8978954647090855</v>
      </c>
      <c r="W96" s="102">
        <v>384</v>
      </c>
      <c r="X96" s="102">
        <f>Table10[[#This Row],[WTG Loss]]*13*Table10[[#This Row],[Breakdown Time]]</f>
        <v>1664.0000000000073</v>
      </c>
      <c r="Y96" s="102" t="s">
        <v>449</v>
      </c>
      <c r="Z96" s="102"/>
      <c r="AA96" s="102"/>
    </row>
    <row r="97" spans="1:27">
      <c r="A97" s="102">
        <f t="shared" si="1"/>
        <v>96</v>
      </c>
      <c r="B97" s="102">
        <f>YEAR(Table10[[#This Row],[Date]])+IF(MONTH(Table10[[#This Row],[Date]])&gt;=4,1,0)</f>
        <v>2026</v>
      </c>
      <c r="C97" s="102">
        <f>YEAR(Table10[[#This Row],[Date]])</f>
        <v>2025</v>
      </c>
      <c r="D97" s="102" t="s">
        <v>1992</v>
      </c>
      <c r="E97" s="469">
        <f>Table10[[#This Row],[Date]]-DAY(Table10[[#This Row],[Date]])+1</f>
        <v>45778</v>
      </c>
      <c r="F97" s="470">
        <v>45801</v>
      </c>
      <c r="G97" s="102" t="s">
        <v>447</v>
      </c>
      <c r="H97" s="102" t="str">
        <f>IFERROR(_xlfn.XLOOKUP(Table10[[#This Row],[Affected Feeder ]],'Basic Data'!$A$43:$A$70,'Basic Data'!$B$43:$B$70),"")</f>
        <v>TQGXIIPL</v>
      </c>
      <c r="I97" s="102" t="str">
        <f>IFERROR(_xlfn.XLOOKUP(Table10[[#This Row],[Affected Feeder ]],'Basic Data'!$A$43:$A$70,'Basic Data'!$C$43:$C$70),"")</f>
        <v>GEDA</v>
      </c>
      <c r="J97" s="482">
        <f>IFERROR(_xlfn.XLOOKUP(Table10[[#This Row],[Affected Feeder ]],'Basic Data'!$A$43:$A$70,'Basic Data'!$E$43:$E$70),"")</f>
        <v>0.49999999999999978</v>
      </c>
      <c r="K97" s="483" t="s">
        <v>1840</v>
      </c>
      <c r="L97" s="484">
        <v>0.39027777777777778</v>
      </c>
      <c r="M97" s="484">
        <v>0.39027777777777778</v>
      </c>
      <c r="N97" s="484">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483" t="s">
        <v>1899</v>
      </c>
      <c r="S97" s="102" t="s">
        <v>293</v>
      </c>
      <c r="T97" s="485">
        <f>IFERROR(Table10[[#This Row],[Breakdown Time]]*Table10[[#This Row],[Plant Equivalent Weightage]],"")</f>
        <v>0.60833333333333295</v>
      </c>
      <c r="U97" s="102" t="s">
        <v>450</v>
      </c>
      <c r="V97" s="547">
        <f>IFERROR(_xlfn.XLOOKUP(Table10[[#This Row],[Date]],'Daily KPI'!$A:$A,'Daily KPI'!$M:$M),"")</f>
        <v>7.5679809963237359</v>
      </c>
      <c r="W97" s="102">
        <v>1490</v>
      </c>
      <c r="X97" s="102">
        <f>Table10[[#This Row],[WTG Loss]]*13*Table10[[#This Row],[Breakdown Time]]</f>
        <v>23566.833333333328</v>
      </c>
      <c r="Y97" s="102" t="s">
        <v>449</v>
      </c>
      <c r="Z97" s="102"/>
      <c r="AA97" s="102"/>
    </row>
    <row r="98" spans="1:27">
      <c r="A98" s="102">
        <f t="shared" si="1"/>
        <v>97</v>
      </c>
      <c r="B98" s="102">
        <f>YEAR(Table10[[#This Row],[Date]])+IF(MONTH(Table10[[#This Row],[Date]])&gt;=4,1,0)</f>
        <v>2026</v>
      </c>
      <c r="C98" s="102">
        <f>YEAR(Table10[[#This Row],[Date]])</f>
        <v>2025</v>
      </c>
      <c r="D98" s="102" t="s">
        <v>1992</v>
      </c>
      <c r="E98" s="469">
        <f>Table10[[#This Row],[Date]]-DAY(Table10[[#This Row],[Date]])+1</f>
        <v>45778</v>
      </c>
      <c r="F98" s="470">
        <v>45801</v>
      </c>
      <c r="G98" s="102" t="s">
        <v>447</v>
      </c>
      <c r="H98" s="102" t="str">
        <f>IFERROR(_xlfn.XLOOKUP(Table10[[#This Row],[Affected Feeder ]],'Basic Data'!$A$43:$A$70,'Basic Data'!$B$43:$B$70),"")</f>
        <v>TQGXIIPL</v>
      </c>
      <c r="I98" s="102" t="str">
        <f>IFERROR(_xlfn.XLOOKUP(Table10[[#This Row],[Affected Feeder ]],'Basic Data'!$A$43:$A$70,'Basic Data'!$C$43:$C$70),"")</f>
        <v>GEDA</v>
      </c>
      <c r="J98" s="482">
        <f>IFERROR(_xlfn.XLOOKUP(Table10[[#This Row],[Affected Feeder ]],'Basic Data'!$A$43:$A$70,'Basic Data'!$E$43:$E$70),"")</f>
        <v>0.49999999999999978</v>
      </c>
      <c r="K98" s="483" t="s">
        <v>1840</v>
      </c>
      <c r="L98" s="484">
        <v>0.71319444444444446</v>
      </c>
      <c r="M98" s="484">
        <v>0.71319444444444446</v>
      </c>
      <c r="N98" s="484">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483" t="s">
        <v>1899</v>
      </c>
      <c r="S98" s="102" t="s">
        <v>293</v>
      </c>
      <c r="T98" s="485">
        <f>IFERROR(Table10[[#This Row],[Breakdown Time]]*Table10[[#This Row],[Plant Equivalent Weightage]],"")</f>
        <v>0.67499999999999993</v>
      </c>
      <c r="U98" s="102" t="s">
        <v>450</v>
      </c>
      <c r="V98" s="547">
        <f>IFERROR(_xlfn.XLOOKUP(Table10[[#This Row],[Date]],'Daily KPI'!$A:$A,'Daily KPI'!$M:$M),"")</f>
        <v>7.5679809963237359</v>
      </c>
      <c r="W98" s="102">
        <v>1490</v>
      </c>
      <c r="X98" s="102">
        <f>Table10[[#This Row],[WTG Loss]]*13*Table10[[#This Row],[Breakdown Time]]</f>
        <v>26149.500000000011</v>
      </c>
      <c r="Y98" s="102" t="s">
        <v>449</v>
      </c>
      <c r="Z98" s="102"/>
      <c r="AA98" s="102"/>
    </row>
    <row r="99" spans="1:27">
      <c r="A99" s="102">
        <f t="shared" si="1"/>
        <v>98</v>
      </c>
      <c r="B99" s="102">
        <f>YEAR(Table10[[#This Row],[Date]])+IF(MONTH(Table10[[#This Row],[Date]])&gt;=4,1,0)</f>
        <v>2026</v>
      </c>
      <c r="C99" s="102">
        <f>YEAR(Table10[[#This Row],[Date]])</f>
        <v>2025</v>
      </c>
      <c r="D99" s="102" t="s">
        <v>1992</v>
      </c>
      <c r="E99" s="469">
        <f>Table10[[#This Row],[Date]]-DAY(Table10[[#This Row],[Date]])+1</f>
        <v>45778</v>
      </c>
      <c r="F99" s="470">
        <v>45801</v>
      </c>
      <c r="G99" s="102" t="s">
        <v>74</v>
      </c>
      <c r="H99" s="102" t="str">
        <f>IFERROR(_xlfn.XLOOKUP(Table10[[#This Row],[Affected Feeder ]],'Basic Data'!$A$43:$A$70,'Basic Data'!$B$43:$B$70),"")</f>
        <v>TQGXIIPL</v>
      </c>
      <c r="I99" s="102" t="str">
        <f>IFERROR(_xlfn.XLOOKUP(Table10[[#This Row],[Affected Feeder ]],'Basic Data'!$A$43:$A$70,'Basic Data'!$C$43:$C$70),"")</f>
        <v>GEDA</v>
      </c>
      <c r="J99" s="482">
        <f>IFERROR(_xlfn.XLOOKUP(Table10[[#This Row],[Affected Feeder ]],'Basic Data'!$A$43:$A$70,'Basic Data'!$E$43:$E$70),"")</f>
        <v>3.846153846153845E-2</v>
      </c>
      <c r="K99" s="483" t="s">
        <v>1887</v>
      </c>
      <c r="L99" s="484">
        <v>0.44097222222222221</v>
      </c>
      <c r="M99" s="484">
        <v>0.44097222222222221</v>
      </c>
      <c r="N99" s="484">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483" t="s">
        <v>1910</v>
      </c>
      <c r="S99" s="102" t="s">
        <v>293</v>
      </c>
      <c r="T99" s="485">
        <f>IFERROR(Table10[[#This Row],[Breakdown Time]]*Table10[[#This Row],[Plant Equivalent Weightage]],"")</f>
        <v>0.25128205128205122</v>
      </c>
      <c r="U99" s="102" t="s">
        <v>450</v>
      </c>
      <c r="V99" s="547">
        <f>IFERROR(_xlfn.XLOOKUP(Table10[[#This Row],[Date]],'Daily KPI'!$A:$A,'Daily KPI'!$M:$M),"")</f>
        <v>7.5679809963237359</v>
      </c>
      <c r="W99" s="102">
        <v>1490</v>
      </c>
      <c r="X99" s="102">
        <f>Table10[[#This Row],[WTG Loss]]*1*Table10[[#This Row],[Breakdown Time]]</f>
        <v>9734.6666666666679</v>
      </c>
      <c r="Y99" s="102" t="s">
        <v>449</v>
      </c>
      <c r="Z99" s="102"/>
      <c r="AA99" s="102"/>
    </row>
    <row r="100" spans="1:27">
      <c r="A100" s="102">
        <f t="shared" si="1"/>
        <v>99</v>
      </c>
      <c r="B100" s="102">
        <f>YEAR(Table10[[#This Row],[Date]])+IF(MONTH(Table10[[#This Row],[Date]])&gt;=4,1,0)</f>
        <v>2026</v>
      </c>
      <c r="C100" s="102">
        <f>YEAR(Table10[[#This Row],[Date]])</f>
        <v>2025</v>
      </c>
      <c r="D100" s="102" t="s">
        <v>1992</v>
      </c>
      <c r="E100" s="469">
        <f>Table10[[#This Row],[Date]]-DAY(Table10[[#This Row],[Date]])+1</f>
        <v>45778</v>
      </c>
      <c r="F100" s="470">
        <v>45801</v>
      </c>
      <c r="G100" s="102" t="s">
        <v>75</v>
      </c>
      <c r="H100" s="102" t="str">
        <f>IFERROR(_xlfn.XLOOKUP(Table10[[#This Row],[Affected Feeder ]],'Basic Data'!$A$43:$A$70,'Basic Data'!$B$43:$B$70),"")</f>
        <v>TQGXIIPL</v>
      </c>
      <c r="I100" s="102" t="str">
        <f>IFERROR(_xlfn.XLOOKUP(Table10[[#This Row],[Affected Feeder ]],'Basic Data'!$A$43:$A$70,'Basic Data'!$C$43:$C$70),"")</f>
        <v>GEDA</v>
      </c>
      <c r="J100" s="482">
        <f>IFERROR(_xlfn.XLOOKUP(Table10[[#This Row],[Affected Feeder ]],'Basic Data'!$A$43:$A$70,'Basic Data'!$E$43:$E$70),"")</f>
        <v>3.846153846153845E-2</v>
      </c>
      <c r="K100" s="483" t="s">
        <v>1888</v>
      </c>
      <c r="L100" s="484">
        <v>0.44097222222222221</v>
      </c>
      <c r="M100" s="484">
        <v>0.44097222222222221</v>
      </c>
      <c r="N100" s="484">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483" t="s">
        <v>1910</v>
      </c>
      <c r="S100" s="102" t="s">
        <v>293</v>
      </c>
      <c r="T100" s="485">
        <f>IFERROR(Table10[[#This Row],[Breakdown Time]]*Table10[[#This Row],[Plant Equivalent Weightage]],"")</f>
        <v>0.25128205128205122</v>
      </c>
      <c r="U100" s="102" t="s">
        <v>450</v>
      </c>
      <c r="V100" s="547">
        <f>IFERROR(_xlfn.XLOOKUP(Table10[[#This Row],[Date]],'Daily KPI'!$A:$A,'Daily KPI'!$M:$M),"")</f>
        <v>7.5679809963237359</v>
      </c>
      <c r="W100" s="102">
        <v>1490</v>
      </c>
      <c r="X100" s="102">
        <f>Table10[[#This Row],[WTG Loss]]*1*Table10[[#This Row],[Breakdown Time]]</f>
        <v>9734.6666666666679</v>
      </c>
      <c r="Y100" s="102" t="s">
        <v>449</v>
      </c>
      <c r="Z100" s="102"/>
      <c r="AA100" s="102"/>
    </row>
    <row r="101" spans="1:27">
      <c r="A101" s="102">
        <f t="shared" si="1"/>
        <v>100</v>
      </c>
      <c r="B101" s="102">
        <f>YEAR(Table10[[#This Row],[Date]])+IF(MONTH(Table10[[#This Row],[Date]])&gt;=4,1,0)</f>
        <v>2026</v>
      </c>
      <c r="C101" s="102">
        <f>YEAR(Table10[[#This Row],[Date]])</f>
        <v>2025</v>
      </c>
      <c r="D101" s="102" t="s">
        <v>1992</v>
      </c>
      <c r="E101" s="469">
        <f>Table10[[#This Row],[Date]]-DAY(Table10[[#This Row],[Date]])+1</f>
        <v>45778</v>
      </c>
      <c r="F101" s="470">
        <v>45801</v>
      </c>
      <c r="G101" s="102" t="s">
        <v>78</v>
      </c>
      <c r="H101" s="102" t="str">
        <f>IFERROR(_xlfn.XLOOKUP(Table10[[#This Row],[Affected Feeder ]],'Basic Data'!$A$43:$A$70,'Basic Data'!$B$43:$B$70),"")</f>
        <v>TQGXIIPL</v>
      </c>
      <c r="I101" s="102" t="str">
        <f>IFERROR(_xlfn.XLOOKUP(Table10[[#This Row],[Affected Feeder ]],'Basic Data'!$A$43:$A$70,'Basic Data'!$C$43:$C$70),"")</f>
        <v>GEDA</v>
      </c>
      <c r="J101" s="482">
        <f>IFERROR(_xlfn.XLOOKUP(Table10[[#This Row],[Affected Feeder ]],'Basic Data'!$A$43:$A$70,'Basic Data'!$E$43:$E$70),"")</f>
        <v>3.846153846153845E-2</v>
      </c>
      <c r="K101" s="483" t="s">
        <v>1890</v>
      </c>
      <c r="L101" s="484">
        <v>0.44097222222222221</v>
      </c>
      <c r="M101" s="484">
        <v>0.44097222222222221</v>
      </c>
      <c r="N101" s="484">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483" t="s">
        <v>1911</v>
      </c>
      <c r="S101" s="102" t="s">
        <v>293</v>
      </c>
      <c r="T101" s="485">
        <f>IFERROR(Table10[[#This Row],[Breakdown Time]]*Table10[[#This Row],[Plant Equivalent Weightage]],"")</f>
        <v>0.25128205128205122</v>
      </c>
      <c r="U101" s="102" t="s">
        <v>450</v>
      </c>
      <c r="V101" s="547">
        <f>IFERROR(_xlfn.XLOOKUP(Table10[[#This Row],[Date]],'Daily KPI'!$A:$A,'Daily KPI'!$M:$M),"")</f>
        <v>7.5679809963237359</v>
      </c>
      <c r="W101" s="102">
        <v>1490</v>
      </c>
      <c r="X101" s="102">
        <f>Table10[[#This Row],[WTG Loss]]*1*Table10[[#This Row],[Breakdown Time]]</f>
        <v>9734.6666666666679</v>
      </c>
      <c r="Y101" s="102" t="s">
        <v>449</v>
      </c>
      <c r="Z101" s="102"/>
      <c r="AA101" s="102"/>
    </row>
    <row r="102" spans="1:27">
      <c r="A102" s="102">
        <f t="shared" si="1"/>
        <v>101</v>
      </c>
      <c r="B102" s="102">
        <f>YEAR(Table10[[#This Row],[Date]])+IF(MONTH(Table10[[#This Row],[Date]])&gt;=4,1,0)</f>
        <v>2026</v>
      </c>
      <c r="C102" s="102">
        <f>YEAR(Table10[[#This Row],[Date]])</f>
        <v>2025</v>
      </c>
      <c r="D102" s="102" t="s">
        <v>1992</v>
      </c>
      <c r="E102" s="469">
        <f>Table10[[#This Row],[Date]]-DAY(Table10[[#This Row],[Date]])+1</f>
        <v>45778</v>
      </c>
      <c r="F102" s="470">
        <v>45801</v>
      </c>
      <c r="G102" s="102" t="s">
        <v>81</v>
      </c>
      <c r="H102" s="102" t="str">
        <f>IFERROR(_xlfn.XLOOKUP(Table10[[#This Row],[Affected Feeder ]],'Basic Data'!$A$43:$A$70,'Basic Data'!$B$43:$B$70),"")</f>
        <v>TQGXIIPL</v>
      </c>
      <c r="I102" s="102" t="str">
        <f>IFERROR(_xlfn.XLOOKUP(Table10[[#This Row],[Affected Feeder ]],'Basic Data'!$A$43:$A$70,'Basic Data'!$C$43:$C$70),"")</f>
        <v>GEDA</v>
      </c>
      <c r="J102" s="482">
        <f>IFERROR(_xlfn.XLOOKUP(Table10[[#This Row],[Affected Feeder ]],'Basic Data'!$A$43:$A$70,'Basic Data'!$E$43:$E$70),"")</f>
        <v>3.846153846153845E-2</v>
      </c>
      <c r="K102" s="483" t="s">
        <v>1891</v>
      </c>
      <c r="L102" s="484">
        <v>0.44097222222222221</v>
      </c>
      <c r="M102" s="484">
        <v>0.44097222222222221</v>
      </c>
      <c r="N102" s="484">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483" t="s">
        <v>1911</v>
      </c>
      <c r="S102" s="102" t="s">
        <v>293</v>
      </c>
      <c r="T102" s="485">
        <f>IFERROR(Table10[[#This Row],[Breakdown Time]]*Table10[[#This Row],[Plant Equivalent Weightage]],"")</f>
        <v>0.25128205128205122</v>
      </c>
      <c r="U102" s="102" t="s">
        <v>450</v>
      </c>
      <c r="V102" s="547">
        <f>IFERROR(_xlfn.XLOOKUP(Table10[[#This Row],[Date]],'Daily KPI'!$A:$A,'Daily KPI'!$M:$M),"")</f>
        <v>7.5679809963237359</v>
      </c>
      <c r="W102" s="102">
        <v>1490</v>
      </c>
      <c r="X102" s="102">
        <f>Table10[[#This Row],[WTG Loss]]*1*Table10[[#This Row],[Breakdown Time]]</f>
        <v>9734.6666666666679</v>
      </c>
      <c r="Y102" s="102" t="s">
        <v>449</v>
      </c>
      <c r="Z102" s="102"/>
      <c r="AA102" s="102"/>
    </row>
    <row r="103" spans="1:27">
      <c r="A103" s="102">
        <f t="shared" ref="A103:A140" si="2">A102+1</f>
        <v>102</v>
      </c>
      <c r="B103" s="102">
        <f>YEAR(Table10[[#This Row],[Date]])+IF(MONTH(Table10[[#This Row],[Date]])&gt;=4,1,0)</f>
        <v>2026</v>
      </c>
      <c r="C103" s="102">
        <f>YEAR(Table10[[#This Row],[Date]])</f>
        <v>2025</v>
      </c>
      <c r="D103" s="102" t="s">
        <v>1992</v>
      </c>
      <c r="E103" s="469">
        <f>Table10[[#This Row],[Date]]-DAY(Table10[[#This Row],[Date]])+1</f>
        <v>45778</v>
      </c>
      <c r="F103" s="470">
        <v>45801</v>
      </c>
      <c r="G103" s="102" t="s">
        <v>82</v>
      </c>
      <c r="H103" s="102" t="str">
        <f>IFERROR(_xlfn.XLOOKUP(Table10[[#This Row],[Affected Feeder ]],'Basic Data'!$A$43:$A$70,'Basic Data'!$B$43:$B$70),"")</f>
        <v>TQGXIIPL</v>
      </c>
      <c r="I103" s="102" t="str">
        <f>IFERROR(_xlfn.XLOOKUP(Table10[[#This Row],[Affected Feeder ]],'Basic Data'!$A$43:$A$70,'Basic Data'!$C$43:$C$70),"")</f>
        <v>GEDA</v>
      </c>
      <c r="J103" s="482">
        <f>IFERROR(_xlfn.XLOOKUP(Table10[[#This Row],[Affected Feeder ]],'Basic Data'!$A$43:$A$70,'Basic Data'!$E$43:$E$70),"")</f>
        <v>3.846153846153845E-2</v>
      </c>
      <c r="K103" s="483" t="s">
        <v>1892</v>
      </c>
      <c r="L103" s="484">
        <v>0.44097222222222221</v>
      </c>
      <c r="M103" s="484">
        <v>0.44097222222222221</v>
      </c>
      <c r="N103" s="484">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483" t="s">
        <v>1910</v>
      </c>
      <c r="S103" s="102" t="s">
        <v>293</v>
      </c>
      <c r="T103" s="485">
        <f>IFERROR(Table10[[#This Row],[Breakdown Time]]*Table10[[#This Row],[Plant Equivalent Weightage]],"")</f>
        <v>0.25128205128205122</v>
      </c>
      <c r="U103" s="102" t="s">
        <v>450</v>
      </c>
      <c r="V103" s="547">
        <f>IFERROR(_xlfn.XLOOKUP(Table10[[#This Row],[Date]],'Daily KPI'!$A:$A,'Daily KPI'!$M:$M),"")</f>
        <v>7.5679809963237359</v>
      </c>
      <c r="W103" s="102">
        <v>1490</v>
      </c>
      <c r="X103" s="102">
        <f>Table10[[#This Row],[WTG Loss]]*1*Table10[[#This Row],[Breakdown Time]]</f>
        <v>9734.6666666666679</v>
      </c>
      <c r="Y103" s="102" t="s">
        <v>449</v>
      </c>
      <c r="Z103" s="102"/>
      <c r="AA103" s="102"/>
    </row>
    <row r="104" spans="1:27">
      <c r="A104" s="102">
        <f t="shared" si="2"/>
        <v>103</v>
      </c>
      <c r="B104" s="102">
        <f>YEAR(Table10[[#This Row],[Date]])+IF(MONTH(Table10[[#This Row],[Date]])&gt;=4,1,0)</f>
        <v>2026</v>
      </c>
      <c r="C104" s="102">
        <f>YEAR(Table10[[#This Row],[Date]])</f>
        <v>2025</v>
      </c>
      <c r="D104" s="102" t="s">
        <v>1992</v>
      </c>
      <c r="E104" s="469">
        <f>Table10[[#This Row],[Date]]-DAY(Table10[[#This Row],[Date]])+1</f>
        <v>45778</v>
      </c>
      <c r="F104" s="470">
        <v>45801</v>
      </c>
      <c r="G104" s="102" t="s">
        <v>98</v>
      </c>
      <c r="H104" s="102" t="str">
        <f>IFERROR(_xlfn.XLOOKUP(Table10[[#This Row],[Affected Feeder ]],'Basic Data'!$A$43:$A$70,'Basic Data'!$B$43:$B$70),"")</f>
        <v>TQGXIIPL</v>
      </c>
      <c r="I104" s="102" t="str">
        <f>IFERROR(_xlfn.XLOOKUP(Table10[[#This Row],[Affected Feeder ]],'Basic Data'!$A$43:$A$70,'Basic Data'!$C$43:$C$70),"")</f>
        <v>GEDA</v>
      </c>
      <c r="J104" s="482">
        <f>IFERROR(_xlfn.XLOOKUP(Table10[[#This Row],[Affected Feeder ]],'Basic Data'!$A$43:$A$70,'Basic Data'!$E$43:$E$70),"")</f>
        <v>3.846153846153845E-2</v>
      </c>
      <c r="K104" s="483" t="s">
        <v>1896</v>
      </c>
      <c r="L104" s="484">
        <v>0.44097222222222221</v>
      </c>
      <c r="M104" s="484">
        <v>0.44097222222222221</v>
      </c>
      <c r="N104" s="484">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483" t="s">
        <v>1910</v>
      </c>
      <c r="S104" s="102" t="s">
        <v>293</v>
      </c>
      <c r="T104" s="485">
        <f>IFERROR(Table10[[#This Row],[Breakdown Time]]*Table10[[#This Row],[Plant Equivalent Weightage]],"")</f>
        <v>0.25128205128205122</v>
      </c>
      <c r="U104" s="102" t="s">
        <v>450</v>
      </c>
      <c r="V104" s="547">
        <f>IFERROR(_xlfn.XLOOKUP(Table10[[#This Row],[Date]],'Daily KPI'!$A:$A,'Daily KPI'!$M:$M),"")</f>
        <v>7.5679809963237359</v>
      </c>
      <c r="W104" s="102">
        <v>1490</v>
      </c>
      <c r="X104" s="102">
        <f>Table10[[#This Row],[WTG Loss]]*1*Table10[[#This Row],[Breakdown Time]]</f>
        <v>9734.6666666666679</v>
      </c>
      <c r="Y104" s="102" t="s">
        <v>449</v>
      </c>
      <c r="Z104" s="102"/>
      <c r="AA104" s="102"/>
    </row>
    <row r="105" spans="1:27">
      <c r="A105" s="102">
        <f t="shared" si="2"/>
        <v>104</v>
      </c>
      <c r="B105" s="102">
        <f>YEAR(Table10[[#This Row],[Date]])+IF(MONTH(Table10[[#This Row],[Date]])&gt;=4,1,0)</f>
        <v>2026</v>
      </c>
      <c r="C105" s="102">
        <f>YEAR(Table10[[#This Row],[Date]])</f>
        <v>2025</v>
      </c>
      <c r="D105" s="102" t="s">
        <v>1992</v>
      </c>
      <c r="E105" s="469">
        <f>Table10[[#This Row],[Date]]-DAY(Table10[[#This Row],[Date]])+1</f>
        <v>45778</v>
      </c>
      <c r="F105" s="470">
        <v>45801</v>
      </c>
      <c r="G105" s="102" t="s">
        <v>99</v>
      </c>
      <c r="H105" s="102" t="str">
        <f>IFERROR(_xlfn.XLOOKUP(Table10[[#This Row],[Affected Feeder ]],'Basic Data'!$A$43:$A$70,'Basic Data'!$B$43:$B$70),"")</f>
        <v>TQGXIIPL</v>
      </c>
      <c r="I105" s="102" t="str">
        <f>IFERROR(_xlfn.XLOOKUP(Table10[[#This Row],[Affected Feeder ]],'Basic Data'!$A$43:$A$70,'Basic Data'!$C$43:$C$70),"")</f>
        <v>GEDA</v>
      </c>
      <c r="J105" s="482">
        <f>IFERROR(_xlfn.XLOOKUP(Table10[[#This Row],[Affected Feeder ]],'Basic Data'!$A$43:$A$70,'Basic Data'!$E$43:$E$70),"")</f>
        <v>3.846153846153845E-2</v>
      </c>
      <c r="K105" s="483" t="s">
        <v>1897</v>
      </c>
      <c r="L105" s="484">
        <v>0.44097222222222221</v>
      </c>
      <c r="M105" s="484">
        <v>0.44097222222222221</v>
      </c>
      <c r="N105" s="484">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483" t="s">
        <v>1910</v>
      </c>
      <c r="S105" s="102" t="s">
        <v>293</v>
      </c>
      <c r="T105" s="485">
        <f>IFERROR(Table10[[#This Row],[Breakdown Time]]*Table10[[#This Row],[Plant Equivalent Weightage]],"")</f>
        <v>0.25128205128205122</v>
      </c>
      <c r="U105" s="102" t="s">
        <v>450</v>
      </c>
      <c r="V105" s="547">
        <f>IFERROR(_xlfn.XLOOKUP(Table10[[#This Row],[Date]],'Daily KPI'!$A:$A,'Daily KPI'!$M:$M),"")</f>
        <v>7.5679809963237359</v>
      </c>
      <c r="W105" s="102">
        <v>1490</v>
      </c>
      <c r="X105" s="102">
        <f>Table10[[#This Row],[WTG Loss]]*1*Table10[[#This Row],[Breakdown Time]]</f>
        <v>9734.6666666666679</v>
      </c>
      <c r="Y105" s="102" t="s">
        <v>449</v>
      </c>
      <c r="Z105" s="102"/>
      <c r="AA105" s="102"/>
    </row>
    <row r="106" spans="1:27">
      <c r="A106" s="102">
        <f t="shared" si="2"/>
        <v>105</v>
      </c>
      <c r="B106" s="102">
        <f>YEAR(Table10[[#This Row],[Date]])+IF(MONTH(Table10[[#This Row],[Date]])&gt;=4,1,0)</f>
        <v>2026</v>
      </c>
      <c r="C106" s="102">
        <f>YEAR(Table10[[#This Row],[Date]])</f>
        <v>2025</v>
      </c>
      <c r="D106" s="102" t="s">
        <v>1992</v>
      </c>
      <c r="E106" s="469">
        <f>Table10[[#This Row],[Date]]-DAY(Table10[[#This Row],[Date]])+1</f>
        <v>45778</v>
      </c>
      <c r="F106" s="470">
        <v>45802</v>
      </c>
      <c r="G106" s="102" t="s">
        <v>447</v>
      </c>
      <c r="H106" s="102" t="str">
        <f>IFERROR(_xlfn.XLOOKUP(Table10[[#This Row],[Affected Feeder ]],'Basic Data'!$A$43:$A$70,'Basic Data'!$B$43:$B$70),"")</f>
        <v>TQGXIIPL</v>
      </c>
      <c r="I106" s="102" t="str">
        <f>IFERROR(_xlfn.XLOOKUP(Table10[[#This Row],[Affected Feeder ]],'Basic Data'!$A$43:$A$70,'Basic Data'!$C$43:$C$70),"")</f>
        <v>GEDA</v>
      </c>
      <c r="J106" s="482">
        <f>IFERROR(_xlfn.XLOOKUP(Table10[[#This Row],[Affected Feeder ]],'Basic Data'!$A$43:$A$70,'Basic Data'!$E$43:$E$70),"")</f>
        <v>0.49999999999999978</v>
      </c>
      <c r="K106" s="483" t="s">
        <v>1903</v>
      </c>
      <c r="L106" s="484">
        <v>0.39583333333333331</v>
      </c>
      <c r="M106" s="484">
        <v>0.39583333333333331</v>
      </c>
      <c r="N106" s="484">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483" t="s">
        <v>1899</v>
      </c>
      <c r="S106" s="102" t="s">
        <v>293</v>
      </c>
      <c r="T106" s="485">
        <f>IFERROR(Table10[[#This Row],[Breakdown Time]]*Table10[[#This Row],[Plant Equivalent Weightage]],"")</f>
        <v>0.41666666666666702</v>
      </c>
      <c r="U106" s="102" t="s">
        <v>450</v>
      </c>
      <c r="V106" s="547">
        <f>IFERROR(_xlfn.XLOOKUP(Table10[[#This Row],[Date]],'Daily KPI'!$A:$A,'Daily KPI'!$M:$M),"")</f>
        <v>7.6819230769230789</v>
      </c>
      <c r="W106" s="102">
        <v>1543.5</v>
      </c>
      <c r="X106" s="102">
        <f>Table10[[#This Row],[WTG Loss]]*13*Table10[[#This Row],[Breakdown Time]]</f>
        <v>16721.250000000022</v>
      </c>
      <c r="Y106" s="102" t="s">
        <v>449</v>
      </c>
      <c r="Z106" s="102"/>
      <c r="AA106" s="102"/>
    </row>
    <row r="107" spans="1:27">
      <c r="A107" s="102">
        <f t="shared" si="2"/>
        <v>106</v>
      </c>
      <c r="B107" s="102">
        <f>YEAR(Table10[[#This Row],[Date]])+IF(MONTH(Table10[[#This Row],[Date]])&gt;=4,1,0)</f>
        <v>2026</v>
      </c>
      <c r="C107" s="102">
        <f>YEAR(Table10[[#This Row],[Date]])</f>
        <v>2025</v>
      </c>
      <c r="D107" s="102" t="s">
        <v>1992</v>
      </c>
      <c r="E107" s="469">
        <f>Table10[[#This Row],[Date]]-DAY(Table10[[#This Row],[Date]])+1</f>
        <v>45778</v>
      </c>
      <c r="F107" s="470">
        <v>45802</v>
      </c>
      <c r="G107" s="102" t="s">
        <v>447</v>
      </c>
      <c r="H107" s="102" t="str">
        <f>IFERROR(_xlfn.XLOOKUP(Table10[[#This Row],[Affected Feeder ]],'Basic Data'!$A$43:$A$70,'Basic Data'!$B$43:$B$70),"")</f>
        <v>TQGXIIPL</v>
      </c>
      <c r="I107" s="102" t="str">
        <f>IFERROR(_xlfn.XLOOKUP(Table10[[#This Row],[Affected Feeder ]],'Basic Data'!$A$43:$A$70,'Basic Data'!$C$43:$C$70),"")</f>
        <v>GEDA</v>
      </c>
      <c r="J107" s="482">
        <f>IFERROR(_xlfn.XLOOKUP(Table10[[#This Row],[Affected Feeder ]],'Basic Data'!$A$43:$A$70,'Basic Data'!$E$43:$E$70),"")</f>
        <v>0.49999999999999978</v>
      </c>
      <c r="K107" s="483" t="s">
        <v>1904</v>
      </c>
      <c r="L107" s="484">
        <v>0.65416666666666667</v>
      </c>
      <c r="M107" s="484">
        <v>0.65416666666666667</v>
      </c>
      <c r="N107" s="484">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483" t="s">
        <v>1908</v>
      </c>
      <c r="S107" s="102" t="s">
        <v>293</v>
      </c>
      <c r="T107" s="485">
        <f>IFERROR(Table10[[#This Row],[Breakdown Time]]*Table10[[#This Row],[Plant Equivalent Weightage]],"")</f>
        <v>0.61666666666666692</v>
      </c>
      <c r="U107" s="102" t="s">
        <v>450</v>
      </c>
      <c r="V107" s="547">
        <f>IFERROR(_xlfn.XLOOKUP(Table10[[#This Row],[Date]],'Daily KPI'!$A:$A,'Daily KPI'!$M:$M),"")</f>
        <v>7.6819230769230789</v>
      </c>
      <c r="W107" s="102">
        <v>1543.5</v>
      </c>
      <c r="X107" s="102">
        <f>Table10[[#This Row],[WTG Loss]]*13*Table10[[#This Row],[Breakdown Time]]</f>
        <v>24747.450000000019</v>
      </c>
      <c r="Y107" s="102" t="s">
        <v>449</v>
      </c>
      <c r="Z107" s="102"/>
      <c r="AA107" s="102"/>
    </row>
    <row r="108" spans="1:27">
      <c r="A108" s="102">
        <f t="shared" si="2"/>
        <v>107</v>
      </c>
      <c r="B108" s="102">
        <f>YEAR(Table10[[#This Row],[Date]])+IF(MONTH(Table10[[#This Row],[Date]])&gt;=4,1,0)</f>
        <v>2026</v>
      </c>
      <c r="C108" s="102">
        <f>YEAR(Table10[[#This Row],[Date]])</f>
        <v>2025</v>
      </c>
      <c r="D108" s="102" t="s">
        <v>1992</v>
      </c>
      <c r="E108" s="469">
        <f>Table10[[#This Row],[Date]]-DAY(Table10[[#This Row],[Date]])+1</f>
        <v>45778</v>
      </c>
      <c r="F108" s="470">
        <v>45802</v>
      </c>
      <c r="G108" s="102" t="s">
        <v>78</v>
      </c>
      <c r="H108" s="102" t="str">
        <f>IFERROR(_xlfn.XLOOKUP(Table10[[#This Row],[Affected Feeder ]],'Basic Data'!$A$43:$A$70,'Basic Data'!$B$43:$B$70),"")</f>
        <v>TQGXIIPL</v>
      </c>
      <c r="I108" s="102" t="str">
        <f>IFERROR(_xlfn.XLOOKUP(Table10[[#This Row],[Affected Feeder ]],'Basic Data'!$A$43:$A$70,'Basic Data'!$C$43:$C$70),"")</f>
        <v>GEDA</v>
      </c>
      <c r="J108" s="482">
        <f>IFERROR(_xlfn.XLOOKUP(Table10[[#This Row],[Affected Feeder ]],'Basic Data'!$A$43:$A$70,'Basic Data'!$E$43:$E$70),"")</f>
        <v>3.846153846153845E-2</v>
      </c>
      <c r="K108" s="483" t="s">
        <v>1890</v>
      </c>
      <c r="L108" s="484">
        <v>0.43055555555555558</v>
      </c>
      <c r="M108" s="484">
        <v>0.43055555555555558</v>
      </c>
      <c r="N108" s="484">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483" t="s">
        <v>1910</v>
      </c>
      <c r="S108" s="102" t="s">
        <v>293</v>
      </c>
      <c r="T108" s="485">
        <f>IFERROR(Table10[[#This Row],[Breakdown Time]]*Table10[[#This Row],[Plant Equivalent Weightage]],"")</f>
        <v>0.20641025641025634</v>
      </c>
      <c r="U108" s="102" t="s">
        <v>450</v>
      </c>
      <c r="V108" s="547">
        <f>IFERROR(_xlfn.XLOOKUP(Table10[[#This Row],[Date]],'Daily KPI'!$A:$A,'Daily KPI'!$M:$M),"")</f>
        <v>7.6819230769230789</v>
      </c>
      <c r="W108" s="102">
        <v>1543.5</v>
      </c>
      <c r="X108" s="102">
        <f>Table10[[#This Row],[WTG Loss]]*1*Table10[[#This Row],[Breakdown Time]]</f>
        <v>8283.4499999999989</v>
      </c>
      <c r="Y108" s="102" t="s">
        <v>449</v>
      </c>
      <c r="Z108" s="102"/>
      <c r="AA108" s="102"/>
    </row>
    <row r="109" spans="1:27">
      <c r="A109" s="102">
        <f t="shared" si="2"/>
        <v>108</v>
      </c>
      <c r="B109" s="102">
        <f>YEAR(Table10[[#This Row],[Date]])+IF(MONTH(Table10[[#This Row],[Date]])&gt;=4,1,0)</f>
        <v>2026</v>
      </c>
      <c r="C109" s="102">
        <f>YEAR(Table10[[#This Row],[Date]])</f>
        <v>2025</v>
      </c>
      <c r="D109" s="102" t="s">
        <v>1992</v>
      </c>
      <c r="E109" s="469">
        <f>Table10[[#This Row],[Date]]-DAY(Table10[[#This Row],[Date]])+1</f>
        <v>45778</v>
      </c>
      <c r="F109" s="470">
        <v>45802</v>
      </c>
      <c r="G109" s="102" t="s">
        <v>98</v>
      </c>
      <c r="H109" s="102" t="str">
        <f>IFERROR(_xlfn.XLOOKUP(Table10[[#This Row],[Affected Feeder ]],'Basic Data'!$A$43:$A$70,'Basic Data'!$B$43:$B$70),"")</f>
        <v>TQGXIIPL</v>
      </c>
      <c r="I109" s="102" t="str">
        <f>IFERROR(_xlfn.XLOOKUP(Table10[[#This Row],[Affected Feeder ]],'Basic Data'!$A$43:$A$70,'Basic Data'!$C$43:$C$70),"")</f>
        <v>GEDA</v>
      </c>
      <c r="J109" s="482">
        <f>IFERROR(_xlfn.XLOOKUP(Table10[[#This Row],[Affected Feeder ]],'Basic Data'!$A$43:$A$70,'Basic Data'!$E$43:$E$70),"")</f>
        <v>3.846153846153845E-2</v>
      </c>
      <c r="K109" s="483" t="s">
        <v>1896</v>
      </c>
      <c r="L109" s="484">
        <v>0.43055555555555558</v>
      </c>
      <c r="M109" s="484">
        <v>0.43055555555555558</v>
      </c>
      <c r="N109" s="484">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483" t="s">
        <v>1910</v>
      </c>
      <c r="S109" s="102" t="s">
        <v>293</v>
      </c>
      <c r="T109" s="485">
        <f>IFERROR(Table10[[#This Row],[Breakdown Time]]*Table10[[#This Row],[Plant Equivalent Weightage]],"")</f>
        <v>0.20641025641025634</v>
      </c>
      <c r="U109" s="102" t="s">
        <v>450</v>
      </c>
      <c r="V109" s="547">
        <f>IFERROR(_xlfn.XLOOKUP(Table10[[#This Row],[Date]],'Daily KPI'!$A:$A,'Daily KPI'!$M:$M),"")</f>
        <v>7.6819230769230789</v>
      </c>
      <c r="W109" s="102">
        <v>1543.5</v>
      </c>
      <c r="X109" s="102">
        <f>Table10[[#This Row],[WTG Loss]]*1*Table10[[#This Row],[Breakdown Time]]</f>
        <v>8283.4499999999989</v>
      </c>
      <c r="Y109" s="102" t="s">
        <v>449</v>
      </c>
      <c r="Z109" s="102"/>
      <c r="AA109" s="102"/>
    </row>
    <row r="110" spans="1:27">
      <c r="A110" s="102">
        <f t="shared" si="2"/>
        <v>109</v>
      </c>
      <c r="B110" s="102">
        <f>YEAR(Table10[[#This Row],[Date]])+IF(MONTH(Table10[[#This Row],[Date]])&gt;=4,1,0)</f>
        <v>2026</v>
      </c>
      <c r="C110" s="102">
        <f>YEAR(Table10[[#This Row],[Date]])</f>
        <v>2025</v>
      </c>
      <c r="D110" s="102" t="s">
        <v>1992</v>
      </c>
      <c r="E110" s="469">
        <f>Table10[[#This Row],[Date]]-DAY(Table10[[#This Row],[Date]])+1</f>
        <v>45778</v>
      </c>
      <c r="F110" s="470">
        <v>45802</v>
      </c>
      <c r="G110" s="102" t="s">
        <v>75</v>
      </c>
      <c r="H110" s="102" t="str">
        <f>IFERROR(_xlfn.XLOOKUP(Table10[[#This Row],[Affected Feeder ]],'Basic Data'!$A$43:$A$70,'Basic Data'!$B$43:$B$70),"")</f>
        <v>TQGXIIPL</v>
      </c>
      <c r="I110" s="102" t="str">
        <f>IFERROR(_xlfn.XLOOKUP(Table10[[#This Row],[Affected Feeder ]],'Basic Data'!$A$43:$A$70,'Basic Data'!$C$43:$C$70),"")</f>
        <v>GEDA</v>
      </c>
      <c r="J110" s="482">
        <f>IFERROR(_xlfn.XLOOKUP(Table10[[#This Row],[Affected Feeder ]],'Basic Data'!$A$43:$A$70,'Basic Data'!$E$43:$E$70),"")</f>
        <v>3.846153846153845E-2</v>
      </c>
      <c r="K110" s="483" t="s">
        <v>1888</v>
      </c>
      <c r="L110" s="484">
        <v>0.43055555555555558</v>
      </c>
      <c r="M110" s="484">
        <v>0.43055555555555558</v>
      </c>
      <c r="N110" s="484">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483" t="s">
        <v>1910</v>
      </c>
      <c r="S110" s="102" t="s">
        <v>293</v>
      </c>
      <c r="T110" s="485">
        <f>IFERROR(Table10[[#This Row],[Breakdown Time]]*Table10[[#This Row],[Plant Equivalent Weightage]],"")</f>
        <v>0.20641025641025634</v>
      </c>
      <c r="U110" s="102" t="s">
        <v>450</v>
      </c>
      <c r="V110" s="547">
        <f>IFERROR(_xlfn.XLOOKUP(Table10[[#This Row],[Date]],'Daily KPI'!$A:$A,'Daily KPI'!$M:$M),"")</f>
        <v>7.6819230769230789</v>
      </c>
      <c r="W110" s="102">
        <v>1543.5</v>
      </c>
      <c r="X110" s="102">
        <f>Table10[[#This Row],[WTG Loss]]*1*Table10[[#This Row],[Breakdown Time]]</f>
        <v>8283.4499999999989</v>
      </c>
      <c r="Y110" s="102" t="s">
        <v>449</v>
      </c>
      <c r="Z110" s="102"/>
      <c r="AA110" s="102"/>
    </row>
    <row r="111" spans="1:27">
      <c r="A111" s="102">
        <f t="shared" si="2"/>
        <v>110</v>
      </c>
      <c r="B111" s="102">
        <f>YEAR(Table10[[#This Row],[Date]])+IF(MONTH(Table10[[#This Row],[Date]])&gt;=4,1,0)</f>
        <v>2026</v>
      </c>
      <c r="C111" s="102">
        <f>YEAR(Table10[[#This Row],[Date]])</f>
        <v>2025</v>
      </c>
      <c r="D111" s="102" t="s">
        <v>1992</v>
      </c>
      <c r="E111" s="469">
        <f>Table10[[#This Row],[Date]]-DAY(Table10[[#This Row],[Date]])+1</f>
        <v>45778</v>
      </c>
      <c r="F111" s="470">
        <v>45803</v>
      </c>
      <c r="G111" s="102" t="s">
        <v>447</v>
      </c>
      <c r="H111" s="102" t="str">
        <f>IFERROR(_xlfn.XLOOKUP(Table10[[#This Row],[Affected Feeder ]],'Basic Data'!$A$43:$A$70,'Basic Data'!$B$43:$B$70),"")</f>
        <v>TQGXIIPL</v>
      </c>
      <c r="I111" s="102" t="str">
        <f>IFERROR(_xlfn.XLOOKUP(Table10[[#This Row],[Affected Feeder ]],'Basic Data'!$A$43:$A$70,'Basic Data'!$C$43:$C$70),"")</f>
        <v>GEDA</v>
      </c>
      <c r="J111" s="482">
        <f>IFERROR(_xlfn.XLOOKUP(Table10[[#This Row],[Affected Feeder ]],'Basic Data'!$A$43:$A$70,'Basic Data'!$E$43:$E$70),"")</f>
        <v>0.49999999999999978</v>
      </c>
      <c r="K111" s="483" t="s">
        <v>1904</v>
      </c>
      <c r="L111" s="484">
        <v>2.5694444444444443E-2</v>
      </c>
      <c r="M111" s="484">
        <v>2.5694444444444443E-2</v>
      </c>
      <c r="N111" s="484">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483" t="s">
        <v>1908</v>
      </c>
      <c r="S111" s="102" t="s">
        <v>293</v>
      </c>
      <c r="T111" s="485">
        <f>IFERROR(Table10[[#This Row],[Breakdown Time]]*Table10[[#This Row],[Plant Equivalent Weightage]],"")</f>
        <v>0.11666666666666661</v>
      </c>
      <c r="U111" s="102" t="s">
        <v>450</v>
      </c>
      <c r="V111" s="547">
        <f>IFERROR(_xlfn.XLOOKUP(Table10[[#This Row],[Date]],'Daily KPI'!$A:$A,'Daily KPI'!$M:$M),"")</f>
        <v>7.1199999999999992</v>
      </c>
      <c r="W111" s="102">
        <v>1222.5</v>
      </c>
      <c r="X111" s="102">
        <f>Table10[[#This Row],[WTG Loss]]*13*Table10[[#This Row],[Breakdown Time]]</f>
        <v>3708.25</v>
      </c>
      <c r="Y111" s="102" t="s">
        <v>449</v>
      </c>
      <c r="Z111" s="102"/>
      <c r="AA111" s="102"/>
    </row>
    <row r="112" spans="1:27">
      <c r="A112" s="102">
        <f t="shared" si="2"/>
        <v>111</v>
      </c>
      <c r="B112" s="102">
        <f>YEAR(Table10[[#This Row],[Date]])+IF(MONTH(Table10[[#This Row],[Date]])&gt;=4,1,0)</f>
        <v>2026</v>
      </c>
      <c r="C112" s="102">
        <f>YEAR(Table10[[#This Row],[Date]])</f>
        <v>2025</v>
      </c>
      <c r="D112" s="102" t="s">
        <v>1992</v>
      </c>
      <c r="E112" s="469">
        <f>Table10[[#This Row],[Date]]-DAY(Table10[[#This Row],[Date]])+1</f>
        <v>45778</v>
      </c>
      <c r="F112" s="470">
        <v>45803</v>
      </c>
      <c r="G112" s="102" t="s">
        <v>451</v>
      </c>
      <c r="H112" s="102" t="str">
        <f>IFERROR(_xlfn.XLOOKUP(Table10[[#This Row],[Affected Feeder ]],'Basic Data'!$A$43:$A$70,'Basic Data'!$B$43:$B$70),"")</f>
        <v>TQGXIIPL</v>
      </c>
      <c r="I112" s="102" t="str">
        <f>IFERROR(_xlfn.XLOOKUP(Table10[[#This Row],[Affected Feeder ]],'Basic Data'!$A$43:$A$70,'Basic Data'!$C$43:$C$70),"")</f>
        <v>GEDA</v>
      </c>
      <c r="J112" s="482">
        <f>IFERROR(_xlfn.XLOOKUP(Table10[[#This Row],[Affected Feeder ]],'Basic Data'!$A$43:$A$70,'Basic Data'!$E$43:$E$70),"")</f>
        <v>0.49999999999999978</v>
      </c>
      <c r="K112" s="483" t="s">
        <v>1791</v>
      </c>
      <c r="L112" s="484">
        <v>1.3888888888888889E-3</v>
      </c>
      <c r="M112" s="484">
        <v>1.3888888888888889E-3</v>
      </c>
      <c r="N112" s="484">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483" t="s">
        <v>454</v>
      </c>
      <c r="S112" s="102" t="s">
        <v>293</v>
      </c>
      <c r="T112" s="485">
        <f>IFERROR(Table10[[#This Row],[Breakdown Time]]*Table10[[#This Row],[Plant Equivalent Weightage]],"")</f>
        <v>0.41666666666666646</v>
      </c>
      <c r="U112" s="102" t="s">
        <v>450</v>
      </c>
      <c r="V112" s="547">
        <f>IFERROR(_xlfn.XLOOKUP(Table10[[#This Row],[Date]],'Daily KPI'!$A:$A,'Daily KPI'!$M:$M),"")</f>
        <v>7.1199999999999992</v>
      </c>
      <c r="W112" s="102">
        <v>1222.5</v>
      </c>
      <c r="X112" s="102">
        <f>Table10[[#This Row],[WTG Loss]]*13*Table10[[#This Row],[Breakdown Time]]</f>
        <v>13243.749999999998</v>
      </c>
      <c r="Y112" s="102" t="s">
        <v>449</v>
      </c>
      <c r="Z112" s="102"/>
      <c r="AA112" s="102"/>
    </row>
    <row r="113" spans="1:27">
      <c r="A113" s="102">
        <f t="shared" si="2"/>
        <v>112</v>
      </c>
      <c r="B113" s="102">
        <f>YEAR(Table10[[#This Row],[Date]])+IF(MONTH(Table10[[#This Row],[Date]])&gt;=4,1,0)</f>
        <v>2026</v>
      </c>
      <c r="C113" s="102">
        <f>YEAR(Table10[[#This Row],[Date]])</f>
        <v>2025</v>
      </c>
      <c r="D113" s="102" t="s">
        <v>1992</v>
      </c>
      <c r="E113" s="469">
        <f>Table10[[#This Row],[Date]]-DAY(Table10[[#This Row],[Date]])+1</f>
        <v>45778</v>
      </c>
      <c r="F113" s="470">
        <v>45804</v>
      </c>
      <c r="G113" s="102" t="s">
        <v>447</v>
      </c>
      <c r="H113" s="102" t="str">
        <f>IFERROR(_xlfn.XLOOKUP(Table10[[#This Row],[Affected Feeder ]],'Basic Data'!$A$43:$A$70,'Basic Data'!$B$43:$B$70),"")</f>
        <v>TQGXIIPL</v>
      </c>
      <c r="I113" s="102" t="str">
        <f>IFERROR(_xlfn.XLOOKUP(Table10[[#This Row],[Affected Feeder ]],'Basic Data'!$A$43:$A$70,'Basic Data'!$C$43:$C$70),"")</f>
        <v>GEDA</v>
      </c>
      <c r="J113" s="482">
        <f>IFERROR(_xlfn.XLOOKUP(Table10[[#This Row],[Affected Feeder ]],'Basic Data'!$A$43:$A$70,'Basic Data'!$E$43:$E$70),"")</f>
        <v>0.49999999999999978</v>
      </c>
      <c r="K113" s="483" t="s">
        <v>1907</v>
      </c>
      <c r="L113" s="484">
        <v>0.44166666666666665</v>
      </c>
      <c r="M113" s="484">
        <v>0.44166666666666665</v>
      </c>
      <c r="N113" s="484">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483" t="s">
        <v>1908</v>
      </c>
      <c r="S113" s="102" t="s">
        <v>293</v>
      </c>
      <c r="T113" s="485">
        <f>IFERROR(Table10[[#This Row],[Breakdown Time]]*Table10[[#This Row],[Plant Equivalent Weightage]],"")</f>
        <v>1.4749999999999994</v>
      </c>
      <c r="U113" s="102" t="s">
        <v>450</v>
      </c>
      <c r="V113" s="547">
        <f>IFERROR(_xlfn.XLOOKUP(Table10[[#This Row],[Date]],'Daily KPI'!$A:$A,'Daily KPI'!$M:$M),"")</f>
        <v>9.4784615384615396</v>
      </c>
      <c r="W113" s="102">
        <v>2435.5</v>
      </c>
      <c r="X113" s="102">
        <f>Table10[[#This Row],[WTG Loss]]*13*Table10[[#This Row],[Breakdown Time]]</f>
        <v>93401.425000000003</v>
      </c>
      <c r="Y113" s="102" t="s">
        <v>449</v>
      </c>
      <c r="Z113" s="102"/>
      <c r="AA113" s="102"/>
    </row>
    <row r="114" spans="1:27">
      <c r="A114" s="102">
        <f t="shared" si="2"/>
        <v>113</v>
      </c>
      <c r="B114" s="102">
        <f>YEAR(Table10[[#This Row],[Date]])+IF(MONTH(Table10[[#This Row],[Date]])&gt;=4,1,0)</f>
        <v>2026</v>
      </c>
      <c r="C114" s="102">
        <f>YEAR(Table10[[#This Row],[Date]])</f>
        <v>2025</v>
      </c>
      <c r="D114" s="102" t="s">
        <v>1992</v>
      </c>
      <c r="E114" s="469">
        <f>Table10[[#This Row],[Date]]-DAY(Table10[[#This Row],[Date]])+1</f>
        <v>45778</v>
      </c>
      <c r="F114" s="470">
        <v>45805</v>
      </c>
      <c r="G114" s="102" t="s">
        <v>447</v>
      </c>
      <c r="H114" s="102" t="str">
        <f>IFERROR(_xlfn.XLOOKUP(Table10[[#This Row],[Affected Feeder ]],'Basic Data'!$A$43:$A$70,'Basic Data'!$B$43:$B$70),"")</f>
        <v>TQGXIIPL</v>
      </c>
      <c r="I114" s="102" t="str">
        <f>IFERROR(_xlfn.XLOOKUP(Table10[[#This Row],[Affected Feeder ]],'Basic Data'!$A$43:$A$70,'Basic Data'!$C$43:$C$70),"")</f>
        <v>GEDA</v>
      </c>
      <c r="J114" s="482">
        <f>IFERROR(_xlfn.XLOOKUP(Table10[[#This Row],[Affected Feeder ]],'Basic Data'!$A$43:$A$70,'Basic Data'!$E$43:$E$70),"")</f>
        <v>0.49999999999999978</v>
      </c>
      <c r="K114" s="483" t="s">
        <v>1903</v>
      </c>
      <c r="L114" s="484">
        <v>0.38333333333333336</v>
      </c>
      <c r="M114" s="484">
        <v>0.38333333333333336</v>
      </c>
      <c r="N114" s="484">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483" t="s">
        <v>1899</v>
      </c>
      <c r="S114" s="102" t="s">
        <v>293</v>
      </c>
      <c r="T114" s="485">
        <f>IFERROR(Table10[[#This Row],[Breakdown Time]]*Table10[[#This Row],[Plant Equivalent Weightage]],"")</f>
        <v>0.24166666666666636</v>
      </c>
      <c r="U114" s="102" t="s">
        <v>450</v>
      </c>
      <c r="V114" s="547">
        <f>IFERROR(_xlfn.XLOOKUP(Table10[[#This Row],[Date]],'Daily KPI'!$A:$A,'Daily KPI'!$M:$M),"")</f>
        <v>8.4200000000000017</v>
      </c>
      <c r="W114" s="102">
        <v>1922.8</v>
      </c>
      <c r="X114" s="102">
        <f>Table10[[#This Row],[WTG Loss]]*13*Table10[[#This Row],[Breakdown Time]]</f>
        <v>12081.593333333323</v>
      </c>
      <c r="Y114" s="102" t="s">
        <v>449</v>
      </c>
      <c r="Z114" s="102"/>
      <c r="AA114" s="102"/>
    </row>
    <row r="115" spans="1:27">
      <c r="A115" s="102">
        <f t="shared" si="2"/>
        <v>114</v>
      </c>
      <c r="B115" s="102">
        <f>YEAR(Table10[[#This Row],[Date]])+IF(MONTH(Table10[[#This Row],[Date]])&gt;=4,1,0)</f>
        <v>2026</v>
      </c>
      <c r="C115" s="102">
        <f>YEAR(Table10[[#This Row],[Date]])</f>
        <v>2025</v>
      </c>
      <c r="D115" s="102" t="s">
        <v>1992</v>
      </c>
      <c r="E115" s="469">
        <f>Table10[[#This Row],[Date]]-DAY(Table10[[#This Row],[Date]])+1</f>
        <v>45778</v>
      </c>
      <c r="F115" s="470">
        <v>45805</v>
      </c>
      <c r="G115" s="102" t="s">
        <v>447</v>
      </c>
      <c r="H115" s="102" t="str">
        <f>IFERROR(_xlfn.XLOOKUP(Table10[[#This Row],[Affected Feeder ]],'Basic Data'!$A$43:$A$70,'Basic Data'!$B$43:$B$70),"")</f>
        <v>TQGXIIPL</v>
      </c>
      <c r="I115" s="102" t="str">
        <f>IFERROR(_xlfn.XLOOKUP(Table10[[#This Row],[Affected Feeder ]],'Basic Data'!$A$43:$A$70,'Basic Data'!$C$43:$C$70),"")</f>
        <v>GEDA</v>
      </c>
      <c r="J115" s="482">
        <f>IFERROR(_xlfn.XLOOKUP(Table10[[#This Row],[Affected Feeder ]],'Basic Data'!$A$43:$A$70,'Basic Data'!$E$43:$E$70),"")</f>
        <v>0.49999999999999978</v>
      </c>
      <c r="K115" s="483" t="s">
        <v>1903</v>
      </c>
      <c r="L115" s="484">
        <v>0.4826388888888889</v>
      </c>
      <c r="M115" s="484">
        <v>0.4826388888888889</v>
      </c>
      <c r="N115" s="484">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483" t="s">
        <v>1899</v>
      </c>
      <c r="S115" s="102" t="s">
        <v>293</v>
      </c>
      <c r="T115" s="485">
        <f>IFERROR(Table10[[#This Row],[Breakdown Time]]*Table10[[#This Row],[Plant Equivalent Weightage]],"")</f>
        <v>0.53333333333333321</v>
      </c>
      <c r="U115" s="102" t="s">
        <v>450</v>
      </c>
      <c r="V115" s="547">
        <f>IFERROR(_xlfn.XLOOKUP(Table10[[#This Row],[Date]],'Daily KPI'!$A:$A,'Daily KPI'!$M:$M),"")</f>
        <v>8.4200000000000017</v>
      </c>
      <c r="W115" s="102">
        <v>1922.8</v>
      </c>
      <c r="X115" s="102">
        <f>Table10[[#This Row],[WTG Loss]]*13*Table10[[#This Row],[Breakdown Time]]</f>
        <v>26662.826666666668</v>
      </c>
      <c r="Y115" s="102" t="s">
        <v>449</v>
      </c>
      <c r="Z115" s="102"/>
      <c r="AA115" s="102"/>
    </row>
    <row r="116" spans="1:27">
      <c r="A116" s="102">
        <f t="shared" si="2"/>
        <v>115</v>
      </c>
      <c r="B116" s="102">
        <f>YEAR(Table10[[#This Row],[Date]])+IF(MONTH(Table10[[#This Row],[Date]])&gt;=4,1,0)</f>
        <v>2026</v>
      </c>
      <c r="C116" s="102">
        <f>YEAR(Table10[[#This Row],[Date]])</f>
        <v>2025</v>
      </c>
      <c r="D116" s="102" t="s">
        <v>1992</v>
      </c>
      <c r="E116" s="469">
        <f>Table10[[#This Row],[Date]]-DAY(Table10[[#This Row],[Date]])+1</f>
        <v>45778</v>
      </c>
      <c r="F116" s="470">
        <v>45805</v>
      </c>
      <c r="G116" s="102" t="s">
        <v>74</v>
      </c>
      <c r="H116" s="102" t="str">
        <f>IFERROR(_xlfn.XLOOKUP(Table10[[#This Row],[Affected Feeder ]],'Basic Data'!$A$43:$A$70,'Basic Data'!$B$43:$B$70),"")</f>
        <v>TQGXIIPL</v>
      </c>
      <c r="I116" s="102" t="str">
        <f>IFERROR(_xlfn.XLOOKUP(Table10[[#This Row],[Affected Feeder ]],'Basic Data'!$A$43:$A$70,'Basic Data'!$C$43:$C$70),"")</f>
        <v>GEDA</v>
      </c>
      <c r="J116" s="482">
        <f>IFERROR(_xlfn.XLOOKUP(Table10[[#This Row],[Affected Feeder ]],'Basic Data'!$A$43:$A$70,'Basic Data'!$E$43:$E$70),"")</f>
        <v>3.846153846153845E-2</v>
      </c>
      <c r="K116" s="483" t="s">
        <v>1887</v>
      </c>
      <c r="L116" s="484">
        <v>0.40347222222222223</v>
      </c>
      <c r="M116" s="484">
        <v>0.40347222222222223</v>
      </c>
      <c r="N116" s="484">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483" t="s">
        <v>1910</v>
      </c>
      <c r="S116" s="102" t="s">
        <v>293</v>
      </c>
      <c r="T116" s="485">
        <f>IFERROR(Table10[[#This Row],[Breakdown Time]]*Table10[[#This Row],[Plant Equivalent Weightage]],"")</f>
        <v>7.3076923076923053E-2</v>
      </c>
      <c r="U116" s="102" t="s">
        <v>450</v>
      </c>
      <c r="V116" s="547">
        <f>IFERROR(_xlfn.XLOOKUP(Table10[[#This Row],[Date]],'Daily KPI'!$A:$A,'Daily KPI'!$M:$M),"")</f>
        <v>8.4200000000000017</v>
      </c>
      <c r="W116" s="102">
        <v>1922.8</v>
      </c>
      <c r="X116" s="102">
        <f>Table10[[#This Row],[WTG Loss]]*1*Table10[[#This Row],[Breakdown Time]]</f>
        <v>3653.3199999999997</v>
      </c>
      <c r="Y116" s="102" t="s">
        <v>449</v>
      </c>
      <c r="Z116" s="102"/>
      <c r="AA116" s="102"/>
    </row>
    <row r="117" spans="1:27">
      <c r="A117" s="102">
        <f t="shared" si="2"/>
        <v>116</v>
      </c>
      <c r="B117" s="102">
        <f>YEAR(Table10[[#This Row],[Date]])+IF(MONTH(Table10[[#This Row],[Date]])&gt;=4,1,0)</f>
        <v>2026</v>
      </c>
      <c r="C117" s="102">
        <f>YEAR(Table10[[#This Row],[Date]])</f>
        <v>2025</v>
      </c>
      <c r="D117" s="102" t="s">
        <v>1992</v>
      </c>
      <c r="E117" s="469">
        <f>Table10[[#This Row],[Date]]-DAY(Table10[[#This Row],[Date]])+1</f>
        <v>45778</v>
      </c>
      <c r="F117" s="470">
        <v>45805</v>
      </c>
      <c r="G117" s="102" t="s">
        <v>82</v>
      </c>
      <c r="H117" s="102" t="str">
        <f>IFERROR(_xlfn.XLOOKUP(Table10[[#This Row],[Affected Feeder ]],'Basic Data'!$A$43:$A$70,'Basic Data'!$B$43:$B$70),"")</f>
        <v>TQGXIIPL</v>
      </c>
      <c r="I117" s="102" t="str">
        <f>IFERROR(_xlfn.XLOOKUP(Table10[[#This Row],[Affected Feeder ]],'Basic Data'!$A$43:$A$70,'Basic Data'!$C$43:$C$70),"")</f>
        <v>GEDA</v>
      </c>
      <c r="J117" s="482">
        <f>IFERROR(_xlfn.XLOOKUP(Table10[[#This Row],[Affected Feeder ]],'Basic Data'!$A$43:$A$70,'Basic Data'!$E$43:$E$70),"")</f>
        <v>3.846153846153845E-2</v>
      </c>
      <c r="K117" s="483" t="s">
        <v>1892</v>
      </c>
      <c r="L117" s="484">
        <v>0.40347222222222223</v>
      </c>
      <c r="M117" s="484">
        <v>0.40347222222222223</v>
      </c>
      <c r="N117" s="484">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483" t="s">
        <v>1910</v>
      </c>
      <c r="S117" s="102" t="s">
        <v>293</v>
      </c>
      <c r="T117" s="485">
        <f>IFERROR(Table10[[#This Row],[Breakdown Time]]*Table10[[#This Row],[Plant Equivalent Weightage]],"")</f>
        <v>7.3076923076923053E-2</v>
      </c>
      <c r="U117" s="102" t="s">
        <v>450</v>
      </c>
      <c r="V117" s="547">
        <f>IFERROR(_xlfn.XLOOKUP(Table10[[#This Row],[Date]],'Daily KPI'!$A:$A,'Daily KPI'!$M:$M),"")</f>
        <v>8.4200000000000017</v>
      </c>
      <c r="W117" s="102">
        <v>1922.8</v>
      </c>
      <c r="X117" s="102">
        <f>Table10[[#This Row],[WTG Loss]]*1*Table10[[#This Row],[Breakdown Time]]</f>
        <v>3653.3199999999997</v>
      </c>
      <c r="Y117" s="102" t="s">
        <v>449</v>
      </c>
      <c r="Z117" s="102"/>
      <c r="AA117" s="102"/>
    </row>
    <row r="118" spans="1:27">
      <c r="A118" s="102">
        <f t="shared" si="2"/>
        <v>117</v>
      </c>
      <c r="B118" s="102">
        <f>YEAR(Table10[[#This Row],[Date]])+IF(MONTH(Table10[[#This Row],[Date]])&gt;=4,1,0)</f>
        <v>2026</v>
      </c>
      <c r="C118" s="102">
        <f>YEAR(Table10[[#This Row],[Date]])</f>
        <v>2025</v>
      </c>
      <c r="D118" s="102" t="s">
        <v>1992</v>
      </c>
      <c r="E118" s="469">
        <f>Table10[[#This Row],[Date]]-DAY(Table10[[#This Row],[Date]])+1</f>
        <v>45778</v>
      </c>
      <c r="F118" s="470">
        <v>45805</v>
      </c>
      <c r="G118" s="102" t="s">
        <v>98</v>
      </c>
      <c r="H118" s="102" t="str">
        <f>IFERROR(_xlfn.XLOOKUP(Table10[[#This Row],[Affected Feeder ]],'Basic Data'!$A$43:$A$70,'Basic Data'!$B$43:$B$70),"")</f>
        <v>TQGXIIPL</v>
      </c>
      <c r="I118" s="102" t="str">
        <f>IFERROR(_xlfn.XLOOKUP(Table10[[#This Row],[Affected Feeder ]],'Basic Data'!$A$43:$A$70,'Basic Data'!$C$43:$C$70),"")</f>
        <v>GEDA</v>
      </c>
      <c r="J118" s="482">
        <f>IFERROR(_xlfn.XLOOKUP(Table10[[#This Row],[Affected Feeder ]],'Basic Data'!$A$43:$A$70,'Basic Data'!$E$43:$E$70),"")</f>
        <v>3.846153846153845E-2</v>
      </c>
      <c r="K118" s="483" t="s">
        <v>1896</v>
      </c>
      <c r="L118" s="484">
        <v>0.40347222222222223</v>
      </c>
      <c r="M118" s="484">
        <v>0.40347222222222223</v>
      </c>
      <c r="N118" s="484">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483" t="s">
        <v>1910</v>
      </c>
      <c r="S118" s="102" t="s">
        <v>293</v>
      </c>
      <c r="T118" s="485">
        <f>IFERROR(Table10[[#This Row],[Breakdown Time]]*Table10[[#This Row],[Plant Equivalent Weightage]],"")</f>
        <v>7.3076923076923053E-2</v>
      </c>
      <c r="U118" s="102" t="s">
        <v>450</v>
      </c>
      <c r="V118" s="547">
        <f>IFERROR(_xlfn.XLOOKUP(Table10[[#This Row],[Date]],'Daily KPI'!$A:$A,'Daily KPI'!$M:$M),"")</f>
        <v>8.4200000000000017</v>
      </c>
      <c r="W118" s="102">
        <v>1922.8</v>
      </c>
      <c r="X118" s="102">
        <f>Table10[[#This Row],[WTG Loss]]*1*Table10[[#This Row],[Breakdown Time]]</f>
        <v>3653.3199999999997</v>
      </c>
      <c r="Y118" s="102" t="s">
        <v>449</v>
      </c>
      <c r="Z118" s="102"/>
      <c r="AA118" s="102"/>
    </row>
    <row r="119" spans="1:27">
      <c r="A119" s="102">
        <f t="shared" si="2"/>
        <v>118</v>
      </c>
      <c r="B119" s="102">
        <f>YEAR(Table10[[#This Row],[Date]])+IF(MONTH(Table10[[#This Row],[Date]])&gt;=4,1,0)</f>
        <v>2026</v>
      </c>
      <c r="C119" s="102">
        <f>YEAR(Table10[[#This Row],[Date]])</f>
        <v>2025</v>
      </c>
      <c r="D119" s="102" t="s">
        <v>1992</v>
      </c>
      <c r="E119" s="469">
        <f>Table10[[#This Row],[Date]]-DAY(Table10[[#This Row],[Date]])+1</f>
        <v>45778</v>
      </c>
      <c r="F119" s="470">
        <v>45805</v>
      </c>
      <c r="G119" s="102" t="s">
        <v>99</v>
      </c>
      <c r="H119" s="102" t="str">
        <f>IFERROR(_xlfn.XLOOKUP(Table10[[#This Row],[Affected Feeder ]],'Basic Data'!$A$43:$A$70,'Basic Data'!$B$43:$B$70),"")</f>
        <v>TQGXIIPL</v>
      </c>
      <c r="I119" s="102" t="str">
        <f>IFERROR(_xlfn.XLOOKUP(Table10[[#This Row],[Affected Feeder ]],'Basic Data'!$A$43:$A$70,'Basic Data'!$C$43:$C$70),"")</f>
        <v>GEDA</v>
      </c>
      <c r="J119" s="482">
        <f>IFERROR(_xlfn.XLOOKUP(Table10[[#This Row],[Affected Feeder ]],'Basic Data'!$A$43:$A$70,'Basic Data'!$E$43:$E$70),"")</f>
        <v>3.846153846153845E-2</v>
      </c>
      <c r="K119" s="483" t="s">
        <v>1897</v>
      </c>
      <c r="L119" s="484">
        <v>0.40347222222222223</v>
      </c>
      <c r="M119" s="484">
        <v>0.40347222222222223</v>
      </c>
      <c r="N119" s="484">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483" t="s">
        <v>1910</v>
      </c>
      <c r="S119" s="102" t="s">
        <v>293</v>
      </c>
      <c r="T119" s="485">
        <f>IFERROR(Table10[[#This Row],[Breakdown Time]]*Table10[[#This Row],[Plant Equivalent Weightage]],"")</f>
        <v>7.3076923076923053E-2</v>
      </c>
      <c r="U119" s="102" t="s">
        <v>450</v>
      </c>
      <c r="V119" s="547">
        <f>IFERROR(_xlfn.XLOOKUP(Table10[[#This Row],[Date]],'Daily KPI'!$A:$A,'Daily KPI'!$M:$M),"")</f>
        <v>8.4200000000000017</v>
      </c>
      <c r="W119" s="102">
        <v>1922.8</v>
      </c>
      <c r="X119" s="102">
        <f>Table10[[#This Row],[WTG Loss]]*1*Table10[[#This Row],[Breakdown Time]]</f>
        <v>3653.3199999999997</v>
      </c>
      <c r="Y119" s="102" t="s">
        <v>449</v>
      </c>
      <c r="Z119" s="102"/>
      <c r="AA119" s="102"/>
    </row>
    <row r="120" spans="1:27">
      <c r="A120" s="102">
        <f t="shared" si="2"/>
        <v>119</v>
      </c>
      <c r="B120" s="102">
        <f>YEAR(Table10[[#This Row],[Date]])+IF(MONTH(Table10[[#This Row],[Date]])&gt;=4,1,0)</f>
        <v>2026</v>
      </c>
      <c r="C120" s="102">
        <f>YEAR(Table10[[#This Row],[Date]])</f>
        <v>2025</v>
      </c>
      <c r="D120" s="102" t="s">
        <v>1992</v>
      </c>
      <c r="E120" s="469">
        <f>Table10[[#This Row],[Date]]-DAY(Table10[[#This Row],[Date]])+1</f>
        <v>45778</v>
      </c>
      <c r="F120" s="470">
        <v>45805</v>
      </c>
      <c r="G120" s="102" t="s">
        <v>81</v>
      </c>
      <c r="H120" s="102" t="str">
        <f>IFERROR(_xlfn.XLOOKUP(Table10[[#This Row],[Affected Feeder ]],'Basic Data'!$A$43:$A$70,'Basic Data'!$B$43:$B$70),"")</f>
        <v>TQGXIIPL</v>
      </c>
      <c r="I120" s="102" t="str">
        <f>IFERROR(_xlfn.XLOOKUP(Table10[[#This Row],[Affected Feeder ]],'Basic Data'!$A$43:$A$70,'Basic Data'!$C$43:$C$70),"")</f>
        <v>GEDA</v>
      </c>
      <c r="J120" s="482">
        <f>IFERROR(_xlfn.XLOOKUP(Table10[[#This Row],[Affected Feeder ]],'Basic Data'!$A$43:$A$70,'Basic Data'!$E$43:$E$70),"")</f>
        <v>3.846153846153845E-2</v>
      </c>
      <c r="K120" s="483" t="s">
        <v>1891</v>
      </c>
      <c r="L120" s="484">
        <v>0.40347222222222223</v>
      </c>
      <c r="M120" s="484">
        <v>0.40347222222222223</v>
      </c>
      <c r="N120" s="484">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483" t="s">
        <v>1910</v>
      </c>
      <c r="S120" s="102" t="s">
        <v>293</v>
      </c>
      <c r="T120" s="485">
        <f>IFERROR(Table10[[#This Row],[Breakdown Time]]*Table10[[#This Row],[Plant Equivalent Weightage]],"")</f>
        <v>7.3076923076923053E-2</v>
      </c>
      <c r="U120" s="102" t="s">
        <v>450</v>
      </c>
      <c r="V120" s="547">
        <f>IFERROR(_xlfn.XLOOKUP(Table10[[#This Row],[Date]],'Daily KPI'!$A:$A,'Daily KPI'!$M:$M),"")</f>
        <v>8.4200000000000017</v>
      </c>
      <c r="W120" s="102">
        <v>1922.8</v>
      </c>
      <c r="X120" s="102">
        <f>Table10[[#This Row],[WTG Loss]]*1*Table10[[#This Row],[Breakdown Time]]</f>
        <v>3653.3199999999997</v>
      </c>
      <c r="Y120" s="102" t="s">
        <v>449</v>
      </c>
      <c r="Z120" s="102"/>
      <c r="AA120" s="102"/>
    </row>
    <row r="121" spans="1:27">
      <c r="A121" s="102">
        <f t="shared" si="2"/>
        <v>120</v>
      </c>
      <c r="B121" s="102">
        <f>YEAR(Table10[[#This Row],[Date]])+IF(MONTH(Table10[[#This Row],[Date]])&gt;=4,1,0)</f>
        <v>2026</v>
      </c>
      <c r="C121" s="102">
        <f>YEAR(Table10[[#This Row],[Date]])</f>
        <v>2025</v>
      </c>
      <c r="D121" s="102" t="s">
        <v>1992</v>
      </c>
      <c r="E121" s="469">
        <f>Table10[[#This Row],[Date]]-DAY(Table10[[#This Row],[Date]])+1</f>
        <v>45778</v>
      </c>
      <c r="F121" s="470">
        <v>45805</v>
      </c>
      <c r="G121" s="102" t="s">
        <v>78</v>
      </c>
      <c r="H121" s="102" t="str">
        <f>IFERROR(_xlfn.XLOOKUP(Table10[[#This Row],[Affected Feeder ]],'Basic Data'!$A$43:$A$70,'Basic Data'!$B$43:$B$70),"")</f>
        <v>TQGXIIPL</v>
      </c>
      <c r="I121" s="102" t="str">
        <f>IFERROR(_xlfn.XLOOKUP(Table10[[#This Row],[Affected Feeder ]],'Basic Data'!$A$43:$A$70,'Basic Data'!$C$43:$C$70),"")</f>
        <v>GEDA</v>
      </c>
      <c r="J121" s="482">
        <f>IFERROR(_xlfn.XLOOKUP(Table10[[#This Row],[Affected Feeder ]],'Basic Data'!$A$43:$A$70,'Basic Data'!$E$43:$E$70),"")</f>
        <v>3.846153846153845E-2</v>
      </c>
      <c r="K121" s="483" t="s">
        <v>1890</v>
      </c>
      <c r="L121" s="484">
        <v>0.40347222222222223</v>
      </c>
      <c r="M121" s="484">
        <v>0.40347222222222223</v>
      </c>
      <c r="N121" s="484">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483" t="s">
        <v>1910</v>
      </c>
      <c r="S121" s="102" t="s">
        <v>293</v>
      </c>
      <c r="T121" s="485">
        <f>IFERROR(Table10[[#This Row],[Breakdown Time]]*Table10[[#This Row],[Plant Equivalent Weightage]],"")</f>
        <v>7.3076923076923053E-2</v>
      </c>
      <c r="U121" s="102" t="s">
        <v>450</v>
      </c>
      <c r="V121" s="547">
        <f>IFERROR(_xlfn.XLOOKUP(Table10[[#This Row],[Date]],'Daily KPI'!$A:$A,'Daily KPI'!$M:$M),"")</f>
        <v>8.4200000000000017</v>
      </c>
      <c r="W121" s="102">
        <v>1922.8</v>
      </c>
      <c r="X121" s="102">
        <f>Table10[[#This Row],[WTG Loss]]*1*Table10[[#This Row],[Breakdown Time]]</f>
        <v>3653.3199999999997</v>
      </c>
      <c r="Y121" s="102" t="s">
        <v>449</v>
      </c>
      <c r="Z121" s="102"/>
      <c r="AA121" s="102"/>
    </row>
    <row r="122" spans="1:27">
      <c r="A122" s="102">
        <f t="shared" si="2"/>
        <v>121</v>
      </c>
      <c r="B122" s="102">
        <f>YEAR(Table10[[#This Row],[Date]])+IF(MONTH(Table10[[#This Row],[Date]])&gt;=4,1,0)</f>
        <v>2026</v>
      </c>
      <c r="C122" s="102">
        <f>YEAR(Table10[[#This Row],[Date]])</f>
        <v>2025</v>
      </c>
      <c r="D122" s="102" t="s">
        <v>1992</v>
      </c>
      <c r="E122" s="469">
        <f>Table10[[#This Row],[Date]]-DAY(Table10[[#This Row],[Date]])+1</f>
        <v>45778</v>
      </c>
      <c r="F122" s="470">
        <v>45805</v>
      </c>
      <c r="G122" s="102" t="s">
        <v>75</v>
      </c>
      <c r="H122" s="102" t="str">
        <f>IFERROR(_xlfn.XLOOKUP(Table10[[#This Row],[Affected Feeder ]],'Basic Data'!$A$43:$A$70,'Basic Data'!$B$43:$B$70),"")</f>
        <v>TQGXIIPL</v>
      </c>
      <c r="I122" s="102" t="str">
        <f>IFERROR(_xlfn.XLOOKUP(Table10[[#This Row],[Affected Feeder ]],'Basic Data'!$A$43:$A$70,'Basic Data'!$C$43:$C$70),"")</f>
        <v>GEDA</v>
      </c>
      <c r="J122" s="482">
        <f>IFERROR(_xlfn.XLOOKUP(Table10[[#This Row],[Affected Feeder ]],'Basic Data'!$A$43:$A$70,'Basic Data'!$E$43:$E$70),"")</f>
        <v>3.846153846153845E-2</v>
      </c>
      <c r="K122" s="483" t="s">
        <v>1888</v>
      </c>
      <c r="L122" s="484">
        <v>0.40347222222222223</v>
      </c>
      <c r="M122" s="484">
        <v>0.40347222222222223</v>
      </c>
      <c r="N122" s="484">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483" t="s">
        <v>1910</v>
      </c>
      <c r="S122" s="102" t="s">
        <v>293</v>
      </c>
      <c r="T122" s="485">
        <f>IFERROR(Table10[[#This Row],[Breakdown Time]]*Table10[[#This Row],[Plant Equivalent Weightage]],"")</f>
        <v>7.3076923076923053E-2</v>
      </c>
      <c r="U122" s="102" t="s">
        <v>450</v>
      </c>
      <c r="V122" s="547">
        <f>IFERROR(_xlfn.XLOOKUP(Table10[[#This Row],[Date]],'Daily KPI'!$A:$A,'Daily KPI'!$M:$M),"")</f>
        <v>8.4200000000000017</v>
      </c>
      <c r="W122" s="102">
        <v>1922.8</v>
      </c>
      <c r="X122" s="102">
        <f>Table10[[#This Row],[WTG Loss]]*1*Table10[[#This Row],[Breakdown Time]]</f>
        <v>3653.3199999999997</v>
      </c>
      <c r="Y122" s="102" t="s">
        <v>449</v>
      </c>
      <c r="Z122" s="102"/>
      <c r="AA122" s="102"/>
    </row>
    <row r="123" spans="1:27">
      <c r="A123" s="102">
        <f t="shared" si="2"/>
        <v>122</v>
      </c>
      <c r="B123" s="102">
        <f>YEAR(Table10[[#This Row],[Date]])+IF(MONTH(Table10[[#This Row],[Date]])&gt;=4,1,0)</f>
        <v>2026</v>
      </c>
      <c r="C123" s="102">
        <f>YEAR(Table10[[#This Row],[Date]])</f>
        <v>2025</v>
      </c>
      <c r="D123" s="102" t="s">
        <v>1992</v>
      </c>
      <c r="E123" s="469">
        <f>Table10[[#This Row],[Date]]-DAY(Table10[[#This Row],[Date]])+1</f>
        <v>45778</v>
      </c>
      <c r="F123" s="470">
        <v>45805</v>
      </c>
      <c r="G123" s="102" t="s">
        <v>451</v>
      </c>
      <c r="H123" s="102" t="str">
        <f>IFERROR(_xlfn.XLOOKUP(Table10[[#This Row],[Affected Feeder ]],'Basic Data'!$A$43:$A$70,'Basic Data'!$B$43:$B$70),"")</f>
        <v>TQGXIIPL</v>
      </c>
      <c r="I123" s="102" t="str">
        <f>IFERROR(_xlfn.XLOOKUP(Table10[[#This Row],[Affected Feeder ]],'Basic Data'!$A$43:$A$70,'Basic Data'!$C$43:$C$70),"")</f>
        <v>GEDA</v>
      </c>
      <c r="J123" s="482">
        <f>IFERROR(_xlfn.XLOOKUP(Table10[[#This Row],[Affected Feeder ]],'Basic Data'!$A$43:$A$70,'Basic Data'!$E$43:$E$70),"")</f>
        <v>0.49999999999999978</v>
      </c>
      <c r="K123" s="483" t="s">
        <v>1917</v>
      </c>
      <c r="L123" s="484">
        <v>0.53611111111111109</v>
      </c>
      <c r="M123" s="484">
        <v>0.53611111111111109</v>
      </c>
      <c r="N123" s="484">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483" t="s">
        <v>1918</v>
      </c>
      <c r="S123" s="102" t="s">
        <v>293</v>
      </c>
      <c r="T123" s="485">
        <f>IFERROR(Table10[[#This Row],[Breakdown Time]]*Table10[[#This Row],[Plant Equivalent Weightage]],"")</f>
        <v>2.1333333333333329</v>
      </c>
      <c r="U123" s="102" t="s">
        <v>450</v>
      </c>
      <c r="V123" s="547">
        <f>IFERROR(_xlfn.XLOOKUP(Table10[[#This Row],[Date]],'Daily KPI'!$A:$A,'Daily KPI'!$M:$M),"")</f>
        <v>8.4200000000000017</v>
      </c>
      <c r="W123" s="102">
        <v>1922.8</v>
      </c>
      <c r="X123" s="102">
        <f>Table10[[#This Row],[WTG Loss]]*13*Table10[[#This Row],[Breakdown Time]]</f>
        <v>106651.30666666667</v>
      </c>
      <c r="Y123" s="102" t="s">
        <v>449</v>
      </c>
      <c r="Z123" s="102"/>
      <c r="AA123" s="102"/>
    </row>
    <row r="124" spans="1:27">
      <c r="A124" s="102">
        <f t="shared" si="2"/>
        <v>123</v>
      </c>
      <c r="B124" s="102">
        <f>YEAR(Table10[[#This Row],[Date]])+IF(MONTH(Table10[[#This Row],[Date]])&gt;=4,1,0)</f>
        <v>2026</v>
      </c>
      <c r="C124" s="102">
        <f>YEAR(Table10[[#This Row],[Date]])</f>
        <v>2025</v>
      </c>
      <c r="D124" s="102" t="s">
        <v>1992</v>
      </c>
      <c r="E124" s="469">
        <f>Table10[[#This Row],[Date]]-DAY(Table10[[#This Row],[Date]])+1</f>
        <v>45778</v>
      </c>
      <c r="F124" s="470">
        <v>45805</v>
      </c>
      <c r="G124" s="102" t="s">
        <v>81</v>
      </c>
      <c r="H124" s="102" t="str">
        <f>IFERROR(_xlfn.XLOOKUP(Table10[[#This Row],[Affected Feeder ]],'Basic Data'!$A$43:$A$70,'Basic Data'!$B$43:$B$70),"")</f>
        <v>TQGXIIPL</v>
      </c>
      <c r="I124" s="102" t="str">
        <f>IFERROR(_xlfn.XLOOKUP(Table10[[#This Row],[Affected Feeder ]],'Basic Data'!$A$43:$A$70,'Basic Data'!$C$43:$C$70),"")</f>
        <v>GEDA</v>
      </c>
      <c r="J124" s="482">
        <f>IFERROR(_xlfn.XLOOKUP(Table10[[#This Row],[Affected Feeder ]],'Basic Data'!$A$43:$A$70,'Basic Data'!$E$43:$E$70),"")</f>
        <v>3.846153846153845E-2</v>
      </c>
      <c r="K124" s="483" t="s">
        <v>1891</v>
      </c>
      <c r="L124" s="484">
        <v>0.52708333333333335</v>
      </c>
      <c r="M124" s="484">
        <v>0.52708333333333335</v>
      </c>
      <c r="N124" s="484">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483" t="s">
        <v>1910</v>
      </c>
      <c r="S124" s="102" t="s">
        <v>293</v>
      </c>
      <c r="T124" s="485">
        <f>IFERROR(Table10[[#This Row],[Breakdown Time]]*Table10[[#This Row],[Plant Equivalent Weightage]],"")</f>
        <v>0.17243589743589738</v>
      </c>
      <c r="U124" s="102" t="s">
        <v>450</v>
      </c>
      <c r="V124" s="547">
        <f>IFERROR(_xlfn.XLOOKUP(Table10[[#This Row],[Date]],'Daily KPI'!$A:$A,'Daily KPI'!$M:$M),"")</f>
        <v>8.4200000000000017</v>
      </c>
      <c r="W124" s="102">
        <v>1922.8</v>
      </c>
      <c r="X124" s="102">
        <f>Table10[[#This Row],[WTG Loss]]*1*Table10[[#This Row],[Breakdown Time]]</f>
        <v>8620.5533333333333</v>
      </c>
      <c r="Y124" s="102" t="s">
        <v>449</v>
      </c>
      <c r="Z124" s="102"/>
      <c r="AA124" s="102"/>
    </row>
    <row r="125" spans="1:27">
      <c r="A125" s="102">
        <f t="shared" si="2"/>
        <v>124</v>
      </c>
      <c r="B125" s="102">
        <f>YEAR(Table10[[#This Row],[Date]])+IF(MONTH(Table10[[#This Row],[Date]])&gt;=4,1,0)</f>
        <v>2026</v>
      </c>
      <c r="C125" s="102">
        <f>YEAR(Table10[[#This Row],[Date]])</f>
        <v>2025</v>
      </c>
      <c r="D125" s="102" t="s">
        <v>1992</v>
      </c>
      <c r="E125" s="469">
        <f>Table10[[#This Row],[Date]]-DAY(Table10[[#This Row],[Date]])+1</f>
        <v>45778</v>
      </c>
      <c r="F125" s="470">
        <v>45805</v>
      </c>
      <c r="G125" s="102" t="s">
        <v>99</v>
      </c>
      <c r="H125" s="102" t="str">
        <f>IFERROR(_xlfn.XLOOKUP(Table10[[#This Row],[Affected Feeder ]],'Basic Data'!$A$43:$A$70,'Basic Data'!$B$43:$B$70),"")</f>
        <v>TQGXIIPL</v>
      </c>
      <c r="I125" s="102" t="str">
        <f>IFERROR(_xlfn.XLOOKUP(Table10[[#This Row],[Affected Feeder ]],'Basic Data'!$A$43:$A$70,'Basic Data'!$C$43:$C$70),"")</f>
        <v>GEDA</v>
      </c>
      <c r="J125" s="482">
        <f>IFERROR(_xlfn.XLOOKUP(Table10[[#This Row],[Affected Feeder ]],'Basic Data'!$A$43:$A$70,'Basic Data'!$E$43:$E$70),"")</f>
        <v>3.846153846153845E-2</v>
      </c>
      <c r="K125" s="483" t="s">
        <v>1897</v>
      </c>
      <c r="L125" s="484">
        <v>0.52708333333333335</v>
      </c>
      <c r="M125" s="484">
        <v>0.52708333333333335</v>
      </c>
      <c r="N125" s="484">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483" t="s">
        <v>1910</v>
      </c>
      <c r="S125" s="102" t="s">
        <v>293</v>
      </c>
      <c r="T125" s="485">
        <f>IFERROR(Table10[[#This Row],[Breakdown Time]]*Table10[[#This Row],[Plant Equivalent Weightage]],"")</f>
        <v>0.17243589743589738</v>
      </c>
      <c r="U125" s="102" t="s">
        <v>450</v>
      </c>
      <c r="V125" s="547">
        <f>IFERROR(_xlfn.XLOOKUP(Table10[[#This Row],[Date]],'Daily KPI'!$A:$A,'Daily KPI'!$M:$M),"")</f>
        <v>8.4200000000000017</v>
      </c>
      <c r="W125" s="102">
        <v>1922.8</v>
      </c>
      <c r="X125" s="102">
        <f>Table10[[#This Row],[WTG Loss]]*1*Table10[[#This Row],[Breakdown Time]]</f>
        <v>8620.5533333333333</v>
      </c>
      <c r="Y125" s="102" t="s">
        <v>449</v>
      </c>
      <c r="Z125" s="102"/>
      <c r="AA125" s="102"/>
    </row>
    <row r="126" spans="1:27">
      <c r="A126" s="102">
        <f t="shared" si="2"/>
        <v>125</v>
      </c>
      <c r="B126" s="102">
        <f>YEAR(Table10[[#This Row],[Date]])+IF(MONTH(Table10[[#This Row],[Date]])&gt;=4,1,0)</f>
        <v>2026</v>
      </c>
      <c r="C126" s="102">
        <f>YEAR(Table10[[#This Row],[Date]])</f>
        <v>2025</v>
      </c>
      <c r="D126" s="102" t="s">
        <v>1992</v>
      </c>
      <c r="E126" s="469">
        <f>Table10[[#This Row],[Date]]-DAY(Table10[[#This Row],[Date]])+1</f>
        <v>45778</v>
      </c>
      <c r="F126" s="470">
        <v>45808</v>
      </c>
      <c r="G126" s="102" t="s">
        <v>451</v>
      </c>
      <c r="H126" s="102" t="str">
        <f>IFERROR(_xlfn.XLOOKUP(Table10[[#This Row],[Affected Feeder ]],'Basic Data'!$A$43:$A$70,'Basic Data'!$B$43:$B$70),"")</f>
        <v>TQGXIIPL</v>
      </c>
      <c r="I126" s="102" t="str">
        <f>IFERROR(_xlfn.XLOOKUP(Table10[[#This Row],[Affected Feeder ]],'Basic Data'!$A$43:$A$70,'Basic Data'!$C$43:$C$70),"")</f>
        <v>GEDA</v>
      </c>
      <c r="J126" s="482">
        <f>IFERROR(_xlfn.XLOOKUP(Table10[[#This Row],[Affected Feeder ]],'Basic Data'!$A$43:$A$70,'Basic Data'!$E$43:$E$70),"")</f>
        <v>0.49999999999999978</v>
      </c>
      <c r="K126" s="483" t="s">
        <v>1791</v>
      </c>
      <c r="L126" s="484">
        <v>0.63541666666666663</v>
      </c>
      <c r="M126" s="484">
        <v>0.63541666666666663</v>
      </c>
      <c r="N126" s="484">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483" t="s">
        <v>1914</v>
      </c>
      <c r="S126" s="102" t="s">
        <v>293</v>
      </c>
      <c r="T126" s="485">
        <f>IFERROR(Table10[[#This Row],[Breakdown Time]]*Table10[[#This Row],[Plant Equivalent Weightage]],"")</f>
        <v>0.38333333333333314</v>
      </c>
      <c r="U126" s="102" t="s">
        <v>450</v>
      </c>
      <c r="V126" s="547">
        <f>IFERROR(_xlfn.XLOOKUP(Table10[[#This Row],[Date]],'Daily KPI'!$A:$A,'Daily KPI'!$M:$M),"")</f>
        <v>9.6238461538461557</v>
      </c>
      <c r="W126" s="102">
        <v>2472.4</v>
      </c>
      <c r="X126" s="102">
        <f>Table10[[#This Row],[WTG Loss]]*13*Table10[[#This Row],[Breakdown Time]]</f>
        <v>24641.586666666666</v>
      </c>
      <c r="Y126" s="102" t="s">
        <v>449</v>
      </c>
      <c r="Z126" s="102"/>
      <c r="AA126" s="102"/>
    </row>
    <row r="127" spans="1:27">
      <c r="A127" s="102">
        <f t="shared" si="2"/>
        <v>126</v>
      </c>
      <c r="B127" s="102">
        <f>YEAR(Table10[[#This Row],[Date]])+IF(MONTH(Table10[[#This Row],[Date]])&gt;=4,1,0)</f>
        <v>2026</v>
      </c>
      <c r="C127" s="102">
        <f>YEAR(Table10[[#This Row],[Date]])</f>
        <v>2025</v>
      </c>
      <c r="D127" s="102" t="s">
        <v>1992</v>
      </c>
      <c r="E127" s="469">
        <f>Table10[[#This Row],[Date]]-DAY(Table10[[#This Row],[Date]])+1</f>
        <v>45778</v>
      </c>
      <c r="F127" s="470">
        <v>45808</v>
      </c>
      <c r="G127" s="102" t="s">
        <v>80</v>
      </c>
      <c r="H127" s="102" t="str">
        <f>IFERROR(_xlfn.XLOOKUP(Table10[[#This Row],[Affected Feeder ]],'Basic Data'!$A$43:$A$70,'Basic Data'!$B$43:$B$70),"")</f>
        <v>TQGXIIPL</v>
      </c>
      <c r="I127" s="102" t="str">
        <f>IFERROR(_xlfn.XLOOKUP(Table10[[#This Row],[Affected Feeder ]],'Basic Data'!$A$43:$A$70,'Basic Data'!$C$43:$C$70),"")</f>
        <v>GEDA</v>
      </c>
      <c r="J127" s="482">
        <f>IFERROR(_xlfn.XLOOKUP(Table10[[#This Row],[Affected Feeder ]],'Basic Data'!$A$43:$A$70,'Basic Data'!$E$43:$E$70),"")</f>
        <v>3.846153846153845E-2</v>
      </c>
      <c r="K127" s="483" t="s">
        <v>456</v>
      </c>
      <c r="L127" s="484">
        <v>0.66736111111111107</v>
      </c>
      <c r="M127" s="484">
        <v>0.66736111111111107</v>
      </c>
      <c r="N127" s="484">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483" t="s">
        <v>463</v>
      </c>
      <c r="S127" s="102" t="s">
        <v>293</v>
      </c>
      <c r="T127" s="485">
        <f>IFERROR(Table10[[#This Row],[Breakdown Time]]*Table10[[#This Row],[Plant Equivalent Weightage]],"")</f>
        <v>4.3589743589743629E-2</v>
      </c>
      <c r="U127" s="102" t="s">
        <v>450</v>
      </c>
      <c r="V127" s="547">
        <f>IFERROR(_xlfn.XLOOKUP(Table10[[#This Row],[Date]],'Daily KPI'!$A:$A,'Daily KPI'!$M:$M),"")</f>
        <v>9.6238461538461557</v>
      </c>
      <c r="W127" s="102">
        <v>2472.4</v>
      </c>
      <c r="X127" s="102">
        <f>Table10[[#This Row],[WTG Loss]]*1*Table10[[#This Row],[Breakdown Time]]</f>
        <v>2802.0533333333365</v>
      </c>
      <c r="Y127" s="102" t="s">
        <v>449</v>
      </c>
      <c r="Z127" s="102"/>
      <c r="AA127" s="102"/>
    </row>
    <row r="128" spans="1:27">
      <c r="A128" s="102">
        <f t="shared" si="2"/>
        <v>127</v>
      </c>
      <c r="B128" s="102">
        <f>YEAR(Table10[[#This Row],[Date]])+IF(MONTH(Table10[[#This Row],[Date]])&gt;=4,1,0)</f>
        <v>2026</v>
      </c>
      <c r="C128" s="102">
        <f>YEAR(Table10[[#This Row],[Date]])</f>
        <v>2025</v>
      </c>
      <c r="D128" s="102" t="s">
        <v>1992</v>
      </c>
      <c r="E128" s="469">
        <f>Table10[[#This Row],[Date]]-DAY(Table10[[#This Row],[Date]])+1</f>
        <v>45809</v>
      </c>
      <c r="F128" s="470">
        <v>45811</v>
      </c>
      <c r="G128" s="102" t="s">
        <v>76</v>
      </c>
      <c r="H128" s="102" t="str">
        <f>IFERROR(_xlfn.XLOOKUP(Table10[[#This Row],[Affected Feeder ]],'Basic Data'!$A$43:$A$70,'Basic Data'!$B$43:$B$70),"")</f>
        <v>TQGXIIPL</v>
      </c>
      <c r="I128" s="102" t="str">
        <f>IFERROR(_xlfn.XLOOKUP(Table10[[#This Row],[Affected Feeder ]],'Basic Data'!$A$43:$A$70,'Basic Data'!$C$43:$C$70),"")</f>
        <v>GEDA</v>
      </c>
      <c r="J128" s="482">
        <f>IFERROR(_xlfn.XLOOKUP(Table10[[#This Row],[Affected Feeder ]],'Basic Data'!$A$43:$A$70,'Basic Data'!$E$43:$E$70),"")</f>
        <v>3.846153846153845E-2</v>
      </c>
      <c r="K128" s="483" t="s">
        <v>1889</v>
      </c>
      <c r="L128" s="484">
        <v>0.77986111111111112</v>
      </c>
      <c r="M128" s="484">
        <v>0.77986111111111112</v>
      </c>
      <c r="N128" s="484">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483" t="s">
        <v>1939</v>
      </c>
      <c r="S128" s="102" t="s">
        <v>293</v>
      </c>
      <c r="T128" s="485">
        <f>IFERROR(Table10[[#This Row],[Breakdown Time]]*Table10[[#This Row],[Plant Equivalent Weightage]],"")</f>
        <v>1.1538461538461494E-2</v>
      </c>
      <c r="U128" s="102" t="s">
        <v>450</v>
      </c>
      <c r="V128" s="547">
        <f>IFERROR(_xlfn.XLOOKUP(Table10[[#This Row],[Date]],'Daily KPI'!$A:$A,'Daily KPI'!$M:$M),"")</f>
        <v>8.4554725520298923</v>
      </c>
      <c r="W128" s="102">
        <v>1813.4</v>
      </c>
      <c r="X128" s="102">
        <f>Table10[[#This Row],[WTG Loss]]*1*Table10[[#This Row],[Breakdown Time]]</f>
        <v>544.01999999999805</v>
      </c>
      <c r="Y128" s="102" t="s">
        <v>449</v>
      </c>
      <c r="Z128" s="102"/>
      <c r="AA128" s="102"/>
    </row>
    <row r="129" spans="1:27">
      <c r="A129" s="102">
        <f t="shared" si="2"/>
        <v>128</v>
      </c>
      <c r="B129" s="102">
        <f>YEAR(Table10[[#This Row],[Date]])+IF(MONTH(Table10[[#This Row],[Date]])&gt;=4,1,0)</f>
        <v>2026</v>
      </c>
      <c r="C129" s="102">
        <f>YEAR(Table10[[#This Row],[Date]])</f>
        <v>2025</v>
      </c>
      <c r="D129" s="102" t="s">
        <v>1992</v>
      </c>
      <c r="E129" s="469">
        <f>Table10[[#This Row],[Date]]-DAY(Table10[[#This Row],[Date]])+1</f>
        <v>45809</v>
      </c>
      <c r="F129" s="470">
        <v>45822</v>
      </c>
      <c r="G129" s="102" t="s">
        <v>451</v>
      </c>
      <c r="H129" s="102" t="str">
        <f>IFERROR(_xlfn.XLOOKUP(Table10[[#This Row],[Affected Feeder ]],'Basic Data'!$A$43:$A$70,'Basic Data'!$B$43:$B$70),"")</f>
        <v>TQGXIIPL</v>
      </c>
      <c r="I129" s="102" t="str">
        <f>IFERROR(_xlfn.XLOOKUP(Table10[[#This Row],[Affected Feeder ]],'Basic Data'!$A$43:$A$70,'Basic Data'!$C$43:$C$70),"")</f>
        <v>GEDA</v>
      </c>
      <c r="J129" s="482">
        <f>IFERROR(_xlfn.XLOOKUP(Table10[[#This Row],[Affected Feeder ]],'Basic Data'!$A$43:$A$70,'Basic Data'!$E$43:$E$70),"")</f>
        <v>0.49999999999999978</v>
      </c>
      <c r="K129" s="483" t="s">
        <v>1963</v>
      </c>
      <c r="L129" s="484">
        <v>0.73402777777777772</v>
      </c>
      <c r="M129" s="484">
        <v>0.73402777777777772</v>
      </c>
      <c r="N129" s="484">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483" t="s">
        <v>1964</v>
      </c>
      <c r="S129" s="102" t="s">
        <v>293</v>
      </c>
      <c r="T129" s="485">
        <f>IFERROR(Table10[[#This Row],[Breakdown Time]]*Table10[[#This Row],[Plant Equivalent Weightage]],"")</f>
        <v>0.80000000000000082</v>
      </c>
      <c r="U129" s="102" t="s">
        <v>450</v>
      </c>
      <c r="V129" s="547">
        <f>IFERROR(_xlfn.XLOOKUP(Table10[[#This Row],[Date]],'Daily KPI'!$A:$A,'Daily KPI'!$M:$M),"")</f>
        <v>5.4571030507578548</v>
      </c>
      <c r="W129" s="102">
        <v>564.5</v>
      </c>
      <c r="X129" s="102">
        <f>Table10[[#This Row],[WTG Loss]]*13*Table10[[#This Row],[Breakdown Time]]</f>
        <v>11741.600000000017</v>
      </c>
      <c r="Y129" s="102" t="s">
        <v>449</v>
      </c>
      <c r="Z129" s="102"/>
      <c r="AA129" s="102"/>
    </row>
    <row r="130" spans="1:27">
      <c r="A130" s="102">
        <f t="shared" si="2"/>
        <v>129</v>
      </c>
      <c r="B130" s="102">
        <f>YEAR(Table10[[#This Row],[Date]])+IF(MONTH(Table10[[#This Row],[Date]])&gt;=4,1,0)</f>
        <v>2026</v>
      </c>
      <c r="C130" s="102">
        <f>YEAR(Table10[[#This Row],[Date]])</f>
        <v>2025</v>
      </c>
      <c r="D130" s="102" t="s">
        <v>1992</v>
      </c>
      <c r="E130" s="469">
        <f>Table10[[#This Row],[Date]]-DAY(Table10[[#This Row],[Date]])+1</f>
        <v>45809</v>
      </c>
      <c r="F130" s="470">
        <v>45822</v>
      </c>
      <c r="G130" s="102" t="s">
        <v>451</v>
      </c>
      <c r="H130" s="102" t="str">
        <f>IFERROR(_xlfn.XLOOKUP(Table10[[#This Row],[Affected Feeder ]],'Basic Data'!$A$43:$A$70,'Basic Data'!$B$43:$B$70),"")</f>
        <v>TQGXIIPL</v>
      </c>
      <c r="I130" s="102" t="str">
        <f>IFERROR(_xlfn.XLOOKUP(Table10[[#This Row],[Affected Feeder ]],'Basic Data'!$A$43:$A$70,'Basic Data'!$C$43:$C$70),"")</f>
        <v>GEDA</v>
      </c>
      <c r="J130" s="482">
        <f>IFERROR(_xlfn.XLOOKUP(Table10[[#This Row],[Affected Feeder ]],'Basic Data'!$A$43:$A$70,'Basic Data'!$E$43:$E$70),"")</f>
        <v>0.49999999999999978</v>
      </c>
      <c r="K130" s="483" t="s">
        <v>1791</v>
      </c>
      <c r="L130" s="484">
        <v>0.83263888888888893</v>
      </c>
      <c r="M130" s="484">
        <v>0.83263888888888893</v>
      </c>
      <c r="N130" s="484">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483" t="s">
        <v>1965</v>
      </c>
      <c r="S130" s="102" t="s">
        <v>293</v>
      </c>
      <c r="T130" s="485">
        <f>IFERROR(Table10[[#This Row],[Breakdown Time]]*Table10[[#This Row],[Plant Equivalent Weightage]],"")</f>
        <v>9.1666666666666299E-2</v>
      </c>
      <c r="U130" s="102" t="s">
        <v>450</v>
      </c>
      <c r="V130" s="547">
        <f>IFERROR(_xlfn.XLOOKUP(Table10[[#This Row],[Date]],'Daily KPI'!$A:$A,'Daily KPI'!$M:$M),"")</f>
        <v>5.4571030507578548</v>
      </c>
      <c r="W130" s="102">
        <v>564.5</v>
      </c>
      <c r="X130" s="102">
        <f>Table10[[#This Row],[WTG Loss]]*13*Table10[[#This Row],[Breakdown Time]]</f>
        <v>1345.3916666666619</v>
      </c>
      <c r="Y130" s="102" t="s">
        <v>449</v>
      </c>
      <c r="Z130" s="102"/>
      <c r="AA130" s="102"/>
    </row>
    <row r="131" spans="1:27">
      <c r="A131" s="102">
        <f t="shared" si="2"/>
        <v>130</v>
      </c>
      <c r="B131" s="102">
        <f>YEAR(Table10[[#This Row],[Date]])+IF(MONTH(Table10[[#This Row],[Date]])&gt;=4,1,0)</f>
        <v>2026</v>
      </c>
      <c r="C131" s="102">
        <f>YEAR(Table10[[#This Row],[Date]])</f>
        <v>2025</v>
      </c>
      <c r="D131" s="102" t="s">
        <v>1992</v>
      </c>
      <c r="E131" s="469">
        <f>Table10[[#This Row],[Date]]-DAY(Table10[[#This Row],[Date]])+1</f>
        <v>45809</v>
      </c>
      <c r="F131" s="470">
        <v>45824</v>
      </c>
      <c r="G131" s="102" t="s">
        <v>451</v>
      </c>
      <c r="H131" s="102" t="str">
        <f>IFERROR(_xlfn.XLOOKUP(Table10[[#This Row],[Affected Feeder ]],'Basic Data'!$A$43:$A$70,'Basic Data'!$B$43:$B$70),"")</f>
        <v>TQGXIIPL</v>
      </c>
      <c r="I131" s="102" t="str">
        <f>IFERROR(_xlfn.XLOOKUP(Table10[[#This Row],[Affected Feeder ]],'Basic Data'!$A$43:$A$70,'Basic Data'!$C$43:$C$70),"")</f>
        <v>GEDA</v>
      </c>
      <c r="J131" s="482">
        <f>IFERROR(_xlfn.XLOOKUP(Table10[[#This Row],[Affected Feeder ]],'Basic Data'!$A$43:$A$70,'Basic Data'!$E$43:$E$70),"")</f>
        <v>0.49999999999999978</v>
      </c>
      <c r="K131" s="483" t="s">
        <v>1963</v>
      </c>
      <c r="L131" s="484">
        <v>0.3298611111111111</v>
      </c>
      <c r="M131" s="484">
        <v>0.3298611111111111</v>
      </c>
      <c r="N131" s="484">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483" t="s">
        <v>1975</v>
      </c>
      <c r="S131" s="102" t="s">
        <v>293</v>
      </c>
      <c r="T131" s="485">
        <f>IFERROR(Table10[[#This Row],[Breakdown Time]]*Table10[[#This Row],[Plant Equivalent Weightage]],"")</f>
        <v>0.11666666666666686</v>
      </c>
      <c r="U131" s="102" t="s">
        <v>450</v>
      </c>
      <c r="V131" s="547">
        <f>IFERROR(_xlfn.XLOOKUP(Table10[[#This Row],[Date]],'Daily KPI'!$A:$A,'Daily KPI'!$M:$M),"")</f>
        <v>8.2050000000000001</v>
      </c>
      <c r="W131" s="102">
        <v>1813.4</v>
      </c>
      <c r="X131" s="102">
        <f>Table10[[#This Row],[WTG Loss]]*13*Table10[[#This Row],[Breakdown Time]]</f>
        <v>5500.6466666666784</v>
      </c>
      <c r="Y131" s="102" t="s">
        <v>449</v>
      </c>
      <c r="Z131" s="102"/>
      <c r="AA131" s="102"/>
    </row>
    <row r="132" spans="1:27">
      <c r="A132" s="102">
        <f t="shared" si="2"/>
        <v>131</v>
      </c>
      <c r="B132" s="102">
        <f>YEAR(Table10[[#This Row],[Date]])+IF(MONTH(Table10[[#This Row],[Date]])&gt;=4,1,0)</f>
        <v>2026</v>
      </c>
      <c r="C132" s="102">
        <f>YEAR(Table10[[#This Row],[Date]])</f>
        <v>2025</v>
      </c>
      <c r="D132" s="102" t="s">
        <v>1992</v>
      </c>
      <c r="E132" s="469">
        <f>Table10[[#This Row],[Date]]-DAY(Table10[[#This Row],[Date]])+1</f>
        <v>45809</v>
      </c>
      <c r="F132" s="470">
        <v>45824</v>
      </c>
      <c r="G132" s="102" t="s">
        <v>451</v>
      </c>
      <c r="H132" s="102" t="str">
        <f>IFERROR(_xlfn.XLOOKUP(Table10[[#This Row],[Affected Feeder ]],'Basic Data'!$A$43:$A$70,'Basic Data'!$B$43:$B$70),"")</f>
        <v>TQGXIIPL</v>
      </c>
      <c r="I132" s="102" t="str">
        <f>IFERROR(_xlfn.XLOOKUP(Table10[[#This Row],[Affected Feeder ]],'Basic Data'!$A$43:$A$70,'Basic Data'!$C$43:$C$70),"")</f>
        <v>GEDA</v>
      </c>
      <c r="J132" s="482">
        <f>IFERROR(_xlfn.XLOOKUP(Table10[[#This Row],[Affected Feeder ]],'Basic Data'!$A$43:$A$70,'Basic Data'!$E$43:$E$70),"")</f>
        <v>0.49999999999999978</v>
      </c>
      <c r="K132" s="483" t="s">
        <v>1963</v>
      </c>
      <c r="L132" s="484">
        <v>0.56597222222222221</v>
      </c>
      <c r="M132" s="484">
        <v>0.56597222222222221</v>
      </c>
      <c r="N132" s="484">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483" t="s">
        <v>1975</v>
      </c>
      <c r="S132" s="102" t="s">
        <v>293</v>
      </c>
      <c r="T132" s="485">
        <f>IFERROR(Table10[[#This Row],[Breakdown Time]]*Table10[[#This Row],[Plant Equivalent Weightage]],"")</f>
        <v>0.40833333333333305</v>
      </c>
      <c r="U132" s="102" t="s">
        <v>450</v>
      </c>
      <c r="V132" s="547">
        <f>IFERROR(_xlfn.XLOOKUP(Table10[[#This Row],[Date]],'Daily KPI'!$A:$A,'Daily KPI'!$M:$M),"")</f>
        <v>8.2050000000000001</v>
      </c>
      <c r="W132" s="102">
        <v>1813.4</v>
      </c>
      <c r="X132" s="102">
        <f>Table10[[#This Row],[WTG Loss]]*13*Table10[[#This Row],[Breakdown Time]]</f>
        <v>19252.263333333329</v>
      </c>
      <c r="Y132" s="102" t="s">
        <v>449</v>
      </c>
      <c r="Z132" s="102"/>
      <c r="AA132" s="102"/>
    </row>
    <row r="133" spans="1:27">
      <c r="A133" s="102">
        <f t="shared" si="2"/>
        <v>132</v>
      </c>
      <c r="B133" s="102">
        <f>YEAR(Table10[[#This Row],[Date]])+IF(MONTH(Table10[[#This Row],[Date]])&gt;=4,1,0)</f>
        <v>2026</v>
      </c>
      <c r="C133" s="102">
        <f>YEAR(Table10[[#This Row],[Date]])</f>
        <v>2025</v>
      </c>
      <c r="D133" s="102" t="s">
        <v>1992</v>
      </c>
      <c r="E133" s="469">
        <f>Table10[[#This Row],[Date]]-DAY(Table10[[#This Row],[Date]])+1</f>
        <v>45809</v>
      </c>
      <c r="F133" s="470">
        <v>45824</v>
      </c>
      <c r="G133" s="102" t="s">
        <v>451</v>
      </c>
      <c r="H133" s="102" t="str">
        <f>IFERROR(_xlfn.XLOOKUP(Table10[[#This Row],[Affected Feeder ]],'Basic Data'!$A$43:$A$70,'Basic Data'!$B$43:$B$70),"")</f>
        <v>TQGXIIPL</v>
      </c>
      <c r="I133" s="102" t="str">
        <f>IFERROR(_xlfn.XLOOKUP(Table10[[#This Row],[Affected Feeder ]],'Basic Data'!$A$43:$A$70,'Basic Data'!$C$43:$C$70),"")</f>
        <v>GEDA</v>
      </c>
      <c r="J133" s="482">
        <f>IFERROR(_xlfn.XLOOKUP(Table10[[#This Row],[Affected Feeder ]],'Basic Data'!$A$43:$A$70,'Basic Data'!$E$43:$E$70),"")</f>
        <v>0.49999999999999978</v>
      </c>
      <c r="K133" s="483" t="s">
        <v>1963</v>
      </c>
      <c r="L133" s="484">
        <v>0.79652777777777772</v>
      </c>
      <c r="M133" s="484">
        <v>0.79652777777777772</v>
      </c>
      <c r="N133" s="484">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483" t="s">
        <v>1975</v>
      </c>
      <c r="S133" s="102" t="s">
        <v>293</v>
      </c>
      <c r="T133" s="485">
        <f>IFERROR(Table10[[#This Row],[Breakdown Time]]*Table10[[#This Row],[Plant Equivalent Weightage]],"")</f>
        <v>0.26666666666666694</v>
      </c>
      <c r="U133" s="102" t="s">
        <v>450</v>
      </c>
      <c r="V133" s="547">
        <f>IFERROR(_xlfn.XLOOKUP(Table10[[#This Row],[Date]],'Daily KPI'!$A:$A,'Daily KPI'!$M:$M),"")</f>
        <v>8.2050000000000001</v>
      </c>
      <c r="W133" s="102">
        <v>1813.4</v>
      </c>
      <c r="X133" s="102">
        <f>Table10[[#This Row],[WTG Loss]]*13*Table10[[#This Row],[Breakdown Time]]</f>
        <v>12572.906666666686</v>
      </c>
      <c r="Y133" s="102" t="s">
        <v>449</v>
      </c>
      <c r="Z133" s="102"/>
      <c r="AA133" s="102"/>
    </row>
    <row r="134" spans="1:27">
      <c r="A134" s="102">
        <f t="shared" si="2"/>
        <v>133</v>
      </c>
      <c r="B134" s="102">
        <f>YEAR(Table10[[#This Row],[Date]])+IF(MONTH(Table10[[#This Row],[Date]])&gt;=4,1,0)</f>
        <v>2026</v>
      </c>
      <c r="C134" s="102">
        <f>YEAR(Table10[[#This Row],[Date]])</f>
        <v>2025</v>
      </c>
      <c r="D134" s="102" t="s">
        <v>1992</v>
      </c>
      <c r="E134" s="469">
        <f>Table10[[#This Row],[Date]]-DAY(Table10[[#This Row],[Date]])+1</f>
        <v>45809</v>
      </c>
      <c r="F134" s="470">
        <v>45824</v>
      </c>
      <c r="G134" s="102" t="s">
        <v>451</v>
      </c>
      <c r="H134" s="102" t="str">
        <f>IFERROR(_xlfn.XLOOKUP(Table10[[#This Row],[Affected Feeder ]],'Basic Data'!$A$43:$A$70,'Basic Data'!$B$43:$B$70),"")</f>
        <v>TQGXIIPL</v>
      </c>
      <c r="I134" s="102" t="str">
        <f>IFERROR(_xlfn.XLOOKUP(Table10[[#This Row],[Affected Feeder ]],'Basic Data'!$A$43:$A$70,'Basic Data'!$C$43:$C$70),"")</f>
        <v>GEDA</v>
      </c>
      <c r="J134" s="482">
        <f>IFERROR(_xlfn.XLOOKUP(Table10[[#This Row],[Affected Feeder ]],'Basic Data'!$A$43:$A$70,'Basic Data'!$E$43:$E$70),"")</f>
        <v>0.49999999999999978</v>
      </c>
      <c r="K134" s="483" t="s">
        <v>1963</v>
      </c>
      <c r="L134" s="484">
        <v>0.85416666666666663</v>
      </c>
      <c r="M134" s="484">
        <v>0.85416666666666663</v>
      </c>
      <c r="N134" s="484">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483" t="s">
        <v>1976</v>
      </c>
      <c r="S134" s="102" t="s">
        <v>293</v>
      </c>
      <c r="T134" s="485">
        <f>IFERROR(Table10[[#This Row],[Breakdown Time]]*Table10[[#This Row],[Plant Equivalent Weightage]],"")</f>
        <v>0.40833333333333305</v>
      </c>
      <c r="U134" s="102" t="s">
        <v>450</v>
      </c>
      <c r="V134" s="547">
        <f>IFERROR(_xlfn.XLOOKUP(Table10[[#This Row],[Date]],'Daily KPI'!$A:$A,'Daily KPI'!$M:$M),"")</f>
        <v>8.2050000000000001</v>
      </c>
      <c r="W134" s="102">
        <v>1813.4</v>
      </c>
      <c r="X134" s="102">
        <f>Table10[[#This Row],[WTG Loss]]*13*Table10[[#This Row],[Breakdown Time]]</f>
        <v>19252.263333333329</v>
      </c>
      <c r="Y134" s="102" t="s">
        <v>449</v>
      </c>
      <c r="Z134" s="102"/>
      <c r="AA134" s="102"/>
    </row>
    <row r="135" spans="1:27">
      <c r="A135" s="102">
        <f t="shared" si="2"/>
        <v>134</v>
      </c>
      <c r="B135" s="102">
        <f>YEAR(Table10[[#This Row],[Date]])+IF(MONTH(Table10[[#This Row],[Date]])&gt;=4,1,0)</f>
        <v>2026</v>
      </c>
      <c r="C135" s="102">
        <f>YEAR(Table10[[#This Row],[Date]])</f>
        <v>2025</v>
      </c>
      <c r="D135" s="102" t="s">
        <v>1992</v>
      </c>
      <c r="E135" s="469">
        <f>Table10[[#This Row],[Date]]-DAY(Table10[[#This Row],[Date]])+1</f>
        <v>45809</v>
      </c>
      <c r="F135" s="470">
        <v>45824</v>
      </c>
      <c r="G135" s="102" t="s">
        <v>81</v>
      </c>
      <c r="H135" s="102" t="str">
        <f>IFERROR(_xlfn.XLOOKUP(Table10[[#This Row],[Affected Feeder ]],'Basic Data'!$A$43:$A$70,'Basic Data'!$B$43:$B$70),"")</f>
        <v>TQGXIIPL</v>
      </c>
      <c r="I135" s="102" t="str">
        <f>IFERROR(_xlfn.XLOOKUP(Table10[[#This Row],[Affected Feeder ]],'Basic Data'!$A$43:$A$70,'Basic Data'!$C$43:$C$70),"")</f>
        <v>GEDA</v>
      </c>
      <c r="J135" s="482">
        <f>IFERROR(_xlfn.XLOOKUP(Table10[[#This Row],[Affected Feeder ]],'Basic Data'!$A$43:$A$70,'Basic Data'!$E$43:$E$70),"")</f>
        <v>3.846153846153845E-2</v>
      </c>
      <c r="K135" s="483" t="s">
        <v>464</v>
      </c>
      <c r="L135" s="484">
        <v>0.6</v>
      </c>
      <c r="M135" s="484">
        <v>0.6</v>
      </c>
      <c r="N135" s="484">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483" t="s">
        <v>1977</v>
      </c>
      <c r="S135" s="102" t="s">
        <v>293</v>
      </c>
      <c r="T135" s="485">
        <f>IFERROR(Table10[[#This Row],[Breakdown Time]]*Table10[[#This Row],[Plant Equivalent Weightage]],"")</f>
        <v>1.7948717948717982E-2</v>
      </c>
      <c r="U135" s="102" t="s">
        <v>450</v>
      </c>
      <c r="V135" s="547">
        <f>IFERROR(_xlfn.XLOOKUP(Table10[[#This Row],[Date]],'Daily KPI'!$A:$A,'Daily KPI'!$M:$M),"")</f>
        <v>8.2050000000000001</v>
      </c>
      <c r="W135" s="102">
        <v>1813.4</v>
      </c>
      <c r="X135" s="102">
        <f>Table10[[#This Row],[WTG Loss]]*1*Table10[[#This Row],[Breakdown Time]]</f>
        <v>846.25333333333515</v>
      </c>
      <c r="Y135" s="102" t="s">
        <v>449</v>
      </c>
      <c r="Z135" s="102"/>
      <c r="AA135" s="102"/>
    </row>
    <row r="136" spans="1:27">
      <c r="A136" s="102">
        <f t="shared" si="2"/>
        <v>135</v>
      </c>
      <c r="B136" s="102">
        <f>YEAR(Table10[[#This Row],[Date]])+IF(MONTH(Table10[[#This Row],[Date]])&gt;=4,1,0)</f>
        <v>2026</v>
      </c>
      <c r="C136" s="102">
        <f>YEAR(Table10[[#This Row],[Date]])</f>
        <v>2025</v>
      </c>
      <c r="D136" s="102" t="s">
        <v>1992</v>
      </c>
      <c r="E136" s="469">
        <f>Table10[[#This Row],[Date]]-DAY(Table10[[#This Row],[Date]])+1</f>
        <v>45809</v>
      </c>
      <c r="F136" s="470">
        <v>45824</v>
      </c>
      <c r="G136" s="102" t="s">
        <v>99</v>
      </c>
      <c r="H136" s="102" t="str">
        <f>IFERROR(_xlfn.XLOOKUP(Table10[[#This Row],[Affected Feeder ]],'Basic Data'!$A$43:$A$70,'Basic Data'!$B$43:$B$70),"")</f>
        <v>TQGXIIPL</v>
      </c>
      <c r="I136" s="102" t="str">
        <f>IFERROR(_xlfn.XLOOKUP(Table10[[#This Row],[Affected Feeder ]],'Basic Data'!$A$43:$A$70,'Basic Data'!$C$43:$C$70),"")</f>
        <v>GEDA</v>
      </c>
      <c r="J136" s="482">
        <f>IFERROR(_xlfn.XLOOKUP(Table10[[#This Row],[Affected Feeder ]],'Basic Data'!$A$43:$A$70,'Basic Data'!$E$43:$E$70),"")</f>
        <v>3.846153846153845E-2</v>
      </c>
      <c r="K136" s="483" t="s">
        <v>1974</v>
      </c>
      <c r="L136" s="484">
        <v>0.8881944444444444</v>
      </c>
      <c r="M136" s="484">
        <v>0.8881944444444444</v>
      </c>
      <c r="N136" s="484">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483" t="s">
        <v>1977</v>
      </c>
      <c r="S136" s="102" t="s">
        <v>293</v>
      </c>
      <c r="T136" s="485">
        <f>IFERROR(Table10[[#This Row],[Breakdown Time]]*Table10[[#This Row],[Plant Equivalent Weightage]],"")</f>
        <v>3.2051282051282132E-2</v>
      </c>
      <c r="U136" s="102" t="s">
        <v>450</v>
      </c>
      <c r="V136" s="547">
        <f>IFERROR(_xlfn.XLOOKUP(Table10[[#This Row],[Date]],'Daily KPI'!$A:$A,'Daily KPI'!$M:$M),"")</f>
        <v>8.2050000000000001</v>
      </c>
      <c r="W136" s="102">
        <v>1813.4</v>
      </c>
      <c r="X136" s="102">
        <f>Table10[[#This Row],[WTG Loss]]*1*Table10[[#This Row],[Breakdown Time]]</f>
        <v>1511.1666666666711</v>
      </c>
      <c r="Y136" s="102" t="s">
        <v>449</v>
      </c>
      <c r="Z136" s="102"/>
      <c r="AA136" s="102"/>
    </row>
    <row r="137" spans="1:27">
      <c r="A137" s="102">
        <f t="shared" si="2"/>
        <v>136</v>
      </c>
      <c r="B137" s="102">
        <f>YEAR(Table10[[#This Row],[Date]])+IF(MONTH(Table10[[#This Row],[Date]])&gt;=4,1,0)</f>
        <v>2026</v>
      </c>
      <c r="C137" s="102">
        <f>YEAR(Table10[[#This Row],[Date]])</f>
        <v>2025</v>
      </c>
      <c r="D137" s="102" t="s">
        <v>1992</v>
      </c>
      <c r="E137" s="469">
        <f>Table10[[#This Row],[Date]]-DAY(Table10[[#This Row],[Date]])+1</f>
        <v>45809</v>
      </c>
      <c r="F137" s="470">
        <v>45828</v>
      </c>
      <c r="G137" s="102" t="s">
        <v>447</v>
      </c>
      <c r="H137" s="102" t="str">
        <f>IFERROR(_xlfn.XLOOKUP(Table10[[#This Row],[Affected Feeder ]],'Basic Data'!$A$43:$A$70,'Basic Data'!$B$43:$B$70),"")</f>
        <v>TQGXIIPL</v>
      </c>
      <c r="I137" s="102" t="str">
        <f>IFERROR(_xlfn.XLOOKUP(Table10[[#This Row],[Affected Feeder ]],'Basic Data'!$A$43:$A$70,'Basic Data'!$C$43:$C$70),"")</f>
        <v>GEDA</v>
      </c>
      <c r="J137" s="482">
        <f>IFERROR(_xlfn.XLOOKUP(Table10[[#This Row],[Affected Feeder ]],'Basic Data'!$A$43:$A$70,'Basic Data'!$E$43:$E$70),"")</f>
        <v>0.49999999999999978</v>
      </c>
      <c r="K137" s="483" t="s">
        <v>2035</v>
      </c>
      <c r="L137" s="484">
        <v>0.5131944444444444</v>
      </c>
      <c r="M137" s="484">
        <v>0.5131944444444444</v>
      </c>
      <c r="N137" s="484">
        <v>0.82638888888888884</v>
      </c>
      <c r="O137" s="101">
        <f>(Table10[[#This Row],[Work Start TimeStamp]]-Table10[[#This Row],[Fault Start TimeStamp]])*24</f>
        <v>0</v>
      </c>
      <c r="P137" s="101">
        <f>IF(Table10[[#This Row],[Work Start TimeStamp]]="","",(Table10[[#This Row],[Fault Clearance time]]-Table10[[#This Row],[Work Start TimeStamp]])*24)</f>
        <v>7.5166666666666666</v>
      </c>
      <c r="Q137" s="544">
        <f>(Table10[[#This Row],[Fault Clearance time]]-Table10[[#This Row],[Fault Start TimeStamp]])*24</f>
        <v>7.5166666666666666</v>
      </c>
      <c r="R137" s="483" t="s">
        <v>2037</v>
      </c>
      <c r="S137" s="102" t="s">
        <v>293</v>
      </c>
      <c r="T137" s="485">
        <f>IFERROR(Table10[[#This Row],[Breakdown Time]]*Table10[[#This Row],[Plant Equivalent Weightage]],"")</f>
        <v>3.7583333333333315</v>
      </c>
      <c r="U137" s="102" t="s">
        <v>448</v>
      </c>
      <c r="V137" s="547">
        <f>IFERROR(_xlfn.XLOOKUP(Table10[[#This Row],[Date]],'Daily KPI'!$A:$A,'Daily KPI'!$M:$M),"")</f>
        <v>8.8839391657087781</v>
      </c>
      <c r="W137" s="102">
        <v>2196</v>
      </c>
      <c r="X137" s="102">
        <f>Table10[[#This Row],[WTG Loss]]*13*Table10[[#This Row],[Breakdown Time]]</f>
        <v>214585.8</v>
      </c>
      <c r="Y137" s="102" t="s">
        <v>449</v>
      </c>
      <c r="Z137" s="102"/>
      <c r="AA137" s="102"/>
    </row>
    <row r="138" spans="1:27">
      <c r="A138" s="102">
        <f t="shared" si="2"/>
        <v>137</v>
      </c>
      <c r="B138" s="102">
        <f>YEAR(Table10[[#This Row],[Date]])+IF(MONTH(Table10[[#This Row],[Date]])&gt;=4,1,0)</f>
        <v>2026</v>
      </c>
      <c r="C138" s="102">
        <f>YEAR(Table10[[#This Row],[Date]])</f>
        <v>2025</v>
      </c>
      <c r="D138" s="102" t="s">
        <v>1992</v>
      </c>
      <c r="E138" s="469">
        <f>Table10[[#This Row],[Date]]-DAY(Table10[[#This Row],[Date]])+1</f>
        <v>45809</v>
      </c>
      <c r="F138" s="470">
        <v>45828</v>
      </c>
      <c r="G138" s="102" t="s">
        <v>80</v>
      </c>
      <c r="H138" s="102" t="str">
        <f>IFERROR(_xlfn.XLOOKUP(Table10[[#This Row],[Affected Feeder ]],'Basic Data'!$A$43:$A$70,'Basic Data'!$B$43:$B$70),"")</f>
        <v>TQGXIIPL</v>
      </c>
      <c r="I138" s="102" t="str">
        <f>IFERROR(_xlfn.XLOOKUP(Table10[[#This Row],[Affected Feeder ]],'Basic Data'!$A$43:$A$70,'Basic Data'!$C$43:$C$70),"")</f>
        <v>GEDA</v>
      </c>
      <c r="J138" s="482">
        <f>IFERROR(_xlfn.XLOOKUP(Table10[[#This Row],[Affected Feeder ]],'Basic Data'!$A$43:$A$70,'Basic Data'!$E$43:$E$70),"")</f>
        <v>3.846153846153845E-2</v>
      </c>
      <c r="K138" s="483" t="s">
        <v>456</v>
      </c>
      <c r="L138" s="484">
        <v>0.82638888888888884</v>
      </c>
      <c r="M138" s="484">
        <v>0.82638888888888884</v>
      </c>
      <c r="N138" s="484">
        <v>0.86041666666666672</v>
      </c>
      <c r="O138" s="101">
        <f>(Table10[[#This Row],[Work Start TimeStamp]]-Table10[[#This Row],[Fault Start TimeStamp]])*24</f>
        <v>0</v>
      </c>
      <c r="P138" s="101">
        <f>IF(Table10[[#This Row],[Work Start TimeStamp]]="","",(Table10[[#This Row],[Fault Clearance time]]-Table10[[#This Row],[Work Start TimeStamp]])*24)</f>
        <v>0.81666666666666909</v>
      </c>
      <c r="Q138" s="544">
        <f>(Table10[[#This Row],[Fault Clearance time]]-Table10[[#This Row],[Fault Start TimeStamp]])*24</f>
        <v>0.81666666666666909</v>
      </c>
      <c r="R138" s="483" t="s">
        <v>1977</v>
      </c>
      <c r="S138" s="102" t="s">
        <v>293</v>
      </c>
      <c r="T138" s="485">
        <f>IFERROR(Table10[[#This Row],[Breakdown Time]]*Table10[[#This Row],[Plant Equivalent Weightage]],"")</f>
        <v>3.1410256410256493E-2</v>
      </c>
      <c r="U138" s="102" t="s">
        <v>448</v>
      </c>
      <c r="V138" s="547">
        <f>IFERROR(_xlfn.XLOOKUP(Table10[[#This Row],[Date]],'Daily KPI'!$A:$A,'Daily KPI'!$M:$M),"")</f>
        <v>8.8839391657087781</v>
      </c>
      <c r="W138" s="102">
        <v>2196</v>
      </c>
      <c r="X138" s="102">
        <f>Table10[[#This Row],[WTG Loss]]*1*Table10[[#This Row],[Breakdown Time]]</f>
        <v>1793.4000000000053</v>
      </c>
      <c r="Y138" s="102" t="s">
        <v>449</v>
      </c>
      <c r="Z138" s="102"/>
      <c r="AA138" s="102"/>
    </row>
    <row r="139" spans="1:27">
      <c r="A139" s="102">
        <f t="shared" si="2"/>
        <v>138</v>
      </c>
      <c r="B139" s="102">
        <f>YEAR(Table10[[#This Row],[Date]])+IF(MONTH(Table10[[#This Row],[Date]])&gt;=4,1,0)</f>
        <v>2026</v>
      </c>
      <c r="C139" s="102">
        <f>YEAR(Table10[[#This Row],[Date]])</f>
        <v>2025</v>
      </c>
      <c r="D139" s="102" t="s">
        <v>1992</v>
      </c>
      <c r="E139" s="469">
        <f>Table10[[#This Row],[Date]]-DAY(Table10[[#This Row],[Date]])+1</f>
        <v>45809</v>
      </c>
      <c r="F139" s="470">
        <v>45828</v>
      </c>
      <c r="G139" s="102" t="s">
        <v>99</v>
      </c>
      <c r="H139" s="102" t="str">
        <f>IFERROR(_xlfn.XLOOKUP(Table10[[#This Row],[Affected Feeder ]],'Basic Data'!$A$43:$A$70,'Basic Data'!$B$43:$B$70),"")</f>
        <v>TQGXIIPL</v>
      </c>
      <c r="I139" s="102" t="str">
        <f>IFERROR(_xlfn.XLOOKUP(Table10[[#This Row],[Affected Feeder ]],'Basic Data'!$A$43:$A$70,'Basic Data'!$C$43:$C$70),"")</f>
        <v>GEDA</v>
      </c>
      <c r="J139" s="482">
        <f>IFERROR(_xlfn.XLOOKUP(Table10[[#This Row],[Affected Feeder ]],'Basic Data'!$A$43:$A$70,'Basic Data'!$E$43:$E$70),"")</f>
        <v>3.846153846153845E-2</v>
      </c>
      <c r="K139" s="483" t="s">
        <v>2036</v>
      </c>
      <c r="L139" s="484">
        <v>0.82638888888888884</v>
      </c>
      <c r="M139" s="484">
        <v>0.87569444444444444</v>
      </c>
      <c r="N139" s="484">
        <v>0.87569444444444444</v>
      </c>
      <c r="O139" s="101">
        <f>(Table10[[#This Row],[Work Start TimeStamp]]-Table10[[#This Row],[Fault Start TimeStamp]])*24</f>
        <v>1.1833333333333345</v>
      </c>
      <c r="P139" s="101">
        <f>IF(Table10[[#This Row],[Work Start TimeStamp]]="","",(Table10[[#This Row],[Fault Clearance time]]-Table10[[#This Row],[Work Start TimeStamp]])*24)</f>
        <v>0</v>
      </c>
      <c r="Q139" s="544">
        <f>(Table10[[#This Row],[Fault Clearance time]]-Table10[[#This Row],[Fault Start TimeStamp]])*24</f>
        <v>1.1833333333333345</v>
      </c>
      <c r="R139" s="483" t="s">
        <v>1977</v>
      </c>
      <c r="S139" s="102" t="s">
        <v>293</v>
      </c>
      <c r="T139" s="485">
        <f>IFERROR(Table10[[#This Row],[Breakdown Time]]*Table10[[#This Row],[Plant Equivalent Weightage]],"")</f>
        <v>4.5512820512820545E-2</v>
      </c>
      <c r="U139" s="102" t="s">
        <v>448</v>
      </c>
      <c r="V139" s="547">
        <f>IFERROR(_xlfn.XLOOKUP(Table10[[#This Row],[Date]],'Daily KPI'!$A:$A,'Daily KPI'!$M:$M),"")</f>
        <v>8.8839391657087781</v>
      </c>
      <c r="W139" s="102">
        <v>2196</v>
      </c>
      <c r="X139" s="102">
        <f>Table10[[#This Row],[WTG Loss]]*1*Table10[[#This Row],[Breakdown Time]]</f>
        <v>2598.6000000000026</v>
      </c>
      <c r="Y139" s="102" t="s">
        <v>449</v>
      </c>
      <c r="Z139" s="102"/>
      <c r="AA139" s="102"/>
    </row>
    <row r="140" spans="1:27">
      <c r="A140" s="102">
        <f t="shared" si="2"/>
        <v>139</v>
      </c>
      <c r="B140" s="102">
        <f>YEAR(Table10[[#This Row],[Date]])+IF(MONTH(Table10[[#This Row],[Date]])&gt;=4,1,0)</f>
        <v>2026</v>
      </c>
      <c r="C140" s="102">
        <f>YEAR(Table10[[#This Row],[Date]])</f>
        <v>2025</v>
      </c>
      <c r="D140" s="102" t="s">
        <v>1992</v>
      </c>
      <c r="E140" s="469">
        <f>Table10[[#This Row],[Date]]-DAY(Table10[[#This Row],[Date]])+1</f>
        <v>45839</v>
      </c>
      <c r="F140" s="470">
        <v>45839</v>
      </c>
      <c r="G140" s="102" t="s">
        <v>447</v>
      </c>
      <c r="H140" s="102" t="str">
        <f>IFERROR(_xlfn.XLOOKUP(Table10[[#This Row],[Affected Feeder ]],'Basic Data'!$A$43:$A$70,'Basic Data'!$B$43:$B$70),"")</f>
        <v>TQGXIIPL</v>
      </c>
      <c r="I140" s="102" t="str">
        <f>IFERROR(_xlfn.XLOOKUP(Table10[[#This Row],[Affected Feeder ]],'Basic Data'!$A$43:$A$70,'Basic Data'!$C$43:$C$70),"")</f>
        <v>GEDA</v>
      </c>
      <c r="J140" s="482">
        <f>IFERROR(_xlfn.XLOOKUP(Table10[[#This Row],[Affected Feeder ]],'Basic Data'!$A$43:$A$70,'Basic Data'!$E$43:$E$70),"")</f>
        <v>0.49999999999999978</v>
      </c>
      <c r="K140" s="483" t="s">
        <v>2032</v>
      </c>
      <c r="L140" s="484">
        <v>0.54861111111111116</v>
      </c>
      <c r="M140" s="484">
        <v>0.54861111111111116</v>
      </c>
      <c r="N140" s="484">
        <v>0.55763888888888891</v>
      </c>
      <c r="O140" s="101">
        <f>(Table10[[#This Row],[Work Start TimeStamp]]-Table10[[#This Row],[Fault Start TimeStamp]])*24</f>
        <v>0</v>
      </c>
      <c r="P140" s="101">
        <f>IF(Table10[[#This Row],[Work Start TimeStamp]]="","",(Table10[[#This Row],[Fault Clearance time]]-Table10[[#This Row],[Work Start TimeStamp]])*24)</f>
        <v>0.2166666666666659</v>
      </c>
      <c r="Q140" s="544">
        <f>(Table10[[#This Row],[Fault Clearance time]]-Table10[[#This Row],[Fault Start TimeStamp]])*24</f>
        <v>0.2166666666666659</v>
      </c>
      <c r="R140" s="483" t="s">
        <v>2033</v>
      </c>
      <c r="S140" s="102" t="s">
        <v>293</v>
      </c>
      <c r="T140" s="485">
        <f>IFERROR(Table10[[#This Row],[Breakdown Time]]*Table10[[#This Row],[Plant Equivalent Weightage]],"")</f>
        <v>0.10833333333333291</v>
      </c>
      <c r="U140" s="102" t="s">
        <v>448</v>
      </c>
      <c r="V140" s="547">
        <f>IFERROR(_xlfn.XLOOKUP(Table10[[#This Row],[Date]],'Daily KPI'!$A:$A,'Daily KPI'!$M:$M),"")</f>
        <v>7.6018168858153654</v>
      </c>
      <c r="W140" s="102">
        <v>1490</v>
      </c>
      <c r="X140" s="102">
        <f>Table10[[#This Row],[WTG Loss]]*13*Table10[[#This Row],[Breakdown Time]]</f>
        <v>4196.8333333333185</v>
      </c>
      <c r="Y140" s="102" t="s">
        <v>449</v>
      </c>
      <c r="Z140" s="102"/>
      <c r="AA140" s="102"/>
    </row>
    <row r="141" spans="1:27">
      <c r="A141" s="102">
        <v>140</v>
      </c>
      <c r="B141" s="102">
        <f>YEAR(Table10[[#This Row],[Date]])+IF(MONTH(Table10[[#This Row],[Date]])&gt;=4,1,0)</f>
        <v>2026</v>
      </c>
      <c r="C141" s="102">
        <f>YEAR(Table10[[#This Row],[Date]])</f>
        <v>2025</v>
      </c>
      <c r="D141" s="102" t="s">
        <v>1992</v>
      </c>
      <c r="E141" s="469">
        <f>Table10[[#This Row],[Date]]-DAY(Table10[[#This Row],[Date]])+1</f>
        <v>45839</v>
      </c>
      <c r="F141" s="470">
        <v>45840</v>
      </c>
      <c r="G141" s="102" t="s">
        <v>451</v>
      </c>
      <c r="H141" s="102" t="str">
        <f>IFERROR(_xlfn.XLOOKUP(Table10[[#This Row],[Affected Feeder ]],'Basic Data'!$A$43:$A$70,'Basic Data'!$B$43:$B$70),"")</f>
        <v>TQGXIIPL</v>
      </c>
      <c r="I141" s="102" t="str">
        <f>IFERROR(_xlfn.XLOOKUP(Table10[[#This Row],[Affected Feeder ]],'Basic Data'!$A$43:$A$70,'Basic Data'!$C$43:$C$70),"")</f>
        <v>GEDA</v>
      </c>
      <c r="J141" s="550">
        <f>IFERROR(_xlfn.XLOOKUP(Table10[[#This Row],[Affected Feeder ]],'Basic Data'!$A$43:$A$70,'Basic Data'!$E$43:$E$70),"")</f>
        <v>0.49999999999999978</v>
      </c>
      <c r="K141" s="483" t="s">
        <v>2043</v>
      </c>
      <c r="L141" s="484">
        <v>0.74583333333333335</v>
      </c>
      <c r="M141" s="484">
        <v>0.74583333333333335</v>
      </c>
      <c r="N141" s="484">
        <v>0.75555555555555554</v>
      </c>
      <c r="O141" s="551">
        <f>(Table10[[#This Row],[Work Start TimeStamp]]-Table10[[#This Row],[Fault Start TimeStamp]])*24</f>
        <v>0</v>
      </c>
      <c r="P141" s="551">
        <f>IF(Table10[[#This Row],[Work Start TimeStamp]]="","",(Table10[[#This Row],[Fault Clearance time]]-Table10[[#This Row],[Work Start TimeStamp]])*24)</f>
        <v>0.2333333333333325</v>
      </c>
      <c r="Q141" s="552">
        <f>(Table10[[#This Row],[Fault Clearance time]]-Table10[[#This Row],[Fault Start TimeStamp]])*24</f>
        <v>0.2333333333333325</v>
      </c>
      <c r="R141" s="483" t="s">
        <v>2044</v>
      </c>
      <c r="S141" s="102" t="s">
        <v>293</v>
      </c>
      <c r="T141" s="485">
        <f>IFERROR(Table10[[#This Row],[Breakdown Time]]*Table10[[#This Row],[Plant Equivalent Weightage]],"")</f>
        <v>0.1166666666666662</v>
      </c>
      <c r="U141" s="102" t="s">
        <v>448</v>
      </c>
      <c r="V141" s="547">
        <f>IFERROR(_xlfn.XLOOKUP(Table10[[#This Row],[Date]],'Daily KPI'!$A:$A,'Daily KPI'!$M:$M),"")</f>
        <v>7.2251072211121912</v>
      </c>
      <c r="W141" s="102">
        <v>1276</v>
      </c>
      <c r="X141" s="102">
        <f>Table10[[#This Row],[WTG Loss]]*13*Table10[[#This Row],[Breakdown Time]]</f>
        <v>3870.5333333333197</v>
      </c>
      <c r="Y141" s="102" t="s">
        <v>449</v>
      </c>
      <c r="Z141" s="102"/>
      <c r="AA141" s="102"/>
    </row>
    <row r="142" spans="1:27">
      <c r="A142" s="102">
        <v>141</v>
      </c>
      <c r="B142" s="102">
        <f>YEAR(Table10[[#This Row],[Date]])+IF(MONTH(Table10[[#This Row],[Date]])&gt;=4,1,0)</f>
        <v>2026</v>
      </c>
      <c r="C142" s="102">
        <f>YEAR(Table10[[#This Row],[Date]])</f>
        <v>2025</v>
      </c>
      <c r="D142" s="102" t="s">
        <v>1992</v>
      </c>
      <c r="E142" s="469">
        <f>Table10[[#This Row],[Date]]-DAY(Table10[[#This Row],[Date]])+1</f>
        <v>45839</v>
      </c>
      <c r="F142" s="470">
        <v>45840</v>
      </c>
      <c r="G142" s="102" t="s">
        <v>81</v>
      </c>
      <c r="H142" s="102" t="str">
        <f>IFERROR(_xlfn.XLOOKUP(Table10[[#This Row],[Affected Feeder ]],'Basic Data'!$A$43:$A$70,'Basic Data'!$B$43:$B$70),"")</f>
        <v>TQGXIIPL</v>
      </c>
      <c r="I142" s="102" t="str">
        <f>IFERROR(_xlfn.XLOOKUP(Table10[[#This Row],[Affected Feeder ]],'Basic Data'!$A$43:$A$70,'Basic Data'!$C$43:$C$70),"")</f>
        <v>GEDA</v>
      </c>
      <c r="J142" s="550">
        <f>IFERROR(_xlfn.XLOOKUP(Table10[[#This Row],[Affected Feeder ]],'Basic Data'!$A$43:$A$70,'Basic Data'!$E$43:$E$70),"")</f>
        <v>3.846153846153845E-2</v>
      </c>
      <c r="K142" s="483" t="s">
        <v>464</v>
      </c>
      <c r="L142" s="484">
        <v>0.53194444444444444</v>
      </c>
      <c r="M142" s="484">
        <v>0.53194444444444444</v>
      </c>
      <c r="N142" s="484">
        <v>0.5541666666666667</v>
      </c>
      <c r="O142" s="551">
        <f>(Table10[[#This Row],[Work Start TimeStamp]]-Table10[[#This Row],[Fault Start TimeStamp]])*24</f>
        <v>0</v>
      </c>
      <c r="P142" s="551">
        <f>IF(Table10[[#This Row],[Work Start TimeStamp]]="","",(Table10[[#This Row],[Fault Clearance time]]-Table10[[#This Row],[Work Start TimeStamp]])*24)</f>
        <v>0.5333333333333341</v>
      </c>
      <c r="Q142" s="552">
        <f>(Table10[[#This Row],[Fault Clearance time]]-Table10[[#This Row],[Fault Start TimeStamp]])*24</f>
        <v>0.5333333333333341</v>
      </c>
      <c r="R142" s="483" t="s">
        <v>2045</v>
      </c>
      <c r="S142" s="102" t="s">
        <v>293</v>
      </c>
      <c r="T142" s="485">
        <f>IFERROR(Table10[[#This Row],[Breakdown Time]]*Table10[[#This Row],[Plant Equivalent Weightage]],"")</f>
        <v>2.0512820512820537E-2</v>
      </c>
      <c r="U142" s="102" t="s">
        <v>448</v>
      </c>
      <c r="V142" s="547">
        <f>IFERROR(_xlfn.XLOOKUP(Table10[[#This Row],[Date]],'Daily KPI'!$A:$A,'Daily KPI'!$M:$M),"")</f>
        <v>7.2251072211121912</v>
      </c>
      <c r="W142" s="102">
        <v>1276</v>
      </c>
      <c r="X142" s="102">
        <f>Table10[[#This Row],[WTG Loss]]*1*Table10[[#This Row],[Breakdown Time]]</f>
        <v>680.53333333333433</v>
      </c>
      <c r="Y142" s="102" t="s">
        <v>449</v>
      </c>
      <c r="Z142" s="102"/>
      <c r="AA142" s="102"/>
    </row>
    <row r="143" spans="1:27">
      <c r="A143" s="102">
        <v>142</v>
      </c>
      <c r="B143" s="102">
        <f>YEAR(Table10[[#This Row],[Date]])+IF(MONTH(Table10[[#This Row],[Date]])&gt;=4,1,0)</f>
        <v>2026</v>
      </c>
      <c r="C143" s="102">
        <f>YEAR(Table10[[#This Row],[Date]])</f>
        <v>2025</v>
      </c>
      <c r="D143" s="102" t="s">
        <v>1992</v>
      </c>
      <c r="E143" s="469">
        <f>Table10[[#This Row],[Date]]-DAY(Table10[[#This Row],[Date]])+1</f>
        <v>45839</v>
      </c>
      <c r="F143" s="470">
        <v>45844</v>
      </c>
      <c r="G143" s="102" t="s">
        <v>99</v>
      </c>
      <c r="H143" s="102" t="str">
        <f>IFERROR(_xlfn.XLOOKUP(Table10[[#This Row],[Affected Feeder ]],'Basic Data'!$A$43:$A$70,'Basic Data'!$B$43:$B$70),"")</f>
        <v>TQGXIIPL</v>
      </c>
      <c r="I143" s="102" t="str">
        <f>IFERROR(_xlfn.XLOOKUP(Table10[[#This Row],[Affected Feeder ]],'Basic Data'!$A$43:$A$70,'Basic Data'!$C$43:$C$70),"")</f>
        <v>GEDA</v>
      </c>
      <c r="J143" s="550">
        <f>IFERROR(_xlfn.XLOOKUP(Table10[[#This Row],[Affected Feeder ]],'Basic Data'!$A$43:$A$70,'Basic Data'!$E$43:$E$70),"")</f>
        <v>3.846153846153845E-2</v>
      </c>
      <c r="K143" s="483" t="s">
        <v>1974</v>
      </c>
      <c r="L143" s="484">
        <v>0.80625000000000002</v>
      </c>
      <c r="M143" s="484">
        <v>0.80625000000000002</v>
      </c>
      <c r="N143" s="484">
        <v>0.84791666666666665</v>
      </c>
      <c r="O143" s="551">
        <f>(Table10[[#This Row],[Work Start TimeStamp]]-Table10[[#This Row],[Fault Start TimeStamp]])*24</f>
        <v>0</v>
      </c>
      <c r="P143" s="551">
        <f>IF(Table10[[#This Row],[Work Start TimeStamp]]="","",(Table10[[#This Row],[Fault Clearance time]]-Table10[[#This Row],[Work Start TimeStamp]])*24)</f>
        <v>0.99999999999999911</v>
      </c>
      <c r="Q143" s="552">
        <f>(Table10[[#This Row],[Fault Clearance time]]-Table10[[#This Row],[Fault Start TimeStamp]])*24</f>
        <v>0.99999999999999911</v>
      </c>
      <c r="R143" s="483" t="s">
        <v>2045</v>
      </c>
      <c r="S143" s="102" t="s">
        <v>293</v>
      </c>
      <c r="T143" s="485">
        <f>IFERROR(Table10[[#This Row],[Breakdown Time]]*Table10[[#This Row],[Plant Equivalent Weightage]],"")</f>
        <v>3.8461538461538415E-2</v>
      </c>
      <c r="U143" s="102" t="s">
        <v>448</v>
      </c>
      <c r="V143" s="547">
        <v>7.7</v>
      </c>
      <c r="W143" s="102">
        <v>1543.5</v>
      </c>
      <c r="X143" s="102">
        <f>Table10[[#This Row],[WTG Loss]]*1*Table10[[#This Row],[Breakdown Time]]</f>
        <v>1543.4999999999986</v>
      </c>
      <c r="Y143" s="102" t="s">
        <v>449</v>
      </c>
      <c r="Z143" s="102"/>
      <c r="AA143" s="102"/>
    </row>
    <row r="144" spans="1:27">
      <c r="A144" s="102">
        <v>143</v>
      </c>
      <c r="B144" s="102">
        <f>YEAR(Table10[[#This Row],[Date]])+IF(MONTH(Table10[[#This Row],[Date]])&gt;=4,1,0)</f>
        <v>2026</v>
      </c>
      <c r="C144" s="102">
        <f>YEAR(Table10[[#This Row],[Date]])</f>
        <v>2025</v>
      </c>
      <c r="D144" s="102" t="s">
        <v>1992</v>
      </c>
      <c r="E144" s="469">
        <f>Table10[[#This Row],[Date]]-DAY(Table10[[#This Row],[Date]])+1</f>
        <v>45839</v>
      </c>
      <c r="F144" s="470">
        <v>45844</v>
      </c>
      <c r="G144" s="102" t="s">
        <v>451</v>
      </c>
      <c r="H144" s="102" t="str">
        <f>IFERROR(_xlfn.XLOOKUP(Table10[[#This Row],[Affected Feeder ]],'Basic Data'!$A$43:$A$70,'Basic Data'!$B$43:$B$70),"")</f>
        <v>TQGXIIPL</v>
      </c>
      <c r="I144" s="102" t="str">
        <f>IFERROR(_xlfn.XLOOKUP(Table10[[#This Row],[Affected Feeder ]],'Basic Data'!$A$43:$A$70,'Basic Data'!$C$43:$C$70),"")</f>
        <v>GEDA</v>
      </c>
      <c r="J144" s="550">
        <f>IFERROR(_xlfn.XLOOKUP(Table10[[#This Row],[Affected Feeder ]],'Basic Data'!$A$43:$A$70,'Basic Data'!$E$43:$E$70),"")</f>
        <v>0.49999999999999978</v>
      </c>
      <c r="K144" s="483" t="s">
        <v>1963</v>
      </c>
      <c r="L144" s="484">
        <v>0.78472222222222221</v>
      </c>
      <c r="M144" s="484">
        <v>0.78472222222222221</v>
      </c>
      <c r="N144" s="484">
        <v>0.80625000000000002</v>
      </c>
      <c r="O144" s="551">
        <f>(Table10[[#This Row],[Work Start TimeStamp]]-Table10[[#This Row],[Fault Start TimeStamp]])*24</f>
        <v>0</v>
      </c>
      <c r="P144" s="551">
        <f>IF(Table10[[#This Row],[Work Start TimeStamp]]="","",(Table10[[#This Row],[Fault Clearance time]]-Table10[[#This Row],[Work Start TimeStamp]])*24)</f>
        <v>0.5166666666666675</v>
      </c>
      <c r="Q144" s="552">
        <f>(Table10[[#This Row],[Fault Clearance time]]-Table10[[#This Row],[Fault Start TimeStamp]])*24</f>
        <v>0.5166666666666675</v>
      </c>
      <c r="R144" s="483" t="s">
        <v>1975</v>
      </c>
      <c r="S144" s="102" t="s">
        <v>293</v>
      </c>
      <c r="T144" s="485">
        <f>IFERROR(Table10[[#This Row],[Breakdown Time]]*Table10[[#This Row],[Plant Equivalent Weightage]],"")</f>
        <v>0.25833333333333364</v>
      </c>
      <c r="U144" s="102" t="s">
        <v>448</v>
      </c>
      <c r="V144" s="547">
        <v>7.7</v>
      </c>
      <c r="W144" s="102">
        <v>1543.5</v>
      </c>
      <c r="X144" s="102">
        <f>Table10[[#This Row],[WTG Loss]]*13*Table10[[#This Row],[Breakdown Time]]</f>
        <v>10367.175000000017</v>
      </c>
      <c r="Y144" s="102" t="s">
        <v>449</v>
      </c>
      <c r="Z144" s="102"/>
      <c r="AA144" s="102"/>
    </row>
    <row r="145" spans="1:27">
      <c r="A145" s="102">
        <v>144</v>
      </c>
      <c r="B145" s="102">
        <f>YEAR(Table10[[#This Row],[Date]])+IF(MONTH(Table10[[#This Row],[Date]])&gt;=4,1,0)</f>
        <v>2026</v>
      </c>
      <c r="C145" s="102">
        <f>YEAR(Table10[[#This Row],[Date]])</f>
        <v>2025</v>
      </c>
      <c r="D145" s="102" t="s">
        <v>1992</v>
      </c>
      <c r="E145" s="469">
        <f>Table10[[#This Row],[Date]]-DAY(Table10[[#This Row],[Date]])+1</f>
        <v>45839</v>
      </c>
      <c r="F145" s="470">
        <v>45845</v>
      </c>
      <c r="G145" s="102" t="s">
        <v>447</v>
      </c>
      <c r="H145" s="102" t="str">
        <f>IFERROR(_xlfn.XLOOKUP(Table10[[#This Row],[Affected Feeder ]],'Basic Data'!$A$43:$A$70,'Basic Data'!$B$43:$B$70),"")</f>
        <v>TQGXIIPL</v>
      </c>
      <c r="I145" s="102" t="str">
        <f>IFERROR(_xlfn.XLOOKUP(Table10[[#This Row],[Affected Feeder ]],'Basic Data'!$A$43:$A$70,'Basic Data'!$C$43:$C$70),"")</f>
        <v>GEDA</v>
      </c>
      <c r="J145" s="550">
        <f>IFERROR(_xlfn.XLOOKUP(Table10[[#This Row],[Affected Feeder ]],'Basic Data'!$A$43:$A$70,'Basic Data'!$E$43:$E$70),"")</f>
        <v>0.49999999999999978</v>
      </c>
      <c r="K145" s="483" t="s">
        <v>1903</v>
      </c>
      <c r="L145" s="484">
        <v>0.71319444444444446</v>
      </c>
      <c r="M145" s="484">
        <v>0.71319444444444446</v>
      </c>
      <c r="N145" s="484">
        <v>0.7319444444444444</v>
      </c>
      <c r="O145" s="101">
        <f>(Table10[[#This Row],[Work Start TimeStamp]]-Table10[[#This Row],[Fault Start TimeStamp]])*24</f>
        <v>0</v>
      </c>
      <c r="P145" s="101">
        <f>IF(Table10[[#This Row],[Work Start TimeStamp]]="","",(Table10[[#This Row],[Fault Clearance time]]-Table10[[#This Row],[Work Start TimeStamp]])*24)</f>
        <v>0.4499999999999984</v>
      </c>
      <c r="Q145" s="544">
        <f>(Table10[[#This Row],[Fault Clearance time]]-Table10[[#This Row],[Fault Start TimeStamp]])*24</f>
        <v>0.4499999999999984</v>
      </c>
      <c r="R145" s="483" t="s">
        <v>2069</v>
      </c>
      <c r="S145" s="102" t="s">
        <v>293</v>
      </c>
      <c r="T145" s="485">
        <f>IFERROR(Table10[[#This Row],[Breakdown Time]]*Table10[[#This Row],[Plant Equivalent Weightage]],"")</f>
        <v>0.22499999999999909</v>
      </c>
      <c r="U145" s="102" t="s">
        <v>448</v>
      </c>
      <c r="V145" s="547">
        <f>IFERROR(_xlfn.XLOOKUP(Table10[[#This Row],[Date]],'Daily KPI'!$A:$A,'Daily KPI'!$M:$M),"")</f>
        <v>7.7634439343385679</v>
      </c>
      <c r="W145" s="102">
        <v>1597</v>
      </c>
      <c r="X145" s="102">
        <f>Table10[[#This Row],[WTG Loss]]*13*Table10[[#This Row],[Breakdown Time]]</f>
        <v>9342.4499999999662</v>
      </c>
      <c r="Y145" s="102" t="s">
        <v>449</v>
      </c>
      <c r="Z145" s="102"/>
      <c r="AA145" s="102"/>
    </row>
    <row r="146" spans="1:27">
      <c r="A146" s="102">
        <v>145</v>
      </c>
      <c r="B146" s="102">
        <f>YEAR(Table10[[#This Row],[Date]])+IF(MONTH(Table10[[#This Row],[Date]])&gt;=4,1,0)</f>
        <v>2026</v>
      </c>
      <c r="C146" s="102">
        <f>YEAR(Table10[[#This Row],[Date]])</f>
        <v>2025</v>
      </c>
      <c r="D146" s="102" t="s">
        <v>1992</v>
      </c>
      <c r="E146" s="469">
        <f>Table10[[#This Row],[Date]]-DAY(Table10[[#This Row],[Date]])+1</f>
        <v>45839</v>
      </c>
      <c r="F146" s="470">
        <v>45850</v>
      </c>
      <c r="G146" s="102" t="s">
        <v>447</v>
      </c>
      <c r="H146" s="102" t="str">
        <f>IFERROR(_xlfn.XLOOKUP(Table10[[#This Row],[Affected Feeder ]],'Basic Data'!$A$43:$A$70,'Basic Data'!$B$43:$B$70),"")</f>
        <v>TQGXIIPL</v>
      </c>
      <c r="I146" s="102" t="str">
        <f>IFERROR(_xlfn.XLOOKUP(Table10[[#This Row],[Affected Feeder ]],'Basic Data'!$A$43:$A$70,'Basic Data'!$C$43:$C$70),"")</f>
        <v>GEDA</v>
      </c>
      <c r="J146" s="550">
        <f>IFERROR(_xlfn.XLOOKUP(Table10[[#This Row],[Affected Feeder ]],'Basic Data'!$A$43:$A$70,'Basic Data'!$E$43:$E$70),"")</f>
        <v>0.49999999999999978</v>
      </c>
      <c r="K146" s="483" t="s">
        <v>2089</v>
      </c>
      <c r="L146" s="484">
        <v>0.98888888888888893</v>
      </c>
      <c r="M146" s="484">
        <v>0.98888888888888893</v>
      </c>
      <c r="N146" s="484">
        <v>0.99375000000000002</v>
      </c>
      <c r="O146" s="101">
        <f>(Table10[[#This Row],[Work Start TimeStamp]]-Table10[[#This Row],[Fault Start TimeStamp]])*24</f>
        <v>0</v>
      </c>
      <c r="P146" s="101">
        <f>IF(Table10[[#This Row],[Work Start TimeStamp]]="","",(Table10[[#This Row],[Fault Clearance time]]-Table10[[#This Row],[Work Start TimeStamp]])*24)</f>
        <v>0.11666666666666625</v>
      </c>
      <c r="Q146" s="544">
        <f>(Table10[[#This Row],[Fault Clearance time]]-Table10[[#This Row],[Fault Start TimeStamp]])*24</f>
        <v>0.11666666666666625</v>
      </c>
      <c r="R146" s="483" t="s">
        <v>2081</v>
      </c>
      <c r="S146" s="102" t="s">
        <v>293</v>
      </c>
      <c r="T146" s="485">
        <f>IFERROR(Table10[[#This Row],[Breakdown Time]]*Table10[[#This Row],[Plant Equivalent Weightage]],"")</f>
        <v>5.8333333333333098E-2</v>
      </c>
      <c r="U146" s="102" t="s">
        <v>448</v>
      </c>
      <c r="V146" s="547">
        <f>IFERROR(_xlfn.XLOOKUP(Table10[[#This Row],[Date]],'Daily KPI'!$A:$A,'Daily KPI'!$M:$M),"")</f>
        <v>6.0700565171497436</v>
      </c>
      <c r="W146" s="102">
        <v>767.6</v>
      </c>
      <c r="X146" s="102">
        <f>Table10[[#This Row],[WTG Loss]]*13*Table10[[#This Row],[Breakdown Time]]</f>
        <v>1164.1933333333293</v>
      </c>
      <c r="Y146" s="102" t="s">
        <v>449</v>
      </c>
      <c r="Z146" s="102"/>
      <c r="AA146" s="102"/>
    </row>
    <row r="147" spans="1:27">
      <c r="A147" s="102">
        <v>146</v>
      </c>
      <c r="B147" s="102">
        <f>YEAR(Table10[[#This Row],[Date]])+IF(MONTH(Table10[[#This Row],[Date]])&gt;=4,1,0)</f>
        <v>2026</v>
      </c>
      <c r="C147" s="102">
        <f>YEAR(Table10[[#This Row],[Date]])</f>
        <v>2025</v>
      </c>
      <c r="D147" s="102" t="s">
        <v>1992</v>
      </c>
      <c r="E147" s="469">
        <f>Table10[[#This Row],[Date]]-DAY(Table10[[#This Row],[Date]])+1</f>
        <v>45839</v>
      </c>
      <c r="F147" s="470">
        <v>45850</v>
      </c>
      <c r="G147" s="102" t="s">
        <v>75</v>
      </c>
      <c r="H147" s="102" t="str">
        <f>IFERROR(_xlfn.XLOOKUP(Table10[[#This Row],[Affected Feeder ]],'Basic Data'!$A$43:$A$70,'Basic Data'!$B$43:$B$70),"")</f>
        <v>TQGXIIPL</v>
      </c>
      <c r="I147" s="102" t="str">
        <f>IFERROR(_xlfn.XLOOKUP(Table10[[#This Row],[Affected Feeder ]],'Basic Data'!$A$43:$A$70,'Basic Data'!$C$43:$C$70),"")</f>
        <v>GEDA</v>
      </c>
      <c r="J147" s="550">
        <f>IFERROR(_xlfn.XLOOKUP(Table10[[#This Row],[Affected Feeder ]],'Basic Data'!$A$43:$A$70,'Basic Data'!$E$43:$E$70),"")</f>
        <v>3.846153846153845E-2</v>
      </c>
      <c r="K147" s="483" t="s">
        <v>2090</v>
      </c>
      <c r="L147" s="484">
        <v>0.99375000000000002</v>
      </c>
      <c r="M147" s="484">
        <v>0.99375000000000002</v>
      </c>
      <c r="N147" s="484">
        <v>0.99998842592592596</v>
      </c>
      <c r="O147" s="101">
        <f>(Table10[[#This Row],[Work Start TimeStamp]]-Table10[[#This Row],[Fault Start TimeStamp]])*24</f>
        <v>0</v>
      </c>
      <c r="P147" s="101">
        <f>IF(Table10[[#This Row],[Work Start TimeStamp]]="","",(Table10[[#This Row],[Fault Clearance time]]-Table10[[#This Row],[Work Start TimeStamp]])*24)</f>
        <v>0.14972222222222253</v>
      </c>
      <c r="Q147" s="544">
        <f>(Table10[[#This Row],[Fault Clearance time]]-Table10[[#This Row],[Fault Start TimeStamp]])*24</f>
        <v>0.14972222222222253</v>
      </c>
      <c r="R147" s="483" t="s">
        <v>2082</v>
      </c>
      <c r="S147" s="102" t="s">
        <v>293</v>
      </c>
      <c r="T147" s="485">
        <f>IFERROR(Table10[[#This Row],[Breakdown Time]]*Table10[[#This Row],[Plant Equivalent Weightage]],"")</f>
        <v>5.7585470085470191E-3</v>
      </c>
      <c r="U147" s="102" t="s">
        <v>448</v>
      </c>
      <c r="V147" s="547">
        <f>IFERROR(_xlfn.XLOOKUP(Table10[[#This Row],[Date]],'Daily KPI'!$A:$A,'Daily KPI'!$M:$M),"")</f>
        <v>6.0700565171497436</v>
      </c>
      <c r="W147" s="102">
        <v>767.6</v>
      </c>
      <c r="X147" s="102">
        <f>Table10[[#This Row],[WTG Loss]]*1*Table10[[#This Row],[Breakdown Time]]</f>
        <v>114.92677777777801</v>
      </c>
      <c r="Y147" s="102" t="s">
        <v>449</v>
      </c>
      <c r="Z147" s="102"/>
      <c r="AA147" s="102"/>
    </row>
    <row r="148" spans="1:27">
      <c r="A148" s="102">
        <v>147</v>
      </c>
      <c r="B148" s="102">
        <f>YEAR(Table10[[#This Row],[Date]])+IF(MONTH(Table10[[#This Row],[Date]])&gt;=4,1,0)</f>
        <v>2026</v>
      </c>
      <c r="C148" s="102">
        <f>YEAR(Table10[[#This Row],[Date]])</f>
        <v>2025</v>
      </c>
      <c r="D148" s="102" t="s">
        <v>1992</v>
      </c>
      <c r="E148" s="469">
        <f>Table10[[#This Row],[Date]]-DAY(Table10[[#This Row],[Date]])+1</f>
        <v>45839</v>
      </c>
      <c r="F148" s="470">
        <v>45850</v>
      </c>
      <c r="G148" s="102" t="s">
        <v>78</v>
      </c>
      <c r="H148" s="102" t="str">
        <f>IFERROR(_xlfn.XLOOKUP(Table10[[#This Row],[Affected Feeder ]],'Basic Data'!$A$43:$A$70,'Basic Data'!$B$43:$B$70),"")</f>
        <v>TQGXIIPL</v>
      </c>
      <c r="I148" s="102" t="str">
        <f>IFERROR(_xlfn.XLOOKUP(Table10[[#This Row],[Affected Feeder ]],'Basic Data'!$A$43:$A$70,'Basic Data'!$C$43:$C$70),"")</f>
        <v>GEDA</v>
      </c>
      <c r="J148" s="550">
        <f>IFERROR(_xlfn.XLOOKUP(Table10[[#This Row],[Affected Feeder ]],'Basic Data'!$A$43:$A$70,'Basic Data'!$E$43:$E$70),"")</f>
        <v>3.846153846153845E-2</v>
      </c>
      <c r="K148" s="483" t="s">
        <v>2091</v>
      </c>
      <c r="L148" s="484">
        <v>0.99375000000000002</v>
      </c>
      <c r="M148" s="484">
        <v>0.99375000000000002</v>
      </c>
      <c r="N148" s="484">
        <v>0.99998842592592596</v>
      </c>
      <c r="O148" s="101">
        <f>(Table10[[#This Row],[Work Start TimeStamp]]-Table10[[#This Row],[Fault Start TimeStamp]])*24</f>
        <v>0</v>
      </c>
      <c r="P148" s="101">
        <f>IF(Table10[[#This Row],[Work Start TimeStamp]]="","",(Table10[[#This Row],[Fault Clearance time]]-Table10[[#This Row],[Work Start TimeStamp]])*24)</f>
        <v>0.14972222222222253</v>
      </c>
      <c r="Q148" s="544">
        <f>(Table10[[#This Row],[Fault Clearance time]]-Table10[[#This Row],[Fault Start TimeStamp]])*24</f>
        <v>0.14972222222222253</v>
      </c>
      <c r="R148" s="483" t="s">
        <v>2082</v>
      </c>
      <c r="S148" s="102" t="s">
        <v>293</v>
      </c>
      <c r="T148" s="485">
        <f>IFERROR(Table10[[#This Row],[Breakdown Time]]*Table10[[#This Row],[Plant Equivalent Weightage]],"")</f>
        <v>5.7585470085470191E-3</v>
      </c>
      <c r="U148" s="102" t="s">
        <v>448</v>
      </c>
      <c r="V148" s="547">
        <f>IFERROR(_xlfn.XLOOKUP(Table10[[#This Row],[Date]],'Daily KPI'!$A:$A,'Daily KPI'!$M:$M),"")</f>
        <v>6.0700565171497436</v>
      </c>
      <c r="W148" s="102">
        <v>767.6</v>
      </c>
      <c r="X148" s="102">
        <f>Table10[[#This Row],[WTG Loss]]*1*Table10[[#This Row],[Breakdown Time]]</f>
        <v>114.92677777777801</v>
      </c>
      <c r="Y148" s="102" t="s">
        <v>449</v>
      </c>
      <c r="Z148" s="102"/>
      <c r="AA148" s="102"/>
    </row>
    <row r="149" spans="1:27">
      <c r="A149" s="102">
        <v>148</v>
      </c>
      <c r="B149" s="102">
        <f>YEAR(Table10[[#This Row],[Date]])+IF(MONTH(Table10[[#This Row],[Date]])&gt;=4,1,0)</f>
        <v>2026</v>
      </c>
      <c r="C149" s="102">
        <f>YEAR(Table10[[#This Row],[Date]])</f>
        <v>2025</v>
      </c>
      <c r="D149" s="102" t="s">
        <v>1992</v>
      </c>
      <c r="E149" s="469">
        <f>Table10[[#This Row],[Date]]-DAY(Table10[[#This Row],[Date]])+1</f>
        <v>45839</v>
      </c>
      <c r="F149" s="470">
        <v>45850</v>
      </c>
      <c r="G149" s="102" t="s">
        <v>98</v>
      </c>
      <c r="H149" s="102" t="str">
        <f>IFERROR(_xlfn.XLOOKUP(Table10[[#This Row],[Affected Feeder ]],'Basic Data'!$A$43:$A$70,'Basic Data'!$B$43:$B$70),"")</f>
        <v>TQGXIIPL</v>
      </c>
      <c r="I149" s="102" t="str">
        <f>IFERROR(_xlfn.XLOOKUP(Table10[[#This Row],[Affected Feeder ]],'Basic Data'!$A$43:$A$70,'Basic Data'!$C$43:$C$70),"")</f>
        <v>GEDA</v>
      </c>
      <c r="J149" s="550">
        <f>IFERROR(_xlfn.XLOOKUP(Table10[[#This Row],[Affected Feeder ]],'Basic Data'!$A$43:$A$70,'Basic Data'!$E$43:$E$70),"")</f>
        <v>3.846153846153845E-2</v>
      </c>
      <c r="K149" s="483" t="s">
        <v>2092</v>
      </c>
      <c r="L149" s="484">
        <v>0.99375000000000002</v>
      </c>
      <c r="M149" s="484">
        <v>0.99375000000000002</v>
      </c>
      <c r="N149" s="484">
        <v>0.99998842592592596</v>
      </c>
      <c r="O149" s="101">
        <f>(Table10[[#This Row],[Work Start TimeStamp]]-Table10[[#This Row],[Fault Start TimeStamp]])*24</f>
        <v>0</v>
      </c>
      <c r="P149" s="101">
        <f>IF(Table10[[#This Row],[Work Start TimeStamp]]="","",(Table10[[#This Row],[Fault Clearance time]]-Table10[[#This Row],[Work Start TimeStamp]])*24)</f>
        <v>0.14972222222222253</v>
      </c>
      <c r="Q149" s="544">
        <f>(Table10[[#This Row],[Fault Clearance time]]-Table10[[#This Row],[Fault Start TimeStamp]])*24</f>
        <v>0.14972222222222253</v>
      </c>
      <c r="R149" s="483" t="s">
        <v>2082</v>
      </c>
      <c r="S149" s="102" t="s">
        <v>293</v>
      </c>
      <c r="T149" s="485">
        <f>IFERROR(Table10[[#This Row],[Breakdown Time]]*Table10[[#This Row],[Plant Equivalent Weightage]],"")</f>
        <v>5.7585470085470191E-3</v>
      </c>
      <c r="U149" s="102" t="s">
        <v>448</v>
      </c>
      <c r="V149" s="547">
        <f>IFERROR(_xlfn.XLOOKUP(Table10[[#This Row],[Date]],'Daily KPI'!$A:$A,'Daily KPI'!$M:$M),"")</f>
        <v>6.0700565171497436</v>
      </c>
      <c r="W149" s="102">
        <v>767.6</v>
      </c>
      <c r="X149" s="102">
        <f>Table10[[#This Row],[WTG Loss]]*1*Table10[[#This Row],[Breakdown Time]]</f>
        <v>114.92677777777801</v>
      </c>
      <c r="Y149" s="102" t="s">
        <v>449</v>
      </c>
      <c r="Z149" s="102"/>
      <c r="AA149" s="102"/>
    </row>
    <row r="150" spans="1:27">
      <c r="A150" s="102">
        <v>149</v>
      </c>
      <c r="B150" s="102">
        <f>YEAR(Table10[[#This Row],[Date]])+IF(MONTH(Table10[[#This Row],[Date]])&gt;=4,1,0)</f>
        <v>2026</v>
      </c>
      <c r="C150" s="102">
        <f>YEAR(Table10[[#This Row],[Date]])</f>
        <v>2025</v>
      </c>
      <c r="D150" s="102" t="s">
        <v>1992</v>
      </c>
      <c r="E150" s="469">
        <f>Table10[[#This Row],[Date]]-DAY(Table10[[#This Row],[Date]])+1</f>
        <v>45839</v>
      </c>
      <c r="F150" s="470">
        <v>45851</v>
      </c>
      <c r="G150" s="102" t="s">
        <v>447</v>
      </c>
      <c r="H150" s="102" t="str">
        <f>IFERROR(_xlfn.XLOOKUP(Table10[[#This Row],[Affected Feeder ]],'Basic Data'!$A$43:$A$70,'Basic Data'!$B$43:$B$70),"")</f>
        <v>TQGXIIPL</v>
      </c>
      <c r="I150" s="102" t="str">
        <f>IFERROR(_xlfn.XLOOKUP(Table10[[#This Row],[Affected Feeder ]],'Basic Data'!$A$43:$A$70,'Basic Data'!$C$43:$C$70),"")</f>
        <v>GEDA</v>
      </c>
      <c r="J150" s="550">
        <f>IFERROR(_xlfn.XLOOKUP(Table10[[#This Row],[Affected Feeder ]],'Basic Data'!$A$43:$A$70,'Basic Data'!$E$43:$E$70),"")</f>
        <v>0.49999999999999978</v>
      </c>
      <c r="K150" s="483" t="s">
        <v>468</v>
      </c>
      <c r="L150" s="484">
        <v>0.17222222222222222</v>
      </c>
      <c r="M150" s="484">
        <v>0.17222222222222222</v>
      </c>
      <c r="N150" s="484">
        <v>0.22638888888888889</v>
      </c>
      <c r="O150" s="101">
        <f>(Table10[[#This Row],[Work Start TimeStamp]]-Table10[[#This Row],[Fault Start TimeStamp]])*24</f>
        <v>0</v>
      </c>
      <c r="P150" s="101">
        <f>IF(Table10[[#This Row],[Work Start TimeStamp]]="","",(Table10[[#This Row],[Fault Clearance time]]-Table10[[#This Row],[Work Start TimeStamp]])*24)</f>
        <v>1.3</v>
      </c>
      <c r="Q150" s="544">
        <f>(Table10[[#This Row],[Fault Clearance time]]-Table10[[#This Row],[Fault Start TimeStamp]])*24</f>
        <v>1.3</v>
      </c>
      <c r="R150" s="483" t="s">
        <v>2087</v>
      </c>
      <c r="S150" s="102" t="s">
        <v>293</v>
      </c>
      <c r="T150" s="485">
        <f>IFERROR(Table10[[#This Row],[Breakdown Time]]*Table10[[#This Row],[Plant Equivalent Weightage]],"")</f>
        <v>0.64999999999999969</v>
      </c>
      <c r="U150" s="102" t="s">
        <v>448</v>
      </c>
      <c r="V150" s="547">
        <f>IFERROR(_xlfn.XLOOKUP(Table10[[#This Row],[Date]],'Daily KPI'!$A:$A,'Daily KPI'!$M:$M),"")</f>
        <v>6.7007692307692315</v>
      </c>
      <c r="W150" s="102">
        <v>1035.2</v>
      </c>
      <c r="X150" s="102">
        <f>Table10[[#This Row],[WTG Loss]]*13*Table10[[#This Row],[Breakdown Time]]</f>
        <v>17494.88</v>
      </c>
      <c r="Y150" s="102" t="s">
        <v>449</v>
      </c>
      <c r="Z150" s="102"/>
      <c r="AA150" s="102"/>
    </row>
    <row r="151" spans="1:27">
      <c r="A151" s="102">
        <v>150</v>
      </c>
      <c r="B151" s="102">
        <f>YEAR(Table10[[#This Row],[Date]])+IF(MONTH(Table10[[#This Row],[Date]])&gt;=4,1,0)</f>
        <v>2026</v>
      </c>
      <c r="C151" s="102">
        <f>YEAR(Table10[[#This Row],[Date]])</f>
        <v>2025</v>
      </c>
      <c r="D151" s="102" t="s">
        <v>1992</v>
      </c>
      <c r="E151" s="469">
        <f>Table10[[#This Row],[Date]]-DAY(Table10[[#This Row],[Date]])+1</f>
        <v>45839</v>
      </c>
      <c r="F151" s="470">
        <v>45851</v>
      </c>
      <c r="G151" s="102" t="s">
        <v>75</v>
      </c>
      <c r="H151" s="102" t="str">
        <f>IFERROR(_xlfn.XLOOKUP(Table10[[#This Row],[Affected Feeder ]],'Basic Data'!$A$43:$A$70,'Basic Data'!$B$43:$B$70),"")</f>
        <v>TQGXIIPL</v>
      </c>
      <c r="I151" s="102" t="str">
        <f>IFERROR(_xlfn.XLOOKUP(Table10[[#This Row],[Affected Feeder ]],'Basic Data'!$A$43:$A$70,'Basic Data'!$C$43:$C$70),"")</f>
        <v>GEDA</v>
      </c>
      <c r="J151" s="550">
        <f>IFERROR(_xlfn.XLOOKUP(Table10[[#This Row],[Affected Feeder ]],'Basic Data'!$A$43:$A$70,'Basic Data'!$E$43:$E$70),"")</f>
        <v>3.846153846153845E-2</v>
      </c>
      <c r="K151" s="483" t="s">
        <v>2090</v>
      </c>
      <c r="L151" s="484">
        <v>0</v>
      </c>
      <c r="M151" s="484">
        <v>0</v>
      </c>
      <c r="N151" s="484">
        <v>0.17222222222222222</v>
      </c>
      <c r="O151" s="101">
        <f>(Table10[[#This Row],[Work Start TimeStamp]]-Table10[[#This Row],[Fault Start TimeStamp]])*24</f>
        <v>0</v>
      </c>
      <c r="P151" s="101">
        <f>IF(Table10[[#This Row],[Work Start TimeStamp]]="","",(Table10[[#This Row],[Fault Clearance time]]-Table10[[#This Row],[Work Start TimeStamp]])*24)</f>
        <v>4.1333333333333329</v>
      </c>
      <c r="Q151" s="544">
        <f>(Table10[[#This Row],[Fault Clearance time]]-Table10[[#This Row],[Fault Start TimeStamp]])*24</f>
        <v>4.1333333333333329</v>
      </c>
      <c r="R151" s="483" t="s">
        <v>2088</v>
      </c>
      <c r="S151" s="102" t="s">
        <v>293</v>
      </c>
      <c r="T151" s="485">
        <f>IFERROR(Table10[[#This Row],[Breakdown Time]]*Table10[[#This Row],[Plant Equivalent Weightage]],"")</f>
        <v>0.15897435897435891</v>
      </c>
      <c r="U151" s="102" t="s">
        <v>448</v>
      </c>
      <c r="V151" s="547">
        <f>IFERROR(_xlfn.XLOOKUP(Table10[[#This Row],[Date]],'Daily KPI'!$A:$A,'Daily KPI'!$M:$M),"")</f>
        <v>6.7007692307692315</v>
      </c>
      <c r="W151" s="102">
        <v>1035.2</v>
      </c>
      <c r="X151" s="102">
        <f>Table10[[#This Row],[WTG Loss]]*1*Table10[[#This Row],[Breakdown Time]]</f>
        <v>4278.8266666666659</v>
      </c>
      <c r="Y151" s="102" t="s">
        <v>449</v>
      </c>
      <c r="Z151" s="102"/>
      <c r="AA151" s="102"/>
    </row>
    <row r="152" spans="1:27">
      <c r="A152" s="102">
        <v>151</v>
      </c>
      <c r="B152" s="102">
        <f>YEAR(Table10[[#This Row],[Date]])+IF(MONTH(Table10[[#This Row],[Date]])&gt;=4,1,0)</f>
        <v>2026</v>
      </c>
      <c r="C152" s="102">
        <f>YEAR(Table10[[#This Row],[Date]])</f>
        <v>2025</v>
      </c>
      <c r="D152" s="102" t="s">
        <v>1992</v>
      </c>
      <c r="E152" s="469">
        <f>Table10[[#This Row],[Date]]-DAY(Table10[[#This Row],[Date]])+1</f>
        <v>45839</v>
      </c>
      <c r="F152" s="470">
        <v>45851</v>
      </c>
      <c r="G152" s="102" t="s">
        <v>78</v>
      </c>
      <c r="H152" s="102" t="str">
        <f>IFERROR(_xlfn.XLOOKUP(Table10[[#This Row],[Affected Feeder ]],'Basic Data'!$A$43:$A$70,'Basic Data'!$B$43:$B$70),"")</f>
        <v>TQGXIIPL</v>
      </c>
      <c r="I152" s="102" t="str">
        <f>IFERROR(_xlfn.XLOOKUP(Table10[[#This Row],[Affected Feeder ]],'Basic Data'!$A$43:$A$70,'Basic Data'!$C$43:$C$70),"")</f>
        <v>GEDA</v>
      </c>
      <c r="J152" s="550">
        <f>IFERROR(_xlfn.XLOOKUP(Table10[[#This Row],[Affected Feeder ]],'Basic Data'!$A$43:$A$70,'Basic Data'!$E$43:$E$70),"")</f>
        <v>3.846153846153845E-2</v>
      </c>
      <c r="K152" s="483" t="s">
        <v>2091</v>
      </c>
      <c r="L152" s="484">
        <v>0</v>
      </c>
      <c r="M152" s="484">
        <v>0</v>
      </c>
      <c r="N152" s="484">
        <v>0.17222222222222222</v>
      </c>
      <c r="O152" s="101">
        <f>(Table10[[#This Row],[Work Start TimeStamp]]-Table10[[#This Row],[Fault Start TimeStamp]])*24</f>
        <v>0</v>
      </c>
      <c r="P152" s="101">
        <f>IF(Table10[[#This Row],[Work Start TimeStamp]]="","",(Table10[[#This Row],[Fault Clearance time]]-Table10[[#This Row],[Work Start TimeStamp]])*24)</f>
        <v>4.1333333333333329</v>
      </c>
      <c r="Q152" s="544">
        <f>(Table10[[#This Row],[Fault Clearance time]]-Table10[[#This Row],[Fault Start TimeStamp]])*24</f>
        <v>4.1333333333333329</v>
      </c>
      <c r="R152" s="483" t="s">
        <v>2088</v>
      </c>
      <c r="S152" s="102" t="s">
        <v>293</v>
      </c>
      <c r="T152" s="485">
        <f>IFERROR(Table10[[#This Row],[Breakdown Time]]*Table10[[#This Row],[Plant Equivalent Weightage]],"")</f>
        <v>0.15897435897435891</v>
      </c>
      <c r="U152" s="102" t="s">
        <v>448</v>
      </c>
      <c r="V152" s="547">
        <f>IFERROR(_xlfn.XLOOKUP(Table10[[#This Row],[Date]],'Daily KPI'!$A:$A,'Daily KPI'!$M:$M),"")</f>
        <v>6.7007692307692315</v>
      </c>
      <c r="W152" s="102">
        <v>1035.2</v>
      </c>
      <c r="X152" s="102">
        <f>Table10[[#This Row],[WTG Loss]]*1*Table10[[#This Row],[Breakdown Time]]</f>
        <v>4278.8266666666659</v>
      </c>
      <c r="Y152" s="102" t="s">
        <v>449</v>
      </c>
      <c r="Z152" s="102"/>
      <c r="AA152" s="102"/>
    </row>
    <row r="153" spans="1:27">
      <c r="A153" s="102">
        <v>152</v>
      </c>
      <c r="B153" s="102">
        <f>YEAR(Table10[[#This Row],[Date]])+IF(MONTH(Table10[[#This Row],[Date]])&gt;=4,1,0)</f>
        <v>2026</v>
      </c>
      <c r="C153" s="102">
        <f>YEAR(Table10[[#This Row],[Date]])</f>
        <v>2025</v>
      </c>
      <c r="D153" s="102" t="s">
        <v>1992</v>
      </c>
      <c r="E153" s="469">
        <f>Table10[[#This Row],[Date]]-DAY(Table10[[#This Row],[Date]])+1</f>
        <v>45839</v>
      </c>
      <c r="F153" s="470">
        <v>45851</v>
      </c>
      <c r="G153" s="102" t="s">
        <v>98</v>
      </c>
      <c r="H153" s="102" t="str">
        <f>IFERROR(_xlfn.XLOOKUP(Table10[[#This Row],[Affected Feeder ]],'Basic Data'!$A$43:$A$70,'Basic Data'!$B$43:$B$70),"")</f>
        <v>TQGXIIPL</v>
      </c>
      <c r="I153" s="102" t="str">
        <f>IFERROR(_xlfn.XLOOKUP(Table10[[#This Row],[Affected Feeder ]],'Basic Data'!$A$43:$A$70,'Basic Data'!$C$43:$C$70),"")</f>
        <v>GEDA</v>
      </c>
      <c r="J153" s="550">
        <f>IFERROR(_xlfn.XLOOKUP(Table10[[#This Row],[Affected Feeder ]],'Basic Data'!$A$43:$A$70,'Basic Data'!$E$43:$E$70),"")</f>
        <v>3.846153846153845E-2</v>
      </c>
      <c r="K153" s="483" t="s">
        <v>2092</v>
      </c>
      <c r="L153" s="484">
        <v>0</v>
      </c>
      <c r="M153" s="484">
        <v>0</v>
      </c>
      <c r="N153" s="484">
        <v>0.17222222222222222</v>
      </c>
      <c r="O153" s="101">
        <f>(Table10[[#This Row],[Work Start TimeStamp]]-Table10[[#This Row],[Fault Start TimeStamp]])*24</f>
        <v>0</v>
      </c>
      <c r="P153" s="101">
        <f>IF(Table10[[#This Row],[Work Start TimeStamp]]="","",(Table10[[#This Row],[Fault Clearance time]]-Table10[[#This Row],[Work Start TimeStamp]])*24)</f>
        <v>4.1333333333333329</v>
      </c>
      <c r="Q153" s="544">
        <f>(Table10[[#This Row],[Fault Clearance time]]-Table10[[#This Row],[Fault Start TimeStamp]])*24</f>
        <v>4.1333333333333329</v>
      </c>
      <c r="R153" s="483" t="s">
        <v>2088</v>
      </c>
      <c r="S153" s="102" t="s">
        <v>293</v>
      </c>
      <c r="T153" s="485">
        <f>IFERROR(Table10[[#This Row],[Breakdown Time]]*Table10[[#This Row],[Plant Equivalent Weightage]],"")</f>
        <v>0.15897435897435891</v>
      </c>
      <c r="U153" s="102" t="s">
        <v>448</v>
      </c>
      <c r="V153" s="547">
        <f>IFERROR(_xlfn.XLOOKUP(Table10[[#This Row],[Date]],'Daily KPI'!$A:$A,'Daily KPI'!$M:$M),"")</f>
        <v>6.7007692307692315</v>
      </c>
      <c r="W153" s="102">
        <v>1035.2</v>
      </c>
      <c r="X153" s="102">
        <f>Table10[[#This Row],[WTG Loss]]*1*Table10[[#This Row],[Breakdown Time]]</f>
        <v>4278.8266666666659</v>
      </c>
      <c r="Y153" s="102" t="s">
        <v>449</v>
      </c>
      <c r="Z153" s="102"/>
      <c r="AA153" s="102"/>
    </row>
  </sheetData>
  <phoneticPr fontId="10"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U2:U1048576 W154:W1048576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topRight" activeCell="G1" sqref="G1"/>
      <selection pane="bottomLeft" activeCell="A2" sqref="A2"/>
      <selection pane="bottomRight" activeCell="J22" sqref="J22"/>
    </sheetView>
  </sheetViews>
  <sheetFormatPr defaultRowHeight="14.4"/>
  <cols>
    <col min="2" max="3" width="12.44140625" customWidth="1"/>
    <col min="4" max="4" width="13" customWidth="1"/>
    <col min="6" max="6" width="9.5546875" bestFit="1" customWidth="1"/>
    <col min="7" max="7" width="14.109375" customWidth="1"/>
    <col min="9" max="9" width="10.5546875" customWidth="1"/>
    <col min="10" max="10" width="21.5546875" customWidth="1"/>
    <col min="11" max="11" width="76.44140625" bestFit="1" customWidth="1"/>
    <col min="12" max="12" width="16.88671875" bestFit="1" customWidth="1"/>
    <col min="13" max="13" width="18" customWidth="1"/>
    <col min="14" max="14" width="18.44140625" customWidth="1"/>
    <col min="15" max="15" width="16.5546875" customWidth="1"/>
    <col min="16" max="16" width="13.109375" customWidth="1"/>
    <col min="17" max="17" width="13.5546875" customWidth="1"/>
    <col min="18" max="18" width="14.44140625" customWidth="1"/>
    <col min="19" max="19" width="112.109375" bestFit="1" customWidth="1"/>
    <col min="21" max="21" width="22.88671875" style="208" customWidth="1"/>
    <col min="22" max="22" width="13.44140625" customWidth="1"/>
    <col min="23" max="23" width="25" customWidth="1"/>
    <col min="24" max="24" width="12.44140625" style="208" customWidth="1"/>
    <col min="25" max="25" width="13.5546875" style="485" customWidth="1"/>
    <col min="26" max="26" width="18.5546875" customWidth="1"/>
    <col min="27" max="27" width="25.5546875" customWidth="1"/>
    <col min="28" max="28" width="8.5546875" customWidth="1"/>
    <col min="29" max="29" width="11.5546875" customWidth="1"/>
  </cols>
  <sheetData>
    <row r="1" spans="1:29" ht="42" customHeight="1">
      <c r="A1" s="464" t="s">
        <v>7</v>
      </c>
      <c r="B1" s="464" t="s">
        <v>3</v>
      </c>
      <c r="C1" s="464" t="s">
        <v>129</v>
      </c>
      <c r="D1" s="464" t="s">
        <v>266</v>
      </c>
      <c r="E1" s="464" t="s">
        <v>169</v>
      </c>
      <c r="F1" s="465" t="s">
        <v>128</v>
      </c>
      <c r="G1" s="464" t="s">
        <v>443</v>
      </c>
      <c r="H1" s="464" t="s">
        <v>268</v>
      </c>
      <c r="I1" s="464" t="s">
        <v>269</v>
      </c>
      <c r="J1" s="464" t="s">
        <v>270</v>
      </c>
      <c r="K1" s="464" t="s">
        <v>273</v>
      </c>
      <c r="L1" s="464" t="s">
        <v>1993</v>
      </c>
      <c r="M1" s="464" t="s">
        <v>274</v>
      </c>
      <c r="N1" s="464" t="s">
        <v>275</v>
      </c>
      <c r="O1" s="464" t="s">
        <v>276</v>
      </c>
      <c r="P1" s="464" t="s">
        <v>277</v>
      </c>
      <c r="Q1" s="464" t="s">
        <v>278</v>
      </c>
      <c r="R1" s="464" t="s">
        <v>279</v>
      </c>
      <c r="S1" s="464" t="s">
        <v>280</v>
      </c>
      <c r="T1" s="464" t="s">
        <v>281</v>
      </c>
      <c r="U1" s="466" t="s">
        <v>282</v>
      </c>
      <c r="V1" s="466" t="s">
        <v>284</v>
      </c>
      <c r="W1" s="486" t="s">
        <v>283</v>
      </c>
      <c r="X1" s="103" t="s">
        <v>445</v>
      </c>
      <c r="Y1" s="467" t="s">
        <v>1990</v>
      </c>
      <c r="Z1" s="467" t="s">
        <v>1994</v>
      </c>
      <c r="AA1" s="467" t="s">
        <v>1995</v>
      </c>
      <c r="AB1" s="467" t="s">
        <v>285</v>
      </c>
      <c r="AC1" s="467" t="s">
        <v>286</v>
      </c>
    </row>
    <row r="2" spans="1:29">
      <c r="A2" s="102">
        <v>1</v>
      </c>
      <c r="B2" s="102">
        <f>YEAR(Table11[[#This Row],[Date]])+IF(MONTH(Table11[[#This Row],[Date]])&gt;=4,1,0)</f>
        <v>2025</v>
      </c>
      <c r="C2" s="102">
        <f>YEAR(Table11[[#This Row],[Date]])</f>
        <v>2025</v>
      </c>
      <c r="D2" s="102" t="s">
        <v>446</v>
      </c>
      <c r="E2" s="469">
        <f>Table11[[#This Row],[Date]]-DAY(Table11[[#This Row],[Date]])+1</f>
        <v>45689</v>
      </c>
      <c r="F2" s="470">
        <v>45716</v>
      </c>
      <c r="G2" t="s">
        <v>477</v>
      </c>
      <c r="H2" t="str">
        <f>IFERROR(_xlfn.XLOOKUP(Table11[[#This Row],[Affected Feeder ]],'Basic Data'!$A$82:$A$83,'Basic Data'!$B$82:$B$83),"")</f>
        <v>TQGXIIPL</v>
      </c>
      <c r="I2" t="str">
        <f>IFERROR(_xlfn.XLOOKUP(Table11[[#This Row],[Affected Feeder ]],'Basic Data'!$A$82:$A$83,'Basic Data'!$C$82:$C$83),"")</f>
        <v>GEDA</v>
      </c>
      <c r="J2" s="487">
        <f>IFERROR(_xlfn.XLOOKUP(Table11[[#This Row],[Affected Feeder ]],'Basic Data'!$A$82:$A$83,'Basic Data'!$E$82:$E$83),"")</f>
        <v>1</v>
      </c>
      <c r="K2" t="s">
        <v>479</v>
      </c>
      <c r="L2" t="s">
        <v>478</v>
      </c>
      <c r="M2" s="488">
        <v>0.34722222222222221</v>
      </c>
      <c r="N2" s="489">
        <v>0.34722222222222221</v>
      </c>
      <c r="O2" s="489">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490" t="s">
        <v>479</v>
      </c>
      <c r="T2" s="1" t="s">
        <v>293</v>
      </c>
      <c r="U2" s="493">
        <f>IFERROR(Table11[[#This Row],[Breakdown Time]]*Table11[[#This Row],[Plant Equivalent Weightage]],"")</f>
        <v>10.233333333333334</v>
      </c>
      <c r="V2" s="491"/>
      <c r="W2" s="491"/>
      <c r="X2" s="493">
        <v>1222.5</v>
      </c>
      <c r="Y2" s="485">
        <f>Table11[[#This Row],[Loss of KWH]]*5*Table11[[#This Row],[Breakdown Time]]</f>
        <v>62551.250000000007</v>
      </c>
      <c r="AA2" s="492"/>
    </row>
    <row r="3" spans="1:29">
      <c r="A3" s="102">
        <f>A2+1</f>
        <v>2</v>
      </c>
      <c r="B3" s="470"/>
      <c r="C3" s="102"/>
      <c r="D3" s="102"/>
      <c r="E3" s="469"/>
      <c r="F3" s="470"/>
      <c r="H3" t="str">
        <f>IFERROR(_xlfn.XLOOKUP(Table11[[#This Row],[Affected Feeder ]],'Basic Data'!$A$82:$A$83,'Basic Data'!$B$82:$B$83),"")</f>
        <v/>
      </c>
      <c r="I3" t="str">
        <f>IFERROR(_xlfn.XLOOKUP(Table11[[#This Row],[Affected Feeder ]],'Basic Data'!$A$82:$A$83,'Basic Data'!$C$82:$C$83),"")</f>
        <v/>
      </c>
      <c r="J3" s="487" t="str">
        <f>IFERROR(_xlfn.XLOOKUP(Table11[[#This Row],[Affected Feeder ]],'Basic Data'!$A$82:$A$83,'Basic Data'!$E$82:$E$83),"")</f>
        <v/>
      </c>
      <c r="M3" s="488"/>
      <c r="N3" s="489"/>
      <c r="O3" s="489"/>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490"/>
      <c r="T3" s="1"/>
      <c r="U3" s="493" t="str">
        <f>IFERROR(Table11[[#This Row],[Breakdown Time]]*Table11[[#This Row],[Plant Equivalent Weightage]],"")</f>
        <v/>
      </c>
      <c r="V3" s="491"/>
      <c r="W3" s="491"/>
      <c r="X3" s="493"/>
      <c r="Y3" s="485">
        <f>Table11[[#This Row],[Loss of KWH]]*5*Table11[[#This Row],[Breakdown Time]]</f>
        <v>0</v>
      </c>
      <c r="AA3" s="492"/>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K21" sqref="K21"/>
    </sheetView>
  </sheetViews>
  <sheetFormatPr defaultRowHeight="14.4"/>
  <cols>
    <col min="5" max="5" width="10.109375" bestFit="1" customWidth="1"/>
    <col min="6" max="6" width="16.109375" bestFit="1" customWidth="1"/>
    <col min="7" max="7" width="10.109375" bestFit="1" customWidth="1"/>
    <col min="8" max="8" width="10.5546875" bestFit="1" customWidth="1"/>
    <col min="12" max="12" width="14.5546875" customWidth="1"/>
    <col min="13" max="13" width="9.88671875" bestFit="1" customWidth="1"/>
    <col min="14" max="14" width="13" customWidth="1"/>
    <col min="16" max="16" width="11.88671875" customWidth="1"/>
    <col min="17" max="17" width="26.44140625" customWidth="1"/>
  </cols>
  <sheetData>
    <row r="1" spans="1:17">
      <c r="A1" s="622" t="s">
        <v>1865</v>
      </c>
      <c r="B1" s="625" t="s">
        <v>1866</v>
      </c>
      <c r="C1" s="625" t="s">
        <v>1867</v>
      </c>
      <c r="D1" s="625" t="s">
        <v>1868</v>
      </c>
      <c r="E1" s="625" t="s">
        <v>1869</v>
      </c>
      <c r="F1" s="628" t="s">
        <v>1870</v>
      </c>
      <c r="G1" s="609">
        <v>2024</v>
      </c>
      <c r="H1" s="610"/>
      <c r="I1" s="610"/>
      <c r="J1" s="610"/>
      <c r="K1" s="361"/>
      <c r="L1" s="611">
        <v>2025</v>
      </c>
      <c r="M1" s="612"/>
      <c r="N1" s="612"/>
      <c r="O1" s="612"/>
      <c r="P1" s="612"/>
      <c r="Q1" s="613"/>
    </row>
    <row r="2" spans="1:17">
      <c r="A2" s="623"/>
      <c r="B2" s="626"/>
      <c r="C2" s="626"/>
      <c r="D2" s="626"/>
      <c r="E2" s="626"/>
      <c r="F2" s="629"/>
      <c r="G2" s="614" t="s">
        <v>1871</v>
      </c>
      <c r="H2" s="615"/>
      <c r="I2" s="615"/>
      <c r="J2" s="615"/>
      <c r="K2" s="616"/>
      <c r="L2" s="617" t="s">
        <v>1872</v>
      </c>
      <c r="M2" s="618"/>
      <c r="N2" s="618"/>
      <c r="O2" s="618"/>
      <c r="P2" s="618"/>
      <c r="Q2" s="619"/>
    </row>
    <row r="3" spans="1:17">
      <c r="A3" s="624"/>
      <c r="B3" s="627"/>
      <c r="C3" s="627"/>
      <c r="D3" s="627"/>
      <c r="E3" s="627"/>
      <c r="F3" s="630"/>
      <c r="G3" s="346" t="s">
        <v>1873</v>
      </c>
      <c r="H3" s="347" t="s">
        <v>1874</v>
      </c>
      <c r="I3" s="346" t="s">
        <v>1875</v>
      </c>
      <c r="J3" s="346" t="s">
        <v>1876</v>
      </c>
      <c r="K3" s="346" t="s">
        <v>1877</v>
      </c>
      <c r="L3" s="348" t="s">
        <v>1873</v>
      </c>
      <c r="M3" s="349" t="s">
        <v>1878</v>
      </c>
      <c r="N3" s="349" t="s">
        <v>1879</v>
      </c>
      <c r="O3" s="348" t="s">
        <v>1875</v>
      </c>
      <c r="P3" s="345" t="s">
        <v>1876</v>
      </c>
      <c r="Q3" s="362" t="s">
        <v>12</v>
      </c>
    </row>
    <row r="4" spans="1:17">
      <c r="A4" s="363">
        <v>1</v>
      </c>
      <c r="B4" s="153" t="s">
        <v>1880</v>
      </c>
      <c r="C4" s="153" t="s">
        <v>313</v>
      </c>
      <c r="D4" s="153">
        <v>5333</v>
      </c>
      <c r="E4" s="350">
        <v>45382</v>
      </c>
      <c r="F4" s="350">
        <v>45432</v>
      </c>
      <c r="G4" s="351">
        <f>F4+49</f>
        <v>45481</v>
      </c>
      <c r="H4" s="350">
        <v>45506</v>
      </c>
      <c r="I4" s="352">
        <f>H4-G4</f>
        <v>25</v>
      </c>
      <c r="J4" s="353">
        <f>IF(I4&lt;-30,100-((-1*I4-30)/90)*100,IF(I4&gt;30,100-((I4-30)/90)*100,1*100))</f>
        <v>100</v>
      </c>
      <c r="K4" s="131"/>
      <c r="L4" s="351">
        <v>45715</v>
      </c>
      <c r="M4" s="354">
        <v>45723</v>
      </c>
      <c r="N4" s="354">
        <v>45724</v>
      </c>
      <c r="O4" s="352">
        <f>M4-L4</f>
        <v>8</v>
      </c>
      <c r="P4" s="355"/>
      <c r="Q4" s="364"/>
    </row>
    <row r="5" spans="1:17">
      <c r="A5" s="365">
        <v>2</v>
      </c>
      <c r="B5" s="153" t="s">
        <v>1880</v>
      </c>
      <c r="C5" s="153" t="s">
        <v>327</v>
      </c>
      <c r="D5" s="153">
        <v>5334</v>
      </c>
      <c r="E5" s="350">
        <v>45382</v>
      </c>
      <c r="F5" s="350">
        <v>45418</v>
      </c>
      <c r="G5" s="351">
        <f t="shared" ref="G5:G21" si="0">F5+49</f>
        <v>45467</v>
      </c>
      <c r="H5" s="350">
        <v>45504</v>
      </c>
      <c r="I5" s="352">
        <f t="shared" ref="I5:I28" si="1">H5-G5</f>
        <v>37</v>
      </c>
      <c r="J5" s="353">
        <f t="shared" ref="J5:J29" si="2">IF(I5&lt;-30,100-((-1*I5-30)/90)*100,IF(I5&gt;30,100-((I5-30)/90)*100,1*100))</f>
        <v>92.222222222222229</v>
      </c>
      <c r="K5" s="131" t="s">
        <v>1881</v>
      </c>
      <c r="L5" s="351">
        <v>45719</v>
      </c>
      <c r="M5" s="356">
        <v>45727</v>
      </c>
      <c r="N5" s="356">
        <v>45728</v>
      </c>
      <c r="O5" s="352">
        <f t="shared" ref="O5:O21" si="3">M5-L5</f>
        <v>8</v>
      </c>
      <c r="P5" s="355"/>
      <c r="Q5" s="364"/>
    </row>
    <row r="6" spans="1:17">
      <c r="A6" s="365">
        <v>3</v>
      </c>
      <c r="B6" s="153" t="s">
        <v>1880</v>
      </c>
      <c r="C6" s="153" t="s">
        <v>326</v>
      </c>
      <c r="D6" s="153">
        <v>5335</v>
      </c>
      <c r="E6" s="350">
        <v>45382</v>
      </c>
      <c r="F6" s="350">
        <v>45414</v>
      </c>
      <c r="G6" s="351">
        <f t="shared" si="0"/>
        <v>45463</v>
      </c>
      <c r="H6" s="350">
        <v>45479</v>
      </c>
      <c r="I6" s="352">
        <f t="shared" si="1"/>
        <v>16</v>
      </c>
      <c r="J6" s="353">
        <f t="shared" si="2"/>
        <v>100</v>
      </c>
      <c r="K6" s="131"/>
      <c r="L6" s="351">
        <v>45721</v>
      </c>
      <c r="M6" s="356">
        <v>45733</v>
      </c>
      <c r="N6" s="356">
        <v>45735</v>
      </c>
      <c r="O6" s="352">
        <f t="shared" si="3"/>
        <v>12</v>
      </c>
      <c r="P6" s="355"/>
      <c r="Q6" s="364"/>
    </row>
    <row r="7" spans="1:17">
      <c r="A7" s="365">
        <v>4</v>
      </c>
      <c r="B7" s="153" t="s">
        <v>1880</v>
      </c>
      <c r="C7" s="153" t="s">
        <v>322</v>
      </c>
      <c r="D7" s="153">
        <v>5336</v>
      </c>
      <c r="E7" s="350">
        <v>45382</v>
      </c>
      <c r="F7" s="350">
        <v>45417</v>
      </c>
      <c r="G7" s="351">
        <f t="shared" si="0"/>
        <v>45466</v>
      </c>
      <c r="H7" s="350">
        <v>45489</v>
      </c>
      <c r="I7" s="352">
        <f t="shared" si="1"/>
        <v>23</v>
      </c>
      <c r="J7" s="353">
        <f t="shared" si="2"/>
        <v>100</v>
      </c>
      <c r="K7" s="131"/>
      <c r="L7" s="351">
        <v>45723</v>
      </c>
      <c r="M7" s="356">
        <v>45736</v>
      </c>
      <c r="N7" s="356">
        <v>45737</v>
      </c>
      <c r="O7" s="352">
        <f t="shared" si="3"/>
        <v>13</v>
      </c>
      <c r="P7" s="355"/>
      <c r="Q7" s="364"/>
    </row>
    <row r="8" spans="1:17">
      <c r="A8" s="365">
        <v>5</v>
      </c>
      <c r="B8" s="153" t="s">
        <v>1880</v>
      </c>
      <c r="C8" s="153" t="s">
        <v>323</v>
      </c>
      <c r="D8" s="153">
        <v>5332</v>
      </c>
      <c r="E8" s="350">
        <v>45384</v>
      </c>
      <c r="F8" s="350">
        <v>45417</v>
      </c>
      <c r="G8" s="351">
        <f t="shared" si="0"/>
        <v>45466</v>
      </c>
      <c r="H8" s="350">
        <v>45484</v>
      </c>
      <c r="I8" s="352">
        <f t="shared" si="1"/>
        <v>18</v>
      </c>
      <c r="J8" s="353">
        <f t="shared" si="2"/>
        <v>100</v>
      </c>
      <c r="K8" s="131"/>
      <c r="L8" s="351">
        <v>45727</v>
      </c>
      <c r="M8" s="356">
        <v>45748</v>
      </c>
      <c r="N8" s="356">
        <v>45749</v>
      </c>
      <c r="O8" s="352">
        <f t="shared" si="3"/>
        <v>21</v>
      </c>
      <c r="P8" s="355"/>
      <c r="Q8" s="364"/>
    </row>
    <row r="9" spans="1:17">
      <c r="A9" s="365">
        <v>6</v>
      </c>
      <c r="B9" s="153" t="s">
        <v>1880</v>
      </c>
      <c r="C9" s="153" t="s">
        <v>332</v>
      </c>
      <c r="D9" s="153">
        <v>5341</v>
      </c>
      <c r="E9" s="350">
        <v>45384</v>
      </c>
      <c r="F9" s="350">
        <v>45418</v>
      </c>
      <c r="G9" s="351">
        <f t="shared" si="0"/>
        <v>45467</v>
      </c>
      <c r="H9" s="350">
        <v>45492</v>
      </c>
      <c r="I9" s="352">
        <f t="shared" si="1"/>
        <v>25</v>
      </c>
      <c r="J9" s="353">
        <f t="shared" si="2"/>
        <v>100</v>
      </c>
      <c r="K9" s="131"/>
      <c r="L9" s="351">
        <v>45733</v>
      </c>
      <c r="M9" s="356">
        <v>45752</v>
      </c>
      <c r="N9" s="356">
        <v>45753</v>
      </c>
      <c r="O9" s="352">
        <f t="shared" si="3"/>
        <v>19</v>
      </c>
      <c r="P9" s="355"/>
      <c r="Q9" s="364"/>
    </row>
    <row r="10" spans="1:17">
      <c r="A10" s="365">
        <v>7</v>
      </c>
      <c r="B10" s="153" t="s">
        <v>1880</v>
      </c>
      <c r="C10" s="153" t="s">
        <v>312</v>
      </c>
      <c r="D10" s="153">
        <v>5342</v>
      </c>
      <c r="E10" s="350">
        <v>45401</v>
      </c>
      <c r="F10" s="350">
        <v>45414</v>
      </c>
      <c r="G10" s="351">
        <f t="shared" si="0"/>
        <v>45463</v>
      </c>
      <c r="H10" s="350">
        <v>45482</v>
      </c>
      <c r="I10" s="352">
        <f t="shared" si="1"/>
        <v>19</v>
      </c>
      <c r="J10" s="353">
        <f t="shared" si="2"/>
        <v>100</v>
      </c>
      <c r="K10" s="131"/>
      <c r="L10" s="351">
        <v>45735</v>
      </c>
      <c r="M10" s="356">
        <v>45760</v>
      </c>
      <c r="N10" s="356">
        <v>45761</v>
      </c>
      <c r="O10" s="352">
        <f t="shared" si="3"/>
        <v>25</v>
      </c>
      <c r="P10" s="355"/>
      <c r="Q10" s="364"/>
    </row>
    <row r="11" spans="1:17">
      <c r="A11" s="365">
        <v>8</v>
      </c>
      <c r="B11" s="153" t="s">
        <v>1880</v>
      </c>
      <c r="C11" s="153" t="s">
        <v>331</v>
      </c>
      <c r="D11" s="153">
        <v>5337</v>
      </c>
      <c r="E11" s="350">
        <v>45401</v>
      </c>
      <c r="F11" s="350">
        <v>45427</v>
      </c>
      <c r="G11" s="351">
        <f t="shared" si="0"/>
        <v>45476</v>
      </c>
      <c r="H11" s="350">
        <v>45523</v>
      </c>
      <c r="I11" s="352">
        <f t="shared" si="1"/>
        <v>47</v>
      </c>
      <c r="J11" s="353">
        <f t="shared" si="2"/>
        <v>81.111111111111114</v>
      </c>
      <c r="K11" s="131" t="s">
        <v>1882</v>
      </c>
      <c r="L11" s="351">
        <v>45737</v>
      </c>
      <c r="M11" s="356">
        <v>45762</v>
      </c>
      <c r="N11" s="356">
        <v>45768</v>
      </c>
      <c r="O11" s="352">
        <f t="shared" si="3"/>
        <v>25</v>
      </c>
      <c r="P11" s="355"/>
      <c r="Q11" s="364"/>
    </row>
    <row r="12" spans="1:17">
      <c r="A12" s="365">
        <v>9</v>
      </c>
      <c r="B12" s="153" t="s">
        <v>1880</v>
      </c>
      <c r="C12" s="153" t="s">
        <v>320</v>
      </c>
      <c r="D12" s="153">
        <v>5343</v>
      </c>
      <c r="E12" s="350">
        <v>45401</v>
      </c>
      <c r="F12" s="350">
        <v>45414</v>
      </c>
      <c r="G12" s="351">
        <f t="shared" si="0"/>
        <v>45463</v>
      </c>
      <c r="H12" s="350">
        <v>45476</v>
      </c>
      <c r="I12" s="352">
        <f t="shared" si="1"/>
        <v>13</v>
      </c>
      <c r="J12" s="353">
        <f t="shared" si="2"/>
        <v>100</v>
      </c>
      <c r="K12" s="131"/>
      <c r="L12" s="351">
        <v>45741</v>
      </c>
      <c r="M12" s="356">
        <v>45772</v>
      </c>
      <c r="N12" s="356">
        <v>45773</v>
      </c>
      <c r="O12" s="352">
        <f t="shared" si="3"/>
        <v>31</v>
      </c>
      <c r="P12" s="355"/>
      <c r="Q12" s="364"/>
    </row>
    <row r="13" spans="1:17">
      <c r="A13" s="365">
        <v>10</v>
      </c>
      <c r="B13" s="153" t="s">
        <v>1880</v>
      </c>
      <c r="C13" s="153" t="s">
        <v>309</v>
      </c>
      <c r="D13" s="153">
        <v>5331</v>
      </c>
      <c r="E13" s="350">
        <v>45437</v>
      </c>
      <c r="F13" s="350">
        <v>45433</v>
      </c>
      <c r="G13" s="351">
        <f t="shared" si="0"/>
        <v>45482</v>
      </c>
      <c r="H13" s="350">
        <v>45520</v>
      </c>
      <c r="I13" s="352">
        <f t="shared" si="1"/>
        <v>38</v>
      </c>
      <c r="J13" s="353">
        <f t="shared" si="2"/>
        <v>91.111111111111114</v>
      </c>
      <c r="K13" s="131" t="s">
        <v>1883</v>
      </c>
      <c r="L13" s="351">
        <v>45743</v>
      </c>
      <c r="M13" s="356">
        <v>45754</v>
      </c>
      <c r="N13" s="356">
        <v>45755</v>
      </c>
      <c r="O13" s="352">
        <f t="shared" si="3"/>
        <v>11</v>
      </c>
      <c r="P13" s="355"/>
      <c r="Q13" s="364"/>
    </row>
    <row r="14" spans="1:17">
      <c r="A14" s="365">
        <v>11</v>
      </c>
      <c r="B14" s="153" t="s">
        <v>1880</v>
      </c>
      <c r="C14" s="153" t="s">
        <v>318</v>
      </c>
      <c r="D14" s="153">
        <v>5329</v>
      </c>
      <c r="E14" s="350">
        <v>45401</v>
      </c>
      <c r="F14" s="350">
        <v>45433</v>
      </c>
      <c r="G14" s="351">
        <f t="shared" si="0"/>
        <v>45482</v>
      </c>
      <c r="H14" s="350">
        <v>45516</v>
      </c>
      <c r="I14" s="352">
        <f t="shared" si="1"/>
        <v>34</v>
      </c>
      <c r="J14" s="353">
        <f t="shared" si="2"/>
        <v>95.555555555555557</v>
      </c>
      <c r="K14" s="131" t="s">
        <v>1883</v>
      </c>
      <c r="L14" s="351">
        <v>45748</v>
      </c>
      <c r="M14" s="356">
        <v>45738</v>
      </c>
      <c r="N14" s="356">
        <v>45741</v>
      </c>
      <c r="O14" s="352">
        <f t="shared" si="3"/>
        <v>-10</v>
      </c>
      <c r="P14" s="355"/>
      <c r="Q14" s="364"/>
    </row>
    <row r="15" spans="1:17">
      <c r="A15" s="365">
        <v>12</v>
      </c>
      <c r="B15" s="153" t="s">
        <v>1880</v>
      </c>
      <c r="C15" s="153" t="s">
        <v>333</v>
      </c>
      <c r="D15" s="153">
        <v>5340</v>
      </c>
      <c r="E15" s="350">
        <v>45437</v>
      </c>
      <c r="F15" s="350">
        <v>45436</v>
      </c>
      <c r="G15" s="351">
        <f t="shared" si="0"/>
        <v>45485</v>
      </c>
      <c r="H15" s="350">
        <v>45592</v>
      </c>
      <c r="I15" s="352">
        <f t="shared" si="1"/>
        <v>107</v>
      </c>
      <c r="J15" s="353">
        <f t="shared" si="2"/>
        <v>14.444444444444443</v>
      </c>
      <c r="K15" s="131" t="s">
        <v>1884</v>
      </c>
      <c r="L15" s="351">
        <v>45750</v>
      </c>
      <c r="M15" s="356">
        <v>45764</v>
      </c>
      <c r="N15" s="356">
        <v>45765</v>
      </c>
      <c r="O15" s="352">
        <f t="shared" si="3"/>
        <v>14</v>
      </c>
      <c r="P15" s="355"/>
      <c r="Q15" s="364"/>
    </row>
    <row r="16" spans="1:17">
      <c r="A16" s="365">
        <v>13</v>
      </c>
      <c r="B16" s="153" t="s">
        <v>1880</v>
      </c>
      <c r="C16" s="357" t="s">
        <v>315</v>
      </c>
      <c r="D16" s="357">
        <v>5346</v>
      </c>
      <c r="E16" s="350">
        <v>45469</v>
      </c>
      <c r="F16" s="350">
        <v>45457</v>
      </c>
      <c r="G16" s="351">
        <f t="shared" si="0"/>
        <v>45506</v>
      </c>
      <c r="H16" s="350">
        <v>45517</v>
      </c>
      <c r="I16" s="352">
        <f t="shared" si="1"/>
        <v>11</v>
      </c>
      <c r="J16" s="353">
        <f t="shared" si="2"/>
        <v>100</v>
      </c>
      <c r="K16" s="131"/>
      <c r="L16" s="351">
        <v>45754</v>
      </c>
      <c r="M16" s="356">
        <v>45750</v>
      </c>
      <c r="N16" s="356">
        <v>45751</v>
      </c>
      <c r="O16" s="352">
        <f t="shared" si="3"/>
        <v>-4</v>
      </c>
      <c r="P16" s="355"/>
      <c r="Q16" s="364"/>
    </row>
    <row r="17" spans="1:17">
      <c r="A17" s="365">
        <v>14</v>
      </c>
      <c r="B17" s="153" t="s">
        <v>1880</v>
      </c>
      <c r="C17" s="357" t="s">
        <v>319</v>
      </c>
      <c r="D17" s="357">
        <v>5347</v>
      </c>
      <c r="E17" s="350">
        <v>45469</v>
      </c>
      <c r="F17" s="350">
        <v>45467</v>
      </c>
      <c r="G17" s="351">
        <f t="shared" si="0"/>
        <v>45516</v>
      </c>
      <c r="H17" s="350">
        <v>45539</v>
      </c>
      <c r="I17" s="352">
        <f t="shared" si="1"/>
        <v>23</v>
      </c>
      <c r="J17" s="353">
        <f t="shared" si="2"/>
        <v>100</v>
      </c>
      <c r="K17" s="131"/>
      <c r="L17" s="351">
        <v>45756</v>
      </c>
      <c r="M17" s="356">
        <v>45775</v>
      </c>
      <c r="N17" s="356">
        <v>45776</v>
      </c>
      <c r="O17" s="352">
        <f t="shared" si="3"/>
        <v>19</v>
      </c>
      <c r="P17" s="355"/>
      <c r="Q17" s="364"/>
    </row>
    <row r="18" spans="1:17">
      <c r="A18" s="365">
        <v>15</v>
      </c>
      <c r="B18" s="153" t="s">
        <v>1880</v>
      </c>
      <c r="C18" s="357" t="s">
        <v>311</v>
      </c>
      <c r="D18" s="357">
        <v>5349</v>
      </c>
      <c r="E18" s="350">
        <v>45469</v>
      </c>
      <c r="F18" s="350">
        <v>45468</v>
      </c>
      <c r="G18" s="351">
        <f t="shared" si="0"/>
        <v>45517</v>
      </c>
      <c r="H18" s="350">
        <v>45525</v>
      </c>
      <c r="I18" s="352">
        <f t="shared" si="1"/>
        <v>8</v>
      </c>
      <c r="J18" s="353">
        <f t="shared" si="2"/>
        <v>100</v>
      </c>
      <c r="K18" s="131"/>
      <c r="L18" s="351">
        <v>45758</v>
      </c>
      <c r="M18" s="356">
        <v>45766</v>
      </c>
      <c r="N18" s="356">
        <v>45767</v>
      </c>
      <c r="O18" s="352">
        <f t="shared" si="3"/>
        <v>8</v>
      </c>
      <c r="P18" s="355"/>
      <c r="Q18" s="364"/>
    </row>
    <row r="19" spans="1:17">
      <c r="A19" s="365">
        <v>16</v>
      </c>
      <c r="B19" s="153" t="s">
        <v>1880</v>
      </c>
      <c r="C19" s="357" t="s">
        <v>325</v>
      </c>
      <c r="D19" s="357">
        <v>5344</v>
      </c>
      <c r="E19" s="350">
        <v>45469</v>
      </c>
      <c r="F19" s="350">
        <v>45465</v>
      </c>
      <c r="G19" s="351">
        <f t="shared" si="0"/>
        <v>45514</v>
      </c>
      <c r="H19" s="350">
        <v>45527</v>
      </c>
      <c r="I19" s="352">
        <f t="shared" si="1"/>
        <v>13</v>
      </c>
      <c r="J19" s="353">
        <f t="shared" si="2"/>
        <v>100</v>
      </c>
      <c r="K19" s="131"/>
      <c r="L19" s="351">
        <v>45762</v>
      </c>
      <c r="M19" s="545">
        <v>45779</v>
      </c>
      <c r="N19" s="546">
        <v>45779</v>
      </c>
      <c r="O19" s="352">
        <f t="shared" si="3"/>
        <v>17</v>
      </c>
      <c r="P19" s="355"/>
      <c r="Q19" s="364"/>
    </row>
    <row r="20" spans="1:17">
      <c r="A20" s="365">
        <v>17</v>
      </c>
      <c r="B20" s="153" t="s">
        <v>1880</v>
      </c>
      <c r="C20" s="357" t="s">
        <v>314</v>
      </c>
      <c r="D20" s="357">
        <v>5352</v>
      </c>
      <c r="E20" s="350">
        <v>45498</v>
      </c>
      <c r="F20" s="350">
        <v>45498</v>
      </c>
      <c r="G20" s="351">
        <f t="shared" si="0"/>
        <v>45547</v>
      </c>
      <c r="H20" s="350">
        <v>45544</v>
      </c>
      <c r="I20" s="352">
        <f t="shared" si="1"/>
        <v>-3</v>
      </c>
      <c r="J20" s="353">
        <f t="shared" si="2"/>
        <v>100</v>
      </c>
      <c r="K20" s="131"/>
      <c r="L20" s="351">
        <v>45764</v>
      </c>
      <c r="M20" s="545">
        <v>45780</v>
      </c>
      <c r="N20" s="546">
        <v>45780</v>
      </c>
      <c r="O20" s="352">
        <f t="shared" si="3"/>
        <v>16</v>
      </c>
      <c r="P20" s="355"/>
      <c r="Q20" s="364"/>
    </row>
    <row r="21" spans="1:17">
      <c r="A21" s="365">
        <v>18</v>
      </c>
      <c r="B21" s="153" t="s">
        <v>1880</v>
      </c>
      <c r="C21" s="357" t="s">
        <v>316</v>
      </c>
      <c r="D21" s="357">
        <v>5353</v>
      </c>
      <c r="E21" s="350">
        <v>45469</v>
      </c>
      <c r="F21" s="350">
        <v>45492</v>
      </c>
      <c r="G21" s="351">
        <f t="shared" si="0"/>
        <v>45541</v>
      </c>
      <c r="H21" s="350">
        <v>45541</v>
      </c>
      <c r="I21" s="352">
        <f t="shared" si="1"/>
        <v>0</v>
      </c>
      <c r="J21" s="353">
        <f t="shared" si="2"/>
        <v>100</v>
      </c>
      <c r="K21" s="131"/>
      <c r="L21" s="351">
        <v>45768</v>
      </c>
      <c r="M21" s="545">
        <v>45781</v>
      </c>
      <c r="N21" s="546">
        <v>45781</v>
      </c>
      <c r="O21" s="352">
        <f t="shared" si="3"/>
        <v>13</v>
      </c>
      <c r="P21" s="355"/>
      <c r="Q21" s="364"/>
    </row>
    <row r="22" spans="1:17">
      <c r="A22" s="365">
        <v>19</v>
      </c>
      <c r="B22" s="153" t="s">
        <v>1880</v>
      </c>
      <c r="C22" s="357" t="s">
        <v>321</v>
      </c>
      <c r="D22" s="357">
        <v>5345</v>
      </c>
      <c r="E22" s="350">
        <v>45522</v>
      </c>
      <c r="F22" s="350">
        <v>45524</v>
      </c>
      <c r="G22" s="351">
        <v>45545</v>
      </c>
      <c r="H22" s="350">
        <v>45548</v>
      </c>
      <c r="I22" s="352">
        <f t="shared" si="1"/>
        <v>3</v>
      </c>
      <c r="J22" s="353">
        <f t="shared" si="2"/>
        <v>100</v>
      </c>
      <c r="K22" s="131"/>
      <c r="L22" s="369">
        <v>45931</v>
      </c>
      <c r="M22" s="358"/>
      <c r="N22" s="358"/>
      <c r="O22" s="352"/>
      <c r="P22" s="355"/>
      <c r="Q22" s="364"/>
    </row>
    <row r="23" spans="1:17">
      <c r="A23" s="365">
        <v>20</v>
      </c>
      <c r="B23" s="153" t="s">
        <v>1880</v>
      </c>
      <c r="C23" s="357" t="s">
        <v>317</v>
      </c>
      <c r="D23" s="357">
        <v>5328</v>
      </c>
      <c r="E23" s="350">
        <v>45526</v>
      </c>
      <c r="F23" s="350">
        <v>45533</v>
      </c>
      <c r="G23" s="351">
        <f>F23+49</f>
        <v>45582</v>
      </c>
      <c r="H23" s="350">
        <v>45583</v>
      </c>
      <c r="I23" s="352">
        <f t="shared" si="1"/>
        <v>1</v>
      </c>
      <c r="J23" s="353">
        <f t="shared" si="2"/>
        <v>100</v>
      </c>
      <c r="K23" s="131"/>
      <c r="L23" s="370">
        <v>45933</v>
      </c>
      <c r="M23" s="358"/>
      <c r="N23" s="358"/>
      <c r="O23" s="352"/>
      <c r="P23" s="355"/>
      <c r="Q23" s="364"/>
    </row>
    <row r="24" spans="1:17">
      <c r="A24" s="365">
        <v>21</v>
      </c>
      <c r="B24" s="153" t="s">
        <v>1880</v>
      </c>
      <c r="C24" s="357" t="s">
        <v>310</v>
      </c>
      <c r="D24" s="357">
        <v>5330</v>
      </c>
      <c r="E24" s="350">
        <v>45528</v>
      </c>
      <c r="F24" s="350">
        <v>45538</v>
      </c>
      <c r="G24" s="351">
        <f t="shared" ref="G24:G25" si="4">F24+49</f>
        <v>45587</v>
      </c>
      <c r="H24" s="350">
        <v>45586</v>
      </c>
      <c r="I24" s="352">
        <f t="shared" si="1"/>
        <v>-1</v>
      </c>
      <c r="J24" s="353">
        <f t="shared" si="2"/>
        <v>100</v>
      </c>
      <c r="K24" s="131"/>
      <c r="L24" s="370">
        <v>45935</v>
      </c>
      <c r="M24" s="358"/>
      <c r="N24" s="358"/>
      <c r="O24" s="352"/>
      <c r="P24" s="355"/>
      <c r="Q24" s="364"/>
    </row>
    <row r="25" spans="1:17">
      <c r="A25" s="365">
        <v>22</v>
      </c>
      <c r="B25" s="153" t="s">
        <v>1880</v>
      </c>
      <c r="C25" s="357" t="s">
        <v>334</v>
      </c>
      <c r="D25" s="357">
        <v>5348</v>
      </c>
      <c r="E25" s="350">
        <v>45556</v>
      </c>
      <c r="F25" s="350">
        <v>45556</v>
      </c>
      <c r="G25" s="351">
        <f t="shared" si="4"/>
        <v>45605</v>
      </c>
      <c r="H25" s="350">
        <v>45590</v>
      </c>
      <c r="I25" s="352">
        <f t="shared" si="1"/>
        <v>-15</v>
      </c>
      <c r="J25" s="353">
        <f t="shared" si="2"/>
        <v>100</v>
      </c>
      <c r="K25" s="131"/>
      <c r="L25" s="370">
        <v>45938</v>
      </c>
      <c r="M25" s="358"/>
      <c r="N25" s="358"/>
      <c r="O25" s="352"/>
      <c r="P25" s="355"/>
      <c r="Q25" s="364"/>
    </row>
    <row r="26" spans="1:17">
      <c r="A26" s="365">
        <v>23</v>
      </c>
      <c r="B26" s="153" t="s">
        <v>1880</v>
      </c>
      <c r="C26" s="357" t="s">
        <v>383</v>
      </c>
      <c r="D26" s="357">
        <v>5339</v>
      </c>
      <c r="E26" s="350">
        <v>45578</v>
      </c>
      <c r="F26" s="350">
        <v>45578</v>
      </c>
      <c r="G26" s="351">
        <v>45640</v>
      </c>
      <c r="H26" s="350">
        <v>45641</v>
      </c>
      <c r="I26" s="352">
        <f t="shared" si="1"/>
        <v>1</v>
      </c>
      <c r="J26" s="353">
        <f t="shared" si="2"/>
        <v>100</v>
      </c>
      <c r="K26" s="131"/>
      <c r="L26" s="370">
        <v>45940</v>
      </c>
      <c r="M26" s="358"/>
      <c r="N26" s="358"/>
      <c r="O26" s="352"/>
      <c r="P26" s="353"/>
      <c r="Q26" s="364"/>
    </row>
    <row r="27" spans="1:17">
      <c r="A27" s="365">
        <v>24</v>
      </c>
      <c r="B27" s="153" t="s">
        <v>1880</v>
      </c>
      <c r="C27" s="357" t="s">
        <v>339</v>
      </c>
      <c r="D27" s="357">
        <v>5351</v>
      </c>
      <c r="E27" s="350">
        <v>45582</v>
      </c>
      <c r="F27" s="350">
        <v>45582</v>
      </c>
      <c r="G27" s="351">
        <v>45641</v>
      </c>
      <c r="H27" s="350">
        <v>45642</v>
      </c>
      <c r="I27" s="352">
        <f t="shared" si="1"/>
        <v>1</v>
      </c>
      <c r="J27" s="353">
        <f t="shared" si="2"/>
        <v>100</v>
      </c>
      <c r="K27" s="131"/>
      <c r="L27" s="370">
        <v>45942</v>
      </c>
      <c r="M27" s="358"/>
      <c r="N27" s="358"/>
      <c r="O27" s="352"/>
      <c r="P27" s="353"/>
      <c r="Q27" s="364"/>
    </row>
    <row r="28" spans="1:17">
      <c r="A28" s="365">
        <v>25</v>
      </c>
      <c r="B28" s="153" t="s">
        <v>1880</v>
      </c>
      <c r="C28" s="153" t="s">
        <v>340</v>
      </c>
      <c r="D28" s="153">
        <v>5350</v>
      </c>
      <c r="E28" s="350">
        <v>45593</v>
      </c>
      <c r="F28" s="350">
        <v>45591</v>
      </c>
      <c r="G28" s="351">
        <v>45642</v>
      </c>
      <c r="H28" s="350">
        <v>45643</v>
      </c>
      <c r="I28" s="352">
        <f t="shared" si="1"/>
        <v>1</v>
      </c>
      <c r="J28" s="353">
        <f t="shared" si="2"/>
        <v>100</v>
      </c>
      <c r="K28" s="131"/>
      <c r="L28" s="370">
        <v>45945</v>
      </c>
      <c r="M28" s="358"/>
      <c r="N28" s="358"/>
      <c r="O28" s="131"/>
      <c r="P28" s="352"/>
      <c r="Q28" s="364"/>
    </row>
    <row r="29" spans="1:17">
      <c r="A29" s="366">
        <v>26</v>
      </c>
      <c r="B29" s="153" t="s">
        <v>1880</v>
      </c>
      <c r="C29" s="153" t="s">
        <v>342</v>
      </c>
      <c r="D29" s="153">
        <v>5338</v>
      </c>
      <c r="E29" s="359">
        <v>45646</v>
      </c>
      <c r="F29" s="359">
        <v>45646</v>
      </c>
      <c r="G29" s="360">
        <v>45677</v>
      </c>
      <c r="H29" s="359">
        <v>45677</v>
      </c>
      <c r="I29" s="357">
        <v>0</v>
      </c>
      <c r="J29" s="353">
        <f t="shared" si="2"/>
        <v>100</v>
      </c>
      <c r="K29" s="131"/>
      <c r="L29" s="370">
        <v>45947</v>
      </c>
      <c r="M29" s="358"/>
      <c r="N29" s="358"/>
      <c r="O29" s="131"/>
      <c r="P29" s="352"/>
      <c r="Q29" s="364"/>
    </row>
    <row r="30" spans="1:17" ht="15" thickBot="1">
      <c r="A30" s="620"/>
      <c r="B30" s="621"/>
      <c r="C30" s="621"/>
      <c r="D30" s="621"/>
      <c r="E30" s="621"/>
      <c r="F30" s="621"/>
      <c r="G30" s="621"/>
      <c r="H30" s="621"/>
      <c r="I30" s="621"/>
      <c r="J30" s="621"/>
      <c r="K30" s="621"/>
      <c r="L30" s="367"/>
      <c r="M30" s="367"/>
      <c r="N30" s="367"/>
      <c r="O30" s="367"/>
      <c r="P30" s="367"/>
      <c r="Q30" s="368"/>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CD3D-D4AA-4E91-A1A3-F3598F60F0F5}">
  <dimension ref="A1:K26"/>
  <sheetViews>
    <sheetView topLeftCell="D1" workbookViewId="0">
      <selection activeCell="K20" sqref="K20"/>
    </sheetView>
  </sheetViews>
  <sheetFormatPr defaultRowHeight="14.4"/>
  <cols>
    <col min="1" max="1" width="7.109375" bestFit="1" customWidth="1"/>
    <col min="2" max="2" width="10.44140625" bestFit="1" customWidth="1"/>
    <col min="3" max="3" width="23.6640625" bestFit="1" customWidth="1"/>
    <col min="4" max="4" width="23.44140625" bestFit="1" customWidth="1"/>
    <col min="5" max="5" width="14.6640625" bestFit="1" customWidth="1"/>
    <col min="6" max="6" width="19.44140625" bestFit="1" customWidth="1"/>
    <col min="7" max="7" width="14.44140625" bestFit="1" customWidth="1"/>
    <col min="8" max="8" width="18.109375" bestFit="1" customWidth="1"/>
    <col min="9" max="9" width="30.44140625" bestFit="1" customWidth="1"/>
    <col min="10" max="10" width="28.44140625" customWidth="1"/>
    <col min="11" max="11" width="51.6640625" bestFit="1" customWidth="1"/>
  </cols>
  <sheetData>
    <row r="1" spans="1:11" ht="15.6">
      <c r="A1" s="631" t="s">
        <v>2055</v>
      </c>
      <c r="B1" s="631" t="s">
        <v>128</v>
      </c>
      <c r="C1" s="631" t="s">
        <v>2056</v>
      </c>
      <c r="D1" s="631" t="s">
        <v>2057</v>
      </c>
      <c r="E1" s="632" t="s">
        <v>2058</v>
      </c>
      <c r="F1" s="631" t="s">
        <v>2059</v>
      </c>
      <c r="G1" s="631" t="s">
        <v>2060</v>
      </c>
      <c r="H1" s="631" t="s">
        <v>2061</v>
      </c>
      <c r="I1" s="631" t="s">
        <v>2062</v>
      </c>
      <c r="J1" s="565"/>
      <c r="K1" s="631" t="s">
        <v>12</v>
      </c>
    </row>
    <row r="2" spans="1:11" ht="15.6">
      <c r="A2" s="631"/>
      <c r="B2" s="631"/>
      <c r="C2" s="631"/>
      <c r="D2" s="631"/>
      <c r="E2" s="633"/>
      <c r="F2" s="631"/>
      <c r="G2" s="631"/>
      <c r="H2" s="631"/>
      <c r="I2" s="631"/>
      <c r="J2" s="565" t="s">
        <v>2065</v>
      </c>
      <c r="K2" s="631"/>
    </row>
    <row r="3" spans="1:11">
      <c r="A3" s="153">
        <v>1</v>
      </c>
      <c r="B3" s="359">
        <v>45809</v>
      </c>
      <c r="C3" s="566">
        <v>0.41319444444444442</v>
      </c>
      <c r="D3" s="567">
        <v>0.65486111111111112</v>
      </c>
      <c r="E3" s="567">
        <f>D3-C3</f>
        <v>0.2416666666666667</v>
      </c>
      <c r="F3" s="153">
        <v>71.05</v>
      </c>
      <c r="G3" s="568">
        <v>0.15</v>
      </c>
      <c r="H3" s="352">
        <f>F3*G3</f>
        <v>10.657499999999999</v>
      </c>
      <c r="I3" s="352">
        <f>F3-H3</f>
        <v>60.392499999999998</v>
      </c>
      <c r="J3" s="153">
        <v>50</v>
      </c>
      <c r="K3" s="131" t="s">
        <v>2063</v>
      </c>
    </row>
    <row r="4" spans="1:11">
      <c r="A4" s="153">
        <v>2</v>
      </c>
      <c r="B4" s="359">
        <v>45809</v>
      </c>
      <c r="C4" s="567">
        <v>0.4201388888888889</v>
      </c>
      <c r="D4" s="567">
        <v>0.6694444444444444</v>
      </c>
      <c r="E4" s="567">
        <f>D4-C4</f>
        <v>0.2493055555555555</v>
      </c>
      <c r="F4" s="357">
        <v>60.35</v>
      </c>
      <c r="G4" s="568">
        <v>0.15</v>
      </c>
      <c r="H4" s="352">
        <f t="shared" ref="H4:H22" si="0">F4*G4</f>
        <v>9.0525000000000002</v>
      </c>
      <c r="I4" s="352">
        <f t="shared" ref="I4:I22" si="1">F4-H4</f>
        <v>51.297499999999999</v>
      </c>
      <c r="J4" s="153">
        <v>50</v>
      </c>
      <c r="K4" s="131" t="s">
        <v>2063</v>
      </c>
    </row>
    <row r="5" spans="1:11">
      <c r="A5" s="153">
        <v>3</v>
      </c>
      <c r="B5" s="359">
        <v>45809</v>
      </c>
      <c r="C5" s="567">
        <v>0.50416666666666665</v>
      </c>
      <c r="D5" s="567">
        <v>0.57986111111111116</v>
      </c>
      <c r="E5" s="567">
        <f>D5-C5</f>
        <v>7.5694444444444509E-2</v>
      </c>
      <c r="F5" s="357">
        <v>51.4</v>
      </c>
      <c r="G5" s="569">
        <v>0.1</v>
      </c>
      <c r="H5" s="352">
        <f t="shared" si="0"/>
        <v>5.1400000000000006</v>
      </c>
      <c r="I5" s="352">
        <f t="shared" si="1"/>
        <v>46.26</v>
      </c>
      <c r="J5" s="153">
        <v>50</v>
      </c>
      <c r="K5" s="131" t="s">
        <v>2063</v>
      </c>
    </row>
    <row r="6" spans="1:11" s="578" customFormat="1">
      <c r="A6" s="570">
        <v>4</v>
      </c>
      <c r="B6" s="571">
        <v>45809</v>
      </c>
      <c r="C6" s="572">
        <v>0.43541666666666667</v>
      </c>
      <c r="D6" s="572">
        <v>0.67013888888888884</v>
      </c>
      <c r="E6" s="572">
        <f>D6-C6</f>
        <v>0.23472222222222217</v>
      </c>
      <c r="F6" s="573">
        <v>68</v>
      </c>
      <c r="G6" s="574">
        <v>0.3</v>
      </c>
      <c r="H6" s="575">
        <v>17</v>
      </c>
      <c r="I6" s="575">
        <v>51</v>
      </c>
      <c r="J6" s="576">
        <v>50</v>
      </c>
      <c r="K6" s="577" t="s">
        <v>2064</v>
      </c>
    </row>
    <row r="7" spans="1:11">
      <c r="A7" s="153">
        <v>5</v>
      </c>
      <c r="B7" s="359">
        <v>45825</v>
      </c>
      <c r="C7" s="567">
        <v>0.56180555555555556</v>
      </c>
      <c r="D7" s="567">
        <v>0.57013888888888886</v>
      </c>
      <c r="E7" s="567">
        <f>D7-C7</f>
        <v>8.3333333333333037E-3</v>
      </c>
      <c r="F7" s="357">
        <v>65.17</v>
      </c>
      <c r="G7" s="569">
        <v>0.2</v>
      </c>
      <c r="H7" s="352">
        <f t="shared" si="0"/>
        <v>13.034000000000001</v>
      </c>
      <c r="I7" s="352">
        <f t="shared" si="1"/>
        <v>52.136000000000003</v>
      </c>
      <c r="J7" s="153">
        <v>50</v>
      </c>
      <c r="K7" s="131" t="s">
        <v>2063</v>
      </c>
    </row>
    <row r="8" spans="1:11">
      <c r="A8" s="153">
        <v>6</v>
      </c>
      <c r="B8" s="579">
        <v>45826</v>
      </c>
      <c r="C8" s="567">
        <v>0.49166666666666664</v>
      </c>
      <c r="D8" s="567">
        <v>0.7319444444444444</v>
      </c>
      <c r="E8" s="567">
        <f t="shared" ref="E8:E23" si="2">D8-C8</f>
        <v>0.24027777777777776</v>
      </c>
      <c r="F8" s="357">
        <v>62.89</v>
      </c>
      <c r="G8" s="569">
        <v>0.2</v>
      </c>
      <c r="H8" s="352">
        <f t="shared" si="0"/>
        <v>12.578000000000001</v>
      </c>
      <c r="I8" s="352">
        <f t="shared" si="1"/>
        <v>50.311999999999998</v>
      </c>
      <c r="J8" s="153">
        <v>50</v>
      </c>
      <c r="K8" s="131" t="s">
        <v>2063</v>
      </c>
    </row>
    <row r="9" spans="1:11">
      <c r="A9" s="153">
        <v>7</v>
      </c>
      <c r="B9" s="579">
        <v>45826</v>
      </c>
      <c r="C9" s="567">
        <v>0.52777777777777779</v>
      </c>
      <c r="D9" s="567">
        <v>0.7319444444444444</v>
      </c>
      <c r="E9" s="567">
        <f t="shared" si="2"/>
        <v>0.20416666666666661</v>
      </c>
      <c r="F9" s="357">
        <v>48.15</v>
      </c>
      <c r="G9" s="569">
        <v>0.1</v>
      </c>
      <c r="H9" s="352">
        <f t="shared" si="0"/>
        <v>4.8150000000000004</v>
      </c>
      <c r="I9" s="352">
        <f t="shared" si="1"/>
        <v>43.335000000000001</v>
      </c>
      <c r="J9" s="153">
        <v>50</v>
      </c>
      <c r="K9" s="131" t="s">
        <v>2063</v>
      </c>
    </row>
    <row r="10" spans="1:11">
      <c r="A10" s="153">
        <v>8</v>
      </c>
      <c r="B10" s="579">
        <v>45826</v>
      </c>
      <c r="C10" s="567">
        <v>0.60972222222222228</v>
      </c>
      <c r="D10" s="567">
        <v>0.72291666666666665</v>
      </c>
      <c r="E10" s="567">
        <f t="shared" si="2"/>
        <v>0.11319444444444438</v>
      </c>
      <c r="F10" s="357">
        <v>55.2</v>
      </c>
      <c r="G10" s="569">
        <v>0.15</v>
      </c>
      <c r="H10" s="352">
        <f t="shared" si="0"/>
        <v>8.2799999999999994</v>
      </c>
      <c r="I10" s="352">
        <f t="shared" si="1"/>
        <v>46.92</v>
      </c>
      <c r="J10" s="153">
        <v>50</v>
      </c>
      <c r="K10" s="131" t="s">
        <v>2063</v>
      </c>
    </row>
    <row r="11" spans="1:11">
      <c r="A11" s="153">
        <v>9</v>
      </c>
      <c r="B11" s="579">
        <v>45826</v>
      </c>
      <c r="C11" s="567">
        <v>0.66666666666666663</v>
      </c>
      <c r="D11" s="567">
        <v>0.70972222222222225</v>
      </c>
      <c r="E11" s="567">
        <f t="shared" si="2"/>
        <v>4.3055555555555625E-2</v>
      </c>
      <c r="F11" s="357">
        <v>45.15</v>
      </c>
      <c r="G11" s="569">
        <v>0.15</v>
      </c>
      <c r="H11" s="352">
        <f t="shared" si="0"/>
        <v>6.7725</v>
      </c>
      <c r="I11" s="352">
        <f t="shared" si="1"/>
        <v>38.377499999999998</v>
      </c>
      <c r="J11" s="153">
        <v>50</v>
      </c>
      <c r="K11" s="131" t="s">
        <v>2063</v>
      </c>
    </row>
    <row r="12" spans="1:11">
      <c r="A12" s="570">
        <v>10</v>
      </c>
      <c r="B12" s="580">
        <v>45826</v>
      </c>
      <c r="C12" s="581">
        <v>0.6743055555555556</v>
      </c>
      <c r="D12" s="581">
        <v>0.72916666666666663</v>
      </c>
      <c r="E12" s="581">
        <f t="shared" si="2"/>
        <v>5.4861111111111027E-2</v>
      </c>
      <c r="F12" s="582">
        <v>63</v>
      </c>
      <c r="G12" s="583">
        <v>0.26</v>
      </c>
      <c r="H12" s="584">
        <f t="shared" si="0"/>
        <v>16.38</v>
      </c>
      <c r="I12" s="584">
        <v>45</v>
      </c>
      <c r="J12" s="570">
        <v>50</v>
      </c>
      <c r="K12" s="577" t="s">
        <v>2064</v>
      </c>
    </row>
    <row r="13" spans="1:11">
      <c r="A13" s="153">
        <v>11</v>
      </c>
      <c r="B13" s="579">
        <v>45827</v>
      </c>
      <c r="C13" s="567">
        <v>0.42916666666666664</v>
      </c>
      <c r="D13" s="567">
        <v>0.69722222222222219</v>
      </c>
      <c r="E13" s="567">
        <f t="shared" si="2"/>
        <v>0.26805555555555555</v>
      </c>
      <c r="F13" s="357">
        <v>70.209999999999994</v>
      </c>
      <c r="G13" s="569">
        <v>0.25</v>
      </c>
      <c r="H13" s="352">
        <f t="shared" si="0"/>
        <v>17.552499999999998</v>
      </c>
      <c r="I13" s="352">
        <f t="shared" si="1"/>
        <v>52.657499999999999</v>
      </c>
      <c r="J13" s="153">
        <v>50</v>
      </c>
      <c r="K13" s="131" t="s">
        <v>2063</v>
      </c>
    </row>
    <row r="14" spans="1:11">
      <c r="A14" s="153">
        <v>12</v>
      </c>
      <c r="B14" s="579">
        <v>45827</v>
      </c>
      <c r="C14" s="567">
        <v>0.56944444444444442</v>
      </c>
      <c r="D14" s="567">
        <v>0.7055555555555556</v>
      </c>
      <c r="E14" s="567">
        <f t="shared" si="2"/>
        <v>0.13611111111111118</v>
      </c>
      <c r="F14" s="357">
        <v>52.5</v>
      </c>
      <c r="G14" s="569">
        <v>0.15</v>
      </c>
      <c r="H14" s="352">
        <f t="shared" si="0"/>
        <v>7.875</v>
      </c>
      <c r="I14" s="352">
        <f t="shared" si="1"/>
        <v>44.625</v>
      </c>
      <c r="J14" s="153">
        <v>50</v>
      </c>
      <c r="K14" s="131" t="s">
        <v>2063</v>
      </c>
    </row>
    <row r="15" spans="1:11">
      <c r="A15" s="153">
        <v>13</v>
      </c>
      <c r="B15" s="579">
        <v>45828</v>
      </c>
      <c r="C15" s="567">
        <v>0.41736111111111113</v>
      </c>
      <c r="D15" s="567">
        <v>0.45902777777777776</v>
      </c>
      <c r="E15" s="567">
        <f t="shared" si="2"/>
        <v>4.166666666666663E-2</v>
      </c>
      <c r="F15" s="357">
        <v>60.24</v>
      </c>
      <c r="G15" s="569">
        <v>0.15</v>
      </c>
      <c r="H15" s="352">
        <f t="shared" si="0"/>
        <v>9.0359999999999996</v>
      </c>
      <c r="I15" s="352">
        <f>F15-H15</f>
        <v>51.204000000000001</v>
      </c>
      <c r="J15" s="153">
        <v>50</v>
      </c>
      <c r="K15" s="131" t="s">
        <v>2063</v>
      </c>
    </row>
    <row r="16" spans="1:11">
      <c r="A16" s="153">
        <v>14</v>
      </c>
      <c r="B16" s="579">
        <v>45836</v>
      </c>
      <c r="C16" s="567">
        <v>0.56111111111111112</v>
      </c>
      <c r="D16" s="567">
        <v>0.6333333333333333</v>
      </c>
      <c r="E16" s="567">
        <f t="shared" si="2"/>
        <v>7.2222222222222188E-2</v>
      </c>
      <c r="F16" s="357">
        <v>70.03</v>
      </c>
      <c r="G16" s="569">
        <v>0.2</v>
      </c>
      <c r="H16" s="352">
        <f t="shared" si="0"/>
        <v>14.006</v>
      </c>
      <c r="I16" s="352">
        <f t="shared" si="1"/>
        <v>56.024000000000001</v>
      </c>
      <c r="J16" s="153">
        <v>50</v>
      </c>
      <c r="K16" s="131" t="s">
        <v>2063</v>
      </c>
    </row>
    <row r="17" spans="1:11">
      <c r="A17" s="153">
        <v>15</v>
      </c>
      <c r="B17" s="579">
        <v>45837</v>
      </c>
      <c r="C17" s="567">
        <v>0.50972222222222219</v>
      </c>
      <c r="D17" s="567">
        <v>0.62152777777777779</v>
      </c>
      <c r="E17" s="567">
        <f t="shared" si="2"/>
        <v>0.1118055555555556</v>
      </c>
      <c r="F17" s="357">
        <v>70.099999999999994</v>
      </c>
      <c r="G17" s="569">
        <v>0.15</v>
      </c>
      <c r="H17" s="352">
        <f t="shared" si="0"/>
        <v>10.514999999999999</v>
      </c>
      <c r="I17" s="352">
        <f t="shared" si="1"/>
        <v>59.584999999999994</v>
      </c>
      <c r="J17" s="153">
        <v>50</v>
      </c>
      <c r="K17" s="131" t="s">
        <v>2063</v>
      </c>
    </row>
    <row r="18" spans="1:11">
      <c r="A18" s="153">
        <v>16</v>
      </c>
      <c r="B18" s="579">
        <v>45837</v>
      </c>
      <c r="C18" s="567">
        <v>0.52569444444444446</v>
      </c>
      <c r="D18" s="567">
        <v>0.65277777777777779</v>
      </c>
      <c r="E18" s="567">
        <f t="shared" si="2"/>
        <v>0.12708333333333333</v>
      </c>
      <c r="F18" s="357">
        <v>60.21</v>
      </c>
      <c r="G18" s="569">
        <v>0.15</v>
      </c>
      <c r="H18" s="352">
        <f t="shared" si="0"/>
        <v>9.0314999999999994</v>
      </c>
      <c r="I18" s="352">
        <f t="shared" si="1"/>
        <v>51.1785</v>
      </c>
      <c r="J18" s="153">
        <v>50</v>
      </c>
      <c r="K18" s="131" t="s">
        <v>2063</v>
      </c>
    </row>
    <row r="19" spans="1:11">
      <c r="A19" s="153">
        <v>17</v>
      </c>
      <c r="B19" s="579">
        <v>45837</v>
      </c>
      <c r="C19" s="567">
        <v>0.58888888888888891</v>
      </c>
      <c r="D19" s="567">
        <v>0.73472222222222228</v>
      </c>
      <c r="E19" s="567">
        <f t="shared" si="2"/>
        <v>0.14583333333333337</v>
      </c>
      <c r="F19" s="357">
        <v>51.35</v>
      </c>
      <c r="G19" s="569">
        <v>0.2</v>
      </c>
      <c r="H19" s="352">
        <f t="shared" si="0"/>
        <v>10.270000000000001</v>
      </c>
      <c r="I19" s="352">
        <f t="shared" si="1"/>
        <v>41.08</v>
      </c>
      <c r="J19" s="153">
        <v>50</v>
      </c>
      <c r="K19" s="131" t="s">
        <v>2063</v>
      </c>
    </row>
    <row r="20" spans="1:11">
      <c r="A20" s="153">
        <v>18</v>
      </c>
      <c r="B20" s="579">
        <v>45838</v>
      </c>
      <c r="C20" s="567">
        <v>0.45902777777777776</v>
      </c>
      <c r="D20" s="567">
        <v>0.60972222222222228</v>
      </c>
      <c r="E20" s="567">
        <f t="shared" si="2"/>
        <v>0.15069444444444452</v>
      </c>
      <c r="F20" s="357">
        <v>70.34</v>
      </c>
      <c r="G20" s="569">
        <v>0.15</v>
      </c>
      <c r="H20" s="352">
        <f t="shared" si="0"/>
        <v>10.551</v>
      </c>
      <c r="I20" s="352">
        <f t="shared" si="1"/>
        <v>59.789000000000001</v>
      </c>
      <c r="J20" s="153">
        <v>50</v>
      </c>
      <c r="K20" s="131" t="s">
        <v>2063</v>
      </c>
    </row>
    <row r="21" spans="1:11">
      <c r="A21" s="153">
        <v>19</v>
      </c>
      <c r="B21" s="579">
        <v>45838</v>
      </c>
      <c r="C21" s="567">
        <v>0.5</v>
      </c>
      <c r="D21" s="567">
        <v>0.62430555555555556</v>
      </c>
      <c r="E21" s="567">
        <f t="shared" si="2"/>
        <v>0.12430555555555556</v>
      </c>
      <c r="F21" s="357">
        <v>60.25</v>
      </c>
      <c r="G21" s="569">
        <v>0.15</v>
      </c>
      <c r="H21" s="352">
        <f t="shared" si="0"/>
        <v>9.0374999999999996</v>
      </c>
      <c r="I21" s="352">
        <f t="shared" si="1"/>
        <v>51.212499999999999</v>
      </c>
      <c r="J21" s="153">
        <v>50</v>
      </c>
      <c r="K21" s="131" t="s">
        <v>2063</v>
      </c>
    </row>
    <row r="22" spans="1:11">
      <c r="A22" s="153">
        <v>20</v>
      </c>
      <c r="B22" s="579">
        <v>45838</v>
      </c>
      <c r="C22" s="567">
        <v>0.56666666666666665</v>
      </c>
      <c r="D22" s="567">
        <v>0.62361111111111112</v>
      </c>
      <c r="E22" s="567">
        <f t="shared" si="2"/>
        <v>5.6944444444444464E-2</v>
      </c>
      <c r="F22" s="357">
        <v>58.69</v>
      </c>
      <c r="G22" s="569">
        <v>0.15</v>
      </c>
      <c r="H22" s="352">
        <f t="shared" si="0"/>
        <v>8.8034999999999997</v>
      </c>
      <c r="I22" s="352">
        <f t="shared" si="1"/>
        <v>49.886499999999998</v>
      </c>
      <c r="J22" s="153">
        <v>50</v>
      </c>
      <c r="K22" s="131" t="s">
        <v>2063</v>
      </c>
    </row>
    <row r="23" spans="1:11">
      <c r="A23" s="570">
        <v>21</v>
      </c>
      <c r="B23" s="585">
        <v>45838</v>
      </c>
      <c r="C23" s="586">
        <v>0.56666666666666665</v>
      </c>
      <c r="D23" s="586">
        <v>0.62361111111111112</v>
      </c>
      <c r="E23" s="586">
        <f t="shared" si="2"/>
        <v>5.6944444444444464E-2</v>
      </c>
      <c r="F23" s="570">
        <v>63</v>
      </c>
      <c r="G23" s="587">
        <v>0.2</v>
      </c>
      <c r="H23" s="570">
        <v>21.06</v>
      </c>
      <c r="I23" s="570">
        <v>50</v>
      </c>
      <c r="J23" s="570">
        <v>50</v>
      </c>
      <c r="K23" s="577" t="s">
        <v>2064</v>
      </c>
    </row>
    <row r="24" spans="1:11">
      <c r="A24" s="357">
        <v>22</v>
      </c>
      <c r="B24" s="359">
        <v>45839</v>
      </c>
      <c r="C24" s="566">
        <v>0.51736111111111116</v>
      </c>
      <c r="D24" s="566">
        <v>0.64375000000000004</v>
      </c>
      <c r="E24" s="567">
        <f>D24-C24</f>
        <v>0.12638888888888888</v>
      </c>
      <c r="F24" s="357">
        <v>25.3</v>
      </c>
      <c r="G24" s="568">
        <v>0.15</v>
      </c>
      <c r="H24" s="352">
        <f>F24*G24</f>
        <v>3.7949999999999999</v>
      </c>
      <c r="I24" s="352">
        <f>F24-H24</f>
        <v>21.505000000000003</v>
      </c>
      <c r="J24" s="153">
        <v>50</v>
      </c>
      <c r="K24" s="131" t="s">
        <v>2063</v>
      </c>
    </row>
    <row r="25" spans="1:11">
      <c r="A25" s="357">
        <v>23</v>
      </c>
      <c r="B25" s="359">
        <v>45839</v>
      </c>
      <c r="C25" s="566">
        <v>0.55555555555555558</v>
      </c>
      <c r="D25" s="567">
        <v>0.65416666666666667</v>
      </c>
      <c r="E25" s="567">
        <f>D25-C25</f>
        <v>9.8611111111111094E-2</v>
      </c>
      <c r="F25" s="357">
        <v>27.28</v>
      </c>
      <c r="G25" s="569">
        <v>0.15</v>
      </c>
      <c r="H25" s="352">
        <f t="shared" ref="H25:H26" si="3">F25*G25</f>
        <v>4.0919999999999996</v>
      </c>
      <c r="I25" s="352">
        <f t="shared" ref="I25:I26" si="4">F25-H25</f>
        <v>23.188000000000002</v>
      </c>
      <c r="J25" s="153">
        <v>50</v>
      </c>
      <c r="K25" s="131" t="s">
        <v>2063</v>
      </c>
    </row>
    <row r="26" spans="1:11">
      <c r="A26" s="357">
        <v>24</v>
      </c>
      <c r="B26" s="359">
        <v>45845</v>
      </c>
      <c r="C26" s="566">
        <v>0.54791666666666672</v>
      </c>
      <c r="D26" s="567">
        <v>0.5625</v>
      </c>
      <c r="E26" s="567">
        <f>D26-C26</f>
        <v>1.4583333333333282E-2</v>
      </c>
      <c r="F26" s="357">
        <v>54.1</v>
      </c>
      <c r="G26" s="569">
        <v>0.1</v>
      </c>
      <c r="H26" s="588">
        <f t="shared" si="3"/>
        <v>5.41</v>
      </c>
      <c r="I26" s="352">
        <f t="shared" si="4"/>
        <v>48.69</v>
      </c>
      <c r="J26" s="153">
        <v>50</v>
      </c>
      <c r="K26" s="131" t="s">
        <v>2063</v>
      </c>
    </row>
  </sheetData>
  <mergeCells count="10">
    <mergeCell ref="G1:G2"/>
    <mergeCell ref="H1:H2"/>
    <mergeCell ref="I1:I2"/>
    <mergeCell ref="K1:K2"/>
    <mergeCell ref="A1:A2"/>
    <mergeCell ref="B1:B2"/>
    <mergeCell ref="C1:C2"/>
    <mergeCell ref="D1:D2"/>
    <mergeCell ref="E1:E2"/>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topRight" activeCell="C1" sqref="C1"/>
      <selection pane="bottomLeft" activeCell="C1" sqref="C1"/>
      <selection pane="bottomRight" activeCell="A15" sqref="A15:XFD15"/>
    </sheetView>
  </sheetViews>
  <sheetFormatPr defaultColWidth="8.88671875" defaultRowHeight="14.4"/>
  <cols>
    <col min="1" max="1" width="8.88671875" style="167"/>
    <col min="2" max="2" width="9.88671875" style="167" bestFit="1" customWidth="1"/>
    <col min="3" max="3" width="15.88671875" style="167" customWidth="1"/>
    <col min="4" max="6" width="8.88671875" style="167"/>
    <col min="7" max="7" width="20.44140625" style="167" customWidth="1"/>
    <col min="8" max="8" width="8.88671875" style="167"/>
    <col min="9" max="9" width="9.44140625" style="167" bestFit="1" customWidth="1"/>
    <col min="10" max="14" width="8.88671875" style="167"/>
    <col min="15" max="15" width="9.88671875" style="167" bestFit="1" customWidth="1"/>
    <col min="16" max="16" width="11" style="167" customWidth="1"/>
    <col min="17" max="17" width="15.109375" style="167" customWidth="1"/>
    <col min="18" max="19" width="10.88671875" style="167" customWidth="1"/>
    <col min="20" max="20" width="13" style="167" customWidth="1"/>
    <col min="21" max="25" width="12.88671875" style="167" customWidth="1"/>
    <col min="26" max="27" width="14.44140625" style="167" customWidth="1"/>
    <col min="28" max="29" width="15.44140625" style="167" customWidth="1"/>
    <col min="30" max="38" width="9.88671875" style="167" customWidth="1"/>
    <col min="39" max="39" width="12" style="167" bestFit="1" customWidth="1"/>
    <col min="40" max="41" width="12" style="167" customWidth="1"/>
    <col min="42" max="42" width="27.44140625" style="167" bestFit="1" customWidth="1"/>
    <col min="43" max="16384" width="8.88671875" style="167"/>
  </cols>
  <sheetData>
    <row r="1" spans="1:43" ht="43.2">
      <c r="A1" s="179" t="s">
        <v>7</v>
      </c>
      <c r="B1" s="179" t="s">
        <v>167</v>
      </c>
      <c r="C1" s="179" t="s">
        <v>168</v>
      </c>
      <c r="D1" s="179" t="s">
        <v>169</v>
      </c>
      <c r="E1" s="179" t="s">
        <v>170</v>
      </c>
      <c r="F1" s="179" t="s">
        <v>171</v>
      </c>
      <c r="G1" s="179" t="s">
        <v>172</v>
      </c>
      <c r="H1" s="179" t="s">
        <v>173</v>
      </c>
      <c r="I1" s="179" t="s">
        <v>174</v>
      </c>
      <c r="J1" s="179" t="s">
        <v>175</v>
      </c>
      <c r="K1" s="179" t="s">
        <v>176</v>
      </c>
      <c r="L1" s="179" t="s">
        <v>177</v>
      </c>
      <c r="M1" s="179" t="s">
        <v>178</v>
      </c>
      <c r="N1" s="179" t="s">
        <v>179</v>
      </c>
      <c r="O1" s="179" t="s">
        <v>180</v>
      </c>
      <c r="P1" s="179" t="s">
        <v>181</v>
      </c>
      <c r="Q1" s="179" t="s">
        <v>182</v>
      </c>
      <c r="R1" s="179" t="s">
        <v>183</v>
      </c>
      <c r="S1" s="179" t="s">
        <v>184</v>
      </c>
      <c r="T1" s="179" t="s">
        <v>185</v>
      </c>
      <c r="U1" s="179" t="s">
        <v>186</v>
      </c>
      <c r="V1" s="179" t="s">
        <v>187</v>
      </c>
      <c r="W1" s="179" t="s">
        <v>188</v>
      </c>
      <c r="X1" s="179" t="s">
        <v>189</v>
      </c>
      <c r="Y1" s="179" t="s">
        <v>190</v>
      </c>
      <c r="Z1" s="179" t="s">
        <v>191</v>
      </c>
      <c r="AA1" s="179" t="s">
        <v>192</v>
      </c>
      <c r="AB1" s="179" t="s">
        <v>193</v>
      </c>
      <c r="AC1" s="179" t="s">
        <v>194</v>
      </c>
      <c r="AD1" s="179" t="s">
        <v>195</v>
      </c>
      <c r="AE1" s="179" t="s">
        <v>196</v>
      </c>
      <c r="AF1" s="179" t="s">
        <v>197</v>
      </c>
      <c r="AG1" s="179" t="s">
        <v>198</v>
      </c>
      <c r="AH1" s="179" t="s">
        <v>199</v>
      </c>
      <c r="AI1" s="179" t="s">
        <v>200</v>
      </c>
      <c r="AJ1" s="179" t="s">
        <v>201</v>
      </c>
      <c r="AK1" s="179" t="s">
        <v>202</v>
      </c>
      <c r="AL1" s="179" t="s">
        <v>203</v>
      </c>
      <c r="AM1" s="179" t="s">
        <v>204</v>
      </c>
      <c r="AN1" s="179" t="s">
        <v>205</v>
      </c>
      <c r="AP1" s="167" t="s">
        <v>206</v>
      </c>
      <c r="AQ1" s="177">
        <v>70.400000000000006</v>
      </c>
    </row>
    <row r="2" spans="1:43">
      <c r="A2" s="180">
        <v>1</v>
      </c>
      <c r="B2" s="181" t="s">
        <v>207</v>
      </c>
      <c r="C2" s="182">
        <v>4</v>
      </c>
      <c r="D2" s="181">
        <v>45383</v>
      </c>
      <c r="E2" s="183">
        <f>YEAR(D2)</f>
        <v>2024</v>
      </c>
      <c r="F2" s="183" t="s">
        <v>208</v>
      </c>
      <c r="G2" s="180">
        <f>DAY(EOMONTH(D2,0))</f>
        <v>30</v>
      </c>
      <c r="H2" s="184"/>
      <c r="I2" s="184"/>
      <c r="J2" s="185">
        <v>6.65</v>
      </c>
      <c r="K2" s="184"/>
      <c r="L2" s="180"/>
      <c r="M2" s="186">
        <v>0</v>
      </c>
      <c r="N2" s="186">
        <v>0</v>
      </c>
      <c r="O2" s="187"/>
      <c r="P2" s="185"/>
      <c r="Q2" s="180">
        <f>COUNTIFS('Daily KPI'!$D:$D,D2,'Daily KPI'!$M:$M,"&gt;0")</f>
        <v>0</v>
      </c>
      <c r="R2" s="186"/>
      <c r="S2" s="186"/>
      <c r="T2" s="185">
        <f t="shared" ref="T2:T25" si="0">IFERROR(M2/G2,"")</f>
        <v>0</v>
      </c>
      <c r="U2" s="186">
        <f t="shared" ref="U2:U25" si="1">IFERROR(M2/G2*Q2,"")</f>
        <v>0</v>
      </c>
      <c r="V2" s="186">
        <f>SUMIF($F$2:F2,F2,$U$2:U2)</f>
        <v>0</v>
      </c>
      <c r="W2" s="187" t="str">
        <f t="shared" ref="W2:W25" si="2">IFERROR(T2/(24*N2),"")</f>
        <v/>
      </c>
      <c r="X2" s="187" t="str">
        <f t="shared" ref="X2:X25" si="3">IFERROR(U2/(24*N2*Q2),"")</f>
        <v/>
      </c>
      <c r="Y2" s="187" t="str">
        <f t="shared" ref="Y2:Y25" si="4">IFERROR(V2/(24*N2*SUMIFS($Q:$Q,$F:$F,$F2,$D:$D,"&lt;="&amp;D2)),"")</f>
        <v/>
      </c>
      <c r="Z2" s="185" t="str">
        <f>IFERROR(AVERAGEIF('Daily KPI'!D:D,Table14[[#This Row],[Month]],'Daily KPI'!AB:AB),"")</f>
        <v/>
      </c>
      <c r="AA2" s="184" t="str">
        <f>IFERROR(AVERAGEIF($F$2:F2,F2,$Z$2:Z2),"")</f>
        <v/>
      </c>
      <c r="AB2" s="186"/>
      <c r="AC2" s="185">
        <f>Table14[[#This Row],[WS]]</f>
        <v>6.65</v>
      </c>
      <c r="AD2" s="185">
        <f>AVERAGEIF($F$2:F2,F2,$AC$2:AC2)</f>
        <v>6.65</v>
      </c>
      <c r="AE2" s="187">
        <f t="shared" ref="AE2:AE25" si="5">IFERROR(AH2*AI2,"")</f>
        <v>0.96029999999999993</v>
      </c>
      <c r="AF2" s="187">
        <v>0.995</v>
      </c>
      <c r="AG2" s="187"/>
      <c r="AH2" s="187">
        <v>0.97</v>
      </c>
      <c r="AI2" s="187">
        <v>0.99</v>
      </c>
      <c r="AJ2" s="187">
        <v>0.95</v>
      </c>
      <c r="AK2" s="187">
        <v>0.05</v>
      </c>
      <c r="AL2" s="187">
        <v>0.05</v>
      </c>
      <c r="AM2" s="219"/>
      <c r="AN2" s="219"/>
      <c r="AP2" s="167" t="s">
        <v>209</v>
      </c>
      <c r="AQ2" s="164">
        <f>70.4*5%</f>
        <v>3.5200000000000005</v>
      </c>
    </row>
    <row r="3" spans="1:43">
      <c r="A3" s="182">
        <f>A2+1</f>
        <v>2</v>
      </c>
      <c r="B3" s="181" t="s">
        <v>210</v>
      </c>
      <c r="C3" s="182">
        <v>5</v>
      </c>
      <c r="D3" s="181">
        <v>45413</v>
      </c>
      <c r="E3" s="188">
        <f>YEAR(D3)</f>
        <v>2024</v>
      </c>
      <c r="F3" s="183" t="s">
        <v>208</v>
      </c>
      <c r="G3" s="182">
        <f>DAY(EOMONTH(D3,0))</f>
        <v>31</v>
      </c>
      <c r="H3" s="189"/>
      <c r="I3" s="189"/>
      <c r="J3" s="190">
        <v>7.19</v>
      </c>
      <c r="K3" s="189"/>
      <c r="L3" s="182"/>
      <c r="M3" s="191">
        <v>8711.2649999999994</v>
      </c>
      <c r="N3" s="191">
        <v>27</v>
      </c>
      <c r="O3" s="192"/>
      <c r="P3" s="190"/>
      <c r="Q3" s="182">
        <f>COUNTIFS('Daily KPI'!$D:$D,D3,'Daily KPI'!$M:$M,"&gt;0")</f>
        <v>0</v>
      </c>
      <c r="R3" s="191"/>
      <c r="S3" s="191"/>
      <c r="T3" s="190">
        <f t="shared" si="0"/>
        <v>281.00854838709677</v>
      </c>
      <c r="U3" s="191">
        <f t="shared" si="1"/>
        <v>0</v>
      </c>
      <c r="V3" s="191">
        <f>SUMIF($F$2:F3,F3,$U$2:U3)</f>
        <v>0</v>
      </c>
      <c r="W3" s="192">
        <f t="shared" si="2"/>
        <v>0.43365516726403824</v>
      </c>
      <c r="X3" s="192" t="str">
        <f t="shared" si="3"/>
        <v/>
      </c>
      <c r="Y3" s="192" t="str">
        <f t="shared" si="4"/>
        <v/>
      </c>
      <c r="Z3" s="190" t="str">
        <f>IFERROR(AVERAGEIF('Daily KPI'!D:D,Table14[[#This Row],[Month]],'Daily KPI'!AB:AB),"")</f>
        <v/>
      </c>
      <c r="AA3" s="189" t="str">
        <f>IFERROR(AVERAGEIF($F$2:F3,F3,$Z$2:Z3),"")</f>
        <v/>
      </c>
      <c r="AB3" s="191"/>
      <c r="AC3" s="185">
        <f>Table14[[#This Row],[WS]]</f>
        <v>7.19</v>
      </c>
      <c r="AD3" s="190">
        <f>AVERAGEIF($F$2:F3,F3,$AC$2:AC3)</f>
        <v>6.92</v>
      </c>
      <c r="AE3" s="192">
        <f t="shared" si="5"/>
        <v>0.96029999999999993</v>
      </c>
      <c r="AF3" s="192">
        <v>0.995</v>
      </c>
      <c r="AG3" s="192"/>
      <c r="AH3" s="192">
        <v>0.97</v>
      </c>
      <c r="AI3" s="192">
        <v>0.99</v>
      </c>
      <c r="AJ3" s="192">
        <v>0.95</v>
      </c>
      <c r="AK3" s="192">
        <v>0.05</v>
      </c>
      <c r="AL3" s="192">
        <v>0.05</v>
      </c>
      <c r="AM3" s="218"/>
      <c r="AN3" s="218"/>
      <c r="AP3" s="167" t="s">
        <v>211</v>
      </c>
      <c r="AQ3" s="164">
        <f>AQ2*24</f>
        <v>84.480000000000018</v>
      </c>
    </row>
    <row r="4" spans="1:43">
      <c r="A4" s="182">
        <f t="shared" ref="A4:A25" si="6">A3+1</f>
        <v>3</v>
      </c>
      <c r="B4" s="181" t="s">
        <v>212</v>
      </c>
      <c r="C4" s="182">
        <v>6</v>
      </c>
      <c r="D4" s="181">
        <v>45444</v>
      </c>
      <c r="E4" s="183">
        <f t="shared" ref="E4:E23" si="7">YEAR(D4)</f>
        <v>2024</v>
      </c>
      <c r="F4" s="183" t="s">
        <v>208</v>
      </c>
      <c r="G4" s="180">
        <f t="shared" ref="G4:G23" si="8">DAY(EOMONTH(D4,0))</f>
        <v>30</v>
      </c>
      <c r="H4" s="184"/>
      <c r="I4" s="184"/>
      <c r="J4" s="185">
        <v>7.15</v>
      </c>
      <c r="K4" s="184"/>
      <c r="L4" s="180"/>
      <c r="M4" s="186">
        <v>7436.6909999999998</v>
      </c>
      <c r="N4" s="186">
        <v>27</v>
      </c>
      <c r="O4" s="187"/>
      <c r="P4" s="185"/>
      <c r="Q4" s="180">
        <f>COUNTIFS('Daily KPI'!$D:$D,D4,'Daily KPI'!$M:$M,"&gt;0")</f>
        <v>0</v>
      </c>
      <c r="R4" s="186"/>
      <c r="S4" s="186"/>
      <c r="T4" s="185">
        <f t="shared" si="0"/>
        <v>247.8897</v>
      </c>
      <c r="U4" s="186">
        <f t="shared" si="1"/>
        <v>0</v>
      </c>
      <c r="V4" s="186">
        <f>SUMIF($F$2:F4,F4,$U$2:U4)</f>
        <v>0</v>
      </c>
      <c r="W4" s="187">
        <f t="shared" si="2"/>
        <v>0.38254583333333336</v>
      </c>
      <c r="X4" s="187" t="str">
        <f t="shared" si="3"/>
        <v/>
      </c>
      <c r="Y4" s="187" t="str">
        <f t="shared" si="4"/>
        <v/>
      </c>
      <c r="Z4" s="185" t="str">
        <f>IFERROR(AVERAGEIF('Daily KPI'!D:D,Table14[[#This Row],[Month]],'Daily KPI'!AB:AB),"")</f>
        <v/>
      </c>
      <c r="AA4" s="184" t="str">
        <f>IFERROR(AVERAGEIF($F$2:F4,F4,$Z$2:Z4),"")</f>
        <v/>
      </c>
      <c r="AB4" s="186"/>
      <c r="AC4" s="185">
        <f>Table14[[#This Row],[WS]]</f>
        <v>7.15</v>
      </c>
      <c r="AD4" s="185">
        <f>AVERAGEIF($F$2:F4,F4,$AC$2:AC4)</f>
        <v>6.996666666666667</v>
      </c>
      <c r="AE4" s="187">
        <f t="shared" si="5"/>
        <v>0.96029999999999993</v>
      </c>
      <c r="AF4" s="187">
        <v>0.995</v>
      </c>
      <c r="AG4" s="187"/>
      <c r="AH4" s="187">
        <v>0.97</v>
      </c>
      <c r="AI4" s="187">
        <v>0.99</v>
      </c>
      <c r="AJ4" s="187">
        <v>0.95</v>
      </c>
      <c r="AK4" s="187">
        <v>0.05</v>
      </c>
      <c r="AL4" s="187">
        <v>0.05</v>
      </c>
      <c r="AM4" s="218"/>
      <c r="AN4" s="218"/>
    </row>
    <row r="5" spans="1:43">
      <c r="A5" s="182">
        <f t="shared" si="6"/>
        <v>4</v>
      </c>
      <c r="B5" s="181" t="s">
        <v>213</v>
      </c>
      <c r="C5" s="182">
        <v>7</v>
      </c>
      <c r="D5" s="181">
        <v>45474</v>
      </c>
      <c r="E5" s="188">
        <f t="shared" si="7"/>
        <v>2024</v>
      </c>
      <c r="F5" s="183" t="s">
        <v>208</v>
      </c>
      <c r="G5" s="182">
        <f t="shared" si="8"/>
        <v>31</v>
      </c>
      <c r="H5" s="189"/>
      <c r="I5" s="189"/>
      <c r="J5" s="190">
        <v>8.18</v>
      </c>
      <c r="K5" s="189"/>
      <c r="L5" s="182"/>
      <c r="M5" s="191">
        <v>24024.424999999999</v>
      </c>
      <c r="N5" s="191">
        <v>70.2</v>
      </c>
      <c r="O5" s="192"/>
      <c r="P5" s="190"/>
      <c r="Q5" s="182">
        <f>COUNTIFS('Daily KPI'!$D:$D,D5,'Daily KPI'!$M:$M,"&gt;0")</f>
        <v>0</v>
      </c>
      <c r="R5" s="191"/>
      <c r="S5" s="191"/>
      <c r="T5" s="190">
        <f t="shared" si="0"/>
        <v>774.98145161290324</v>
      </c>
      <c r="U5" s="191">
        <f t="shared" si="1"/>
        <v>0</v>
      </c>
      <c r="V5" s="191">
        <f>SUMIF($F$2:F5,F5,$U$2:U5)</f>
        <v>0</v>
      </c>
      <c r="W5" s="192">
        <f t="shared" si="2"/>
        <v>0.45998424241031766</v>
      </c>
      <c r="X5" s="192" t="str">
        <f t="shared" si="3"/>
        <v/>
      </c>
      <c r="Y5" s="192" t="str">
        <f t="shared" si="4"/>
        <v/>
      </c>
      <c r="Z5" s="190" t="str">
        <f>IFERROR(AVERAGEIF('Daily KPI'!D:D,Table14[[#This Row],[Month]],'Daily KPI'!AB:AB),"")</f>
        <v/>
      </c>
      <c r="AA5" s="189" t="str">
        <f>IFERROR(AVERAGEIF($F$2:F5,F5,$Z$2:Z5),"")</f>
        <v/>
      </c>
      <c r="AB5" s="191"/>
      <c r="AC5" s="185">
        <f>Table14[[#This Row],[WS]]</f>
        <v>8.18</v>
      </c>
      <c r="AD5" s="190">
        <f>AVERAGEIF($F$2:F5,F5,$AC$2:AC5)</f>
        <v>7.2925000000000004</v>
      </c>
      <c r="AE5" s="192">
        <f t="shared" si="5"/>
        <v>0.96029999999999993</v>
      </c>
      <c r="AF5" s="192">
        <v>0.995</v>
      </c>
      <c r="AG5" s="192"/>
      <c r="AH5" s="192">
        <v>0.97</v>
      </c>
      <c r="AI5" s="192">
        <v>0.99</v>
      </c>
      <c r="AJ5" s="192">
        <v>0.95</v>
      </c>
      <c r="AK5" s="192">
        <v>0.05</v>
      </c>
      <c r="AL5" s="192">
        <v>0.05</v>
      </c>
      <c r="AM5" s="218"/>
      <c r="AN5" s="218"/>
    </row>
    <row r="6" spans="1:43">
      <c r="A6" s="182">
        <f t="shared" si="6"/>
        <v>5</v>
      </c>
      <c r="B6" s="181" t="s">
        <v>214</v>
      </c>
      <c r="C6" s="182">
        <v>8</v>
      </c>
      <c r="D6" s="181">
        <v>45505</v>
      </c>
      <c r="E6" s="183">
        <f t="shared" si="7"/>
        <v>2024</v>
      </c>
      <c r="F6" s="183" t="s">
        <v>208</v>
      </c>
      <c r="G6" s="180">
        <f t="shared" si="8"/>
        <v>31</v>
      </c>
      <c r="H6" s="184"/>
      <c r="I6" s="184"/>
      <c r="J6" s="185">
        <v>9.01</v>
      </c>
      <c r="K6" s="184"/>
      <c r="L6" s="180"/>
      <c r="M6" s="186">
        <v>22325.728000000003</v>
      </c>
      <c r="N6" s="186">
        <v>70.2</v>
      </c>
      <c r="O6" s="187"/>
      <c r="P6" s="185"/>
      <c r="Q6" s="180">
        <f>COUNTIFS('Daily KPI'!$D:$D,D6,'Daily KPI'!$M:$M,"&gt;0")</f>
        <v>0</v>
      </c>
      <c r="R6" s="186"/>
      <c r="S6" s="186"/>
      <c r="T6" s="185">
        <f t="shared" si="0"/>
        <v>720.18477419354849</v>
      </c>
      <c r="U6" s="186">
        <f t="shared" si="1"/>
        <v>0</v>
      </c>
      <c r="V6" s="186">
        <f>SUMIF($F$2:F6,F6,$U$2:U6)</f>
        <v>0</v>
      </c>
      <c r="W6" s="187">
        <f t="shared" si="2"/>
        <v>0.42746009864289436</v>
      </c>
      <c r="X6" s="187" t="str">
        <f t="shared" si="3"/>
        <v/>
      </c>
      <c r="Y6" s="187" t="str">
        <f t="shared" si="4"/>
        <v/>
      </c>
      <c r="Z6" s="185" t="str">
        <f>IFERROR(AVERAGEIF('Daily KPI'!D:D,Table14[[#This Row],[Month]],'Daily KPI'!AB:AB),"")</f>
        <v/>
      </c>
      <c r="AA6" s="184" t="str">
        <f>IFERROR(AVERAGEIF($F$2:F6,F6,$Z$2:Z6),"")</f>
        <v/>
      </c>
      <c r="AB6" s="186"/>
      <c r="AC6" s="185">
        <f>Table14[[#This Row],[WS]]</f>
        <v>9.01</v>
      </c>
      <c r="AD6" s="185">
        <f>AVERAGEIF($F$2:F6,F6,$AC$2:AC6)</f>
        <v>7.6360000000000001</v>
      </c>
      <c r="AE6" s="187">
        <f t="shared" si="5"/>
        <v>0.96029999999999993</v>
      </c>
      <c r="AF6" s="187">
        <v>0.995</v>
      </c>
      <c r="AG6" s="187"/>
      <c r="AH6" s="187">
        <v>0.97</v>
      </c>
      <c r="AI6" s="187">
        <v>0.99</v>
      </c>
      <c r="AJ6" s="187">
        <v>0.95</v>
      </c>
      <c r="AK6" s="187">
        <v>0.05</v>
      </c>
      <c r="AL6" s="187">
        <v>0.05</v>
      </c>
      <c r="AM6" s="218"/>
      <c r="AN6" s="218"/>
      <c r="AQ6" s="193"/>
    </row>
    <row r="7" spans="1:43">
      <c r="A7" s="182">
        <f t="shared" si="6"/>
        <v>6</v>
      </c>
      <c r="B7" s="181" t="s">
        <v>215</v>
      </c>
      <c r="C7" s="182">
        <v>9</v>
      </c>
      <c r="D7" s="181">
        <v>45536</v>
      </c>
      <c r="E7" s="188">
        <f t="shared" si="7"/>
        <v>2024</v>
      </c>
      <c r="F7" s="183" t="s">
        <v>208</v>
      </c>
      <c r="G7" s="182">
        <f t="shared" si="8"/>
        <v>30</v>
      </c>
      <c r="H7" s="189"/>
      <c r="I7" s="189"/>
      <c r="J7" s="190">
        <v>8.16</v>
      </c>
      <c r="K7" s="189"/>
      <c r="L7" s="182"/>
      <c r="M7" s="191">
        <v>15949.744000000001</v>
      </c>
      <c r="N7" s="191">
        <v>70.2</v>
      </c>
      <c r="O7" s="192"/>
      <c r="P7" s="190"/>
      <c r="Q7" s="182">
        <f>COUNTIFS('Daily KPI'!$D:$D,D7,'Daily KPI'!$M:$M,"&gt;0")</f>
        <v>0</v>
      </c>
      <c r="R7" s="191"/>
      <c r="S7" s="191"/>
      <c r="T7" s="190">
        <f t="shared" si="0"/>
        <v>531.65813333333335</v>
      </c>
      <c r="U7" s="191">
        <f t="shared" si="1"/>
        <v>0</v>
      </c>
      <c r="V7" s="191">
        <f>SUMIF($F$2:F7,F7,$U$2:U7)</f>
        <v>0</v>
      </c>
      <c r="W7" s="192">
        <f t="shared" si="2"/>
        <v>0.31556157011712566</v>
      </c>
      <c r="X7" s="192" t="str">
        <f t="shared" si="3"/>
        <v/>
      </c>
      <c r="Y7" s="192" t="str">
        <f t="shared" si="4"/>
        <v/>
      </c>
      <c r="Z7" s="190" t="str">
        <f>IFERROR(AVERAGEIF('Daily KPI'!D:D,Table14[[#This Row],[Month]],'Daily KPI'!AB:AB),"")</f>
        <v/>
      </c>
      <c r="AA7" s="189" t="str">
        <f>IFERROR(AVERAGEIF($F$2:F7,F7,$Z$2:Z7),"")</f>
        <v/>
      </c>
      <c r="AB7" s="191"/>
      <c r="AC7" s="185">
        <f>Table14[[#This Row],[WS]]</f>
        <v>8.16</v>
      </c>
      <c r="AD7" s="190">
        <f>AVERAGEIF($F$2:F7,F7,$AC$2:AC7)</f>
        <v>7.7233333333333336</v>
      </c>
      <c r="AE7" s="192">
        <f t="shared" si="5"/>
        <v>0.96029999999999993</v>
      </c>
      <c r="AF7" s="192">
        <v>0.995</v>
      </c>
      <c r="AG7" s="192"/>
      <c r="AH7" s="192">
        <v>0.97</v>
      </c>
      <c r="AI7" s="192">
        <v>0.99</v>
      </c>
      <c r="AJ7" s="192">
        <v>0.95</v>
      </c>
      <c r="AK7" s="192">
        <v>0.05</v>
      </c>
      <c r="AL7" s="192">
        <v>0.05</v>
      </c>
      <c r="AM7" s="218"/>
      <c r="AN7" s="218"/>
    </row>
    <row r="8" spans="1:43">
      <c r="A8" s="182">
        <f t="shared" si="6"/>
        <v>7</v>
      </c>
      <c r="B8" s="181" t="s">
        <v>216</v>
      </c>
      <c r="C8" s="182">
        <v>10</v>
      </c>
      <c r="D8" s="181">
        <v>45566</v>
      </c>
      <c r="E8" s="183">
        <f t="shared" si="7"/>
        <v>2024</v>
      </c>
      <c r="F8" s="183" t="s">
        <v>208</v>
      </c>
      <c r="G8" s="180">
        <f t="shared" si="8"/>
        <v>31</v>
      </c>
      <c r="H8" s="184"/>
      <c r="I8" s="184"/>
      <c r="J8" s="185">
        <v>9.2100000000000009</v>
      </c>
      <c r="K8" s="184"/>
      <c r="L8" s="180"/>
      <c r="M8" s="186">
        <v>11324.645</v>
      </c>
      <c r="N8" s="186">
        <v>70.2</v>
      </c>
      <c r="O8" s="187"/>
      <c r="P8" s="185"/>
      <c r="Q8" s="180">
        <f>COUNTIFS('Daily KPI'!$D:$D,D8,'Daily KPI'!$M:$M,"&gt;0")</f>
        <v>0</v>
      </c>
      <c r="R8" s="186"/>
      <c r="S8" s="186"/>
      <c r="T8" s="185">
        <f t="shared" si="0"/>
        <v>365.31112903225807</v>
      </c>
      <c r="U8" s="186">
        <f t="shared" si="1"/>
        <v>0</v>
      </c>
      <c r="V8" s="186">
        <f>SUMIF($F$2:F8,F8,$U$2:U8)</f>
        <v>0</v>
      </c>
      <c r="W8" s="187">
        <f t="shared" si="2"/>
        <v>0.21682759320528136</v>
      </c>
      <c r="X8" s="187" t="str">
        <f t="shared" si="3"/>
        <v/>
      </c>
      <c r="Y8" s="187" t="str">
        <f t="shared" si="4"/>
        <v/>
      </c>
      <c r="Z8" s="185" t="str">
        <f>IFERROR(AVERAGEIF('Daily KPI'!D:D,Table14[[#This Row],[Month]],'Daily KPI'!AB:AB),"")</f>
        <v/>
      </c>
      <c r="AA8" s="184" t="str">
        <f>IFERROR(AVERAGEIF($F$2:F8,F8,$Z$2:Z8),"")</f>
        <v/>
      </c>
      <c r="AB8" s="186"/>
      <c r="AC8" s="185">
        <f>Table14[[#This Row],[WS]]</f>
        <v>9.2100000000000009</v>
      </c>
      <c r="AD8" s="185">
        <f>AVERAGEIF($F$2:F8,F8,$AC$2:AC8)</f>
        <v>7.9357142857142859</v>
      </c>
      <c r="AE8" s="187">
        <f t="shared" si="5"/>
        <v>0.96029999999999993</v>
      </c>
      <c r="AF8" s="187">
        <v>0.995</v>
      </c>
      <c r="AG8" s="187"/>
      <c r="AH8" s="187">
        <v>0.97</v>
      </c>
      <c r="AI8" s="187">
        <v>0.99</v>
      </c>
      <c r="AJ8" s="187">
        <v>0.95</v>
      </c>
      <c r="AK8" s="187">
        <v>0.05</v>
      </c>
      <c r="AL8" s="187">
        <v>0.05</v>
      </c>
      <c r="AM8" s="218"/>
      <c r="AN8" s="218"/>
    </row>
    <row r="9" spans="1:43">
      <c r="A9" s="182">
        <f t="shared" si="6"/>
        <v>8</v>
      </c>
      <c r="B9" s="181" t="s">
        <v>217</v>
      </c>
      <c r="C9" s="182">
        <v>11</v>
      </c>
      <c r="D9" s="181">
        <v>45597</v>
      </c>
      <c r="E9" s="188">
        <f t="shared" si="7"/>
        <v>2024</v>
      </c>
      <c r="F9" s="183" t="s">
        <v>208</v>
      </c>
      <c r="G9" s="182">
        <f t="shared" si="8"/>
        <v>30</v>
      </c>
      <c r="H9" s="189"/>
      <c r="I9" s="189"/>
      <c r="J9" s="190">
        <v>8.33</v>
      </c>
      <c r="K9" s="189"/>
      <c r="L9" s="182"/>
      <c r="M9" s="191">
        <v>12231.398999999999</v>
      </c>
      <c r="N9" s="191">
        <v>70.2</v>
      </c>
      <c r="O9" s="192"/>
      <c r="P9" s="190"/>
      <c r="Q9" s="182">
        <f>COUNTIFS('Daily KPI'!$D:$D,D9,'Daily KPI'!$M:$M,"&gt;0")</f>
        <v>0</v>
      </c>
      <c r="R9" s="191"/>
      <c r="S9" s="191"/>
      <c r="T9" s="190">
        <f t="shared" si="0"/>
        <v>407.7133</v>
      </c>
      <c r="U9" s="191">
        <f t="shared" si="1"/>
        <v>0</v>
      </c>
      <c r="V9" s="191">
        <f>SUMIF($F$2:F9,F9,$U$2:U9)</f>
        <v>0</v>
      </c>
      <c r="W9" s="192">
        <f t="shared" si="2"/>
        <v>0.24199507359924025</v>
      </c>
      <c r="X9" s="192" t="str">
        <f t="shared" si="3"/>
        <v/>
      </c>
      <c r="Y9" s="192" t="str">
        <f t="shared" si="4"/>
        <v/>
      </c>
      <c r="Z9" s="190" t="str">
        <f>IFERROR(AVERAGEIF('Daily KPI'!D:D,Table14[[#This Row],[Month]],'Daily KPI'!AB:AB),"")</f>
        <v/>
      </c>
      <c r="AA9" s="189" t="str">
        <f>IFERROR(AVERAGEIF($F$2:F9,F9,$Z$2:Z9),"")</f>
        <v/>
      </c>
      <c r="AB9" s="191"/>
      <c r="AC9" s="185">
        <f>Table14[[#This Row],[WS]]</f>
        <v>8.33</v>
      </c>
      <c r="AD9" s="190">
        <f>AVERAGEIF($F$2:F9,F9,$AC$2:AC9)</f>
        <v>7.9850000000000003</v>
      </c>
      <c r="AE9" s="192">
        <f t="shared" si="5"/>
        <v>0.96029999999999993</v>
      </c>
      <c r="AF9" s="192">
        <v>0.995</v>
      </c>
      <c r="AG9" s="192"/>
      <c r="AH9" s="192">
        <v>0.97</v>
      </c>
      <c r="AI9" s="192">
        <v>0.99</v>
      </c>
      <c r="AJ9" s="192">
        <v>0.95</v>
      </c>
      <c r="AK9" s="192">
        <v>0.05</v>
      </c>
      <c r="AL9" s="192">
        <v>0.05</v>
      </c>
      <c r="AM9" s="218"/>
      <c r="AN9" s="218"/>
    </row>
    <row r="10" spans="1:43">
      <c r="A10" s="182">
        <f t="shared" si="6"/>
        <v>9</v>
      </c>
      <c r="B10" s="181" t="s">
        <v>218</v>
      </c>
      <c r="C10" s="182">
        <v>12</v>
      </c>
      <c r="D10" s="181">
        <v>45627</v>
      </c>
      <c r="E10" s="183">
        <f t="shared" si="7"/>
        <v>2024</v>
      </c>
      <c r="F10" s="183" t="s">
        <v>208</v>
      </c>
      <c r="G10" s="180">
        <f t="shared" si="8"/>
        <v>31</v>
      </c>
      <c r="H10" s="184"/>
      <c r="I10" s="184"/>
      <c r="J10" s="185">
        <v>6.95</v>
      </c>
      <c r="K10" s="184"/>
      <c r="L10" s="180"/>
      <c r="M10" s="186">
        <v>17896.983</v>
      </c>
      <c r="N10" s="186">
        <v>70.2</v>
      </c>
      <c r="O10" s="187"/>
      <c r="P10" s="185"/>
      <c r="Q10" s="180">
        <f>COUNTIFS('Daily KPI'!$D:$D,D10,'Daily KPI'!$M:$M,"&gt;0")</f>
        <v>0</v>
      </c>
      <c r="R10" s="186"/>
      <c r="S10" s="186"/>
      <c r="T10" s="185">
        <f t="shared" si="0"/>
        <v>577.3220322580645</v>
      </c>
      <c r="U10" s="186">
        <f t="shared" si="1"/>
        <v>0</v>
      </c>
      <c r="V10" s="186">
        <f>SUMIF($F$2:F10,F10,$U$2:U10)</f>
        <v>0</v>
      </c>
      <c r="W10" s="187">
        <f t="shared" si="2"/>
        <v>0.34266502389486253</v>
      </c>
      <c r="X10" s="187" t="str">
        <f t="shared" si="3"/>
        <v/>
      </c>
      <c r="Y10" s="187" t="str">
        <f t="shared" si="4"/>
        <v/>
      </c>
      <c r="Z10" s="185" t="str">
        <f>IFERROR(AVERAGEIF('Daily KPI'!D:D,Table14[[#This Row],[Month]],'Daily KPI'!AB:AB),"")</f>
        <v/>
      </c>
      <c r="AA10" s="184" t="str">
        <f>IFERROR(AVERAGEIF($F$2:F10,F10,$Z$2:Z10),"")</f>
        <v/>
      </c>
      <c r="AB10" s="186"/>
      <c r="AC10" s="185">
        <f>Table14[[#This Row],[WS]]</f>
        <v>6.95</v>
      </c>
      <c r="AD10" s="185">
        <f>AVERAGEIF($F$2:F10,F10,$AC$2:AC10)</f>
        <v>7.87</v>
      </c>
      <c r="AE10" s="187">
        <f t="shared" si="5"/>
        <v>0.96029999999999993</v>
      </c>
      <c r="AF10" s="187">
        <v>0.995</v>
      </c>
      <c r="AG10" s="187"/>
      <c r="AH10" s="187">
        <v>0.97</v>
      </c>
      <c r="AI10" s="187">
        <v>0.99</v>
      </c>
      <c r="AJ10" s="187">
        <v>0.95</v>
      </c>
      <c r="AK10" s="187">
        <v>0.05</v>
      </c>
      <c r="AL10" s="187">
        <v>0.05</v>
      </c>
      <c r="AM10" s="218"/>
      <c r="AN10" s="218"/>
    </row>
    <row r="11" spans="1:43">
      <c r="A11" s="182">
        <f t="shared" si="6"/>
        <v>10</v>
      </c>
      <c r="B11" s="181" t="s">
        <v>219</v>
      </c>
      <c r="C11" s="182">
        <v>1</v>
      </c>
      <c r="D11" s="181">
        <v>45658</v>
      </c>
      <c r="E11" s="188">
        <f t="shared" si="7"/>
        <v>2025</v>
      </c>
      <c r="F11" s="183" t="s">
        <v>208</v>
      </c>
      <c r="G11" s="182">
        <f t="shared" si="8"/>
        <v>31</v>
      </c>
      <c r="H11" s="189"/>
      <c r="I11" s="189"/>
      <c r="J11" s="190">
        <v>5.57</v>
      </c>
      <c r="K11" s="189"/>
      <c r="L11" s="182"/>
      <c r="M11" s="191">
        <v>19110.338</v>
      </c>
      <c r="N11" s="191">
        <v>70.2</v>
      </c>
      <c r="O11" s="192"/>
      <c r="P11" s="190"/>
      <c r="Q11" s="182">
        <f>COUNTIFS('Daily KPI'!$D:$D,D11,'Daily KPI'!$M:$M,"&gt;0")</f>
        <v>0</v>
      </c>
      <c r="R11" s="191"/>
      <c r="S11" s="191"/>
      <c r="T11" s="190">
        <f t="shared" si="0"/>
        <v>616.46251612903222</v>
      </c>
      <c r="U11" s="191">
        <f t="shared" si="1"/>
        <v>0</v>
      </c>
      <c r="V11" s="191">
        <f>SUMIF($F$2:F11,F11,$U$2:U11)</f>
        <v>0</v>
      </c>
      <c r="W11" s="192">
        <f t="shared" si="2"/>
        <v>0.36589655515730779</v>
      </c>
      <c r="X11" s="192" t="str">
        <f t="shared" si="3"/>
        <v/>
      </c>
      <c r="Y11" s="192" t="str">
        <f t="shared" si="4"/>
        <v/>
      </c>
      <c r="Z11" s="190" t="str">
        <f>IFERROR(AVERAGEIF('Daily KPI'!D:D,Table14[[#This Row],[Month]],'Daily KPI'!AB:AB),"")</f>
        <v/>
      </c>
      <c r="AA11" s="189" t="str">
        <f>IFERROR(AVERAGEIF($F$2:F11,F11,$Z$2:Z11),"")</f>
        <v/>
      </c>
      <c r="AB11" s="191"/>
      <c r="AC11" s="185">
        <f>Table14[[#This Row],[WS]]</f>
        <v>5.57</v>
      </c>
      <c r="AD11" s="190">
        <f>AVERAGEIF($F$2:F11,F11,$AC$2:AC11)</f>
        <v>7.6400000000000006</v>
      </c>
      <c r="AE11" s="192">
        <f t="shared" si="5"/>
        <v>0.96029999999999993</v>
      </c>
      <c r="AF11" s="192">
        <v>0.995</v>
      </c>
      <c r="AG11" s="192"/>
      <c r="AH11" s="192">
        <v>0.97</v>
      </c>
      <c r="AI11" s="192">
        <v>0.99</v>
      </c>
      <c r="AJ11" s="192">
        <v>0.95</v>
      </c>
      <c r="AK11" s="192">
        <v>0.05</v>
      </c>
      <c r="AL11" s="192">
        <v>0.05</v>
      </c>
      <c r="AM11" s="218"/>
      <c r="AN11" s="218"/>
    </row>
    <row r="12" spans="1:43">
      <c r="A12" s="182">
        <f t="shared" si="6"/>
        <v>11</v>
      </c>
      <c r="B12" s="181" t="s">
        <v>220</v>
      </c>
      <c r="C12" s="182">
        <v>2</v>
      </c>
      <c r="D12" s="181">
        <v>45689</v>
      </c>
      <c r="E12" s="183">
        <f t="shared" si="7"/>
        <v>2025</v>
      </c>
      <c r="F12" s="183" t="s">
        <v>208</v>
      </c>
      <c r="G12" s="180">
        <f t="shared" si="8"/>
        <v>28</v>
      </c>
      <c r="H12" s="184"/>
      <c r="I12" s="184"/>
      <c r="J12" s="185">
        <v>5.52</v>
      </c>
      <c r="K12" s="184"/>
      <c r="L12" s="180"/>
      <c r="M12" s="186">
        <v>14703.772000000001</v>
      </c>
      <c r="N12" s="186">
        <v>70.2</v>
      </c>
      <c r="O12" s="187"/>
      <c r="P12" s="185"/>
      <c r="Q12" s="180">
        <f>COUNTIFS('Daily KPI'!$D:$D,D12,'Daily KPI'!$M:$M,"&gt;0")</f>
        <v>0</v>
      </c>
      <c r="R12" s="186"/>
      <c r="S12" s="186"/>
      <c r="T12" s="185">
        <f t="shared" si="0"/>
        <v>525.13471428571427</v>
      </c>
      <c r="U12" s="186">
        <f t="shared" si="1"/>
        <v>0</v>
      </c>
      <c r="V12" s="186">
        <f>SUMIF($F$2:F12,F12,$U$2:U12)</f>
        <v>0</v>
      </c>
      <c r="W12" s="187">
        <f t="shared" si="2"/>
        <v>0.31168964523131187</v>
      </c>
      <c r="X12" s="187" t="str">
        <f t="shared" si="3"/>
        <v/>
      </c>
      <c r="Y12" s="187" t="str">
        <f t="shared" si="4"/>
        <v/>
      </c>
      <c r="Z12" s="185" t="str">
        <f>IFERROR(AVERAGEIF('Daily KPI'!D:D,Table14[[#This Row],[Month]],'Daily KPI'!AB:AB),"")</f>
        <v/>
      </c>
      <c r="AA12" s="184" t="str">
        <f>IFERROR(AVERAGEIF($F$2:F12,F12,$Z$2:Z12),"")</f>
        <v/>
      </c>
      <c r="AB12" s="186"/>
      <c r="AC12" s="185">
        <f>Table14[[#This Row],[WS]]</f>
        <v>5.52</v>
      </c>
      <c r="AD12" s="185">
        <f>AVERAGEIF($F$2:F12,F12,$AC$2:AC12)</f>
        <v>7.4472727272727273</v>
      </c>
      <c r="AE12" s="187">
        <f t="shared" si="5"/>
        <v>0.96029999999999993</v>
      </c>
      <c r="AF12" s="187">
        <v>0.995</v>
      </c>
      <c r="AG12" s="187"/>
      <c r="AH12" s="187">
        <v>0.97</v>
      </c>
      <c r="AI12" s="187">
        <v>0.99</v>
      </c>
      <c r="AJ12" s="187">
        <v>0.95</v>
      </c>
      <c r="AK12" s="187">
        <v>0.05</v>
      </c>
      <c r="AL12" s="187">
        <v>0.05</v>
      </c>
      <c r="AM12" s="218"/>
      <c r="AN12" s="218"/>
    </row>
    <row r="13" spans="1:43">
      <c r="A13" s="182">
        <f t="shared" si="6"/>
        <v>12</v>
      </c>
      <c r="B13" s="181" t="s">
        <v>221</v>
      </c>
      <c r="C13" s="182">
        <f>C2</f>
        <v>4</v>
      </c>
      <c r="D13" s="181">
        <v>45717</v>
      </c>
      <c r="E13" s="188">
        <f t="shared" si="7"/>
        <v>2025</v>
      </c>
      <c r="F13" s="183" t="s">
        <v>208</v>
      </c>
      <c r="G13" s="182">
        <f t="shared" si="8"/>
        <v>31</v>
      </c>
      <c r="H13" s="189"/>
      <c r="I13" s="189"/>
      <c r="J13" s="190">
        <v>6.89</v>
      </c>
      <c r="K13" s="189"/>
      <c r="L13" s="182"/>
      <c r="M13" s="191">
        <v>19615.901999999998</v>
      </c>
      <c r="N13" s="191">
        <v>70.2</v>
      </c>
      <c r="O13" s="192"/>
      <c r="P13" s="190"/>
      <c r="Q13" s="182">
        <f>COUNTIFS('Daily KPI'!$D:$D,D13,'Daily KPI'!$M:$M,"&gt;0")</f>
        <v>3</v>
      </c>
      <c r="R13" s="191"/>
      <c r="S13" s="191"/>
      <c r="T13" s="190">
        <f t="shared" si="0"/>
        <v>632.77103225806445</v>
      </c>
      <c r="U13" s="191">
        <f t="shared" si="1"/>
        <v>1898.3130967741934</v>
      </c>
      <c r="V13" s="191">
        <f>SUMIF($F$2:F13,F13,$U$2:U13)</f>
        <v>1898.3130967741934</v>
      </c>
      <c r="W13" s="192">
        <f t="shared" si="2"/>
        <v>0.37557634868118733</v>
      </c>
      <c r="X13" s="192">
        <f t="shared" si="3"/>
        <v>0.37557634868118733</v>
      </c>
      <c r="Y13" s="192">
        <f t="shared" si="4"/>
        <v>0.37557634868118733</v>
      </c>
      <c r="Z13" s="190">
        <f>IFERROR(AVERAGEIF('Daily KPI'!D:D,Table14[[#This Row],[Month]],'Daily KPI'!AB:AB),"")</f>
        <v>70.2</v>
      </c>
      <c r="AA13" s="189">
        <f>IFERROR(AVERAGEIF($F$2:F13,F13,$Z$2:Z13),"")</f>
        <v>70.2</v>
      </c>
      <c r="AB13" s="191"/>
      <c r="AC13" s="185">
        <f>Table14[[#This Row],[WS]]</f>
        <v>6.89</v>
      </c>
      <c r="AD13" s="190">
        <f>AVERAGEIF($F$2:F13,F13,$AC$2:AC13)</f>
        <v>7.4008333333333338</v>
      </c>
      <c r="AE13" s="192">
        <f t="shared" si="5"/>
        <v>0.96029999999999993</v>
      </c>
      <c r="AF13" s="192">
        <v>0.995</v>
      </c>
      <c r="AG13" s="192"/>
      <c r="AH13" s="192">
        <v>0.97</v>
      </c>
      <c r="AI13" s="192">
        <v>0.99</v>
      </c>
      <c r="AJ13" s="192">
        <v>0.95</v>
      </c>
      <c r="AK13" s="192">
        <v>0.05</v>
      </c>
      <c r="AL13" s="192">
        <v>0.05</v>
      </c>
      <c r="AM13" s="218"/>
      <c r="AN13" s="218"/>
    </row>
    <row r="14" spans="1:43">
      <c r="A14" s="182">
        <f t="shared" si="6"/>
        <v>13</v>
      </c>
      <c r="B14" s="181" t="str">
        <f>B2</f>
        <v>April</v>
      </c>
      <c r="C14" s="182">
        <f t="shared" ref="C14:C25" si="9">C3</f>
        <v>5</v>
      </c>
      <c r="D14" s="181">
        <v>45748</v>
      </c>
      <c r="E14" s="183">
        <f t="shared" si="7"/>
        <v>2025</v>
      </c>
      <c r="F14" s="183" t="s">
        <v>222</v>
      </c>
      <c r="G14" s="180">
        <f t="shared" si="8"/>
        <v>30</v>
      </c>
      <c r="H14" s="184"/>
      <c r="I14" s="184"/>
      <c r="J14" s="185">
        <f>J2</f>
        <v>6.65</v>
      </c>
      <c r="K14" s="184"/>
      <c r="L14" s="180"/>
      <c r="M14" s="186">
        <v>20932.816273891629</v>
      </c>
      <c r="N14" s="191">
        <v>70.2</v>
      </c>
      <c r="O14" s="187"/>
      <c r="P14" s="185"/>
      <c r="Q14" s="180">
        <f>COUNTIFS('Daily KPI'!$D:$D,D14,'Daily KPI'!$M:$M,"&gt;0")</f>
        <v>30</v>
      </c>
      <c r="R14" s="186"/>
      <c r="S14" s="186"/>
      <c r="T14" s="185">
        <f t="shared" si="0"/>
        <v>697.76054246305432</v>
      </c>
      <c r="U14" s="186">
        <f t="shared" si="1"/>
        <v>20932.816273891629</v>
      </c>
      <c r="V14" s="186">
        <f>SUMIF($F$2:F14,F14,$U$2:U14)</f>
        <v>20932.816273891629</v>
      </c>
      <c r="W14" s="187">
        <f t="shared" si="2"/>
        <v>0.41415036945812811</v>
      </c>
      <c r="X14" s="187">
        <f t="shared" si="3"/>
        <v>0.41415036945812811</v>
      </c>
      <c r="Y14" s="187">
        <f t="shared" si="4"/>
        <v>0.41415036945812811</v>
      </c>
      <c r="Z14" s="185">
        <f>IFERROR(AVERAGEIF('Daily KPI'!D:D,Table14[[#This Row],[Month]],'Daily KPI'!AB:AB),"")</f>
        <v>70.200000000000031</v>
      </c>
      <c r="AA14" s="184">
        <f>IFERROR(AVERAGEIF($F$2:F14,F14,$Z$2:Z14),"")</f>
        <v>70.200000000000031</v>
      </c>
      <c r="AB14" s="186"/>
      <c r="AC14" s="185">
        <f>Table14[[#This Row],[WS]]</f>
        <v>6.65</v>
      </c>
      <c r="AD14" s="185">
        <f>AVERAGEIF($F$2:F14,F14,$AC$2:AC14)</f>
        <v>6.65</v>
      </c>
      <c r="AE14" s="187">
        <f t="shared" si="5"/>
        <v>0.96029999999999993</v>
      </c>
      <c r="AF14" s="187">
        <v>0.995</v>
      </c>
      <c r="AG14" s="187"/>
      <c r="AH14" s="187">
        <v>0.97</v>
      </c>
      <c r="AI14" s="187">
        <v>0.99</v>
      </c>
      <c r="AJ14" s="187">
        <v>0.95</v>
      </c>
      <c r="AK14" s="187">
        <v>0.05</v>
      </c>
      <c r="AL14" s="187">
        <v>0.05</v>
      </c>
      <c r="AM14" s="218"/>
      <c r="AN14" s="218"/>
    </row>
    <row r="15" spans="1:43">
      <c r="A15" s="182">
        <f t="shared" si="6"/>
        <v>14</v>
      </c>
      <c r="B15" s="181" t="str">
        <f t="shared" ref="B15:B25" si="10">B3</f>
        <v>May</v>
      </c>
      <c r="C15" s="182">
        <f t="shared" si="9"/>
        <v>6</v>
      </c>
      <c r="D15" s="181">
        <v>45778</v>
      </c>
      <c r="E15" s="188">
        <f t="shared" si="7"/>
        <v>2025</v>
      </c>
      <c r="F15" s="183" t="s">
        <v>222</v>
      </c>
      <c r="G15" s="182">
        <f t="shared" si="8"/>
        <v>31</v>
      </c>
      <c r="H15" s="189"/>
      <c r="I15" s="189"/>
      <c r="J15" s="185">
        <f t="shared" ref="J15:J25" si="11">J3</f>
        <v>7.19</v>
      </c>
      <c r="K15" s="189"/>
      <c r="L15" s="182"/>
      <c r="M15" s="191">
        <v>28170.053528275868</v>
      </c>
      <c r="N15" s="191">
        <v>70.2</v>
      </c>
      <c r="O15" s="192"/>
      <c r="P15" s="190"/>
      <c r="Q15" s="182">
        <f>COUNTIFS('Daily KPI'!$D:$D,D15,'Daily KPI'!$M:$M,"&gt;0")</f>
        <v>31</v>
      </c>
      <c r="R15" s="191"/>
      <c r="S15" s="191"/>
      <c r="T15" s="190">
        <f t="shared" si="0"/>
        <v>908.71140413793125</v>
      </c>
      <c r="U15" s="191">
        <f t="shared" si="1"/>
        <v>28170.053528275868</v>
      </c>
      <c r="V15" s="191">
        <f>SUMIF($F$2:F15,F15,$U$2:U15)</f>
        <v>49102.869802167494</v>
      </c>
      <c r="W15" s="192">
        <f t="shared" si="2"/>
        <v>0.53935862068965523</v>
      </c>
      <c r="X15" s="192">
        <f t="shared" si="3"/>
        <v>0.53935862068965523</v>
      </c>
      <c r="Y15" s="192">
        <f t="shared" si="4"/>
        <v>0.47778079221513364</v>
      </c>
      <c r="Z15" s="190">
        <f>IFERROR(AVERAGEIF('Daily KPI'!D:D,Table14[[#This Row],[Month]],'Daily KPI'!AB:AB),"")</f>
        <v>70.200000000000017</v>
      </c>
      <c r="AA15" s="189">
        <f>IFERROR(AVERAGEIF($F$2:F15,F15,$Z$2:Z15),"")</f>
        <v>70.200000000000017</v>
      </c>
      <c r="AB15" s="191"/>
      <c r="AC15" s="185">
        <f>Table14[[#This Row],[WS]]</f>
        <v>7.19</v>
      </c>
      <c r="AD15" s="190">
        <f>AVERAGEIF($F$2:F15,F15,$AC$2:AC15)</f>
        <v>6.92</v>
      </c>
      <c r="AE15" s="192">
        <f t="shared" si="5"/>
        <v>0.96029999999999993</v>
      </c>
      <c r="AF15" s="192">
        <v>0.995</v>
      </c>
      <c r="AG15" s="192"/>
      <c r="AH15" s="192">
        <v>0.97</v>
      </c>
      <c r="AI15" s="192">
        <v>0.99</v>
      </c>
      <c r="AJ15" s="192">
        <v>0.95</v>
      </c>
      <c r="AK15" s="192">
        <v>0.05</v>
      </c>
      <c r="AL15" s="192">
        <v>0.05</v>
      </c>
      <c r="AM15" s="218"/>
      <c r="AN15" s="218"/>
    </row>
    <row r="16" spans="1:43">
      <c r="A16" s="182">
        <f t="shared" si="6"/>
        <v>15</v>
      </c>
      <c r="B16" s="181" t="str">
        <f t="shared" si="10"/>
        <v>June</v>
      </c>
      <c r="C16" s="182">
        <f t="shared" si="9"/>
        <v>7</v>
      </c>
      <c r="D16" s="181">
        <v>45809</v>
      </c>
      <c r="E16" s="183">
        <f t="shared" si="7"/>
        <v>2025</v>
      </c>
      <c r="F16" s="183" t="s">
        <v>222</v>
      </c>
      <c r="G16" s="180">
        <f t="shared" si="8"/>
        <v>30</v>
      </c>
      <c r="H16" s="184"/>
      <c r="I16" s="184"/>
      <c r="J16" s="185">
        <f t="shared" si="11"/>
        <v>7.15</v>
      </c>
      <c r="K16" s="184"/>
      <c r="L16" s="180"/>
      <c r="M16" s="186">
        <v>24048.398230935967</v>
      </c>
      <c r="N16" s="191">
        <v>70.2</v>
      </c>
      <c r="O16" s="187"/>
      <c r="P16" s="185"/>
      <c r="Q16" s="180">
        <f>COUNTIFS('Daily KPI'!$D:$D,D16,'Daily KPI'!$M:$M,"&gt;0")</f>
        <v>30</v>
      </c>
      <c r="R16" s="186"/>
      <c r="S16" s="186"/>
      <c r="T16" s="185">
        <f t="shared" si="0"/>
        <v>801.61327436453223</v>
      </c>
      <c r="U16" s="186">
        <f t="shared" si="1"/>
        <v>24048.398230935967</v>
      </c>
      <c r="V16" s="186">
        <f>SUMIF($F$2:F16,F16,$U$2:U16)</f>
        <v>73151.268033103464</v>
      </c>
      <c r="W16" s="187">
        <f t="shared" si="2"/>
        <v>0.47579135467980305</v>
      </c>
      <c r="X16" s="187">
        <f t="shared" si="3"/>
        <v>0.47579135467980299</v>
      </c>
      <c r="Y16" s="187">
        <f t="shared" si="4"/>
        <v>0.47712493368700271</v>
      </c>
      <c r="Z16" s="185">
        <f>IFERROR(AVERAGEIF('Daily KPI'!D:D,Table14[[#This Row],[Month]],'Daily KPI'!AB:AB),"")</f>
        <v>70.200000000000031</v>
      </c>
      <c r="AA16" s="184">
        <f>IFERROR(AVERAGEIF($F$2:F16,F16,$Z$2:Z16),"")</f>
        <v>70.200000000000031</v>
      </c>
      <c r="AB16" s="186"/>
      <c r="AC16" s="185">
        <f>Table14[[#This Row],[WS]]</f>
        <v>7.15</v>
      </c>
      <c r="AD16" s="185">
        <f>AVERAGEIF($F$2:F16,F16,$AC$2:AC16)</f>
        <v>6.996666666666667</v>
      </c>
      <c r="AE16" s="187">
        <f t="shared" si="5"/>
        <v>0.96029999999999993</v>
      </c>
      <c r="AF16" s="187">
        <v>0.995</v>
      </c>
      <c r="AG16" s="187"/>
      <c r="AH16" s="187">
        <v>0.97</v>
      </c>
      <c r="AI16" s="187">
        <v>0.99</v>
      </c>
      <c r="AJ16" s="187">
        <v>0.95</v>
      </c>
      <c r="AK16" s="187">
        <v>0.05</v>
      </c>
      <c r="AL16" s="187">
        <v>0.05</v>
      </c>
      <c r="AM16" s="218"/>
      <c r="AN16" s="218"/>
    </row>
    <row r="17" spans="1:40">
      <c r="A17" s="182">
        <f t="shared" si="6"/>
        <v>16</v>
      </c>
      <c r="B17" s="181" t="str">
        <f t="shared" si="10"/>
        <v>July</v>
      </c>
      <c r="C17" s="182">
        <f t="shared" si="9"/>
        <v>8</v>
      </c>
      <c r="D17" s="181">
        <v>45839</v>
      </c>
      <c r="E17" s="188">
        <f t="shared" si="7"/>
        <v>2025</v>
      </c>
      <c r="F17" s="183" t="s">
        <v>222</v>
      </c>
      <c r="G17" s="182">
        <f t="shared" si="8"/>
        <v>31</v>
      </c>
      <c r="H17" s="189"/>
      <c r="I17" s="189"/>
      <c r="J17" s="185">
        <f t="shared" si="11"/>
        <v>8.18</v>
      </c>
      <c r="K17" s="189"/>
      <c r="L17" s="182"/>
      <c r="M17" s="191">
        <v>29880.378206778336</v>
      </c>
      <c r="N17" s="191">
        <v>70.2</v>
      </c>
      <c r="O17" s="192"/>
      <c r="P17" s="190"/>
      <c r="Q17" s="182">
        <f>COUNTIFS('Daily KPI'!$D:$D,D17,'Daily KPI'!$M:$M,"&gt;0")</f>
        <v>14</v>
      </c>
      <c r="R17" s="191"/>
      <c r="S17" s="191"/>
      <c r="T17" s="190">
        <f t="shared" si="0"/>
        <v>963.88316796059144</v>
      </c>
      <c r="U17" s="191">
        <f t="shared" si="1"/>
        <v>13494.364351448279</v>
      </c>
      <c r="V17" s="191">
        <f>SUMIF($F$2:F17,F17,$U$2:U17)</f>
        <v>86645.632384551747</v>
      </c>
      <c r="W17" s="192">
        <f t="shared" si="2"/>
        <v>0.57210539408867012</v>
      </c>
      <c r="X17" s="192">
        <f t="shared" si="3"/>
        <v>0.57210539408867001</v>
      </c>
      <c r="Y17" s="192">
        <f t="shared" si="4"/>
        <v>0.48978899507389168</v>
      </c>
      <c r="Z17" s="190">
        <f>IFERROR(AVERAGEIF('Daily KPI'!D:D,Table14[[#This Row],[Month]],'Daily KPI'!AB:AB),"")</f>
        <v>70.200000000000017</v>
      </c>
      <c r="AA17" s="189">
        <f>IFERROR(AVERAGEIF($F$2:F17,F17,$Z$2:Z17),"")</f>
        <v>70.200000000000017</v>
      </c>
      <c r="AB17" s="191"/>
      <c r="AC17" s="185">
        <f>Table14[[#This Row],[WS]]</f>
        <v>8.18</v>
      </c>
      <c r="AD17" s="190">
        <f>AVERAGEIF($F$2:F17,F17,$AC$2:AC17)</f>
        <v>7.2925000000000004</v>
      </c>
      <c r="AE17" s="192">
        <f t="shared" si="5"/>
        <v>0.96029999999999993</v>
      </c>
      <c r="AF17" s="192">
        <v>0.995</v>
      </c>
      <c r="AG17" s="192"/>
      <c r="AH17" s="192">
        <v>0.97</v>
      </c>
      <c r="AI17" s="192">
        <v>0.99</v>
      </c>
      <c r="AJ17" s="192">
        <v>0.95</v>
      </c>
      <c r="AK17" s="192">
        <v>0.05</v>
      </c>
      <c r="AL17" s="192">
        <v>0.05</v>
      </c>
      <c r="AM17" s="218"/>
      <c r="AN17" s="218"/>
    </row>
    <row r="18" spans="1:40">
      <c r="A18" s="182">
        <f t="shared" si="6"/>
        <v>17</v>
      </c>
      <c r="B18" s="181" t="str">
        <f t="shared" si="10"/>
        <v>August</v>
      </c>
      <c r="C18" s="182">
        <f t="shared" si="9"/>
        <v>9</v>
      </c>
      <c r="D18" s="181">
        <v>45870</v>
      </c>
      <c r="E18" s="183">
        <f t="shared" si="7"/>
        <v>2025</v>
      </c>
      <c r="F18" s="183" t="s">
        <v>222</v>
      </c>
      <c r="G18" s="180">
        <f t="shared" si="8"/>
        <v>31</v>
      </c>
      <c r="H18" s="184"/>
      <c r="I18" s="184"/>
      <c r="J18" s="185">
        <f t="shared" si="11"/>
        <v>9.01</v>
      </c>
      <c r="K18" s="184"/>
      <c r="L18" s="180"/>
      <c r="M18" s="186">
        <v>27767.624192157644</v>
      </c>
      <c r="N18" s="191">
        <v>70.2</v>
      </c>
      <c r="O18" s="187"/>
      <c r="P18" s="185"/>
      <c r="Q18" s="180">
        <f>COUNTIFS('Daily KPI'!$D:$D,D18,'Daily KPI'!$M:$M,"&gt;0")</f>
        <v>0</v>
      </c>
      <c r="R18" s="186"/>
      <c r="S18" s="186"/>
      <c r="T18" s="185">
        <f t="shared" si="0"/>
        <v>895.72981265024657</v>
      </c>
      <c r="U18" s="186">
        <f t="shared" si="1"/>
        <v>0</v>
      </c>
      <c r="V18" s="186">
        <f>SUMIF($F$2:F18,F18,$U$2:U18)</f>
        <v>86645.632384551747</v>
      </c>
      <c r="W18" s="187">
        <f t="shared" si="2"/>
        <v>0.53165349753694591</v>
      </c>
      <c r="X18" s="187" t="str">
        <f t="shared" si="3"/>
        <v/>
      </c>
      <c r="Y18" s="187">
        <f t="shared" si="4"/>
        <v>0.48978899507389168</v>
      </c>
      <c r="Z18" s="185" t="str">
        <f>IFERROR(AVERAGEIF('Daily KPI'!D:D,Table14[[#This Row],[Month]],'Daily KPI'!AB:AB),"")</f>
        <v/>
      </c>
      <c r="AA18" s="184">
        <f>IFERROR(AVERAGEIF($F$2:F18,F18,$Z$2:Z18),"")</f>
        <v>70.200000000000017</v>
      </c>
      <c r="AB18" s="186"/>
      <c r="AC18" s="185">
        <f>Table14[[#This Row],[WS]]</f>
        <v>9.01</v>
      </c>
      <c r="AD18" s="185">
        <f>AVERAGEIF($F$2:F18,F18,$AC$2:AC18)</f>
        <v>7.6360000000000001</v>
      </c>
      <c r="AE18" s="187">
        <f t="shared" si="5"/>
        <v>0.96029999999999993</v>
      </c>
      <c r="AF18" s="187">
        <v>0.995</v>
      </c>
      <c r="AG18" s="187"/>
      <c r="AH18" s="187">
        <v>0.97</v>
      </c>
      <c r="AI18" s="187">
        <v>0.99</v>
      </c>
      <c r="AJ18" s="187">
        <v>0.95</v>
      </c>
      <c r="AK18" s="187">
        <v>0.05</v>
      </c>
      <c r="AL18" s="187">
        <v>0.05</v>
      </c>
      <c r="AM18" s="218"/>
      <c r="AN18" s="218"/>
    </row>
    <row r="19" spans="1:40">
      <c r="A19" s="182">
        <f t="shared" si="6"/>
        <v>18</v>
      </c>
      <c r="B19" s="181" t="str">
        <f t="shared" si="10"/>
        <v>September</v>
      </c>
      <c r="C19" s="182">
        <f t="shared" si="9"/>
        <v>10</v>
      </c>
      <c r="D19" s="181">
        <v>45901</v>
      </c>
      <c r="E19" s="188">
        <f t="shared" si="7"/>
        <v>2025</v>
      </c>
      <c r="F19" s="183" t="s">
        <v>222</v>
      </c>
      <c r="G19" s="182">
        <f t="shared" si="8"/>
        <v>30</v>
      </c>
      <c r="H19" s="189"/>
      <c r="I19" s="189"/>
      <c r="J19" s="185">
        <f t="shared" si="11"/>
        <v>8.16</v>
      </c>
      <c r="K19" s="189"/>
      <c r="L19" s="182"/>
      <c r="M19" s="191">
        <v>15869.995593694588</v>
      </c>
      <c r="N19" s="191">
        <v>70.2</v>
      </c>
      <c r="O19" s="192"/>
      <c r="P19" s="190"/>
      <c r="Q19" s="182">
        <f>COUNTIFS('Daily KPI'!$D:$D,D19,'Daily KPI'!$M:$M,"&gt;0")</f>
        <v>0</v>
      </c>
      <c r="R19" s="191"/>
      <c r="S19" s="191"/>
      <c r="T19" s="190">
        <f t="shared" si="0"/>
        <v>528.99985312315289</v>
      </c>
      <c r="U19" s="191">
        <f t="shared" si="1"/>
        <v>0</v>
      </c>
      <c r="V19" s="191">
        <f>SUMIF($F$2:F19,F19,$U$2:U19)</f>
        <v>86645.632384551747</v>
      </c>
      <c r="W19" s="192">
        <f t="shared" si="2"/>
        <v>0.31398376847290649</v>
      </c>
      <c r="X19" s="192" t="str">
        <f t="shared" si="3"/>
        <v/>
      </c>
      <c r="Y19" s="192">
        <f t="shared" si="4"/>
        <v>0.48978899507389168</v>
      </c>
      <c r="Z19" s="190" t="str">
        <f>IFERROR(AVERAGEIF('Daily KPI'!D:D,Table14[[#This Row],[Month]],'Daily KPI'!AB:AB),"")</f>
        <v/>
      </c>
      <c r="AA19" s="189">
        <f>IFERROR(AVERAGEIF($F$2:F19,F19,$Z$2:Z19),"")</f>
        <v>70.200000000000017</v>
      </c>
      <c r="AB19" s="191"/>
      <c r="AC19" s="185">
        <f>Table14[[#This Row],[WS]]</f>
        <v>8.16</v>
      </c>
      <c r="AD19" s="190">
        <f>AVERAGEIF($F$2:F19,F19,$AC$2:AC19)</f>
        <v>7.7233333333333336</v>
      </c>
      <c r="AE19" s="192">
        <f t="shared" si="5"/>
        <v>0.96029999999999993</v>
      </c>
      <c r="AF19" s="192">
        <v>0.995</v>
      </c>
      <c r="AG19" s="192"/>
      <c r="AH19" s="192">
        <v>0.97</v>
      </c>
      <c r="AI19" s="192">
        <v>0.99</v>
      </c>
      <c r="AJ19" s="192">
        <v>0.95</v>
      </c>
      <c r="AK19" s="192">
        <v>0.05</v>
      </c>
      <c r="AL19" s="192">
        <v>0.05</v>
      </c>
      <c r="AM19" s="218"/>
      <c r="AN19" s="218"/>
    </row>
    <row r="20" spans="1:40">
      <c r="A20" s="182">
        <f t="shared" si="6"/>
        <v>19</v>
      </c>
      <c r="B20" s="181" t="str">
        <f t="shared" si="10"/>
        <v>October</v>
      </c>
      <c r="C20" s="182">
        <f t="shared" si="9"/>
        <v>11</v>
      </c>
      <c r="D20" s="181">
        <v>45931</v>
      </c>
      <c r="E20" s="183">
        <f t="shared" si="7"/>
        <v>2025</v>
      </c>
      <c r="F20" s="183" t="s">
        <v>222</v>
      </c>
      <c r="G20" s="180">
        <f t="shared" si="8"/>
        <v>31</v>
      </c>
      <c r="H20" s="184"/>
      <c r="I20" s="184"/>
      <c r="J20" s="185">
        <f t="shared" si="11"/>
        <v>9.2100000000000009</v>
      </c>
      <c r="K20" s="184"/>
      <c r="L20" s="180"/>
      <c r="M20" s="186">
        <v>11268.021411310347</v>
      </c>
      <c r="N20" s="191">
        <v>70.2</v>
      </c>
      <c r="O20" s="187"/>
      <c r="P20" s="185"/>
      <c r="Q20" s="180">
        <f>COUNTIFS('Daily KPI'!$D:$D,D20,'Daily KPI'!$M:$M,"&gt;0")</f>
        <v>0</v>
      </c>
      <c r="R20" s="186"/>
      <c r="S20" s="186"/>
      <c r="T20" s="185">
        <f t="shared" si="0"/>
        <v>363.48456165517246</v>
      </c>
      <c r="U20" s="186">
        <f t="shared" si="1"/>
        <v>0</v>
      </c>
      <c r="V20" s="186">
        <f>SUMIF($F$2:F20,F20,$U$2:U20)</f>
        <v>86645.632384551747</v>
      </c>
      <c r="W20" s="187">
        <f t="shared" si="2"/>
        <v>0.21574344827586206</v>
      </c>
      <c r="X20" s="187" t="str">
        <f t="shared" si="3"/>
        <v/>
      </c>
      <c r="Y20" s="187">
        <f t="shared" si="4"/>
        <v>0.48978899507389168</v>
      </c>
      <c r="Z20" s="185" t="str">
        <f>IFERROR(AVERAGEIF('Daily KPI'!D:D,Table14[[#This Row],[Month]],'Daily KPI'!AB:AB),"")</f>
        <v/>
      </c>
      <c r="AA20" s="184">
        <f>IFERROR(AVERAGEIF($F$2:F20,F20,$Z$2:Z20),"")</f>
        <v>70.200000000000017</v>
      </c>
      <c r="AB20" s="186"/>
      <c r="AC20" s="185">
        <f>Table14[[#This Row],[WS]]</f>
        <v>9.2100000000000009</v>
      </c>
      <c r="AD20" s="185">
        <f>AVERAGEIF($F$2:F20,F20,$AC$2:AC20)</f>
        <v>7.9357142857142859</v>
      </c>
      <c r="AE20" s="187">
        <f t="shared" si="5"/>
        <v>0.96029999999999993</v>
      </c>
      <c r="AF20" s="187">
        <v>0.995</v>
      </c>
      <c r="AG20" s="187"/>
      <c r="AH20" s="187">
        <v>0.97</v>
      </c>
      <c r="AI20" s="187">
        <v>0.99</v>
      </c>
      <c r="AJ20" s="187">
        <v>0.95</v>
      </c>
      <c r="AK20" s="187">
        <v>0.05</v>
      </c>
      <c r="AL20" s="187">
        <v>0.05</v>
      </c>
      <c r="AM20" s="218"/>
      <c r="AN20" s="218"/>
    </row>
    <row r="21" spans="1:40">
      <c r="A21" s="182">
        <f t="shared" si="6"/>
        <v>20</v>
      </c>
      <c r="B21" s="181" t="str">
        <f t="shared" si="10"/>
        <v>November</v>
      </c>
      <c r="C21" s="182">
        <f t="shared" si="9"/>
        <v>12</v>
      </c>
      <c r="D21" s="181">
        <v>45962</v>
      </c>
      <c r="E21" s="188">
        <f t="shared" si="7"/>
        <v>2025</v>
      </c>
      <c r="F21" s="183" t="s">
        <v>222</v>
      </c>
      <c r="G21" s="182">
        <f t="shared" si="8"/>
        <v>30</v>
      </c>
      <c r="H21" s="189"/>
      <c r="I21" s="189"/>
      <c r="J21" s="185">
        <f t="shared" si="11"/>
        <v>8.33</v>
      </c>
      <c r="K21" s="189"/>
      <c r="L21" s="182"/>
      <c r="M21" s="191">
        <v>12170.242019704438</v>
      </c>
      <c r="N21" s="191">
        <v>70.2</v>
      </c>
      <c r="O21" s="192"/>
      <c r="P21" s="190"/>
      <c r="Q21" s="182">
        <f>COUNTIFS('Daily KPI'!$D:$D,D21,'Daily KPI'!$M:$M,"&gt;0")</f>
        <v>0</v>
      </c>
      <c r="R21" s="191"/>
      <c r="S21" s="191"/>
      <c r="T21" s="190">
        <f t="shared" si="0"/>
        <v>405.6747339901479</v>
      </c>
      <c r="U21" s="191">
        <f t="shared" si="1"/>
        <v>0</v>
      </c>
      <c r="V21" s="191">
        <f>SUMIF($F$2:F21,F21,$U$2:U21)</f>
        <v>86645.632384551747</v>
      </c>
      <c r="W21" s="192">
        <f t="shared" si="2"/>
        <v>0.24078509852216753</v>
      </c>
      <c r="X21" s="192" t="str">
        <f t="shared" si="3"/>
        <v/>
      </c>
      <c r="Y21" s="192">
        <f t="shared" si="4"/>
        <v>0.48978899507389168</v>
      </c>
      <c r="Z21" s="190" t="str">
        <f>IFERROR(AVERAGEIF('Daily KPI'!D:D,Table14[[#This Row],[Month]],'Daily KPI'!AB:AB),"")</f>
        <v/>
      </c>
      <c r="AA21" s="189">
        <f>IFERROR(AVERAGEIF($F$2:F21,F21,$Z$2:Z21),"")</f>
        <v>70.200000000000017</v>
      </c>
      <c r="AB21" s="191"/>
      <c r="AC21" s="185">
        <f>Table14[[#This Row],[WS]]</f>
        <v>8.33</v>
      </c>
      <c r="AD21" s="190">
        <f>AVERAGEIF($F$2:F21,F21,$AC$2:AC21)</f>
        <v>7.9850000000000003</v>
      </c>
      <c r="AE21" s="192">
        <f t="shared" si="5"/>
        <v>0.96029999999999993</v>
      </c>
      <c r="AF21" s="192">
        <v>0.995</v>
      </c>
      <c r="AG21" s="192"/>
      <c r="AH21" s="192">
        <v>0.97</v>
      </c>
      <c r="AI21" s="192">
        <v>0.99</v>
      </c>
      <c r="AJ21" s="192">
        <v>0.95</v>
      </c>
      <c r="AK21" s="192">
        <v>0.05</v>
      </c>
      <c r="AL21" s="192">
        <v>0.05</v>
      </c>
      <c r="AM21" s="218"/>
      <c r="AN21" s="218"/>
    </row>
    <row r="22" spans="1:40">
      <c r="A22" s="182">
        <f t="shared" si="6"/>
        <v>21</v>
      </c>
      <c r="B22" s="181" t="str">
        <f t="shared" si="10"/>
        <v>December</v>
      </c>
      <c r="C22" s="182">
        <f t="shared" si="9"/>
        <v>1</v>
      </c>
      <c r="D22" s="181">
        <v>45992</v>
      </c>
      <c r="E22" s="183">
        <f t="shared" si="7"/>
        <v>2025</v>
      </c>
      <c r="F22" s="183" t="s">
        <v>222</v>
      </c>
      <c r="G22" s="180">
        <f t="shared" si="8"/>
        <v>31</v>
      </c>
      <c r="H22" s="184"/>
      <c r="I22" s="184"/>
      <c r="J22" s="185">
        <f t="shared" si="11"/>
        <v>6.95</v>
      </c>
      <c r="K22" s="184"/>
      <c r="L22" s="180"/>
      <c r="M22" s="186">
        <v>17807.498123231533</v>
      </c>
      <c r="N22" s="191">
        <v>70.2</v>
      </c>
      <c r="O22" s="187"/>
      <c r="P22" s="185"/>
      <c r="Q22" s="180">
        <f>COUNTIFS('Daily KPI'!$D:$D,D22,'Daily KPI'!$M:$M,"&gt;0")</f>
        <v>0</v>
      </c>
      <c r="R22" s="186"/>
      <c r="S22" s="186"/>
      <c r="T22" s="185">
        <f t="shared" si="0"/>
        <v>574.4354233300495</v>
      </c>
      <c r="U22" s="186">
        <f t="shared" si="1"/>
        <v>0</v>
      </c>
      <c r="V22" s="186">
        <f>SUMIF($F$2:F22,F22,$U$2:U22)</f>
        <v>86645.632384551747</v>
      </c>
      <c r="W22" s="187">
        <f t="shared" si="2"/>
        <v>0.34095169950738929</v>
      </c>
      <c r="X22" s="187" t="str">
        <f t="shared" si="3"/>
        <v/>
      </c>
      <c r="Y22" s="187">
        <f t="shared" si="4"/>
        <v>0.48978899507389168</v>
      </c>
      <c r="Z22" s="185" t="str">
        <f>IFERROR(AVERAGEIF('Daily KPI'!D:D,Table14[[#This Row],[Month]],'Daily KPI'!AB:AB),"")</f>
        <v/>
      </c>
      <c r="AA22" s="184">
        <f>IFERROR(AVERAGEIF($F$2:F22,F22,$Z$2:Z22),"")</f>
        <v>70.200000000000017</v>
      </c>
      <c r="AB22" s="186"/>
      <c r="AC22" s="185">
        <f>Table14[[#This Row],[WS]]</f>
        <v>6.95</v>
      </c>
      <c r="AD22" s="185">
        <f>AVERAGEIF($F$2:F22,F22,$AC$2:AC22)</f>
        <v>7.87</v>
      </c>
      <c r="AE22" s="187">
        <f t="shared" si="5"/>
        <v>0.96029999999999993</v>
      </c>
      <c r="AF22" s="187">
        <v>0.995</v>
      </c>
      <c r="AG22" s="187"/>
      <c r="AH22" s="187">
        <v>0.97</v>
      </c>
      <c r="AI22" s="187">
        <v>0.99</v>
      </c>
      <c r="AJ22" s="187">
        <v>0.95</v>
      </c>
      <c r="AK22" s="187">
        <v>0.05</v>
      </c>
      <c r="AL22" s="187">
        <v>0.05</v>
      </c>
      <c r="AM22" s="218"/>
      <c r="AN22" s="218"/>
    </row>
    <row r="23" spans="1:40">
      <c r="A23" s="182">
        <f t="shared" si="6"/>
        <v>22</v>
      </c>
      <c r="B23" s="181" t="str">
        <f t="shared" si="10"/>
        <v>January</v>
      </c>
      <c r="C23" s="182">
        <f t="shared" si="9"/>
        <v>2</v>
      </c>
      <c r="D23" s="181">
        <v>46023</v>
      </c>
      <c r="E23" s="188">
        <f t="shared" si="7"/>
        <v>2026</v>
      </c>
      <c r="F23" s="183" t="s">
        <v>222</v>
      </c>
      <c r="G23" s="182">
        <f t="shared" si="8"/>
        <v>31</v>
      </c>
      <c r="H23" s="189"/>
      <c r="I23" s="189"/>
      <c r="J23" s="185">
        <f t="shared" si="11"/>
        <v>5.57</v>
      </c>
      <c r="K23" s="189"/>
      <c r="L23" s="182"/>
      <c r="M23" s="191">
        <v>19014.786131586206</v>
      </c>
      <c r="N23" s="191">
        <v>70.2</v>
      </c>
      <c r="O23" s="192"/>
      <c r="P23" s="190"/>
      <c r="Q23" s="182">
        <f>COUNTIFS('Daily KPI'!$D:$D,D23,'Daily KPI'!$M:$M,"&gt;0")</f>
        <v>0</v>
      </c>
      <c r="R23" s="191"/>
      <c r="S23" s="191"/>
      <c r="T23" s="190">
        <f t="shared" si="0"/>
        <v>613.38019779310343</v>
      </c>
      <c r="U23" s="191">
        <f t="shared" si="1"/>
        <v>0</v>
      </c>
      <c r="V23" s="191">
        <f>SUMIF($F$2:F23,F23,$U$2:U23)</f>
        <v>86645.632384551747</v>
      </c>
      <c r="W23" s="192">
        <f t="shared" si="2"/>
        <v>0.36406706896551722</v>
      </c>
      <c r="X23" s="192" t="str">
        <f t="shared" si="3"/>
        <v/>
      </c>
      <c r="Y23" s="192">
        <f t="shared" si="4"/>
        <v>0.48978899507389168</v>
      </c>
      <c r="Z23" s="190" t="str">
        <f>IFERROR(AVERAGEIF('Daily KPI'!D:D,Table14[[#This Row],[Month]],'Daily KPI'!AB:AB),"")</f>
        <v/>
      </c>
      <c r="AA23" s="189">
        <f>IFERROR(AVERAGEIF($F$2:F23,F23,$Z$2:Z23),"")</f>
        <v>70.200000000000017</v>
      </c>
      <c r="AB23" s="191"/>
      <c r="AC23" s="185">
        <f>Table14[[#This Row],[WS]]</f>
        <v>5.57</v>
      </c>
      <c r="AD23" s="190">
        <f>AVERAGEIF($F$2:F23,F23,$AC$2:AC23)</f>
        <v>7.6400000000000006</v>
      </c>
      <c r="AE23" s="192">
        <f t="shared" si="5"/>
        <v>0.96029999999999993</v>
      </c>
      <c r="AF23" s="192">
        <v>0.995</v>
      </c>
      <c r="AG23" s="192"/>
      <c r="AH23" s="192">
        <v>0.97</v>
      </c>
      <c r="AI23" s="192">
        <v>0.99</v>
      </c>
      <c r="AJ23" s="192">
        <v>0.95</v>
      </c>
      <c r="AK23" s="192">
        <v>0.05</v>
      </c>
      <c r="AL23" s="192">
        <v>0.05</v>
      </c>
      <c r="AM23" s="218"/>
      <c r="AN23" s="218"/>
    </row>
    <row r="24" spans="1:40">
      <c r="A24" s="182">
        <f t="shared" si="6"/>
        <v>23</v>
      </c>
      <c r="B24" s="181" t="str">
        <f t="shared" si="10"/>
        <v>February</v>
      </c>
      <c r="C24" s="182">
        <f t="shared" si="9"/>
        <v>4</v>
      </c>
      <c r="D24" s="181">
        <v>46054</v>
      </c>
      <c r="E24" s="183">
        <f>YEAR(D24)</f>
        <v>2026</v>
      </c>
      <c r="F24" s="183" t="s">
        <v>222</v>
      </c>
      <c r="G24" s="180">
        <f>DAY(EOMONTH(D24,0))</f>
        <v>28</v>
      </c>
      <c r="H24" s="184"/>
      <c r="I24" s="184"/>
      <c r="J24" s="185">
        <f t="shared" si="11"/>
        <v>5.52</v>
      </c>
      <c r="K24" s="184"/>
      <c r="L24" s="180"/>
      <c r="M24" s="186">
        <v>14630.253606620692</v>
      </c>
      <c r="N24" s="191">
        <v>70.2</v>
      </c>
      <c r="O24" s="187"/>
      <c r="P24" s="185"/>
      <c r="Q24" s="180">
        <f>COUNTIFS('Daily KPI'!$D:$D,D24,'Daily KPI'!$M:$M,"&gt;0")</f>
        <v>0</v>
      </c>
      <c r="R24" s="186"/>
      <c r="S24" s="186"/>
      <c r="T24" s="185">
        <f t="shared" si="0"/>
        <v>522.50905737931043</v>
      </c>
      <c r="U24" s="186">
        <f t="shared" si="1"/>
        <v>0</v>
      </c>
      <c r="V24" s="186">
        <f>SUMIF($F$2:F24,F24,$U$2:U24)</f>
        <v>86645.632384551747</v>
      </c>
      <c r="W24" s="187">
        <f t="shared" si="2"/>
        <v>0.31013120689655177</v>
      </c>
      <c r="X24" s="187" t="str">
        <f t="shared" si="3"/>
        <v/>
      </c>
      <c r="Y24" s="187">
        <f t="shared" si="4"/>
        <v>0.48978899507389168</v>
      </c>
      <c r="Z24" s="185" t="str">
        <f>IFERROR(AVERAGEIF('Daily KPI'!D:D,Table14[[#This Row],[Month]],'Daily KPI'!AB:AB),"")</f>
        <v/>
      </c>
      <c r="AA24" s="184">
        <f>IFERROR(AVERAGEIF($F$2:F24,F24,$Z$2:Z24),"")</f>
        <v>70.200000000000017</v>
      </c>
      <c r="AB24" s="186"/>
      <c r="AC24" s="185">
        <f>Table14[[#This Row],[WS]]</f>
        <v>5.52</v>
      </c>
      <c r="AD24" s="185">
        <f>AVERAGEIF($F$2:F24,F24,$AC$2:AC24)</f>
        <v>7.4472727272727273</v>
      </c>
      <c r="AE24" s="187">
        <f t="shared" si="5"/>
        <v>0.96029999999999993</v>
      </c>
      <c r="AF24" s="187">
        <v>0.995</v>
      </c>
      <c r="AG24" s="187"/>
      <c r="AH24" s="187">
        <v>0.97</v>
      </c>
      <c r="AI24" s="187">
        <v>0.99</v>
      </c>
      <c r="AJ24" s="187">
        <v>0.95</v>
      </c>
      <c r="AK24" s="187">
        <v>0.05</v>
      </c>
      <c r="AL24" s="187">
        <v>0.05</v>
      </c>
      <c r="AM24" s="218"/>
      <c r="AN24" s="218"/>
    </row>
    <row r="25" spans="1:40">
      <c r="A25" s="182">
        <f t="shared" si="6"/>
        <v>24</v>
      </c>
      <c r="B25" s="181" t="str">
        <f t="shared" si="10"/>
        <v>March</v>
      </c>
      <c r="C25" s="182">
        <f t="shared" si="9"/>
        <v>5</v>
      </c>
      <c r="D25" s="181">
        <v>46082</v>
      </c>
      <c r="E25" s="188">
        <f>YEAR(D25)</f>
        <v>2026</v>
      </c>
      <c r="F25" s="183" t="s">
        <v>222</v>
      </c>
      <c r="G25" s="182">
        <f>DAY(EOMONTH(D25,0))</f>
        <v>31</v>
      </c>
      <c r="H25" s="189"/>
      <c r="I25" s="189"/>
      <c r="J25" s="185">
        <f t="shared" si="11"/>
        <v>6.89</v>
      </c>
      <c r="K25" s="189"/>
      <c r="L25" s="182"/>
      <c r="M25" s="191">
        <v>19517.82280173399</v>
      </c>
      <c r="N25" s="191">
        <v>70.2</v>
      </c>
      <c r="O25" s="192"/>
      <c r="P25" s="190"/>
      <c r="Q25" s="182">
        <f>COUNTIFS('Daily KPI'!$D:$D,D25,'Daily KPI'!$M:$M,"&gt;0")</f>
        <v>0</v>
      </c>
      <c r="R25" s="191"/>
      <c r="S25" s="191"/>
      <c r="T25" s="190">
        <f t="shared" si="0"/>
        <v>629.60718715270934</v>
      </c>
      <c r="U25" s="191">
        <f t="shared" si="1"/>
        <v>0</v>
      </c>
      <c r="V25" s="191">
        <f>SUMIF($F$2:F25,F25,$U$2:U25)</f>
        <v>86645.632384551747</v>
      </c>
      <c r="W25" s="192">
        <f t="shared" si="2"/>
        <v>0.3736984729064039</v>
      </c>
      <c r="X25" s="192" t="str">
        <f t="shared" si="3"/>
        <v/>
      </c>
      <c r="Y25" s="192">
        <f t="shared" si="4"/>
        <v>0.48978899507389168</v>
      </c>
      <c r="Z25" s="190" t="str">
        <f>IFERROR(AVERAGEIF('Daily KPI'!D:D,Table14[[#This Row],[Month]],'Daily KPI'!AB:AB),"")</f>
        <v/>
      </c>
      <c r="AA25" s="189">
        <f>IFERROR(AVERAGEIF($F$2:F25,F25,$Z$2:Z25),"")</f>
        <v>70.200000000000017</v>
      </c>
      <c r="AB25" s="191"/>
      <c r="AC25" s="185">
        <f>Table14[[#This Row],[WS]]</f>
        <v>6.89</v>
      </c>
      <c r="AD25" s="190">
        <f>AVERAGEIF($F$2:F25,F25,$AC$2:AC25)</f>
        <v>7.4008333333333338</v>
      </c>
      <c r="AE25" s="192">
        <f t="shared" si="5"/>
        <v>0.96029999999999993</v>
      </c>
      <c r="AF25" s="192">
        <v>0.995</v>
      </c>
      <c r="AG25" s="192"/>
      <c r="AH25" s="192">
        <v>0.97</v>
      </c>
      <c r="AI25" s="192">
        <v>0.99</v>
      </c>
      <c r="AJ25" s="192">
        <v>0.95</v>
      </c>
      <c r="AK25" s="192">
        <v>0.05</v>
      </c>
      <c r="AL25" s="192">
        <v>0.05</v>
      </c>
      <c r="AM25" s="220"/>
      <c r="AN25" s="220"/>
    </row>
  </sheetData>
  <phoneticPr fontId="10"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88671875" defaultRowHeight="14.4"/>
  <cols>
    <col min="2" max="2" width="9.44140625" style="1"/>
    <col min="6" max="6" width="89.44140625" bestFit="1" customWidth="1"/>
    <col min="12" max="12" width="10.44140625" customWidth="1"/>
    <col min="15" max="15" width="11.44140625" customWidth="1"/>
    <col min="16" max="16" width="10.441406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241"/>
      <c r="F19" s="242"/>
      <c r="O19" s="2"/>
    </row>
    <row r="20" spans="3:18">
      <c r="C20" s="86"/>
      <c r="E20" s="241"/>
      <c r="F20" s="242"/>
    </row>
    <row r="21" spans="3:18">
      <c r="C21" s="86"/>
      <c r="E21" s="241"/>
      <c r="F21" s="242"/>
      <c r="Q21" s="80"/>
      <c r="R21" s="80"/>
    </row>
    <row r="22" spans="3:18">
      <c r="C22" s="86"/>
      <c r="E22" s="241"/>
      <c r="F22" s="242"/>
      <c r="Q22" s="80"/>
      <c r="R22" s="80"/>
    </row>
    <row r="23" spans="3:18">
      <c r="C23" s="86"/>
      <c r="E23" s="241"/>
      <c r="F23" s="242"/>
      <c r="Q23" s="80"/>
      <c r="R23" s="80"/>
    </row>
    <row r="24" spans="3:18">
      <c r="C24" s="86"/>
      <c r="E24" s="241"/>
      <c r="F24" s="242"/>
      <c r="Q24" s="80"/>
      <c r="R24" s="80"/>
    </row>
    <row r="25" spans="3:18">
      <c r="C25" s="86"/>
      <c r="E25" s="241"/>
      <c r="F25" s="242"/>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topRight" activeCell="H200" sqref="H200"/>
      <selection pane="bottomLeft" activeCell="H200" sqref="H200"/>
      <selection pane="bottomRight" activeCell="E4" sqref="E4"/>
    </sheetView>
  </sheetViews>
  <sheetFormatPr defaultColWidth="8.44140625" defaultRowHeight="14.4"/>
  <cols>
    <col min="1" max="1" width="2.44140625" customWidth="1"/>
    <col min="2" max="2" width="10.44140625" bestFit="1" customWidth="1"/>
    <col min="3" max="3" width="10.44140625" style="1" bestFit="1" customWidth="1"/>
    <col min="7" max="7" width="10.44140625" customWidth="1"/>
    <col min="9" max="9" width="11.44140625" bestFit="1" customWidth="1"/>
    <col min="10" max="12" width="8.44140625" style="1"/>
    <col min="16" max="16" width="8.44140625" style="110"/>
    <col min="23" max="23" width="6.44140625" style="1" bestFit="1" customWidth="1"/>
    <col min="24" max="24" width="4.44140625" style="1" customWidth="1"/>
    <col min="25" max="25" width="17.44140625" style="1" bestFit="1" customWidth="1"/>
    <col min="26" max="26" width="18.441406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3.2">
      <c r="B2" s="24" t="s">
        <v>128</v>
      </c>
      <c r="C2" s="25" t="s">
        <v>171</v>
      </c>
      <c r="D2" s="25" t="s">
        <v>45</v>
      </c>
      <c r="E2" s="25" t="s">
        <v>169</v>
      </c>
      <c r="F2" s="26" t="s">
        <v>46</v>
      </c>
      <c r="G2" s="26" t="s">
        <v>480</v>
      </c>
      <c r="H2" s="26" t="s">
        <v>481</v>
      </c>
      <c r="I2" s="26" t="s">
        <v>482</v>
      </c>
      <c r="J2" s="26" t="s">
        <v>483</v>
      </c>
      <c r="K2" s="26" t="s">
        <v>194</v>
      </c>
      <c r="L2" s="26" t="s">
        <v>195</v>
      </c>
      <c r="M2" s="26" t="s">
        <v>31</v>
      </c>
      <c r="N2" s="26" t="s">
        <v>32</v>
      </c>
      <c r="O2" s="26" t="s">
        <v>33</v>
      </c>
      <c r="P2" s="108" t="s">
        <v>484</v>
      </c>
      <c r="Q2" s="106" t="s">
        <v>485</v>
      </c>
      <c r="R2" s="106" t="s">
        <v>486</v>
      </c>
      <c r="W2" s="243" t="s">
        <v>169</v>
      </c>
      <c r="X2" s="243" t="s">
        <v>46</v>
      </c>
      <c r="Y2" s="243" t="s">
        <v>487</v>
      </c>
      <c r="Z2" s="243" t="s">
        <v>488</v>
      </c>
      <c r="AA2" s="105" t="s">
        <v>489</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243">
        <v>4</v>
      </c>
      <c r="X3" s="243">
        <v>30</v>
      </c>
      <c r="Y3" s="244">
        <v>8.2899999999999991</v>
      </c>
      <c r="Z3" s="245">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243">
        <v>5</v>
      </c>
      <c r="X4" s="243">
        <v>31</v>
      </c>
      <c r="Y4" s="244">
        <v>9.1</v>
      </c>
      <c r="Z4" s="245">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243">
        <v>6</v>
      </c>
      <c r="X5" s="243">
        <v>30</v>
      </c>
      <c r="Y5" s="244">
        <v>8.23</v>
      </c>
      <c r="Z5" s="245">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243">
        <v>7</v>
      </c>
      <c r="X6" s="243">
        <v>31</v>
      </c>
      <c r="Y6" s="244">
        <v>9.35</v>
      </c>
      <c r="Z6" s="245">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243">
        <v>8</v>
      </c>
      <c r="X7" s="243">
        <v>31</v>
      </c>
      <c r="Y7" s="244">
        <v>8.4700000000000006</v>
      </c>
      <c r="Z7" s="245">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243">
        <v>9</v>
      </c>
      <c r="X8" s="243">
        <v>30</v>
      </c>
      <c r="Y8" s="244">
        <v>7.08</v>
      </c>
      <c r="Z8" s="245">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243">
        <v>10</v>
      </c>
      <c r="X9" s="243">
        <v>31</v>
      </c>
      <c r="Y9" s="244">
        <v>5.65</v>
      </c>
      <c r="Z9" s="245">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243">
        <v>11</v>
      </c>
      <c r="X10" s="243">
        <v>30</v>
      </c>
      <c r="Y10" s="244">
        <v>5.59</v>
      </c>
      <c r="Z10" s="245">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243">
        <v>12</v>
      </c>
      <c r="X11" s="243">
        <v>31</v>
      </c>
      <c r="Y11" s="244">
        <v>6.99</v>
      </c>
      <c r="Z11" s="245">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243">
        <v>1</v>
      </c>
      <c r="X12" s="243">
        <v>31</v>
      </c>
      <c r="Y12" s="244">
        <v>6.74</v>
      </c>
      <c r="Z12" s="245">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243">
        <v>2</v>
      </c>
      <c r="X13" s="243">
        <v>28</v>
      </c>
      <c r="Y13" s="244">
        <v>7.3</v>
      </c>
      <c r="Z13" s="245">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243">
        <v>3</v>
      </c>
      <c r="X14" s="243">
        <v>31</v>
      </c>
      <c r="Y14" s="244">
        <v>7.28</v>
      </c>
      <c r="Z14" s="245">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243"/>
      <c r="X15" s="243"/>
      <c r="Y15" s="246">
        <f>AVERAGE(Y3:Y14)</f>
        <v>7.5058333333333316</v>
      </c>
      <c r="Z15" s="245">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4140625" defaultRowHeight="14.4"/>
  <cols>
    <col min="1" max="1" width="12.44140625" customWidth="1"/>
    <col min="2" max="2" width="11" customWidth="1"/>
    <col min="3" max="3" width="10.44140625" customWidth="1"/>
    <col min="5" max="5" width="23" bestFit="1" customWidth="1"/>
    <col min="6" max="6" width="10.44140625" customWidth="1"/>
    <col min="7" max="7" width="11.44140625" customWidth="1"/>
    <col min="8" max="8" width="10.44140625" customWidth="1"/>
    <col min="10" max="10" width="14" customWidth="1"/>
    <col min="11" max="11" width="11.44140625" style="1" bestFit="1" customWidth="1"/>
    <col min="16" max="16" width="26.44140625" bestFit="1" customWidth="1"/>
    <col min="17" max="17" width="24.44140625" bestFit="1" customWidth="1"/>
    <col min="18" max="18" width="24.109375" bestFit="1" customWidth="1"/>
    <col min="21" max="21" width="74.44140625" bestFit="1" customWidth="1"/>
    <col min="27" max="27" width="9.44140625" bestFit="1" customWidth="1"/>
    <col min="28" max="28" width="52.44140625" bestFit="1" customWidth="1"/>
    <col min="29" max="29" width="6.44140625" bestFit="1" customWidth="1"/>
    <col min="30" max="30" width="22" bestFit="1" customWidth="1"/>
    <col min="32" max="32" width="11" bestFit="1" customWidth="1"/>
    <col min="33" max="33" width="6.44140625" bestFit="1" customWidth="1"/>
    <col min="34" max="34" width="11.44140625" bestFit="1" customWidth="1"/>
    <col min="35" max="35" width="10.44140625" bestFit="1" customWidth="1"/>
    <col min="36" max="36" width="23.44140625" bestFit="1" customWidth="1"/>
  </cols>
  <sheetData>
    <row r="1" spans="1:36">
      <c r="AA1" s="247" t="s">
        <v>490</v>
      </c>
      <c r="AB1" s="247" t="s">
        <v>491</v>
      </c>
      <c r="AC1" s="247" t="s">
        <v>492</v>
      </c>
      <c r="AD1" s="247" t="s">
        <v>493</v>
      </c>
      <c r="AE1" s="247" t="s">
        <v>494</v>
      </c>
      <c r="AF1" s="247" t="s">
        <v>495</v>
      </c>
      <c r="AG1" s="247" t="s">
        <v>496</v>
      </c>
      <c r="AH1" s="247" t="s">
        <v>497</v>
      </c>
      <c r="AI1" s="247" t="s">
        <v>498</v>
      </c>
      <c r="AJ1" s="247" t="s">
        <v>499</v>
      </c>
    </row>
    <row r="2" spans="1:36">
      <c r="B2" t="s">
        <v>500</v>
      </c>
      <c r="C2" t="s">
        <v>501</v>
      </c>
      <c r="D2" t="s">
        <v>489</v>
      </c>
      <c r="E2" t="s">
        <v>502</v>
      </c>
      <c r="F2" t="s">
        <v>503</v>
      </c>
      <c r="G2" t="s">
        <v>504</v>
      </c>
      <c r="H2" t="s">
        <v>107</v>
      </c>
      <c r="I2" t="s">
        <v>505</v>
      </c>
      <c r="P2" s="634" t="s">
        <v>284</v>
      </c>
      <c r="Q2" s="634"/>
      <c r="R2" s="634"/>
      <c r="U2" t="s">
        <v>1996</v>
      </c>
      <c r="AA2" s="247">
        <v>0</v>
      </c>
      <c r="AB2" s="247" t="s">
        <v>506</v>
      </c>
      <c r="AC2" s="247">
        <v>0</v>
      </c>
      <c r="AD2" s="247" t="s">
        <v>506</v>
      </c>
      <c r="AE2" s="247" t="s">
        <v>507</v>
      </c>
      <c r="AF2" s="247">
        <v>0</v>
      </c>
      <c r="AG2" s="247"/>
      <c r="AH2" s="247">
        <v>20</v>
      </c>
      <c r="AI2" s="247">
        <v>32</v>
      </c>
      <c r="AJ2" s="247"/>
    </row>
    <row r="3" spans="1:36">
      <c r="A3" t="s">
        <v>74</v>
      </c>
      <c r="B3" s="19" t="s">
        <v>302</v>
      </c>
      <c r="C3" t="s">
        <v>303</v>
      </c>
      <c r="D3" s="1">
        <v>2.7</v>
      </c>
      <c r="E3" s="20">
        <f>D3/$K$3</f>
        <v>3.846153846153845E-2</v>
      </c>
      <c r="F3" t="s">
        <v>447</v>
      </c>
      <c r="G3" s="248" t="s">
        <v>508</v>
      </c>
      <c r="H3" s="92" t="s">
        <v>74</v>
      </c>
      <c r="J3" t="s">
        <v>206</v>
      </c>
      <c r="K3" s="1">
        <f>SUM(D3:D28)</f>
        <v>70.200000000000031</v>
      </c>
      <c r="N3" t="s">
        <v>289</v>
      </c>
      <c r="P3" t="s">
        <v>509</v>
      </c>
      <c r="Q3" t="s">
        <v>510</v>
      </c>
      <c r="R3" t="s">
        <v>511</v>
      </c>
      <c r="U3" t="s">
        <v>292</v>
      </c>
      <c r="AA3" s="247">
        <v>10</v>
      </c>
      <c r="AB3" s="247" t="s">
        <v>512</v>
      </c>
      <c r="AC3" s="247">
        <v>240</v>
      </c>
      <c r="AD3" s="247" t="s">
        <v>513</v>
      </c>
      <c r="AE3" s="247" t="s">
        <v>507</v>
      </c>
      <c r="AF3" s="247">
        <v>50</v>
      </c>
      <c r="AG3" s="247"/>
      <c r="AH3" s="247">
        <v>10</v>
      </c>
      <c r="AI3" s="247">
        <v>5</v>
      </c>
      <c r="AJ3" s="247"/>
    </row>
    <row r="4" spans="1:36" ht="15" thickBot="1">
      <c r="A4" t="s">
        <v>75</v>
      </c>
      <c r="B4" s="19" t="s">
        <v>302</v>
      </c>
      <c r="C4" t="s">
        <v>303</v>
      </c>
      <c r="D4" s="1">
        <v>2.7</v>
      </c>
      <c r="E4" s="20">
        <f t="shared" ref="E4:E67" si="0">D4/$K$3</f>
        <v>3.846153846153845E-2</v>
      </c>
      <c r="F4" t="s">
        <v>447</v>
      </c>
      <c r="G4" s="248" t="s">
        <v>508</v>
      </c>
      <c r="H4" s="92" t="s">
        <v>75</v>
      </c>
      <c r="K4" s="104">
        <v>43</v>
      </c>
      <c r="N4" t="s">
        <v>293</v>
      </c>
      <c r="P4" s="98" t="s">
        <v>294</v>
      </c>
      <c r="Q4" s="98" t="s">
        <v>448</v>
      </c>
      <c r="R4" s="98" t="s">
        <v>514</v>
      </c>
      <c r="U4" t="s">
        <v>291</v>
      </c>
      <c r="AA4" s="247">
        <v>11</v>
      </c>
      <c r="AB4" s="247" t="s">
        <v>515</v>
      </c>
      <c r="AC4" s="247" t="s">
        <v>516</v>
      </c>
      <c r="AD4" s="247" t="s">
        <v>516</v>
      </c>
      <c r="AE4" s="247" t="s">
        <v>507</v>
      </c>
      <c r="AF4" s="247">
        <v>50</v>
      </c>
      <c r="AG4" s="247"/>
      <c r="AH4" s="247">
        <v>10</v>
      </c>
      <c r="AI4" s="247">
        <v>6</v>
      </c>
      <c r="AJ4" s="247"/>
    </row>
    <row r="5" spans="1:36" ht="15" thickBot="1">
      <c r="A5" t="s">
        <v>76</v>
      </c>
      <c r="B5" s="19" t="s">
        <v>302</v>
      </c>
      <c r="C5" t="s">
        <v>303</v>
      </c>
      <c r="D5" s="1">
        <v>2.7</v>
      </c>
      <c r="E5" s="20">
        <f t="shared" si="0"/>
        <v>3.846153846153845E-2</v>
      </c>
      <c r="F5" t="s">
        <v>447</v>
      </c>
      <c r="G5" s="248" t="s">
        <v>508</v>
      </c>
      <c r="H5" s="92" t="s">
        <v>76</v>
      </c>
      <c r="P5" s="98" t="s">
        <v>290</v>
      </c>
      <c r="Q5" s="98" t="s">
        <v>450</v>
      </c>
      <c r="R5" s="98" t="s">
        <v>517</v>
      </c>
      <c r="U5" t="s">
        <v>297</v>
      </c>
      <c r="AA5" s="247">
        <v>16</v>
      </c>
      <c r="AB5" s="247" t="s">
        <v>518</v>
      </c>
      <c r="AC5" s="247" t="s">
        <v>516</v>
      </c>
      <c r="AD5" s="247" t="s">
        <v>516</v>
      </c>
      <c r="AE5" s="247" t="s">
        <v>507</v>
      </c>
      <c r="AF5" s="247">
        <v>50</v>
      </c>
      <c r="AG5" s="247"/>
      <c r="AH5" s="247">
        <v>20</v>
      </c>
      <c r="AI5" s="247">
        <v>6</v>
      </c>
      <c r="AJ5" s="247"/>
    </row>
    <row r="6" spans="1:36" ht="15" thickBot="1">
      <c r="A6" t="s">
        <v>77</v>
      </c>
      <c r="B6" s="19" t="s">
        <v>302</v>
      </c>
      <c r="C6" t="s">
        <v>303</v>
      </c>
      <c r="D6" s="1">
        <v>2.7</v>
      </c>
      <c r="E6" s="20">
        <f t="shared" si="0"/>
        <v>3.846153846153845E-2</v>
      </c>
      <c r="F6" t="s">
        <v>451</v>
      </c>
      <c r="G6" s="248" t="s">
        <v>508</v>
      </c>
      <c r="H6" t="s">
        <v>77</v>
      </c>
      <c r="P6" s="98" t="s">
        <v>305</v>
      </c>
      <c r="Q6" s="98" t="s">
        <v>519</v>
      </c>
      <c r="R6" s="98" t="s">
        <v>520</v>
      </c>
      <c r="U6" t="s">
        <v>301</v>
      </c>
      <c r="AA6" s="247">
        <v>20</v>
      </c>
      <c r="AB6" s="247" t="s">
        <v>521</v>
      </c>
      <c r="AC6" s="247">
        <v>13</v>
      </c>
      <c r="AD6" s="247" t="s">
        <v>522</v>
      </c>
      <c r="AE6" s="247" t="s">
        <v>507</v>
      </c>
      <c r="AF6" s="247">
        <v>60</v>
      </c>
      <c r="AG6" s="247"/>
      <c r="AH6" s="247">
        <v>30</v>
      </c>
      <c r="AI6" s="247">
        <v>9</v>
      </c>
      <c r="AJ6" s="247"/>
    </row>
    <row r="7" spans="1:36" ht="15" thickBot="1">
      <c r="A7" t="s">
        <v>78</v>
      </c>
      <c r="B7" s="19" t="s">
        <v>302</v>
      </c>
      <c r="C7" t="s">
        <v>303</v>
      </c>
      <c r="D7" s="1">
        <v>2.7</v>
      </c>
      <c r="E7" s="20">
        <f t="shared" si="0"/>
        <v>3.846153846153845E-2</v>
      </c>
      <c r="F7" t="s">
        <v>447</v>
      </c>
      <c r="G7" s="248" t="s">
        <v>508</v>
      </c>
      <c r="H7" s="92" t="s">
        <v>78</v>
      </c>
      <c r="P7" s="98" t="s">
        <v>523</v>
      </c>
      <c r="Q7" s="98" t="s">
        <v>1941</v>
      </c>
      <c r="R7" s="98" t="s">
        <v>1940</v>
      </c>
      <c r="U7" t="s">
        <v>295</v>
      </c>
      <c r="AA7" s="247">
        <v>21</v>
      </c>
      <c r="AB7" s="247" t="s">
        <v>524</v>
      </c>
      <c r="AC7" s="247">
        <v>11</v>
      </c>
      <c r="AD7" s="247" t="s">
        <v>525</v>
      </c>
      <c r="AE7" s="247" t="s">
        <v>507</v>
      </c>
      <c r="AF7" s="247">
        <v>60</v>
      </c>
      <c r="AG7" s="247"/>
      <c r="AH7" s="247">
        <v>0</v>
      </c>
      <c r="AI7" s="247">
        <v>30</v>
      </c>
      <c r="AJ7" s="247"/>
    </row>
    <row r="8" spans="1:36" ht="15" thickBot="1">
      <c r="A8" t="s">
        <v>79</v>
      </c>
      <c r="B8" s="19" t="s">
        <v>302</v>
      </c>
      <c r="C8" t="s">
        <v>303</v>
      </c>
      <c r="D8" s="1">
        <v>2.7</v>
      </c>
      <c r="E8" s="20">
        <f t="shared" si="0"/>
        <v>3.846153846153845E-2</v>
      </c>
      <c r="F8" t="s">
        <v>451</v>
      </c>
      <c r="G8" s="248" t="s">
        <v>508</v>
      </c>
      <c r="H8" t="s">
        <v>79</v>
      </c>
      <c r="P8" s="98" t="s">
        <v>526</v>
      </c>
      <c r="U8" t="s">
        <v>296</v>
      </c>
      <c r="AA8" s="247">
        <v>25</v>
      </c>
      <c r="AB8" s="247" t="s">
        <v>527</v>
      </c>
      <c r="AC8" s="247" t="s">
        <v>516</v>
      </c>
      <c r="AD8" s="247" t="s">
        <v>516</v>
      </c>
      <c r="AE8" s="247" t="s">
        <v>507</v>
      </c>
      <c r="AF8" s="247">
        <v>60</v>
      </c>
      <c r="AG8" s="247" t="s">
        <v>528</v>
      </c>
      <c r="AH8" s="247">
        <v>30</v>
      </c>
      <c r="AI8" s="247">
        <v>9</v>
      </c>
      <c r="AJ8" s="247"/>
    </row>
    <row r="9" spans="1:36">
      <c r="A9" t="s">
        <v>80</v>
      </c>
      <c r="B9" s="19" t="s">
        <v>302</v>
      </c>
      <c r="C9" t="s">
        <v>303</v>
      </c>
      <c r="D9" s="1">
        <v>2.7</v>
      </c>
      <c r="E9" s="20">
        <f t="shared" si="0"/>
        <v>3.846153846153845E-2</v>
      </c>
      <c r="F9" t="s">
        <v>451</v>
      </c>
      <c r="G9" s="248" t="s">
        <v>508</v>
      </c>
      <c r="H9" t="s">
        <v>80</v>
      </c>
      <c r="U9" t="s">
        <v>288</v>
      </c>
      <c r="AA9" s="247">
        <v>28</v>
      </c>
      <c r="AB9" s="247" t="s">
        <v>529</v>
      </c>
      <c r="AC9" s="247" t="s">
        <v>516</v>
      </c>
      <c r="AD9" s="247" t="s">
        <v>516</v>
      </c>
      <c r="AE9" s="247" t="s">
        <v>507</v>
      </c>
      <c r="AF9" s="247">
        <v>52</v>
      </c>
      <c r="AG9" s="247"/>
      <c r="AH9" s="247">
        <v>20</v>
      </c>
      <c r="AI9" s="247">
        <v>9</v>
      </c>
      <c r="AJ9" s="247"/>
    </row>
    <row r="10" spans="1:36">
      <c r="A10" t="s">
        <v>81</v>
      </c>
      <c r="B10" s="19" t="s">
        <v>302</v>
      </c>
      <c r="C10" t="s">
        <v>303</v>
      </c>
      <c r="D10" s="1">
        <v>2.7</v>
      </c>
      <c r="E10" s="20">
        <f t="shared" si="0"/>
        <v>3.846153846153845E-2</v>
      </c>
      <c r="F10" t="s">
        <v>451</v>
      </c>
      <c r="G10" s="248" t="s">
        <v>508</v>
      </c>
      <c r="H10" t="s">
        <v>81</v>
      </c>
      <c r="U10" t="s">
        <v>304</v>
      </c>
      <c r="AA10" s="247">
        <v>30</v>
      </c>
      <c r="AB10" s="247" t="s">
        <v>530</v>
      </c>
      <c r="AC10" s="247" t="s">
        <v>516</v>
      </c>
      <c r="AD10" s="247" t="s">
        <v>516</v>
      </c>
      <c r="AE10" s="247" t="s">
        <v>507</v>
      </c>
      <c r="AF10" s="247">
        <v>52</v>
      </c>
      <c r="AG10" s="247"/>
      <c r="AH10" s="247">
        <v>20</v>
      </c>
      <c r="AI10" s="247">
        <v>5</v>
      </c>
      <c r="AJ10" s="247"/>
    </row>
    <row r="11" spans="1:36">
      <c r="A11" t="s">
        <v>82</v>
      </c>
      <c r="B11" s="19" t="s">
        <v>302</v>
      </c>
      <c r="C11" t="s">
        <v>303</v>
      </c>
      <c r="D11" s="1">
        <v>2.7</v>
      </c>
      <c r="E11" s="20">
        <f t="shared" si="0"/>
        <v>3.846153846153845E-2</v>
      </c>
      <c r="F11" t="s">
        <v>447</v>
      </c>
      <c r="G11" s="248" t="s">
        <v>508</v>
      </c>
      <c r="H11" s="92" t="s">
        <v>82</v>
      </c>
      <c r="U11" t="s">
        <v>328</v>
      </c>
      <c r="AA11" s="247">
        <v>45</v>
      </c>
      <c r="AB11" s="247" t="s">
        <v>531</v>
      </c>
      <c r="AC11" s="247" t="s">
        <v>516</v>
      </c>
      <c r="AD11" s="247" t="s">
        <v>516</v>
      </c>
      <c r="AE11" s="247" t="s">
        <v>507</v>
      </c>
      <c r="AF11" s="247">
        <v>0</v>
      </c>
      <c r="AG11" s="247"/>
      <c r="AH11" s="247">
        <v>20</v>
      </c>
      <c r="AI11" s="247">
        <v>27</v>
      </c>
      <c r="AJ11" s="247"/>
    </row>
    <row r="12" spans="1:36">
      <c r="A12" t="s">
        <v>83</v>
      </c>
      <c r="B12" s="19" t="s">
        <v>302</v>
      </c>
      <c r="C12" t="s">
        <v>303</v>
      </c>
      <c r="D12" s="1">
        <v>2.7</v>
      </c>
      <c r="E12" s="20">
        <f t="shared" si="0"/>
        <v>3.846153846153845E-2</v>
      </c>
      <c r="F12" t="s">
        <v>447</v>
      </c>
      <c r="G12" s="248" t="s">
        <v>508</v>
      </c>
      <c r="H12" s="92" t="s">
        <v>83</v>
      </c>
      <c r="U12" t="s">
        <v>298</v>
      </c>
      <c r="AA12" s="247">
        <v>46</v>
      </c>
      <c r="AB12" s="247" t="s">
        <v>532</v>
      </c>
      <c r="AC12" s="247" t="s">
        <v>516</v>
      </c>
      <c r="AD12" s="247" t="s">
        <v>516</v>
      </c>
      <c r="AE12" s="247" t="s">
        <v>533</v>
      </c>
      <c r="AF12" s="247">
        <v>52</v>
      </c>
      <c r="AG12" s="247"/>
      <c r="AH12" s="247">
        <v>20</v>
      </c>
      <c r="AI12" s="247">
        <v>5</v>
      </c>
      <c r="AJ12" s="247" t="s">
        <v>534</v>
      </c>
    </row>
    <row r="13" spans="1:36">
      <c r="A13" t="s">
        <v>84</v>
      </c>
      <c r="B13" s="19" t="s">
        <v>302</v>
      </c>
      <c r="C13" t="s">
        <v>303</v>
      </c>
      <c r="D13" s="1">
        <v>2.7</v>
      </c>
      <c r="E13" s="20">
        <f t="shared" si="0"/>
        <v>3.846153846153845E-2</v>
      </c>
      <c r="F13" t="s">
        <v>447</v>
      </c>
      <c r="G13" s="248" t="s">
        <v>508</v>
      </c>
      <c r="H13" s="92" t="s">
        <v>84</v>
      </c>
      <c r="U13" t="s">
        <v>308</v>
      </c>
      <c r="AA13" s="247">
        <v>47</v>
      </c>
      <c r="AB13" s="247" t="s">
        <v>535</v>
      </c>
      <c r="AC13" s="247" t="s">
        <v>516</v>
      </c>
      <c r="AD13" s="247" t="s">
        <v>516</v>
      </c>
      <c r="AE13" s="247" t="s">
        <v>507</v>
      </c>
      <c r="AF13" s="247">
        <v>52</v>
      </c>
      <c r="AG13" s="247"/>
      <c r="AH13" s="247">
        <v>20</v>
      </c>
      <c r="AI13" s="247">
        <v>5</v>
      </c>
      <c r="AJ13" s="247"/>
    </row>
    <row r="14" spans="1:36">
      <c r="A14" t="s">
        <v>85</v>
      </c>
      <c r="B14" s="19" t="s">
        <v>302</v>
      </c>
      <c r="C14" t="s">
        <v>303</v>
      </c>
      <c r="D14" s="1">
        <v>2.7</v>
      </c>
      <c r="E14" s="20">
        <f t="shared" si="0"/>
        <v>3.846153846153845E-2</v>
      </c>
      <c r="F14" t="s">
        <v>447</v>
      </c>
      <c r="G14" s="248" t="s">
        <v>508</v>
      </c>
      <c r="H14" s="92" t="s">
        <v>85</v>
      </c>
      <c r="U14" t="s">
        <v>307</v>
      </c>
      <c r="AA14" s="247">
        <v>50</v>
      </c>
      <c r="AB14" s="247" t="s">
        <v>536</v>
      </c>
      <c r="AC14" s="247">
        <v>1541</v>
      </c>
      <c r="AD14" s="247" t="s">
        <v>536</v>
      </c>
      <c r="AE14" s="247" t="s">
        <v>507</v>
      </c>
      <c r="AF14" s="247">
        <v>52</v>
      </c>
      <c r="AG14" s="247"/>
      <c r="AH14" s="247">
        <v>20</v>
      </c>
      <c r="AI14" s="247">
        <v>2</v>
      </c>
      <c r="AJ14" s="247"/>
    </row>
    <row r="15" spans="1:36">
      <c r="A15" t="s">
        <v>86</v>
      </c>
      <c r="B15" s="19" t="s">
        <v>302</v>
      </c>
      <c r="C15" t="s">
        <v>303</v>
      </c>
      <c r="D15" s="1">
        <v>2.7</v>
      </c>
      <c r="E15" s="20">
        <f t="shared" si="0"/>
        <v>3.846153846153845E-2</v>
      </c>
      <c r="F15" t="s">
        <v>447</v>
      </c>
      <c r="G15" s="248" t="s">
        <v>508</v>
      </c>
      <c r="H15" s="92" t="s">
        <v>86</v>
      </c>
      <c r="U15" t="s">
        <v>329</v>
      </c>
      <c r="AA15" s="247">
        <v>53</v>
      </c>
      <c r="AB15" s="247" t="s">
        <v>537</v>
      </c>
      <c r="AC15" s="247" t="s">
        <v>516</v>
      </c>
      <c r="AD15" s="247" t="s">
        <v>516</v>
      </c>
      <c r="AE15" s="247" t="s">
        <v>533</v>
      </c>
      <c r="AF15" s="247">
        <v>52</v>
      </c>
      <c r="AG15" s="247"/>
      <c r="AH15" s="247">
        <v>20</v>
      </c>
      <c r="AI15" s="247">
        <v>5</v>
      </c>
      <c r="AJ15" s="247" t="s">
        <v>534</v>
      </c>
    </row>
    <row r="16" spans="1:36">
      <c r="A16" t="s">
        <v>87</v>
      </c>
      <c r="B16" s="19" t="s">
        <v>302</v>
      </c>
      <c r="C16" t="s">
        <v>303</v>
      </c>
      <c r="D16" s="1">
        <v>2.7</v>
      </c>
      <c r="E16" s="20">
        <f t="shared" si="0"/>
        <v>3.846153846153845E-2</v>
      </c>
      <c r="F16" t="s">
        <v>447</v>
      </c>
      <c r="G16" s="248" t="s">
        <v>508</v>
      </c>
      <c r="H16" s="92" t="s">
        <v>87</v>
      </c>
      <c r="U16" t="s">
        <v>330</v>
      </c>
      <c r="AA16" s="247">
        <v>54</v>
      </c>
      <c r="AB16" s="247" t="s">
        <v>538</v>
      </c>
      <c r="AC16" s="247" t="s">
        <v>516</v>
      </c>
      <c r="AD16" s="247" t="s">
        <v>516</v>
      </c>
      <c r="AE16" s="247" t="s">
        <v>507</v>
      </c>
      <c r="AF16" s="247">
        <v>180</v>
      </c>
      <c r="AG16" s="247" t="s">
        <v>528</v>
      </c>
      <c r="AH16" s="247">
        <v>20</v>
      </c>
      <c r="AI16" s="247">
        <v>1</v>
      </c>
      <c r="AJ16" s="247"/>
    </row>
    <row r="17" spans="1:36">
      <c r="A17" t="s">
        <v>88</v>
      </c>
      <c r="B17" s="19" t="s">
        <v>302</v>
      </c>
      <c r="C17" t="s">
        <v>303</v>
      </c>
      <c r="D17" s="1">
        <v>2.7</v>
      </c>
      <c r="E17" s="20">
        <f t="shared" si="0"/>
        <v>3.846153846153845E-2</v>
      </c>
      <c r="F17" t="s">
        <v>447</v>
      </c>
      <c r="G17" s="248" t="s">
        <v>508</v>
      </c>
      <c r="H17" s="92" t="s">
        <v>88</v>
      </c>
      <c r="U17" t="s">
        <v>1956</v>
      </c>
      <c r="AA17" s="247">
        <v>55</v>
      </c>
      <c r="AB17" s="247" t="s">
        <v>461</v>
      </c>
      <c r="AC17" s="247">
        <v>1754</v>
      </c>
      <c r="AD17" s="247" t="s">
        <v>539</v>
      </c>
      <c r="AE17" s="247" t="s">
        <v>507</v>
      </c>
      <c r="AF17" s="247">
        <v>52</v>
      </c>
      <c r="AG17" s="247"/>
      <c r="AH17" s="247">
        <v>20</v>
      </c>
      <c r="AI17" s="247">
        <v>1</v>
      </c>
      <c r="AJ17" s="247"/>
    </row>
    <row r="18" spans="1:36">
      <c r="A18" t="s">
        <v>89</v>
      </c>
      <c r="B18" s="19" t="s">
        <v>302</v>
      </c>
      <c r="C18" t="s">
        <v>303</v>
      </c>
      <c r="D18" s="1">
        <v>2.7</v>
      </c>
      <c r="E18" s="20">
        <f t="shared" si="0"/>
        <v>3.846153846153845E-2</v>
      </c>
      <c r="F18" t="s">
        <v>447</v>
      </c>
      <c r="G18" s="248" t="s">
        <v>508</v>
      </c>
      <c r="H18" s="92" t="s">
        <v>89</v>
      </c>
      <c r="AA18" s="247">
        <v>57</v>
      </c>
      <c r="AB18" s="247" t="s">
        <v>540</v>
      </c>
      <c r="AC18" s="247" t="s">
        <v>516</v>
      </c>
      <c r="AD18" s="247" t="s">
        <v>516</v>
      </c>
      <c r="AE18" s="247" t="s">
        <v>507</v>
      </c>
      <c r="AF18" s="247">
        <v>0</v>
      </c>
      <c r="AG18" s="247"/>
      <c r="AH18" s="247">
        <v>20</v>
      </c>
      <c r="AI18" s="247">
        <v>32</v>
      </c>
      <c r="AJ18" s="247"/>
    </row>
    <row r="19" spans="1:36">
      <c r="A19" t="s">
        <v>90</v>
      </c>
      <c r="B19" s="19" t="s">
        <v>302</v>
      </c>
      <c r="C19" t="s">
        <v>303</v>
      </c>
      <c r="D19" s="1">
        <v>2.7</v>
      </c>
      <c r="E19" s="20">
        <f t="shared" si="0"/>
        <v>3.846153846153845E-2</v>
      </c>
      <c r="F19" t="s">
        <v>451</v>
      </c>
      <c r="G19" s="248" t="s">
        <v>508</v>
      </c>
      <c r="H19" t="s">
        <v>90</v>
      </c>
      <c r="AA19" s="247">
        <v>58</v>
      </c>
      <c r="AB19" s="247" t="s">
        <v>541</v>
      </c>
      <c r="AC19" s="247" t="s">
        <v>516</v>
      </c>
      <c r="AD19" s="247" t="s">
        <v>516</v>
      </c>
      <c r="AE19" s="247" t="s">
        <v>533</v>
      </c>
      <c r="AF19" s="247">
        <v>52</v>
      </c>
      <c r="AG19" s="247"/>
      <c r="AH19" s="247">
        <v>20</v>
      </c>
      <c r="AI19" s="247">
        <v>5</v>
      </c>
      <c r="AJ19" s="247" t="s">
        <v>534</v>
      </c>
    </row>
    <row r="20" spans="1:36">
      <c r="A20" t="s">
        <v>91</v>
      </c>
      <c r="B20" s="19" t="s">
        <v>302</v>
      </c>
      <c r="C20" t="s">
        <v>303</v>
      </c>
      <c r="D20" s="1">
        <v>2.7</v>
      </c>
      <c r="E20" s="20">
        <f t="shared" si="0"/>
        <v>3.846153846153845E-2</v>
      </c>
      <c r="F20" t="s">
        <v>451</v>
      </c>
      <c r="G20" s="248" t="s">
        <v>508</v>
      </c>
      <c r="H20" t="s">
        <v>91</v>
      </c>
      <c r="AA20" s="247">
        <v>59</v>
      </c>
      <c r="AB20" s="247" t="s">
        <v>542</v>
      </c>
      <c r="AC20" s="247" t="s">
        <v>516</v>
      </c>
      <c r="AD20" s="247" t="s">
        <v>516</v>
      </c>
      <c r="AE20" s="247" t="s">
        <v>543</v>
      </c>
      <c r="AF20" s="247">
        <v>0</v>
      </c>
      <c r="AG20" s="247" t="s">
        <v>528</v>
      </c>
      <c r="AH20" s="247">
        <v>20</v>
      </c>
      <c r="AI20" s="247">
        <v>28</v>
      </c>
      <c r="AJ20" s="247"/>
    </row>
    <row r="21" spans="1:36">
      <c r="A21" t="s">
        <v>92</v>
      </c>
      <c r="B21" s="19" t="s">
        <v>302</v>
      </c>
      <c r="C21" t="s">
        <v>303</v>
      </c>
      <c r="D21" s="1">
        <v>2.7</v>
      </c>
      <c r="E21" s="20">
        <f t="shared" si="0"/>
        <v>3.846153846153845E-2</v>
      </c>
      <c r="F21" t="s">
        <v>451</v>
      </c>
      <c r="G21" s="248" t="s">
        <v>508</v>
      </c>
      <c r="H21" t="s">
        <v>92</v>
      </c>
      <c r="AA21" s="247">
        <v>60</v>
      </c>
      <c r="AB21" s="247" t="s">
        <v>544</v>
      </c>
      <c r="AC21" s="247">
        <v>203</v>
      </c>
      <c r="AD21" s="247" t="s">
        <v>544</v>
      </c>
      <c r="AE21" s="247" t="s">
        <v>533</v>
      </c>
      <c r="AF21" s="247">
        <v>52</v>
      </c>
      <c r="AG21" s="247" t="s">
        <v>528</v>
      </c>
      <c r="AH21" s="247">
        <v>0</v>
      </c>
      <c r="AI21" s="247">
        <v>15</v>
      </c>
      <c r="AJ21" s="247" t="s">
        <v>545</v>
      </c>
    </row>
    <row r="22" spans="1:36">
      <c r="A22" t="s">
        <v>93</v>
      </c>
      <c r="B22" s="19" t="s">
        <v>302</v>
      </c>
      <c r="C22" t="s">
        <v>303</v>
      </c>
      <c r="D22" s="1">
        <v>2.7</v>
      </c>
      <c r="E22" s="20">
        <f t="shared" si="0"/>
        <v>3.846153846153845E-2</v>
      </c>
      <c r="F22" t="s">
        <v>447</v>
      </c>
      <c r="G22" s="248" t="s">
        <v>508</v>
      </c>
      <c r="H22" s="92" t="s">
        <v>93</v>
      </c>
      <c r="AA22" s="247">
        <v>61</v>
      </c>
      <c r="AB22" s="247" t="s">
        <v>546</v>
      </c>
      <c r="AC22" s="247">
        <v>202</v>
      </c>
      <c r="AD22" s="247" t="s">
        <v>546</v>
      </c>
      <c r="AE22" s="247" t="s">
        <v>533</v>
      </c>
      <c r="AF22" s="247">
        <v>52</v>
      </c>
      <c r="AG22" s="247" t="s">
        <v>528</v>
      </c>
      <c r="AH22" s="247">
        <v>0</v>
      </c>
      <c r="AI22" s="247">
        <v>15</v>
      </c>
      <c r="AJ22" s="247" t="s">
        <v>545</v>
      </c>
    </row>
    <row r="23" spans="1:36">
      <c r="A23" t="s">
        <v>94</v>
      </c>
      <c r="B23" s="19" t="s">
        <v>302</v>
      </c>
      <c r="C23" t="s">
        <v>303</v>
      </c>
      <c r="D23" s="1">
        <v>2.7</v>
      </c>
      <c r="E23" s="20">
        <f t="shared" si="0"/>
        <v>3.846153846153845E-2</v>
      </c>
      <c r="F23" t="s">
        <v>451</v>
      </c>
      <c r="G23" s="248" t="s">
        <v>508</v>
      </c>
      <c r="H23" t="s">
        <v>94</v>
      </c>
      <c r="AA23" s="247">
        <v>62</v>
      </c>
      <c r="AB23" s="247" t="s">
        <v>547</v>
      </c>
      <c r="AC23" s="247">
        <v>213</v>
      </c>
      <c r="AD23" s="247" t="s">
        <v>547</v>
      </c>
      <c r="AE23" s="247" t="s">
        <v>507</v>
      </c>
      <c r="AF23" s="247">
        <v>20</v>
      </c>
      <c r="AG23" s="247"/>
      <c r="AH23" s="247">
        <v>30</v>
      </c>
      <c r="AI23" s="247">
        <v>28</v>
      </c>
      <c r="AJ23" s="247"/>
    </row>
    <row r="24" spans="1:36">
      <c r="A24" t="s">
        <v>95</v>
      </c>
      <c r="B24" s="19" t="s">
        <v>302</v>
      </c>
      <c r="C24" t="s">
        <v>303</v>
      </c>
      <c r="D24" s="1">
        <v>2.7</v>
      </c>
      <c r="E24" s="20">
        <f t="shared" si="0"/>
        <v>3.846153846153845E-2</v>
      </c>
      <c r="F24" t="s">
        <v>451</v>
      </c>
      <c r="G24" s="248" t="s">
        <v>508</v>
      </c>
      <c r="H24" t="s">
        <v>95</v>
      </c>
      <c r="AA24" s="247">
        <v>64</v>
      </c>
      <c r="AB24" s="247" t="s">
        <v>548</v>
      </c>
      <c r="AC24" s="247">
        <v>250</v>
      </c>
      <c r="AD24" s="247" t="s">
        <v>549</v>
      </c>
      <c r="AE24" s="247" t="s">
        <v>507</v>
      </c>
      <c r="AF24" s="247">
        <v>52</v>
      </c>
      <c r="AG24" s="247"/>
      <c r="AH24" s="247">
        <v>20</v>
      </c>
      <c r="AI24" s="247">
        <v>5</v>
      </c>
      <c r="AJ24" s="247"/>
    </row>
    <row r="25" spans="1:36">
      <c r="A25" t="s">
        <v>96</v>
      </c>
      <c r="B25" s="19" t="s">
        <v>302</v>
      </c>
      <c r="C25" t="s">
        <v>303</v>
      </c>
      <c r="D25" s="1">
        <v>2.7</v>
      </c>
      <c r="E25" s="20">
        <f t="shared" si="0"/>
        <v>3.846153846153845E-2</v>
      </c>
      <c r="F25" t="s">
        <v>451</v>
      </c>
      <c r="G25" s="248" t="s">
        <v>508</v>
      </c>
      <c r="H25" t="s">
        <v>96</v>
      </c>
      <c r="AA25" s="247">
        <v>65</v>
      </c>
      <c r="AB25" s="247" t="s">
        <v>550</v>
      </c>
      <c r="AC25" s="247">
        <v>204</v>
      </c>
      <c r="AD25" s="247" t="s">
        <v>551</v>
      </c>
      <c r="AE25" s="247" t="s">
        <v>507</v>
      </c>
      <c r="AF25" s="247">
        <v>50</v>
      </c>
      <c r="AG25" s="247"/>
      <c r="AH25" s="247">
        <v>20</v>
      </c>
      <c r="AI25" s="247">
        <v>28</v>
      </c>
      <c r="AJ25" s="247"/>
    </row>
    <row r="26" spans="1:36">
      <c r="A26" t="s">
        <v>97</v>
      </c>
      <c r="B26" s="19" t="s">
        <v>302</v>
      </c>
      <c r="C26" t="s">
        <v>303</v>
      </c>
      <c r="D26" s="1">
        <v>2.7</v>
      </c>
      <c r="E26" s="20">
        <f t="shared" si="0"/>
        <v>3.846153846153845E-2</v>
      </c>
      <c r="F26" t="s">
        <v>451</v>
      </c>
      <c r="G26" s="248" t="s">
        <v>508</v>
      </c>
      <c r="H26" t="s">
        <v>97</v>
      </c>
      <c r="AA26" s="247">
        <v>70</v>
      </c>
      <c r="AB26" s="247" t="s">
        <v>552</v>
      </c>
      <c r="AC26" s="247">
        <v>206</v>
      </c>
      <c r="AD26" s="247" t="s">
        <v>553</v>
      </c>
      <c r="AE26" s="247" t="s">
        <v>507</v>
      </c>
      <c r="AF26" s="247">
        <v>0</v>
      </c>
      <c r="AG26" s="247"/>
      <c r="AH26" s="247">
        <v>30</v>
      </c>
      <c r="AI26" s="247">
        <v>28</v>
      </c>
      <c r="AJ26" s="247"/>
    </row>
    <row r="27" spans="1:36">
      <c r="A27" t="s">
        <v>98</v>
      </c>
      <c r="B27" s="19" t="s">
        <v>302</v>
      </c>
      <c r="C27" t="s">
        <v>303</v>
      </c>
      <c r="D27" s="1">
        <v>2.7</v>
      </c>
      <c r="E27" s="20">
        <f t="shared" si="0"/>
        <v>3.846153846153845E-2</v>
      </c>
      <c r="F27" t="s">
        <v>451</v>
      </c>
      <c r="G27" s="248" t="s">
        <v>508</v>
      </c>
      <c r="H27" t="s">
        <v>98</v>
      </c>
      <c r="AA27" s="247">
        <v>71</v>
      </c>
      <c r="AB27" s="247" t="s">
        <v>554</v>
      </c>
      <c r="AC27" s="247">
        <v>200</v>
      </c>
      <c r="AD27" s="247" t="s">
        <v>555</v>
      </c>
      <c r="AE27" s="247" t="s">
        <v>507</v>
      </c>
      <c r="AF27" s="247">
        <v>52</v>
      </c>
      <c r="AG27" s="247"/>
      <c r="AH27" s="247">
        <v>30</v>
      </c>
      <c r="AI27" s="247">
        <v>6</v>
      </c>
      <c r="AJ27" s="247"/>
    </row>
    <row r="28" spans="1:36">
      <c r="A28" t="s">
        <v>99</v>
      </c>
      <c r="B28" s="19" t="s">
        <v>302</v>
      </c>
      <c r="C28" t="s">
        <v>303</v>
      </c>
      <c r="D28" s="1">
        <v>2.7</v>
      </c>
      <c r="E28" s="20">
        <f t="shared" si="0"/>
        <v>3.846153846153845E-2</v>
      </c>
      <c r="F28" t="s">
        <v>451</v>
      </c>
      <c r="G28" s="248" t="s">
        <v>508</v>
      </c>
      <c r="H28" t="s">
        <v>99</v>
      </c>
      <c r="AA28" s="247">
        <v>72</v>
      </c>
      <c r="AB28" s="247" t="s">
        <v>556</v>
      </c>
      <c r="AC28" s="247">
        <v>201</v>
      </c>
      <c r="AD28" s="247" t="s">
        <v>557</v>
      </c>
      <c r="AE28" s="247" t="s">
        <v>507</v>
      </c>
      <c r="AF28" s="247">
        <v>52</v>
      </c>
      <c r="AG28" s="247"/>
      <c r="AH28" s="247">
        <v>30</v>
      </c>
      <c r="AI28" s="247">
        <v>6</v>
      </c>
      <c r="AJ28" s="247"/>
    </row>
    <row r="29" spans="1:36">
      <c r="B29" s="19"/>
      <c r="D29" s="1"/>
      <c r="E29" s="20"/>
      <c r="G29" s="248"/>
      <c r="AA29" s="247">
        <v>75</v>
      </c>
      <c r="AB29" s="247" t="s">
        <v>558</v>
      </c>
      <c r="AC29" s="247">
        <v>27</v>
      </c>
      <c r="AD29" s="247" t="s">
        <v>559</v>
      </c>
      <c r="AE29" s="247" t="s">
        <v>543</v>
      </c>
      <c r="AF29" s="247">
        <v>0</v>
      </c>
      <c r="AG29" s="247"/>
      <c r="AH29" s="247">
        <v>20</v>
      </c>
      <c r="AI29" s="247">
        <v>27</v>
      </c>
      <c r="AJ29" s="247"/>
    </row>
    <row r="30" spans="1:36">
      <c r="B30" s="19"/>
      <c r="D30" s="1"/>
      <c r="E30" s="20"/>
      <c r="G30" s="248"/>
      <c r="AA30" s="247">
        <v>76</v>
      </c>
      <c r="AB30" s="247" t="s">
        <v>560</v>
      </c>
      <c r="AC30" s="247" t="s">
        <v>516</v>
      </c>
      <c r="AD30" s="247" t="s">
        <v>516</v>
      </c>
      <c r="AE30" s="247" t="s">
        <v>543</v>
      </c>
      <c r="AF30" s="247">
        <v>0</v>
      </c>
      <c r="AG30" s="247"/>
      <c r="AH30" s="247">
        <v>20</v>
      </c>
      <c r="AI30" s="247">
        <v>27</v>
      </c>
      <c r="AJ30" s="247"/>
    </row>
    <row r="31" spans="1:36">
      <c r="B31" s="19"/>
      <c r="D31" s="1"/>
      <c r="E31" s="20"/>
      <c r="G31" s="248"/>
      <c r="AA31" s="247">
        <v>77</v>
      </c>
      <c r="AB31" s="247" t="s">
        <v>561</v>
      </c>
      <c r="AC31" s="247">
        <v>2024</v>
      </c>
      <c r="AD31" s="247" t="s">
        <v>562</v>
      </c>
      <c r="AE31" s="247" t="s">
        <v>543</v>
      </c>
      <c r="AF31" s="247">
        <v>0</v>
      </c>
      <c r="AG31" s="247" t="s">
        <v>528</v>
      </c>
      <c r="AH31" s="247">
        <v>20</v>
      </c>
      <c r="AI31" s="247">
        <v>27</v>
      </c>
      <c r="AJ31" s="247"/>
    </row>
    <row r="32" spans="1:36">
      <c r="B32" s="19"/>
      <c r="D32" s="1"/>
      <c r="E32" s="20"/>
      <c r="G32" s="248"/>
      <c r="AA32" s="247">
        <v>81</v>
      </c>
      <c r="AB32" s="247" t="s">
        <v>563</v>
      </c>
      <c r="AC32" s="247" t="s">
        <v>516</v>
      </c>
      <c r="AD32" s="247" t="s">
        <v>516</v>
      </c>
      <c r="AE32" s="247" t="s">
        <v>543</v>
      </c>
      <c r="AF32" s="247">
        <v>0</v>
      </c>
      <c r="AG32" s="247"/>
      <c r="AH32" s="247">
        <v>30</v>
      </c>
      <c r="AI32" s="247">
        <v>27</v>
      </c>
      <c r="AJ32" s="247"/>
    </row>
    <row r="33" spans="1:36">
      <c r="B33" s="19"/>
      <c r="D33" s="1"/>
      <c r="E33" s="20"/>
      <c r="G33" s="248"/>
      <c r="AA33" s="247">
        <v>85</v>
      </c>
      <c r="AB33" s="247" t="s">
        <v>564</v>
      </c>
      <c r="AC33" s="247">
        <v>246</v>
      </c>
      <c r="AD33" s="247" t="s">
        <v>516</v>
      </c>
      <c r="AE33" s="247" t="s">
        <v>507</v>
      </c>
      <c r="AF33" s="247">
        <v>0</v>
      </c>
      <c r="AG33" s="247"/>
      <c r="AH33" s="247">
        <v>20</v>
      </c>
      <c r="AI33" s="247">
        <v>27</v>
      </c>
      <c r="AJ33" s="247"/>
    </row>
    <row r="34" spans="1:36">
      <c r="B34" s="19"/>
      <c r="D34" s="1"/>
      <c r="E34" s="20"/>
      <c r="G34" s="248"/>
      <c r="AA34" s="247">
        <v>86</v>
      </c>
      <c r="AB34" s="247" t="s">
        <v>565</v>
      </c>
      <c r="AC34" s="247" t="s">
        <v>516</v>
      </c>
      <c r="AD34" s="247" t="s">
        <v>516</v>
      </c>
      <c r="AE34" s="247" t="s">
        <v>533</v>
      </c>
      <c r="AF34" s="247">
        <v>52</v>
      </c>
      <c r="AG34" s="247" t="s">
        <v>528</v>
      </c>
      <c r="AH34" s="247">
        <v>20</v>
      </c>
      <c r="AI34" s="247">
        <v>21</v>
      </c>
      <c r="AJ34" s="247" t="s">
        <v>534</v>
      </c>
    </row>
    <row r="35" spans="1:36">
      <c r="B35" s="19"/>
      <c r="D35" s="1"/>
      <c r="E35" s="20"/>
      <c r="G35" s="248"/>
      <c r="AA35" s="247">
        <v>87</v>
      </c>
      <c r="AB35" s="247" t="s">
        <v>566</v>
      </c>
      <c r="AC35" s="247" t="s">
        <v>516</v>
      </c>
      <c r="AD35" s="247" t="s">
        <v>516</v>
      </c>
      <c r="AE35" s="247" t="s">
        <v>533</v>
      </c>
      <c r="AF35" s="247">
        <v>52</v>
      </c>
      <c r="AG35" s="247" t="s">
        <v>528</v>
      </c>
      <c r="AH35" s="247">
        <v>20</v>
      </c>
      <c r="AI35" s="247">
        <v>21</v>
      </c>
      <c r="AJ35" s="247" t="s">
        <v>534</v>
      </c>
    </row>
    <row r="36" spans="1:36">
      <c r="B36" s="19"/>
      <c r="D36" s="1"/>
      <c r="E36" s="20"/>
      <c r="G36" s="248"/>
      <c r="AA36" s="247">
        <v>88</v>
      </c>
      <c r="AB36" s="247" t="s">
        <v>567</v>
      </c>
      <c r="AC36" s="247" t="s">
        <v>516</v>
      </c>
      <c r="AD36" s="247" t="s">
        <v>516</v>
      </c>
      <c r="AE36" s="247" t="s">
        <v>533</v>
      </c>
      <c r="AF36" s="247">
        <v>52</v>
      </c>
      <c r="AG36" s="247" t="s">
        <v>528</v>
      </c>
      <c r="AH36" s="247">
        <v>20</v>
      </c>
      <c r="AI36" s="247">
        <v>21</v>
      </c>
      <c r="AJ36" s="247" t="s">
        <v>534</v>
      </c>
    </row>
    <row r="37" spans="1:36">
      <c r="B37" s="19"/>
      <c r="D37" s="1"/>
      <c r="E37" s="20"/>
      <c r="G37" s="248"/>
      <c r="AA37" s="247">
        <v>89</v>
      </c>
      <c r="AB37" s="247" t="s">
        <v>568</v>
      </c>
      <c r="AC37" s="247" t="s">
        <v>516</v>
      </c>
      <c r="AD37" s="247" t="s">
        <v>516</v>
      </c>
      <c r="AE37" s="247" t="s">
        <v>543</v>
      </c>
      <c r="AF37" s="247">
        <v>0</v>
      </c>
      <c r="AG37" s="247"/>
      <c r="AH37" s="247">
        <v>20</v>
      </c>
      <c r="AI37" s="247">
        <v>27</v>
      </c>
      <c r="AJ37" s="247"/>
    </row>
    <row r="38" spans="1:36">
      <c r="B38" s="19"/>
      <c r="D38" s="1"/>
      <c r="E38" s="20"/>
      <c r="G38" s="248"/>
      <c r="AA38" s="247">
        <v>110</v>
      </c>
      <c r="AB38" s="247" t="s">
        <v>569</v>
      </c>
      <c r="AC38" s="247">
        <v>16</v>
      </c>
      <c r="AD38" s="247" t="s">
        <v>570</v>
      </c>
      <c r="AE38" s="247" t="s">
        <v>507</v>
      </c>
      <c r="AF38" s="247">
        <v>190</v>
      </c>
      <c r="AG38" s="247" t="s">
        <v>528</v>
      </c>
      <c r="AH38" s="247">
        <v>0</v>
      </c>
      <c r="AI38" s="247">
        <v>11</v>
      </c>
      <c r="AJ38" s="247"/>
    </row>
    <row r="39" spans="1:36">
      <c r="B39" s="19"/>
      <c r="D39" s="1"/>
      <c r="E39" s="20"/>
      <c r="G39" s="248"/>
      <c r="AA39" s="247">
        <v>111</v>
      </c>
      <c r="AB39" s="247" t="s">
        <v>571</v>
      </c>
      <c r="AC39" s="247">
        <v>92</v>
      </c>
      <c r="AD39" s="247" t="s">
        <v>572</v>
      </c>
      <c r="AE39" s="247" t="s">
        <v>507</v>
      </c>
      <c r="AF39" s="247">
        <v>190</v>
      </c>
      <c r="AG39" s="247" t="s">
        <v>528</v>
      </c>
      <c r="AH39" s="247">
        <v>0</v>
      </c>
      <c r="AI39" s="247">
        <v>11</v>
      </c>
      <c r="AJ39" s="247"/>
    </row>
    <row r="40" spans="1:36">
      <c r="B40" s="19"/>
      <c r="D40" s="1"/>
      <c r="E40" s="20"/>
      <c r="G40" s="248"/>
      <c r="AA40" s="247">
        <v>115</v>
      </c>
      <c r="AB40" s="247" t="s">
        <v>573</v>
      </c>
      <c r="AC40" s="247">
        <v>1404</v>
      </c>
      <c r="AD40" s="247" t="s">
        <v>574</v>
      </c>
      <c r="AE40" s="247" t="s">
        <v>507</v>
      </c>
      <c r="AF40" s="247">
        <v>190</v>
      </c>
      <c r="AG40" s="247" t="s">
        <v>528</v>
      </c>
      <c r="AH40" s="247">
        <v>0</v>
      </c>
      <c r="AI40" s="247">
        <v>12</v>
      </c>
      <c r="AJ40" s="247"/>
    </row>
    <row r="41" spans="1:36">
      <c r="B41" s="19"/>
      <c r="D41" s="1"/>
      <c r="E41" s="20"/>
      <c r="G41" s="248"/>
      <c r="AA41" s="247">
        <v>117</v>
      </c>
      <c r="AB41" s="247" t="s">
        <v>575</v>
      </c>
      <c r="AC41" s="247">
        <v>2150</v>
      </c>
      <c r="AD41" s="247" t="s">
        <v>576</v>
      </c>
      <c r="AE41" s="247" t="s">
        <v>507</v>
      </c>
      <c r="AF41" s="247">
        <v>190</v>
      </c>
      <c r="AG41" s="247" t="s">
        <v>528</v>
      </c>
      <c r="AH41" s="247">
        <v>0</v>
      </c>
      <c r="AI41" s="247">
        <v>12</v>
      </c>
      <c r="AJ41" s="247"/>
    </row>
    <row r="42" spans="1:36">
      <c r="B42" s="19"/>
      <c r="D42" s="1"/>
      <c r="E42" s="20"/>
      <c r="G42" s="248"/>
      <c r="AA42" s="247">
        <v>120</v>
      </c>
      <c r="AB42" s="247" t="s">
        <v>577</v>
      </c>
      <c r="AC42" s="247" t="s">
        <v>516</v>
      </c>
      <c r="AD42" s="247" t="s">
        <v>516</v>
      </c>
      <c r="AE42" s="247" t="s">
        <v>507</v>
      </c>
      <c r="AF42" s="247">
        <v>190</v>
      </c>
      <c r="AG42" s="247" t="s">
        <v>528</v>
      </c>
      <c r="AH42" s="247">
        <v>0</v>
      </c>
      <c r="AI42" s="247">
        <v>12</v>
      </c>
      <c r="AJ42" s="247"/>
    </row>
    <row r="43" spans="1:36">
      <c r="A43" t="s">
        <v>447</v>
      </c>
      <c r="B43" s="19" t="s">
        <v>302</v>
      </c>
      <c r="C43" t="s">
        <v>303</v>
      </c>
      <c r="D43" s="1">
        <f>SUMIF($F$3:$F$28,A43,$D$3:$D$28)</f>
        <v>35.1</v>
      </c>
      <c r="E43" s="20">
        <f>D43/$K$3</f>
        <v>0.49999999999999978</v>
      </c>
      <c r="AA43" s="247">
        <v>121</v>
      </c>
      <c r="AB43" s="247" t="s">
        <v>578</v>
      </c>
      <c r="AC43" s="247" t="s">
        <v>516</v>
      </c>
      <c r="AD43" s="247" t="s">
        <v>516</v>
      </c>
      <c r="AE43" s="247" t="s">
        <v>507</v>
      </c>
      <c r="AF43" s="247">
        <v>190</v>
      </c>
      <c r="AG43" s="247" t="s">
        <v>528</v>
      </c>
      <c r="AH43" s="247">
        <v>0</v>
      </c>
      <c r="AI43" s="247">
        <v>12</v>
      </c>
      <c r="AJ43" s="247"/>
    </row>
    <row r="44" spans="1:36">
      <c r="A44" t="s">
        <v>451</v>
      </c>
      <c r="B44" s="19" t="s">
        <v>302</v>
      </c>
      <c r="C44" t="s">
        <v>303</v>
      </c>
      <c r="D44" s="1">
        <f>SUMIF($F$3:$F$28,A44,$D$3:$D$28)</f>
        <v>35.1</v>
      </c>
      <c r="E44" s="20">
        <f t="shared" si="0"/>
        <v>0.49999999999999978</v>
      </c>
      <c r="AA44" s="247">
        <v>151</v>
      </c>
      <c r="AB44" s="247" t="s">
        <v>579</v>
      </c>
      <c r="AC44" s="247" t="s">
        <v>516</v>
      </c>
      <c r="AD44" s="247" t="s">
        <v>516</v>
      </c>
      <c r="AE44" s="247" t="s">
        <v>507</v>
      </c>
      <c r="AF44" s="247">
        <v>52</v>
      </c>
      <c r="AG44" s="247"/>
      <c r="AH44" s="247">
        <v>20</v>
      </c>
      <c r="AI44" s="247">
        <v>15</v>
      </c>
      <c r="AJ44" s="247"/>
    </row>
    <row r="45" spans="1:36">
      <c r="A45" t="s">
        <v>74</v>
      </c>
      <c r="B45" s="19" t="s">
        <v>302</v>
      </c>
      <c r="C45" t="s">
        <v>303</v>
      </c>
      <c r="D45" s="1">
        <v>2.7</v>
      </c>
      <c r="E45" s="20">
        <f>D45/$K$3</f>
        <v>3.846153846153845E-2</v>
      </c>
      <c r="AA45" s="247">
        <v>152</v>
      </c>
      <c r="AB45" s="247" t="s">
        <v>580</v>
      </c>
      <c r="AC45" s="247" t="s">
        <v>516</v>
      </c>
      <c r="AD45" s="247" t="s">
        <v>516</v>
      </c>
      <c r="AE45" s="247" t="s">
        <v>533</v>
      </c>
      <c r="AF45" s="247">
        <v>52</v>
      </c>
      <c r="AG45" s="247" t="s">
        <v>528</v>
      </c>
      <c r="AH45" s="247">
        <v>20</v>
      </c>
      <c r="AI45" s="247">
        <v>15</v>
      </c>
      <c r="AJ45" s="247" t="s">
        <v>581</v>
      </c>
    </row>
    <row r="46" spans="1:36">
      <c r="A46" t="s">
        <v>75</v>
      </c>
      <c r="B46" s="19" t="s">
        <v>302</v>
      </c>
      <c r="C46" t="s">
        <v>303</v>
      </c>
      <c r="D46" s="1">
        <v>2.7</v>
      </c>
      <c r="E46" s="20">
        <f t="shared" si="0"/>
        <v>3.846153846153845E-2</v>
      </c>
      <c r="AA46" s="247">
        <v>153</v>
      </c>
      <c r="AB46" s="247" t="s">
        <v>582</v>
      </c>
      <c r="AC46" s="247" t="s">
        <v>516</v>
      </c>
      <c r="AD46" s="247" t="s">
        <v>516</v>
      </c>
      <c r="AE46" s="247" t="s">
        <v>533</v>
      </c>
      <c r="AF46" s="247">
        <v>75</v>
      </c>
      <c r="AG46" s="247" t="s">
        <v>528</v>
      </c>
      <c r="AH46" s="247">
        <v>0</v>
      </c>
      <c r="AI46" s="247">
        <v>15</v>
      </c>
      <c r="AJ46" s="247" t="s">
        <v>581</v>
      </c>
    </row>
    <row r="47" spans="1:36">
      <c r="A47" t="s">
        <v>76</v>
      </c>
      <c r="B47" s="19" t="s">
        <v>302</v>
      </c>
      <c r="C47" t="s">
        <v>303</v>
      </c>
      <c r="D47" s="1">
        <v>2.7</v>
      </c>
      <c r="E47" s="20">
        <f t="shared" si="0"/>
        <v>3.846153846153845E-2</v>
      </c>
      <c r="AA47" s="247">
        <v>154</v>
      </c>
      <c r="AB47" s="247" t="s">
        <v>583</v>
      </c>
      <c r="AC47" s="247" t="s">
        <v>516</v>
      </c>
      <c r="AD47" s="247" t="s">
        <v>516</v>
      </c>
      <c r="AE47" s="247" t="s">
        <v>533</v>
      </c>
      <c r="AF47" s="247">
        <v>75</v>
      </c>
      <c r="AG47" s="247" t="s">
        <v>528</v>
      </c>
      <c r="AH47" s="247">
        <v>0</v>
      </c>
      <c r="AI47" s="247">
        <v>15</v>
      </c>
      <c r="AJ47" s="247" t="s">
        <v>581</v>
      </c>
    </row>
    <row r="48" spans="1:36">
      <c r="A48" t="s">
        <v>77</v>
      </c>
      <c r="B48" s="19" t="s">
        <v>302</v>
      </c>
      <c r="C48" t="s">
        <v>303</v>
      </c>
      <c r="D48" s="1">
        <v>2.7</v>
      </c>
      <c r="E48" s="20">
        <f t="shared" si="0"/>
        <v>3.846153846153845E-2</v>
      </c>
      <c r="AA48" s="247">
        <v>156</v>
      </c>
      <c r="AB48" s="247" t="s">
        <v>584</v>
      </c>
      <c r="AC48" s="247" t="s">
        <v>516</v>
      </c>
      <c r="AD48" s="247" t="s">
        <v>516</v>
      </c>
      <c r="AE48" s="247" t="s">
        <v>533</v>
      </c>
      <c r="AF48" s="247">
        <v>190</v>
      </c>
      <c r="AG48" s="247" t="s">
        <v>528</v>
      </c>
      <c r="AH48" s="247">
        <v>0</v>
      </c>
      <c r="AI48" s="247">
        <v>15</v>
      </c>
      <c r="AJ48" s="247" t="s">
        <v>581</v>
      </c>
    </row>
    <row r="49" spans="1:36">
      <c r="A49" t="s">
        <v>78</v>
      </c>
      <c r="B49" s="19" t="s">
        <v>302</v>
      </c>
      <c r="C49" t="s">
        <v>303</v>
      </c>
      <c r="D49" s="1">
        <v>2.7</v>
      </c>
      <c r="E49" s="20">
        <f t="shared" si="0"/>
        <v>3.846153846153845E-2</v>
      </c>
      <c r="AA49" s="247">
        <v>157</v>
      </c>
      <c r="AB49" s="247" t="s">
        <v>585</v>
      </c>
      <c r="AC49" s="247" t="s">
        <v>516</v>
      </c>
      <c r="AD49" s="247" t="s">
        <v>516</v>
      </c>
      <c r="AE49" s="247" t="s">
        <v>533</v>
      </c>
      <c r="AF49" s="247">
        <v>180</v>
      </c>
      <c r="AG49" s="247" t="s">
        <v>528</v>
      </c>
      <c r="AH49" s="247">
        <v>0</v>
      </c>
      <c r="AI49" s="247">
        <v>15</v>
      </c>
      <c r="AJ49" s="247" t="s">
        <v>581</v>
      </c>
    </row>
    <row r="50" spans="1:36">
      <c r="A50" t="s">
        <v>79</v>
      </c>
      <c r="B50" s="19" t="s">
        <v>302</v>
      </c>
      <c r="C50" t="s">
        <v>303</v>
      </c>
      <c r="D50" s="1">
        <v>2.7</v>
      </c>
      <c r="E50" s="20">
        <f t="shared" si="0"/>
        <v>3.846153846153845E-2</v>
      </c>
      <c r="AA50" s="247">
        <v>158</v>
      </c>
      <c r="AB50" s="247" t="s">
        <v>586</v>
      </c>
      <c r="AC50" s="247" t="s">
        <v>516</v>
      </c>
      <c r="AD50" s="247" t="s">
        <v>516</v>
      </c>
      <c r="AE50" s="247" t="s">
        <v>533</v>
      </c>
      <c r="AF50" s="247">
        <v>75</v>
      </c>
      <c r="AG50" s="247" t="s">
        <v>528</v>
      </c>
      <c r="AH50" s="247">
        <v>0</v>
      </c>
      <c r="AI50" s="247">
        <v>15</v>
      </c>
      <c r="AJ50" s="247" t="s">
        <v>581</v>
      </c>
    </row>
    <row r="51" spans="1:36">
      <c r="A51" t="s">
        <v>80</v>
      </c>
      <c r="B51" s="19" t="s">
        <v>302</v>
      </c>
      <c r="C51" t="s">
        <v>303</v>
      </c>
      <c r="D51" s="1">
        <v>2.7</v>
      </c>
      <c r="E51" s="20">
        <f t="shared" si="0"/>
        <v>3.846153846153845E-2</v>
      </c>
      <c r="AA51" s="247">
        <v>159</v>
      </c>
      <c r="AB51" s="247" t="s">
        <v>587</v>
      </c>
      <c r="AC51" s="247" t="s">
        <v>516</v>
      </c>
      <c r="AD51" s="247" t="s">
        <v>516</v>
      </c>
      <c r="AE51" s="247" t="s">
        <v>533</v>
      </c>
      <c r="AF51" s="247">
        <v>190</v>
      </c>
      <c r="AG51" s="247" t="s">
        <v>528</v>
      </c>
      <c r="AH51" s="247">
        <v>0</v>
      </c>
      <c r="AI51" s="247">
        <v>15</v>
      </c>
      <c r="AJ51" s="247" t="s">
        <v>581</v>
      </c>
    </row>
    <row r="52" spans="1:36">
      <c r="A52" t="s">
        <v>81</v>
      </c>
      <c r="B52" s="19" t="s">
        <v>302</v>
      </c>
      <c r="C52" t="s">
        <v>303</v>
      </c>
      <c r="D52" s="1">
        <v>2.7</v>
      </c>
      <c r="E52" s="20">
        <f t="shared" si="0"/>
        <v>3.846153846153845E-2</v>
      </c>
      <c r="AA52" s="247">
        <v>170</v>
      </c>
      <c r="AB52" s="247" t="s">
        <v>588</v>
      </c>
      <c r="AC52" s="247" t="s">
        <v>516</v>
      </c>
      <c r="AD52" s="247" t="s">
        <v>516</v>
      </c>
      <c r="AE52" s="247" t="s">
        <v>533</v>
      </c>
      <c r="AF52" s="247">
        <v>170</v>
      </c>
      <c r="AG52" s="247" t="s">
        <v>528</v>
      </c>
      <c r="AH52" s="247">
        <v>20</v>
      </c>
      <c r="AI52" s="247">
        <v>15</v>
      </c>
      <c r="AJ52" s="247" t="s">
        <v>581</v>
      </c>
    </row>
    <row r="53" spans="1:36">
      <c r="A53" t="s">
        <v>82</v>
      </c>
      <c r="B53" s="19" t="s">
        <v>302</v>
      </c>
      <c r="C53" t="s">
        <v>303</v>
      </c>
      <c r="D53" s="1">
        <v>2.7</v>
      </c>
      <c r="E53" s="20">
        <f t="shared" si="0"/>
        <v>3.846153846153845E-2</v>
      </c>
      <c r="AA53" s="247">
        <v>171</v>
      </c>
      <c r="AB53" s="247" t="s">
        <v>589</v>
      </c>
      <c r="AC53" s="247" t="s">
        <v>516</v>
      </c>
      <c r="AD53" s="247" t="s">
        <v>516</v>
      </c>
      <c r="AE53" s="247" t="s">
        <v>533</v>
      </c>
      <c r="AF53" s="247">
        <v>75</v>
      </c>
      <c r="AG53" s="247" t="s">
        <v>528</v>
      </c>
      <c r="AH53" s="247">
        <v>20</v>
      </c>
      <c r="AI53" s="247">
        <v>15</v>
      </c>
      <c r="AJ53" s="247" t="s">
        <v>590</v>
      </c>
    </row>
    <row r="54" spans="1:36">
      <c r="A54" t="s">
        <v>83</v>
      </c>
      <c r="B54" s="19" t="s">
        <v>302</v>
      </c>
      <c r="C54" t="s">
        <v>303</v>
      </c>
      <c r="D54" s="1">
        <v>2.7</v>
      </c>
      <c r="E54" s="20">
        <f t="shared" si="0"/>
        <v>3.846153846153845E-2</v>
      </c>
      <c r="AA54" s="247">
        <v>172</v>
      </c>
      <c r="AB54" s="247" t="s">
        <v>591</v>
      </c>
      <c r="AC54" s="247" t="s">
        <v>516</v>
      </c>
      <c r="AD54" s="247" t="s">
        <v>516</v>
      </c>
      <c r="AE54" s="247" t="s">
        <v>533</v>
      </c>
      <c r="AF54" s="247">
        <v>75</v>
      </c>
      <c r="AG54" s="247" t="s">
        <v>528</v>
      </c>
      <c r="AH54" s="247">
        <v>20</v>
      </c>
      <c r="AI54" s="247">
        <v>15</v>
      </c>
      <c r="AJ54" s="247" t="s">
        <v>581</v>
      </c>
    </row>
    <row r="55" spans="1:36">
      <c r="A55" t="s">
        <v>84</v>
      </c>
      <c r="B55" s="19" t="s">
        <v>302</v>
      </c>
      <c r="C55" t="s">
        <v>303</v>
      </c>
      <c r="D55" s="1">
        <v>2.7</v>
      </c>
      <c r="E55" s="20">
        <f t="shared" si="0"/>
        <v>3.846153846153845E-2</v>
      </c>
      <c r="AA55" s="247">
        <v>173</v>
      </c>
      <c r="AB55" s="247" t="s">
        <v>592</v>
      </c>
      <c r="AC55" s="247" t="s">
        <v>516</v>
      </c>
      <c r="AD55" s="247" t="s">
        <v>516</v>
      </c>
      <c r="AE55" s="247" t="s">
        <v>533</v>
      </c>
      <c r="AF55" s="247">
        <v>75</v>
      </c>
      <c r="AG55" s="247" t="s">
        <v>528</v>
      </c>
      <c r="AH55" s="247">
        <v>20</v>
      </c>
      <c r="AI55" s="247">
        <v>15</v>
      </c>
      <c r="AJ55" s="247" t="s">
        <v>581</v>
      </c>
    </row>
    <row r="56" spans="1:36">
      <c r="A56" t="s">
        <v>85</v>
      </c>
      <c r="B56" s="19" t="s">
        <v>302</v>
      </c>
      <c r="C56" t="s">
        <v>303</v>
      </c>
      <c r="D56" s="1">
        <v>2.7</v>
      </c>
      <c r="E56" s="20">
        <f t="shared" si="0"/>
        <v>3.846153846153845E-2</v>
      </c>
      <c r="AA56" s="247">
        <v>175</v>
      </c>
      <c r="AB56" s="247" t="s">
        <v>593</v>
      </c>
      <c r="AC56" s="247" t="s">
        <v>516</v>
      </c>
      <c r="AD56" s="247" t="s">
        <v>516</v>
      </c>
      <c r="AE56" s="247" t="s">
        <v>533</v>
      </c>
      <c r="AF56" s="247">
        <v>60</v>
      </c>
      <c r="AG56" s="247" t="s">
        <v>528</v>
      </c>
      <c r="AH56" s="247">
        <v>0</v>
      </c>
      <c r="AI56" s="247">
        <v>15</v>
      </c>
      <c r="AJ56" s="247" t="s">
        <v>581</v>
      </c>
    </row>
    <row r="57" spans="1:36">
      <c r="A57" t="s">
        <v>86</v>
      </c>
      <c r="B57" s="19" t="s">
        <v>302</v>
      </c>
      <c r="C57" t="s">
        <v>303</v>
      </c>
      <c r="D57" s="1">
        <v>2.7</v>
      </c>
      <c r="E57" s="20">
        <f t="shared" si="0"/>
        <v>3.846153846153845E-2</v>
      </c>
      <c r="AA57" s="247">
        <v>176</v>
      </c>
      <c r="AB57" s="247" t="s">
        <v>594</v>
      </c>
      <c r="AC57" s="247" t="s">
        <v>516</v>
      </c>
      <c r="AD57" s="247" t="s">
        <v>516</v>
      </c>
      <c r="AE57" s="247" t="s">
        <v>543</v>
      </c>
      <c r="AF57" s="247">
        <v>0</v>
      </c>
      <c r="AG57" s="247" t="s">
        <v>528</v>
      </c>
      <c r="AH57" s="247">
        <v>0</v>
      </c>
      <c r="AI57" s="247">
        <v>27</v>
      </c>
      <c r="AJ57" s="247"/>
    </row>
    <row r="58" spans="1:36">
      <c r="A58" t="s">
        <v>87</v>
      </c>
      <c r="B58" s="19" t="s">
        <v>302</v>
      </c>
      <c r="C58" t="s">
        <v>303</v>
      </c>
      <c r="D58" s="1">
        <v>2.7</v>
      </c>
      <c r="E58" s="20">
        <f t="shared" si="0"/>
        <v>3.846153846153845E-2</v>
      </c>
      <c r="AA58" s="247">
        <v>177</v>
      </c>
      <c r="AB58" s="247" t="s">
        <v>595</v>
      </c>
      <c r="AC58" s="247" t="s">
        <v>516</v>
      </c>
      <c r="AD58" s="247" t="s">
        <v>516</v>
      </c>
      <c r="AE58" s="247" t="s">
        <v>533</v>
      </c>
      <c r="AF58" s="247">
        <v>180</v>
      </c>
      <c r="AG58" s="247" t="s">
        <v>528</v>
      </c>
      <c r="AH58" s="247">
        <v>0</v>
      </c>
      <c r="AI58" s="247">
        <v>15</v>
      </c>
      <c r="AJ58" s="247" t="s">
        <v>581</v>
      </c>
    </row>
    <row r="59" spans="1:36">
      <c r="A59" t="s">
        <v>88</v>
      </c>
      <c r="B59" s="19" t="s">
        <v>302</v>
      </c>
      <c r="C59" t="s">
        <v>303</v>
      </c>
      <c r="D59" s="1">
        <v>2.7</v>
      </c>
      <c r="E59" s="20">
        <f t="shared" si="0"/>
        <v>3.846153846153845E-2</v>
      </c>
      <c r="AA59" s="247">
        <v>178</v>
      </c>
      <c r="AB59" s="247" t="s">
        <v>596</v>
      </c>
      <c r="AC59" s="247" t="s">
        <v>516</v>
      </c>
      <c r="AD59" s="247" t="s">
        <v>516</v>
      </c>
      <c r="AE59" s="247" t="s">
        <v>533</v>
      </c>
      <c r="AF59" s="247">
        <v>75</v>
      </c>
      <c r="AG59" s="247" t="s">
        <v>528</v>
      </c>
      <c r="AH59" s="247">
        <v>20</v>
      </c>
      <c r="AI59" s="247">
        <v>15</v>
      </c>
      <c r="AJ59" s="247" t="s">
        <v>581</v>
      </c>
    </row>
    <row r="60" spans="1:36">
      <c r="A60" t="s">
        <v>89</v>
      </c>
      <c r="B60" s="19" t="s">
        <v>302</v>
      </c>
      <c r="C60" t="s">
        <v>303</v>
      </c>
      <c r="D60" s="1">
        <v>2.7</v>
      </c>
      <c r="E60" s="20">
        <f t="shared" si="0"/>
        <v>3.846153846153845E-2</v>
      </c>
      <c r="AA60" s="247">
        <v>181</v>
      </c>
      <c r="AB60" s="247" t="s">
        <v>597</v>
      </c>
      <c r="AC60" s="247" t="s">
        <v>516</v>
      </c>
      <c r="AD60" s="247" t="s">
        <v>516</v>
      </c>
      <c r="AE60" s="247" t="s">
        <v>533</v>
      </c>
      <c r="AF60" s="247">
        <v>52</v>
      </c>
      <c r="AG60" s="247" t="s">
        <v>528</v>
      </c>
      <c r="AH60" s="247">
        <v>0</v>
      </c>
      <c r="AI60" s="247">
        <v>15</v>
      </c>
      <c r="AJ60" s="247" t="s">
        <v>581</v>
      </c>
    </row>
    <row r="61" spans="1:36">
      <c r="A61" t="s">
        <v>90</v>
      </c>
      <c r="B61" s="19" t="s">
        <v>302</v>
      </c>
      <c r="C61" t="s">
        <v>303</v>
      </c>
      <c r="D61" s="1">
        <v>2.7</v>
      </c>
      <c r="E61" s="20">
        <f t="shared" si="0"/>
        <v>3.846153846153845E-2</v>
      </c>
      <c r="AA61" s="247">
        <v>182</v>
      </c>
      <c r="AB61" s="247" t="s">
        <v>598</v>
      </c>
      <c r="AC61" s="247" t="s">
        <v>516</v>
      </c>
      <c r="AD61" s="247" t="s">
        <v>516</v>
      </c>
      <c r="AE61" s="247" t="s">
        <v>533</v>
      </c>
      <c r="AF61" s="247">
        <v>52</v>
      </c>
      <c r="AG61" s="247" t="s">
        <v>528</v>
      </c>
      <c r="AH61" s="247">
        <v>0</v>
      </c>
      <c r="AI61" s="247">
        <v>15</v>
      </c>
      <c r="AJ61" s="247" t="s">
        <v>581</v>
      </c>
    </row>
    <row r="62" spans="1:36">
      <c r="A62" t="s">
        <v>91</v>
      </c>
      <c r="B62" s="19" t="s">
        <v>302</v>
      </c>
      <c r="C62" t="s">
        <v>303</v>
      </c>
      <c r="D62" s="1">
        <v>2.7</v>
      </c>
      <c r="E62" s="20">
        <f t="shared" si="0"/>
        <v>3.846153846153845E-2</v>
      </c>
      <c r="AA62" s="247">
        <v>183</v>
      </c>
      <c r="AB62" s="247" t="s">
        <v>599</v>
      </c>
      <c r="AC62" s="247" t="s">
        <v>516</v>
      </c>
      <c r="AD62" s="247" t="s">
        <v>516</v>
      </c>
      <c r="AE62" s="247" t="s">
        <v>507</v>
      </c>
      <c r="AF62" s="247">
        <v>0</v>
      </c>
      <c r="AG62" s="247" t="s">
        <v>528</v>
      </c>
      <c r="AH62" s="247">
        <v>20</v>
      </c>
      <c r="AI62" s="247">
        <v>28</v>
      </c>
      <c r="AJ62" s="247"/>
    </row>
    <row r="63" spans="1:36">
      <c r="A63" t="s">
        <v>92</v>
      </c>
      <c r="B63" s="19" t="s">
        <v>302</v>
      </c>
      <c r="C63" t="s">
        <v>303</v>
      </c>
      <c r="D63" s="1">
        <v>2.7</v>
      </c>
      <c r="E63" s="20">
        <f t="shared" si="0"/>
        <v>3.846153846153845E-2</v>
      </c>
      <c r="AA63" s="247">
        <v>200</v>
      </c>
      <c r="AB63" s="247" t="s">
        <v>600</v>
      </c>
      <c r="AC63" s="247">
        <v>7</v>
      </c>
      <c r="AD63" s="247" t="s">
        <v>601</v>
      </c>
      <c r="AE63" s="247" t="s">
        <v>507</v>
      </c>
      <c r="AF63" s="247">
        <v>60</v>
      </c>
      <c r="AG63" s="247"/>
      <c r="AH63" s="247">
        <v>20</v>
      </c>
      <c r="AI63" s="247">
        <v>9</v>
      </c>
      <c r="AJ63" s="247"/>
    </row>
    <row r="64" spans="1:36">
      <c r="A64" t="s">
        <v>93</v>
      </c>
      <c r="B64" s="19" t="s">
        <v>302</v>
      </c>
      <c r="C64" t="s">
        <v>303</v>
      </c>
      <c r="D64" s="1">
        <v>2.7</v>
      </c>
      <c r="E64" s="20">
        <f t="shared" si="0"/>
        <v>3.846153846153845E-2</v>
      </c>
      <c r="AA64" s="247">
        <v>201</v>
      </c>
      <c r="AB64" s="247" t="s">
        <v>602</v>
      </c>
      <c r="AC64" s="247" t="s">
        <v>516</v>
      </c>
      <c r="AD64" s="247" t="s">
        <v>516</v>
      </c>
      <c r="AE64" s="247" t="s">
        <v>507</v>
      </c>
      <c r="AF64" s="247">
        <v>180</v>
      </c>
      <c r="AG64" s="247"/>
      <c r="AH64" s="247">
        <v>20</v>
      </c>
      <c r="AI64" s="247">
        <v>9</v>
      </c>
      <c r="AJ64" s="247"/>
    </row>
    <row r="65" spans="1:36">
      <c r="A65" t="s">
        <v>94</v>
      </c>
      <c r="B65" s="19" t="s">
        <v>302</v>
      </c>
      <c r="C65" t="s">
        <v>303</v>
      </c>
      <c r="D65" s="1">
        <v>2.7</v>
      </c>
      <c r="E65" s="20">
        <f t="shared" si="0"/>
        <v>3.846153846153845E-2</v>
      </c>
      <c r="AA65" s="247">
        <v>205</v>
      </c>
      <c r="AB65" s="247" t="s">
        <v>603</v>
      </c>
      <c r="AC65" s="247" t="s">
        <v>516</v>
      </c>
      <c r="AD65" s="247" t="s">
        <v>516</v>
      </c>
      <c r="AE65" s="247" t="s">
        <v>507</v>
      </c>
      <c r="AF65" s="247">
        <v>60</v>
      </c>
      <c r="AG65" s="247"/>
      <c r="AH65" s="247">
        <v>20</v>
      </c>
      <c r="AI65" s="247">
        <v>9</v>
      </c>
      <c r="AJ65" s="247"/>
    </row>
    <row r="66" spans="1:36">
      <c r="A66" t="s">
        <v>95</v>
      </c>
      <c r="B66" s="19" t="s">
        <v>302</v>
      </c>
      <c r="C66" t="s">
        <v>303</v>
      </c>
      <c r="D66" s="1">
        <v>2.7</v>
      </c>
      <c r="E66" s="20">
        <f t="shared" si="0"/>
        <v>3.846153846153845E-2</v>
      </c>
      <c r="AA66" s="247">
        <v>210</v>
      </c>
      <c r="AB66" s="247" t="s">
        <v>604</v>
      </c>
      <c r="AC66" s="247">
        <v>451</v>
      </c>
      <c r="AD66" s="247" t="s">
        <v>604</v>
      </c>
      <c r="AE66" s="247" t="s">
        <v>507</v>
      </c>
      <c r="AF66" s="247">
        <v>60</v>
      </c>
      <c r="AG66" s="247"/>
      <c r="AH66" s="247">
        <v>20</v>
      </c>
      <c r="AI66" s="247">
        <v>9</v>
      </c>
      <c r="AJ66" s="247"/>
    </row>
    <row r="67" spans="1:36">
      <c r="A67" t="s">
        <v>96</v>
      </c>
      <c r="B67" s="19" t="s">
        <v>302</v>
      </c>
      <c r="C67" t="s">
        <v>303</v>
      </c>
      <c r="D67" s="1">
        <v>2.7</v>
      </c>
      <c r="E67" s="20">
        <f t="shared" si="0"/>
        <v>3.846153846153845E-2</v>
      </c>
      <c r="AA67" s="247">
        <v>220</v>
      </c>
      <c r="AB67" s="247" t="s">
        <v>605</v>
      </c>
      <c r="AC67" s="247">
        <v>2174</v>
      </c>
      <c r="AD67" s="247" t="s">
        <v>606</v>
      </c>
      <c r="AE67" s="247" t="s">
        <v>507</v>
      </c>
      <c r="AF67" s="247">
        <v>0</v>
      </c>
      <c r="AG67" s="247"/>
      <c r="AH67" s="247">
        <v>20</v>
      </c>
      <c r="AI67" s="247">
        <v>28</v>
      </c>
      <c r="AJ67" s="247"/>
    </row>
    <row r="68" spans="1:36">
      <c r="A68" t="s">
        <v>97</v>
      </c>
      <c r="B68" s="19" t="s">
        <v>302</v>
      </c>
      <c r="C68" t="s">
        <v>303</v>
      </c>
      <c r="D68" s="1">
        <v>2.7</v>
      </c>
      <c r="E68" s="20">
        <f t="shared" ref="E68:E70" si="1">D68/$K$3</f>
        <v>3.846153846153845E-2</v>
      </c>
      <c r="AA68" s="247">
        <v>221</v>
      </c>
      <c r="AB68" s="247" t="s">
        <v>607</v>
      </c>
      <c r="AC68" s="247" t="s">
        <v>516</v>
      </c>
      <c r="AD68" s="247" t="s">
        <v>516</v>
      </c>
      <c r="AE68" s="247" t="s">
        <v>507</v>
      </c>
      <c r="AF68" s="247">
        <v>0</v>
      </c>
      <c r="AG68" s="247"/>
      <c r="AH68" s="247">
        <v>20</v>
      </c>
      <c r="AI68" s="247">
        <v>28</v>
      </c>
      <c r="AJ68" s="247"/>
    </row>
    <row r="69" spans="1:36">
      <c r="A69" t="s">
        <v>98</v>
      </c>
      <c r="B69" s="19" t="s">
        <v>302</v>
      </c>
      <c r="C69" t="s">
        <v>303</v>
      </c>
      <c r="D69" s="1">
        <v>2.7</v>
      </c>
      <c r="E69" s="20">
        <f t="shared" si="1"/>
        <v>3.846153846153845E-2</v>
      </c>
      <c r="AA69" s="247">
        <v>225</v>
      </c>
      <c r="AB69" s="247" t="s">
        <v>608</v>
      </c>
      <c r="AC69" s="247">
        <v>2176</v>
      </c>
      <c r="AD69" s="247" t="s">
        <v>609</v>
      </c>
      <c r="AE69" s="247" t="s">
        <v>507</v>
      </c>
      <c r="AF69" s="247">
        <v>0</v>
      </c>
      <c r="AG69" s="247"/>
      <c r="AH69" s="247">
        <v>20</v>
      </c>
      <c r="AI69" s="247">
        <v>28</v>
      </c>
      <c r="AJ69" s="247"/>
    </row>
    <row r="70" spans="1:36">
      <c r="A70" t="s">
        <v>99</v>
      </c>
      <c r="B70" s="19" t="s">
        <v>302</v>
      </c>
      <c r="C70" t="s">
        <v>303</v>
      </c>
      <c r="D70" s="1">
        <v>2.7</v>
      </c>
      <c r="E70" s="20">
        <f t="shared" si="1"/>
        <v>3.846153846153845E-2</v>
      </c>
      <c r="AA70" s="247">
        <v>226</v>
      </c>
      <c r="AB70" s="247" t="s">
        <v>610</v>
      </c>
      <c r="AC70" s="247" t="s">
        <v>516</v>
      </c>
      <c r="AD70" s="247" t="s">
        <v>516</v>
      </c>
      <c r="AE70" s="247" t="s">
        <v>507</v>
      </c>
      <c r="AF70" s="247">
        <v>0</v>
      </c>
      <c r="AG70" s="247"/>
      <c r="AH70" s="247">
        <v>20</v>
      </c>
      <c r="AI70" s="247">
        <v>28</v>
      </c>
      <c r="AJ70" s="247"/>
    </row>
    <row r="71" spans="1:36">
      <c r="B71" s="19"/>
      <c r="D71" s="1"/>
      <c r="E71" s="20"/>
      <c r="AA71" s="247">
        <v>228</v>
      </c>
      <c r="AB71" s="247" t="s">
        <v>611</v>
      </c>
      <c r="AC71" s="247" t="s">
        <v>516</v>
      </c>
      <c r="AD71" s="247" t="s">
        <v>516</v>
      </c>
      <c r="AE71" s="247" t="s">
        <v>507</v>
      </c>
      <c r="AF71" s="247">
        <v>52</v>
      </c>
      <c r="AG71" s="247"/>
      <c r="AH71" s="247">
        <v>20</v>
      </c>
      <c r="AI71" s="247">
        <v>2</v>
      </c>
      <c r="AJ71" s="247"/>
    </row>
    <row r="72" spans="1:36">
      <c r="B72" s="19"/>
      <c r="D72" s="1"/>
      <c r="E72" s="20"/>
      <c r="AA72" s="247">
        <v>229</v>
      </c>
      <c r="AB72" s="247" t="s">
        <v>612</v>
      </c>
      <c r="AC72" s="247" t="s">
        <v>516</v>
      </c>
      <c r="AD72" s="247" t="s">
        <v>516</v>
      </c>
      <c r="AE72" s="247" t="s">
        <v>507</v>
      </c>
      <c r="AF72" s="247">
        <v>52</v>
      </c>
      <c r="AG72" s="247"/>
      <c r="AH72" s="247">
        <v>20</v>
      </c>
      <c r="AI72" s="247">
        <v>28</v>
      </c>
      <c r="AJ72" s="247"/>
    </row>
    <row r="73" spans="1:36">
      <c r="B73" s="19"/>
      <c r="D73" s="1"/>
      <c r="E73" s="20"/>
      <c r="AA73" s="247">
        <v>245</v>
      </c>
      <c r="AB73" s="247" t="s">
        <v>613</v>
      </c>
      <c r="AC73" s="247" t="s">
        <v>516</v>
      </c>
      <c r="AD73" s="247" t="s">
        <v>516</v>
      </c>
      <c r="AE73" s="247" t="s">
        <v>507</v>
      </c>
      <c r="AF73" s="247">
        <v>0</v>
      </c>
      <c r="AG73" s="247"/>
      <c r="AH73" s="247">
        <v>20</v>
      </c>
      <c r="AI73" s="247">
        <v>28</v>
      </c>
      <c r="AJ73" s="247"/>
    </row>
    <row r="74" spans="1:36">
      <c r="B74" s="19"/>
      <c r="D74" s="1"/>
      <c r="E74" s="20"/>
      <c r="AA74" s="247">
        <v>246</v>
      </c>
      <c r="AB74" s="247" t="s">
        <v>614</v>
      </c>
      <c r="AC74" s="247" t="s">
        <v>516</v>
      </c>
      <c r="AD74" s="247" t="s">
        <v>516</v>
      </c>
      <c r="AE74" s="247" t="s">
        <v>507</v>
      </c>
      <c r="AF74" s="247">
        <v>0</v>
      </c>
      <c r="AG74" s="247"/>
      <c r="AH74" s="247">
        <v>20</v>
      </c>
      <c r="AI74" s="247">
        <v>28</v>
      </c>
      <c r="AJ74" s="247"/>
    </row>
    <row r="75" spans="1:36">
      <c r="B75" s="19"/>
      <c r="D75" s="1"/>
      <c r="E75" s="20"/>
      <c r="AA75" s="247">
        <v>248</v>
      </c>
      <c r="AB75" s="247" t="s">
        <v>615</v>
      </c>
      <c r="AC75" s="247" t="s">
        <v>516</v>
      </c>
      <c r="AD75" s="247" t="s">
        <v>516</v>
      </c>
      <c r="AE75" s="247" t="s">
        <v>507</v>
      </c>
      <c r="AF75" s="247">
        <v>0</v>
      </c>
      <c r="AG75" s="247"/>
      <c r="AH75" s="247">
        <v>20</v>
      </c>
      <c r="AI75" s="247">
        <v>28</v>
      </c>
      <c r="AJ75" s="247"/>
    </row>
    <row r="76" spans="1:36">
      <c r="B76" s="19"/>
      <c r="D76" s="1"/>
      <c r="E76" s="20"/>
      <c r="AA76" s="247">
        <v>249</v>
      </c>
      <c r="AB76" s="247" t="s">
        <v>616</v>
      </c>
      <c r="AC76" s="247" t="s">
        <v>516</v>
      </c>
      <c r="AD76" s="247" t="s">
        <v>516</v>
      </c>
      <c r="AE76" s="247" t="s">
        <v>543</v>
      </c>
      <c r="AF76" s="247">
        <v>0</v>
      </c>
      <c r="AG76" s="247" t="s">
        <v>528</v>
      </c>
      <c r="AH76" s="247">
        <v>20</v>
      </c>
      <c r="AI76" s="247">
        <v>27</v>
      </c>
      <c r="AJ76" s="247"/>
    </row>
    <row r="77" spans="1:36">
      <c r="B77" s="19"/>
      <c r="D77" s="1"/>
      <c r="E77" s="20"/>
      <c r="AA77" s="247">
        <v>250</v>
      </c>
      <c r="AB77" s="247" t="s">
        <v>617</v>
      </c>
      <c r="AC77" s="247" t="s">
        <v>516</v>
      </c>
      <c r="AD77" s="247" t="s">
        <v>516</v>
      </c>
      <c r="AE77" s="247" t="s">
        <v>507</v>
      </c>
      <c r="AF77" s="247">
        <v>0</v>
      </c>
      <c r="AG77" s="247"/>
      <c r="AH77" s="247">
        <v>20</v>
      </c>
      <c r="AI77" s="247">
        <v>28</v>
      </c>
      <c r="AJ77" s="247"/>
    </row>
    <row r="78" spans="1:36">
      <c r="B78" s="19"/>
      <c r="D78" s="1"/>
      <c r="E78" s="20"/>
      <c r="AA78" s="247">
        <v>251</v>
      </c>
      <c r="AB78" s="247" t="s">
        <v>618</v>
      </c>
      <c r="AC78" s="247" t="s">
        <v>516</v>
      </c>
      <c r="AD78" s="247" t="s">
        <v>516</v>
      </c>
      <c r="AE78" s="247" t="s">
        <v>507</v>
      </c>
      <c r="AF78" s="247">
        <v>60</v>
      </c>
      <c r="AG78" s="247"/>
      <c r="AH78" s="247">
        <v>20</v>
      </c>
      <c r="AI78" s="247">
        <v>28</v>
      </c>
      <c r="AJ78" s="247"/>
    </row>
    <row r="79" spans="1:36">
      <c r="B79" s="19"/>
      <c r="D79" s="1"/>
      <c r="E79" s="20"/>
      <c r="AA79" s="247">
        <v>252</v>
      </c>
      <c r="AB79" s="247" t="s">
        <v>619</v>
      </c>
      <c r="AC79" s="247" t="s">
        <v>516</v>
      </c>
      <c r="AD79" s="247" t="s">
        <v>516</v>
      </c>
      <c r="AE79" s="247" t="s">
        <v>543</v>
      </c>
      <c r="AF79" s="247">
        <v>0</v>
      </c>
      <c r="AG79" s="247"/>
      <c r="AH79" s="247">
        <v>20</v>
      </c>
      <c r="AI79" s="247">
        <v>28</v>
      </c>
      <c r="AJ79" s="247"/>
    </row>
    <row r="80" spans="1:36">
      <c r="B80" s="19"/>
      <c r="D80" s="1"/>
      <c r="E80" s="20"/>
      <c r="AA80" s="247">
        <v>253</v>
      </c>
      <c r="AB80" s="247" t="s">
        <v>620</v>
      </c>
      <c r="AC80" s="247" t="s">
        <v>516</v>
      </c>
      <c r="AD80" s="247" t="s">
        <v>516</v>
      </c>
      <c r="AE80" s="247" t="s">
        <v>507</v>
      </c>
      <c r="AF80" s="247">
        <v>60</v>
      </c>
      <c r="AG80" s="247"/>
      <c r="AH80" s="247">
        <v>20</v>
      </c>
      <c r="AI80" s="247">
        <v>28</v>
      </c>
      <c r="AJ80" s="247"/>
    </row>
    <row r="81" spans="1:36">
      <c r="B81" s="19"/>
      <c r="D81" s="1"/>
      <c r="E81" s="20"/>
      <c r="AA81" s="247">
        <v>254</v>
      </c>
      <c r="AB81" s="247" t="s">
        <v>621</v>
      </c>
      <c r="AC81" s="247" t="s">
        <v>516</v>
      </c>
      <c r="AD81" s="247" t="s">
        <v>516</v>
      </c>
      <c r="AE81" s="247" t="s">
        <v>533</v>
      </c>
      <c r="AF81" s="247">
        <v>60</v>
      </c>
      <c r="AG81" s="247"/>
      <c r="AH81" s="247">
        <v>0</v>
      </c>
      <c r="AI81" s="247">
        <v>28</v>
      </c>
      <c r="AJ81" s="247"/>
    </row>
    <row r="82" spans="1:36">
      <c r="A82" t="s">
        <v>508</v>
      </c>
      <c r="B82" s="19" t="s">
        <v>302</v>
      </c>
      <c r="C82" t="s">
        <v>303</v>
      </c>
      <c r="D82" s="1">
        <v>70</v>
      </c>
      <c r="E82" s="20">
        <v>1</v>
      </c>
      <c r="AA82" s="247">
        <v>305</v>
      </c>
      <c r="AB82" s="247" t="s">
        <v>622</v>
      </c>
      <c r="AC82" s="247">
        <v>424</v>
      </c>
      <c r="AD82" s="247" t="s">
        <v>622</v>
      </c>
      <c r="AE82" s="247" t="s">
        <v>533</v>
      </c>
      <c r="AF82" s="247">
        <v>52</v>
      </c>
      <c r="AG82" s="247" t="s">
        <v>528</v>
      </c>
      <c r="AH82" s="247">
        <v>0</v>
      </c>
      <c r="AI82" s="247">
        <v>23</v>
      </c>
      <c r="AJ82" s="247"/>
    </row>
    <row r="83" spans="1:36">
      <c r="A83" t="s">
        <v>477</v>
      </c>
      <c r="B83" s="19" t="s">
        <v>302</v>
      </c>
      <c r="C83" t="s">
        <v>303</v>
      </c>
      <c r="D83" s="1">
        <v>70</v>
      </c>
      <c r="E83" s="20">
        <v>1</v>
      </c>
      <c r="AA83" s="247">
        <v>308</v>
      </c>
      <c r="AB83" s="247" t="s">
        <v>623</v>
      </c>
      <c r="AC83" s="247" t="s">
        <v>516</v>
      </c>
      <c r="AD83" s="247" t="s">
        <v>516</v>
      </c>
      <c r="AE83" s="247" t="s">
        <v>533</v>
      </c>
      <c r="AF83" s="247">
        <v>75</v>
      </c>
      <c r="AG83" s="247" t="s">
        <v>528</v>
      </c>
      <c r="AH83" s="247">
        <v>0</v>
      </c>
      <c r="AI83" s="247">
        <v>18</v>
      </c>
      <c r="AJ83" s="247"/>
    </row>
    <row r="84" spans="1:36">
      <c r="AA84" s="247">
        <v>310</v>
      </c>
      <c r="AB84" s="247" t="s">
        <v>624</v>
      </c>
      <c r="AC84" s="247">
        <v>431</v>
      </c>
      <c r="AD84" s="247" t="s">
        <v>625</v>
      </c>
      <c r="AE84" s="247" t="s">
        <v>533</v>
      </c>
      <c r="AF84" s="247">
        <v>180</v>
      </c>
      <c r="AG84" s="247" t="s">
        <v>528</v>
      </c>
      <c r="AH84" s="247">
        <v>0</v>
      </c>
      <c r="AI84" s="247">
        <v>18</v>
      </c>
      <c r="AJ84" s="247"/>
    </row>
    <row r="85" spans="1:36">
      <c r="AA85" s="247">
        <v>320</v>
      </c>
      <c r="AB85" s="247" t="s">
        <v>626</v>
      </c>
      <c r="AC85" s="247">
        <v>495</v>
      </c>
      <c r="AD85" s="247" t="s">
        <v>627</v>
      </c>
      <c r="AE85" s="247" t="s">
        <v>533</v>
      </c>
      <c r="AF85" s="247">
        <v>180</v>
      </c>
      <c r="AG85" s="247" t="s">
        <v>528</v>
      </c>
      <c r="AH85" s="247">
        <v>0</v>
      </c>
      <c r="AI85" s="247">
        <v>18</v>
      </c>
      <c r="AJ85" s="247"/>
    </row>
    <row r="86" spans="1:36">
      <c r="AA86" s="247">
        <v>325</v>
      </c>
      <c r="AB86" s="247" t="s">
        <v>628</v>
      </c>
      <c r="AC86" s="247">
        <v>494</v>
      </c>
      <c r="AD86" s="247" t="s">
        <v>629</v>
      </c>
      <c r="AE86" s="247" t="s">
        <v>533</v>
      </c>
      <c r="AF86" s="247">
        <v>180</v>
      </c>
      <c r="AG86" s="247" t="s">
        <v>528</v>
      </c>
      <c r="AH86" s="247">
        <v>0</v>
      </c>
      <c r="AI86" s="247">
        <v>18</v>
      </c>
      <c r="AJ86" s="247"/>
    </row>
    <row r="87" spans="1:36">
      <c r="AA87" s="247">
        <v>330</v>
      </c>
      <c r="AB87" s="247" t="s">
        <v>630</v>
      </c>
      <c r="AC87" s="247">
        <v>448</v>
      </c>
      <c r="AD87" s="247" t="s">
        <v>631</v>
      </c>
      <c r="AE87" s="247" t="s">
        <v>533</v>
      </c>
      <c r="AF87" s="247">
        <v>180</v>
      </c>
      <c r="AG87" s="247" t="s">
        <v>528</v>
      </c>
      <c r="AH87" s="247">
        <v>0</v>
      </c>
      <c r="AI87" s="247">
        <v>18</v>
      </c>
      <c r="AJ87" s="247"/>
    </row>
    <row r="88" spans="1:36">
      <c r="AA88" s="247">
        <v>331</v>
      </c>
      <c r="AB88" s="247" t="s">
        <v>632</v>
      </c>
      <c r="AC88" s="247" t="s">
        <v>516</v>
      </c>
      <c r="AD88" s="247" t="s">
        <v>516</v>
      </c>
      <c r="AE88" s="247" t="s">
        <v>533</v>
      </c>
      <c r="AF88" s="247">
        <v>52</v>
      </c>
      <c r="AG88" s="247" t="s">
        <v>528</v>
      </c>
      <c r="AH88" s="247">
        <v>20</v>
      </c>
      <c r="AI88" s="247">
        <v>15</v>
      </c>
      <c r="AJ88" s="247"/>
    </row>
    <row r="89" spans="1:36">
      <c r="AA89" s="247">
        <v>332</v>
      </c>
      <c r="AB89" s="247" t="s">
        <v>633</v>
      </c>
      <c r="AC89" s="247">
        <v>1824</v>
      </c>
      <c r="AD89" s="247" t="s">
        <v>634</v>
      </c>
      <c r="AE89" s="247" t="s">
        <v>533</v>
      </c>
      <c r="AF89" s="247">
        <v>190</v>
      </c>
      <c r="AG89" s="247" t="s">
        <v>528</v>
      </c>
      <c r="AH89" s="247">
        <v>0</v>
      </c>
      <c r="AI89" s="247">
        <v>18</v>
      </c>
      <c r="AJ89" s="247"/>
    </row>
    <row r="90" spans="1:36">
      <c r="AA90" s="247">
        <v>335</v>
      </c>
      <c r="AB90" s="247" t="s">
        <v>635</v>
      </c>
      <c r="AC90" s="247">
        <v>490</v>
      </c>
      <c r="AD90" s="247" t="s">
        <v>636</v>
      </c>
      <c r="AE90" s="247" t="s">
        <v>533</v>
      </c>
      <c r="AF90" s="247">
        <v>190</v>
      </c>
      <c r="AG90" s="247" t="s">
        <v>528</v>
      </c>
      <c r="AH90" s="247">
        <v>0</v>
      </c>
      <c r="AI90" s="247">
        <v>18</v>
      </c>
      <c r="AJ90" s="247"/>
    </row>
    <row r="91" spans="1:36">
      <c r="AA91" s="247">
        <v>340</v>
      </c>
      <c r="AB91" s="247" t="s">
        <v>637</v>
      </c>
      <c r="AC91" s="247">
        <v>491</v>
      </c>
      <c r="AD91" s="247" t="s">
        <v>638</v>
      </c>
      <c r="AE91" s="247" t="s">
        <v>533</v>
      </c>
      <c r="AF91" s="247">
        <v>190</v>
      </c>
      <c r="AG91" s="247" t="s">
        <v>528</v>
      </c>
      <c r="AH91" s="247">
        <v>0</v>
      </c>
      <c r="AI91" s="247">
        <v>18</v>
      </c>
      <c r="AJ91" s="247"/>
    </row>
    <row r="92" spans="1:36">
      <c r="AA92" s="247">
        <v>360</v>
      </c>
      <c r="AB92" s="247" t="s">
        <v>639</v>
      </c>
      <c r="AC92" s="247">
        <v>1540</v>
      </c>
      <c r="AD92" s="247" t="s">
        <v>640</v>
      </c>
      <c r="AE92" s="247" t="s">
        <v>533</v>
      </c>
      <c r="AF92" s="247">
        <v>52</v>
      </c>
      <c r="AG92" s="247" t="s">
        <v>528</v>
      </c>
      <c r="AH92" s="247">
        <v>0</v>
      </c>
      <c r="AI92" s="247">
        <v>21</v>
      </c>
      <c r="AJ92" s="247"/>
    </row>
    <row r="93" spans="1:36">
      <c r="AA93" s="247">
        <v>365</v>
      </c>
      <c r="AB93" s="247" t="s">
        <v>641</v>
      </c>
      <c r="AC93" s="247" t="s">
        <v>516</v>
      </c>
      <c r="AD93" s="247" t="s">
        <v>516</v>
      </c>
      <c r="AE93" s="247" t="s">
        <v>533</v>
      </c>
      <c r="AF93" s="247">
        <v>52</v>
      </c>
      <c r="AG93" s="247" t="s">
        <v>528</v>
      </c>
      <c r="AH93" s="247">
        <v>0</v>
      </c>
      <c r="AI93" s="247">
        <v>21</v>
      </c>
      <c r="AJ93" s="247"/>
    </row>
    <row r="94" spans="1:36">
      <c r="AA94" s="247">
        <v>370</v>
      </c>
      <c r="AB94" s="247" t="s">
        <v>642</v>
      </c>
      <c r="AC94" s="247" t="s">
        <v>516</v>
      </c>
      <c r="AD94" s="247" t="s">
        <v>516</v>
      </c>
      <c r="AE94" s="247" t="s">
        <v>533</v>
      </c>
      <c r="AF94" s="247">
        <v>52</v>
      </c>
      <c r="AG94" s="247" t="s">
        <v>528</v>
      </c>
      <c r="AH94" s="247">
        <v>0</v>
      </c>
      <c r="AI94" s="247">
        <v>21</v>
      </c>
      <c r="AJ94" s="247"/>
    </row>
    <row r="95" spans="1:36">
      <c r="AA95" s="247">
        <v>400</v>
      </c>
      <c r="AB95" s="247" t="s">
        <v>643</v>
      </c>
      <c r="AC95" s="247">
        <v>26</v>
      </c>
      <c r="AD95" s="247" t="s">
        <v>643</v>
      </c>
      <c r="AE95" s="247" t="s">
        <v>507</v>
      </c>
      <c r="AF95" s="247">
        <v>0</v>
      </c>
      <c r="AG95" s="247"/>
      <c r="AH95" s="247">
        <v>0</v>
      </c>
      <c r="AI95" s="247">
        <v>27</v>
      </c>
      <c r="AJ95" s="247"/>
    </row>
    <row r="96" spans="1:36">
      <c r="AA96" s="247">
        <v>402</v>
      </c>
      <c r="AB96" s="247" t="s">
        <v>644</v>
      </c>
      <c r="AC96" s="247" t="s">
        <v>516</v>
      </c>
      <c r="AD96" s="247" t="s">
        <v>516</v>
      </c>
      <c r="AE96" s="247" t="s">
        <v>507</v>
      </c>
      <c r="AF96" s="247">
        <v>0</v>
      </c>
      <c r="AG96" s="247"/>
      <c r="AH96" s="247">
        <v>20</v>
      </c>
      <c r="AI96" s="247">
        <v>27</v>
      </c>
      <c r="AJ96" s="247"/>
    </row>
    <row r="97" spans="27:36">
      <c r="AA97" s="247">
        <v>403</v>
      </c>
      <c r="AB97" s="247" t="s">
        <v>645</v>
      </c>
      <c r="AC97" s="247" t="s">
        <v>516</v>
      </c>
      <c r="AD97" s="247" t="s">
        <v>516</v>
      </c>
      <c r="AE97" s="247" t="s">
        <v>507</v>
      </c>
      <c r="AF97" s="247">
        <v>0</v>
      </c>
      <c r="AG97" s="247"/>
      <c r="AH97" s="247">
        <v>20</v>
      </c>
      <c r="AI97" s="247">
        <v>32</v>
      </c>
      <c r="AJ97" s="247"/>
    </row>
    <row r="98" spans="27:36">
      <c r="AA98" s="247">
        <v>404</v>
      </c>
      <c r="AB98" s="247" t="s">
        <v>646</v>
      </c>
      <c r="AC98" s="247" t="s">
        <v>516</v>
      </c>
      <c r="AD98" s="247" t="s">
        <v>516</v>
      </c>
      <c r="AE98" s="247" t="s">
        <v>507</v>
      </c>
      <c r="AF98" s="247">
        <v>0</v>
      </c>
      <c r="AG98" s="247"/>
      <c r="AH98" s="247">
        <v>20</v>
      </c>
      <c r="AI98" s="247">
        <v>32</v>
      </c>
      <c r="AJ98" s="247"/>
    </row>
    <row r="99" spans="27:36">
      <c r="AA99" s="247">
        <v>405</v>
      </c>
      <c r="AB99" s="247" t="s">
        <v>647</v>
      </c>
      <c r="AC99" s="247" t="s">
        <v>516</v>
      </c>
      <c r="AD99" s="247" t="s">
        <v>516</v>
      </c>
      <c r="AE99" s="247" t="s">
        <v>507</v>
      </c>
      <c r="AF99" s="247">
        <v>52</v>
      </c>
      <c r="AG99" s="247"/>
      <c r="AH99" s="247">
        <v>20</v>
      </c>
      <c r="AI99" s="247">
        <v>9</v>
      </c>
      <c r="AJ99" s="247"/>
    </row>
    <row r="100" spans="27:36">
      <c r="AA100" s="247">
        <v>412</v>
      </c>
      <c r="AB100" s="247" t="s">
        <v>648</v>
      </c>
      <c r="AC100" s="247" t="s">
        <v>516</v>
      </c>
      <c r="AD100" s="247" t="s">
        <v>516</v>
      </c>
      <c r="AE100" s="247" t="s">
        <v>507</v>
      </c>
      <c r="AF100" s="247">
        <v>190</v>
      </c>
      <c r="AG100" s="247"/>
      <c r="AH100" s="247">
        <v>0</v>
      </c>
      <c r="AI100" s="247">
        <v>9</v>
      </c>
      <c r="AJ100" s="247"/>
    </row>
    <row r="101" spans="27:36">
      <c r="AA101" s="247">
        <v>414</v>
      </c>
      <c r="AB101" s="247" t="s">
        <v>649</v>
      </c>
      <c r="AC101" s="247" t="s">
        <v>516</v>
      </c>
      <c r="AD101" s="247" t="s">
        <v>516</v>
      </c>
      <c r="AE101" s="247" t="s">
        <v>507</v>
      </c>
      <c r="AF101" s="247">
        <v>180</v>
      </c>
      <c r="AG101" s="247"/>
      <c r="AH101" s="247">
        <v>0</v>
      </c>
      <c r="AI101" s="247">
        <v>9</v>
      </c>
      <c r="AJ101" s="247"/>
    </row>
    <row r="102" spans="27:36">
      <c r="AA102" s="247">
        <v>415</v>
      </c>
      <c r="AB102" s="247" t="s">
        <v>650</v>
      </c>
      <c r="AC102" s="247" t="s">
        <v>516</v>
      </c>
      <c r="AD102" s="247" t="s">
        <v>516</v>
      </c>
      <c r="AE102" s="247" t="s">
        <v>507</v>
      </c>
      <c r="AF102" s="247">
        <v>170</v>
      </c>
      <c r="AG102" s="247"/>
      <c r="AH102" s="247">
        <v>0</v>
      </c>
      <c r="AI102" s="247">
        <v>9</v>
      </c>
      <c r="AJ102" s="247"/>
    </row>
    <row r="103" spans="27:36">
      <c r="AA103" s="247">
        <v>416</v>
      </c>
      <c r="AB103" s="247" t="s">
        <v>651</v>
      </c>
      <c r="AC103" s="247" t="s">
        <v>516</v>
      </c>
      <c r="AD103" s="247" t="s">
        <v>516</v>
      </c>
      <c r="AE103" s="247" t="s">
        <v>507</v>
      </c>
      <c r="AF103" s="247">
        <v>75</v>
      </c>
      <c r="AG103" s="247"/>
      <c r="AH103" s="247">
        <v>0</v>
      </c>
      <c r="AI103" s="247">
        <v>9</v>
      </c>
      <c r="AJ103" s="247"/>
    </row>
    <row r="104" spans="27:36">
      <c r="AA104" s="247">
        <v>418</v>
      </c>
      <c r="AB104" s="247" t="s">
        <v>652</v>
      </c>
      <c r="AC104" s="247" t="s">
        <v>516</v>
      </c>
      <c r="AD104" s="247" t="s">
        <v>516</v>
      </c>
      <c r="AE104" s="247" t="s">
        <v>507</v>
      </c>
      <c r="AF104" s="247">
        <v>60</v>
      </c>
      <c r="AG104" s="247"/>
      <c r="AH104" s="247">
        <v>0</v>
      </c>
      <c r="AI104" s="247">
        <v>9</v>
      </c>
      <c r="AJ104" s="247"/>
    </row>
    <row r="105" spans="27:36">
      <c r="AA105" s="247">
        <v>420</v>
      </c>
      <c r="AB105" s="247" t="s">
        <v>653</v>
      </c>
      <c r="AC105" s="247" t="s">
        <v>516</v>
      </c>
      <c r="AD105" s="247" t="s">
        <v>516</v>
      </c>
      <c r="AE105" s="247" t="s">
        <v>507</v>
      </c>
      <c r="AF105" s="247">
        <v>52</v>
      </c>
      <c r="AG105" s="247"/>
      <c r="AH105" s="247">
        <v>0</v>
      </c>
      <c r="AI105" s="247">
        <v>9</v>
      </c>
      <c r="AJ105" s="247"/>
    </row>
    <row r="106" spans="27:36">
      <c r="AA106" s="247">
        <v>422</v>
      </c>
      <c r="AB106" s="247" t="s">
        <v>654</v>
      </c>
      <c r="AC106" s="247" t="s">
        <v>516</v>
      </c>
      <c r="AD106" s="247" t="s">
        <v>516</v>
      </c>
      <c r="AE106" s="247" t="s">
        <v>507</v>
      </c>
      <c r="AF106" s="247">
        <v>50</v>
      </c>
      <c r="AG106" s="247"/>
      <c r="AH106" s="247">
        <v>0</v>
      </c>
      <c r="AI106" s="247">
        <v>9</v>
      </c>
      <c r="AJ106" s="247"/>
    </row>
    <row r="107" spans="27:36">
      <c r="AA107" s="247">
        <v>424</v>
      </c>
      <c r="AB107" s="247" t="s">
        <v>655</v>
      </c>
      <c r="AC107" s="247" t="s">
        <v>516</v>
      </c>
      <c r="AD107" s="247" t="s">
        <v>516</v>
      </c>
      <c r="AE107" s="247" t="s">
        <v>507</v>
      </c>
      <c r="AF107" s="247">
        <v>20</v>
      </c>
      <c r="AG107" s="247"/>
      <c r="AH107" s="247">
        <v>30</v>
      </c>
      <c r="AI107" s="247">
        <v>27</v>
      </c>
      <c r="AJ107" s="247"/>
    </row>
    <row r="108" spans="27:36">
      <c r="AA108" s="247">
        <v>430</v>
      </c>
      <c r="AB108" s="247" t="s">
        <v>656</v>
      </c>
      <c r="AC108" s="247" t="s">
        <v>516</v>
      </c>
      <c r="AD108" s="247" t="s">
        <v>516</v>
      </c>
      <c r="AE108" s="247" t="s">
        <v>507</v>
      </c>
      <c r="AF108" s="247">
        <v>75</v>
      </c>
      <c r="AG108" s="247"/>
      <c r="AH108" s="247">
        <v>20</v>
      </c>
      <c r="AI108" s="247">
        <v>28</v>
      </c>
      <c r="AJ108" s="247"/>
    </row>
    <row r="109" spans="27:36">
      <c r="AA109" s="247">
        <v>435</v>
      </c>
      <c r="AB109" s="247" t="s">
        <v>657</v>
      </c>
      <c r="AC109" s="247" t="s">
        <v>516</v>
      </c>
      <c r="AD109" s="247" t="s">
        <v>516</v>
      </c>
      <c r="AE109" s="247" t="s">
        <v>533</v>
      </c>
      <c r="AF109" s="247">
        <v>180</v>
      </c>
      <c r="AG109" s="247" t="s">
        <v>528</v>
      </c>
      <c r="AH109" s="247">
        <v>0</v>
      </c>
      <c r="AI109" s="247">
        <v>15</v>
      </c>
      <c r="AJ109" s="247"/>
    </row>
    <row r="110" spans="27:36">
      <c r="AA110" s="247">
        <v>440</v>
      </c>
      <c r="AB110" s="247" t="s">
        <v>658</v>
      </c>
      <c r="AC110" s="247" t="s">
        <v>516</v>
      </c>
      <c r="AD110" s="247" t="s">
        <v>516</v>
      </c>
      <c r="AE110" s="247" t="s">
        <v>543</v>
      </c>
      <c r="AF110" s="247">
        <v>0</v>
      </c>
      <c r="AG110" s="247" t="s">
        <v>528</v>
      </c>
      <c r="AH110" s="247">
        <v>0</v>
      </c>
      <c r="AI110" s="247">
        <v>27</v>
      </c>
      <c r="AJ110" s="247"/>
    </row>
    <row r="111" spans="27:36">
      <c r="AA111" s="247">
        <v>455</v>
      </c>
      <c r="AB111" s="247" t="s">
        <v>659</v>
      </c>
      <c r="AC111" s="247" t="s">
        <v>516</v>
      </c>
      <c r="AD111" s="247" t="s">
        <v>516</v>
      </c>
      <c r="AE111" s="247" t="s">
        <v>533</v>
      </c>
      <c r="AF111" s="247">
        <v>52</v>
      </c>
      <c r="AG111" s="247" t="s">
        <v>528</v>
      </c>
      <c r="AH111" s="247">
        <v>0</v>
      </c>
      <c r="AI111" s="247">
        <v>25</v>
      </c>
      <c r="AJ111" s="247"/>
    </row>
    <row r="112" spans="27:36">
      <c r="AA112" s="247">
        <v>460</v>
      </c>
      <c r="AB112" s="247" t="s">
        <v>660</v>
      </c>
      <c r="AC112" s="247" t="s">
        <v>516</v>
      </c>
      <c r="AD112" s="247" t="s">
        <v>516</v>
      </c>
      <c r="AE112" s="247" t="s">
        <v>533</v>
      </c>
      <c r="AF112" s="247">
        <v>60</v>
      </c>
      <c r="AG112" s="247" t="s">
        <v>528</v>
      </c>
      <c r="AH112" s="247">
        <v>0</v>
      </c>
      <c r="AI112" s="247">
        <v>25</v>
      </c>
      <c r="AJ112" s="247"/>
    </row>
    <row r="113" spans="20:36">
      <c r="AA113" s="247">
        <v>465</v>
      </c>
      <c r="AB113" s="247" t="s">
        <v>661</v>
      </c>
      <c r="AC113" s="247" t="s">
        <v>516</v>
      </c>
      <c r="AD113" s="247" t="s">
        <v>516</v>
      </c>
      <c r="AE113" s="247" t="s">
        <v>533</v>
      </c>
      <c r="AF113" s="247">
        <v>75</v>
      </c>
      <c r="AG113" s="247" t="s">
        <v>528</v>
      </c>
      <c r="AH113" s="247">
        <v>0</v>
      </c>
      <c r="AI113" s="247">
        <v>25</v>
      </c>
      <c r="AJ113" s="247"/>
    </row>
    <row r="114" spans="20:36">
      <c r="AA114" s="247">
        <v>468</v>
      </c>
      <c r="AB114" s="247" t="s">
        <v>662</v>
      </c>
      <c r="AC114" s="247" t="s">
        <v>516</v>
      </c>
      <c r="AD114" s="247" t="s">
        <v>516</v>
      </c>
      <c r="AE114" s="247" t="s">
        <v>533</v>
      </c>
      <c r="AF114" s="247">
        <v>170</v>
      </c>
      <c r="AG114" s="247" t="s">
        <v>528</v>
      </c>
      <c r="AH114" s="247">
        <v>0</v>
      </c>
      <c r="AI114" s="247">
        <v>25</v>
      </c>
      <c r="AJ114" s="247"/>
    </row>
    <row r="115" spans="20:36">
      <c r="AA115" s="247">
        <v>470</v>
      </c>
      <c r="AB115" s="247" t="s">
        <v>663</v>
      </c>
      <c r="AC115" s="247" t="s">
        <v>516</v>
      </c>
      <c r="AD115" s="247" t="s">
        <v>516</v>
      </c>
      <c r="AE115" s="247" t="s">
        <v>533</v>
      </c>
      <c r="AF115" s="247">
        <v>180</v>
      </c>
      <c r="AG115" s="247" t="s">
        <v>528</v>
      </c>
      <c r="AH115" s="247">
        <v>0</v>
      </c>
      <c r="AI115" s="247">
        <v>25</v>
      </c>
      <c r="AJ115" s="247"/>
    </row>
    <row r="116" spans="20:36">
      <c r="AA116" s="247">
        <v>475</v>
      </c>
      <c r="AB116" s="247" t="s">
        <v>664</v>
      </c>
      <c r="AC116" s="247" t="s">
        <v>516</v>
      </c>
      <c r="AD116" s="247" t="s">
        <v>516</v>
      </c>
      <c r="AE116" s="247" t="s">
        <v>533</v>
      </c>
      <c r="AF116" s="247">
        <v>190</v>
      </c>
      <c r="AG116" s="247" t="s">
        <v>528</v>
      </c>
      <c r="AH116" s="247">
        <v>0</v>
      </c>
      <c r="AI116" s="247">
        <v>25</v>
      </c>
      <c r="AJ116" s="247"/>
    </row>
    <row r="117" spans="20:36">
      <c r="AA117" s="247">
        <v>513</v>
      </c>
      <c r="AB117" s="247" t="s">
        <v>665</v>
      </c>
      <c r="AC117" s="247" t="s">
        <v>516</v>
      </c>
      <c r="AD117" s="247" t="s">
        <v>516</v>
      </c>
      <c r="AE117" s="247" t="s">
        <v>533</v>
      </c>
      <c r="AF117" s="247">
        <v>52</v>
      </c>
      <c r="AG117" s="247" t="s">
        <v>528</v>
      </c>
      <c r="AH117" s="247">
        <v>0</v>
      </c>
      <c r="AI117" s="247">
        <v>18</v>
      </c>
      <c r="AJ117" s="247"/>
    </row>
    <row r="118" spans="20:36">
      <c r="AA118" s="247">
        <v>515</v>
      </c>
      <c r="AB118" s="247" t="s">
        <v>666</v>
      </c>
      <c r="AC118" s="247">
        <v>1130</v>
      </c>
      <c r="AD118" s="247" t="s">
        <v>667</v>
      </c>
      <c r="AE118" s="247" t="s">
        <v>533</v>
      </c>
      <c r="AF118" s="247">
        <v>52</v>
      </c>
      <c r="AG118" s="247" t="s">
        <v>528</v>
      </c>
      <c r="AH118" s="247">
        <v>0</v>
      </c>
      <c r="AI118" s="247">
        <v>18</v>
      </c>
      <c r="AJ118" s="247" t="s">
        <v>668</v>
      </c>
    </row>
    <row r="119" spans="20:36">
      <c r="AA119" s="247">
        <v>516</v>
      </c>
      <c r="AB119" s="247" t="s">
        <v>669</v>
      </c>
      <c r="AC119" s="247">
        <v>1906</v>
      </c>
      <c r="AD119" s="247" t="s">
        <v>670</v>
      </c>
      <c r="AE119" s="247" t="s">
        <v>533</v>
      </c>
      <c r="AF119" s="247">
        <v>52</v>
      </c>
      <c r="AG119" s="247" t="s">
        <v>528</v>
      </c>
      <c r="AH119" s="247">
        <v>0</v>
      </c>
      <c r="AI119" s="247">
        <v>18</v>
      </c>
      <c r="AJ119" s="247" t="s">
        <v>668</v>
      </c>
    </row>
    <row r="120" spans="20:36">
      <c r="AA120" s="247">
        <v>517</v>
      </c>
      <c r="AB120" s="247" t="s">
        <v>671</v>
      </c>
      <c r="AC120" s="247">
        <v>1908</v>
      </c>
      <c r="AD120" s="247" t="s">
        <v>672</v>
      </c>
      <c r="AE120" s="247" t="s">
        <v>533</v>
      </c>
      <c r="AF120" s="247">
        <v>52</v>
      </c>
      <c r="AG120" s="247" t="s">
        <v>528</v>
      </c>
      <c r="AH120" s="247">
        <v>0</v>
      </c>
      <c r="AI120" s="247">
        <v>18</v>
      </c>
      <c r="AJ120" s="247" t="s">
        <v>668</v>
      </c>
    </row>
    <row r="121" spans="20:36">
      <c r="AA121" s="247">
        <v>518</v>
      </c>
      <c r="AB121" s="247" t="s">
        <v>673</v>
      </c>
      <c r="AC121" s="247">
        <v>1909</v>
      </c>
      <c r="AD121" s="247" t="s">
        <v>674</v>
      </c>
      <c r="AE121" s="247" t="s">
        <v>533</v>
      </c>
      <c r="AF121" s="247">
        <v>52</v>
      </c>
      <c r="AG121" s="247" t="s">
        <v>528</v>
      </c>
      <c r="AH121" s="247">
        <v>0</v>
      </c>
      <c r="AI121" s="247">
        <v>18</v>
      </c>
      <c r="AJ121" s="247" t="s">
        <v>668</v>
      </c>
    </row>
    <row r="122" spans="20:36">
      <c r="AA122" s="247">
        <v>520</v>
      </c>
      <c r="AB122" s="247" t="s">
        <v>675</v>
      </c>
      <c r="AC122" s="247">
        <v>1150</v>
      </c>
      <c r="AD122" s="247" t="s">
        <v>676</v>
      </c>
      <c r="AE122" s="247" t="s">
        <v>533</v>
      </c>
      <c r="AF122" s="247">
        <v>52</v>
      </c>
      <c r="AG122" s="247" t="s">
        <v>528</v>
      </c>
      <c r="AH122" s="247">
        <v>0</v>
      </c>
      <c r="AI122" s="247">
        <v>18</v>
      </c>
      <c r="AJ122" s="247"/>
    </row>
    <row r="123" spans="20:36">
      <c r="T123" s="92"/>
      <c r="AA123" s="247">
        <v>525</v>
      </c>
      <c r="AB123" s="247" t="s">
        <v>677</v>
      </c>
      <c r="AC123" s="247">
        <v>1151</v>
      </c>
      <c r="AD123" s="247" t="s">
        <v>678</v>
      </c>
      <c r="AE123" s="247" t="s">
        <v>533</v>
      </c>
      <c r="AF123" s="247">
        <v>52</v>
      </c>
      <c r="AG123" s="247" t="s">
        <v>528</v>
      </c>
      <c r="AH123" s="247">
        <v>0</v>
      </c>
      <c r="AI123" s="247">
        <v>18</v>
      </c>
      <c r="AJ123" s="247"/>
    </row>
    <row r="124" spans="20:36">
      <c r="T124" s="92"/>
      <c r="AA124" s="247">
        <v>530</v>
      </c>
      <c r="AB124" s="247" t="s">
        <v>679</v>
      </c>
      <c r="AC124" s="247">
        <v>1152</v>
      </c>
      <c r="AD124" s="247" t="s">
        <v>680</v>
      </c>
      <c r="AE124" s="247" t="s">
        <v>533</v>
      </c>
      <c r="AF124" s="247">
        <v>52</v>
      </c>
      <c r="AG124" s="247" t="s">
        <v>528</v>
      </c>
      <c r="AH124" s="247">
        <v>0</v>
      </c>
      <c r="AI124" s="247">
        <v>18</v>
      </c>
      <c r="AJ124" s="247"/>
    </row>
    <row r="125" spans="20:36">
      <c r="T125" s="92"/>
      <c r="AA125" s="247">
        <v>550</v>
      </c>
      <c r="AB125" s="247" t="s">
        <v>681</v>
      </c>
      <c r="AC125" s="247">
        <v>1156</v>
      </c>
      <c r="AD125" s="247" t="s">
        <v>682</v>
      </c>
      <c r="AE125" s="247" t="s">
        <v>533</v>
      </c>
      <c r="AF125" s="247">
        <v>52</v>
      </c>
      <c r="AG125" s="247" t="s">
        <v>528</v>
      </c>
      <c r="AH125" s="247">
        <v>0</v>
      </c>
      <c r="AI125" s="247">
        <v>18</v>
      </c>
      <c r="AJ125" s="247" t="s">
        <v>668</v>
      </c>
    </row>
    <row r="126" spans="20:36">
      <c r="T126" s="92"/>
      <c r="AA126" s="247">
        <v>551</v>
      </c>
      <c r="AB126" s="247" t="s">
        <v>683</v>
      </c>
      <c r="AC126" s="247" t="s">
        <v>516</v>
      </c>
      <c r="AD126" s="247" t="s">
        <v>516</v>
      </c>
      <c r="AE126" s="247" t="s">
        <v>533</v>
      </c>
      <c r="AF126" s="247">
        <v>52</v>
      </c>
      <c r="AG126" s="247" t="s">
        <v>528</v>
      </c>
      <c r="AH126" s="247">
        <v>0</v>
      </c>
      <c r="AI126" s="247">
        <v>18</v>
      </c>
      <c r="AJ126" s="247" t="s">
        <v>668</v>
      </c>
    </row>
    <row r="127" spans="20:36">
      <c r="T127" s="92"/>
      <c r="AA127" s="247">
        <v>553</v>
      </c>
      <c r="AB127" s="247" t="s">
        <v>684</v>
      </c>
      <c r="AC127" s="247" t="s">
        <v>516</v>
      </c>
      <c r="AD127" s="247" t="s">
        <v>516</v>
      </c>
      <c r="AE127" s="247" t="s">
        <v>533</v>
      </c>
      <c r="AF127" s="247">
        <v>52</v>
      </c>
      <c r="AG127" s="247"/>
      <c r="AH127" s="247">
        <v>10</v>
      </c>
      <c r="AI127" s="247">
        <v>18</v>
      </c>
      <c r="AJ127" s="247" t="s">
        <v>668</v>
      </c>
    </row>
    <row r="128" spans="20:36">
      <c r="T128" s="92"/>
      <c r="AA128" s="247">
        <v>555</v>
      </c>
      <c r="AB128" s="247" t="s">
        <v>685</v>
      </c>
      <c r="AC128" s="247">
        <v>1113</v>
      </c>
      <c r="AD128" s="247" t="s">
        <v>686</v>
      </c>
      <c r="AE128" s="247" t="s">
        <v>533</v>
      </c>
      <c r="AF128" s="247">
        <v>52</v>
      </c>
      <c r="AG128" s="247"/>
      <c r="AH128" s="247">
        <v>10</v>
      </c>
      <c r="AI128" s="247">
        <v>18</v>
      </c>
      <c r="AJ128" s="247" t="s">
        <v>668</v>
      </c>
    </row>
    <row r="129" spans="20:36">
      <c r="T129" s="92"/>
      <c r="AA129" s="247">
        <v>556</v>
      </c>
      <c r="AB129" s="247" t="s">
        <v>687</v>
      </c>
      <c r="AC129" s="247" t="s">
        <v>516</v>
      </c>
      <c r="AD129" s="247" t="s">
        <v>516</v>
      </c>
      <c r="AE129" s="247" t="s">
        <v>533</v>
      </c>
      <c r="AF129" s="247">
        <v>52</v>
      </c>
      <c r="AG129" s="247" t="s">
        <v>528</v>
      </c>
      <c r="AH129" s="247">
        <v>0</v>
      </c>
      <c r="AI129" s="247">
        <v>18</v>
      </c>
      <c r="AJ129" s="247" t="s">
        <v>668</v>
      </c>
    </row>
    <row r="130" spans="20:36">
      <c r="T130" s="92"/>
      <c r="AA130" s="247">
        <v>558</v>
      </c>
      <c r="AB130" s="247" t="s">
        <v>688</v>
      </c>
      <c r="AC130" s="247" t="s">
        <v>516</v>
      </c>
      <c r="AD130" s="247" t="s">
        <v>516</v>
      </c>
      <c r="AE130" s="247" t="s">
        <v>533</v>
      </c>
      <c r="AF130" s="247">
        <v>52</v>
      </c>
      <c r="AG130" s="247" t="s">
        <v>528</v>
      </c>
      <c r="AH130" s="247">
        <v>0</v>
      </c>
      <c r="AI130" s="247">
        <v>18</v>
      </c>
      <c r="AJ130" s="247" t="s">
        <v>668</v>
      </c>
    </row>
    <row r="131" spans="20:36">
      <c r="T131" s="92"/>
      <c r="AA131" s="247">
        <v>563</v>
      </c>
      <c r="AB131" s="247" t="s">
        <v>689</v>
      </c>
      <c r="AC131" s="247" t="s">
        <v>516</v>
      </c>
      <c r="AD131" s="247" t="s">
        <v>516</v>
      </c>
      <c r="AE131" s="247" t="s">
        <v>533</v>
      </c>
      <c r="AF131" s="247">
        <v>52</v>
      </c>
      <c r="AG131" s="247" t="s">
        <v>528</v>
      </c>
      <c r="AH131" s="247">
        <v>0</v>
      </c>
      <c r="AI131" s="247">
        <v>18</v>
      </c>
      <c r="AJ131" s="247" t="s">
        <v>668</v>
      </c>
    </row>
    <row r="132" spans="20:36">
      <c r="T132" s="92"/>
      <c r="AA132" s="247">
        <v>564</v>
      </c>
      <c r="AB132" s="247" t="s">
        <v>690</v>
      </c>
      <c r="AC132" s="247" t="s">
        <v>516</v>
      </c>
      <c r="AD132" s="247" t="s">
        <v>516</v>
      </c>
      <c r="AE132" s="247" t="s">
        <v>533</v>
      </c>
      <c r="AF132" s="247">
        <v>180</v>
      </c>
      <c r="AG132" s="247" t="s">
        <v>528</v>
      </c>
      <c r="AH132" s="247">
        <v>0</v>
      </c>
      <c r="AI132" s="247">
        <v>18</v>
      </c>
      <c r="AJ132" s="247" t="s">
        <v>668</v>
      </c>
    </row>
    <row r="133" spans="20:36">
      <c r="T133" s="92"/>
      <c r="AA133" s="247">
        <v>565</v>
      </c>
      <c r="AB133" s="247" t="s">
        <v>691</v>
      </c>
      <c r="AC133" s="247">
        <v>258</v>
      </c>
      <c r="AD133" s="247" t="s">
        <v>692</v>
      </c>
      <c r="AE133" s="247" t="s">
        <v>533</v>
      </c>
      <c r="AF133" s="247">
        <v>52</v>
      </c>
      <c r="AG133" s="247"/>
      <c r="AH133" s="247">
        <v>30</v>
      </c>
      <c r="AI133" s="247">
        <v>5</v>
      </c>
      <c r="AJ133" s="247" t="s">
        <v>668</v>
      </c>
    </row>
    <row r="134" spans="20:36">
      <c r="T134" s="92"/>
      <c r="AA134" s="247">
        <v>566</v>
      </c>
      <c r="AB134" s="247" t="s">
        <v>693</v>
      </c>
      <c r="AC134" s="247" t="s">
        <v>516</v>
      </c>
      <c r="AD134" s="247" t="s">
        <v>516</v>
      </c>
      <c r="AE134" s="247" t="s">
        <v>533</v>
      </c>
      <c r="AF134" s="247">
        <v>180</v>
      </c>
      <c r="AG134" s="247" t="s">
        <v>528</v>
      </c>
      <c r="AH134" s="247">
        <v>0</v>
      </c>
      <c r="AI134" s="247">
        <v>18</v>
      </c>
      <c r="AJ134" s="247" t="s">
        <v>668</v>
      </c>
    </row>
    <row r="135" spans="20:36">
      <c r="T135" s="92"/>
      <c r="AA135" s="247">
        <v>567</v>
      </c>
      <c r="AB135" s="247" t="s">
        <v>694</v>
      </c>
      <c r="AC135" s="247" t="s">
        <v>516</v>
      </c>
      <c r="AD135" s="247" t="s">
        <v>516</v>
      </c>
      <c r="AE135" s="247" t="s">
        <v>533</v>
      </c>
      <c r="AF135" s="247">
        <v>180</v>
      </c>
      <c r="AG135" s="247" t="s">
        <v>528</v>
      </c>
      <c r="AH135" s="247">
        <v>0</v>
      </c>
      <c r="AI135" s="247">
        <v>18</v>
      </c>
      <c r="AJ135" s="247" t="s">
        <v>668</v>
      </c>
    </row>
    <row r="136" spans="20:36">
      <c r="T136" s="92"/>
      <c r="AA136" s="247">
        <v>568</v>
      </c>
      <c r="AB136" s="247" t="s">
        <v>695</v>
      </c>
      <c r="AC136" s="247" t="s">
        <v>516</v>
      </c>
      <c r="AD136" s="247" t="s">
        <v>516</v>
      </c>
      <c r="AE136" s="247" t="s">
        <v>533</v>
      </c>
      <c r="AF136" s="247">
        <v>180</v>
      </c>
      <c r="AG136" s="247" t="s">
        <v>528</v>
      </c>
      <c r="AH136" s="247">
        <v>0</v>
      </c>
      <c r="AI136" s="247">
        <v>18</v>
      </c>
      <c r="AJ136" s="247" t="s">
        <v>668</v>
      </c>
    </row>
    <row r="137" spans="20:36">
      <c r="T137" s="92"/>
      <c r="AA137" s="247">
        <v>569</v>
      </c>
      <c r="AB137" s="247" t="s">
        <v>696</v>
      </c>
      <c r="AC137" s="247" t="s">
        <v>516</v>
      </c>
      <c r="AD137" s="247" t="s">
        <v>516</v>
      </c>
      <c r="AE137" s="247" t="s">
        <v>533</v>
      </c>
      <c r="AF137" s="247">
        <v>170</v>
      </c>
      <c r="AG137" s="247" t="s">
        <v>528</v>
      </c>
      <c r="AH137" s="247">
        <v>0</v>
      </c>
      <c r="AI137" s="247">
        <v>18</v>
      </c>
      <c r="AJ137" s="247" t="s">
        <v>668</v>
      </c>
    </row>
    <row r="138" spans="20:36">
      <c r="AA138" s="247">
        <v>570</v>
      </c>
      <c r="AB138" s="247" t="s">
        <v>697</v>
      </c>
      <c r="AC138" s="247" t="s">
        <v>516</v>
      </c>
      <c r="AD138" s="247" t="s">
        <v>516</v>
      </c>
      <c r="AE138" s="247" t="s">
        <v>533</v>
      </c>
      <c r="AF138" s="247">
        <v>190</v>
      </c>
      <c r="AG138" s="247" t="s">
        <v>528</v>
      </c>
      <c r="AH138" s="247">
        <v>0</v>
      </c>
      <c r="AI138" s="247">
        <v>18</v>
      </c>
      <c r="AJ138" s="247" t="s">
        <v>668</v>
      </c>
    </row>
    <row r="139" spans="20:36">
      <c r="T139" s="92"/>
      <c r="AA139" s="247">
        <v>574</v>
      </c>
      <c r="AB139" s="247" t="s">
        <v>698</v>
      </c>
      <c r="AC139" s="247" t="s">
        <v>516</v>
      </c>
      <c r="AD139" s="247" t="s">
        <v>516</v>
      </c>
      <c r="AE139" s="247" t="s">
        <v>533</v>
      </c>
      <c r="AF139" s="247">
        <v>190</v>
      </c>
      <c r="AG139" s="247" t="s">
        <v>528</v>
      </c>
      <c r="AH139" s="247">
        <v>0</v>
      </c>
      <c r="AI139" s="247">
        <v>18</v>
      </c>
      <c r="AJ139" s="247" t="s">
        <v>668</v>
      </c>
    </row>
    <row r="140" spans="20:36">
      <c r="T140" s="92"/>
      <c r="AA140" s="247">
        <v>576</v>
      </c>
      <c r="AB140" s="247" t="s">
        <v>699</v>
      </c>
      <c r="AC140" s="247" t="s">
        <v>516</v>
      </c>
      <c r="AD140" s="247" t="s">
        <v>516</v>
      </c>
      <c r="AE140" s="247" t="s">
        <v>533</v>
      </c>
      <c r="AF140" s="247">
        <v>190</v>
      </c>
      <c r="AG140" s="247" t="s">
        <v>528</v>
      </c>
      <c r="AH140" s="247">
        <v>0</v>
      </c>
      <c r="AI140" s="247">
        <v>18</v>
      </c>
      <c r="AJ140" s="247" t="s">
        <v>668</v>
      </c>
    </row>
    <row r="141" spans="20:36">
      <c r="T141" s="92"/>
      <c r="AA141" s="247">
        <v>577</v>
      </c>
      <c r="AB141" s="247" t="s">
        <v>700</v>
      </c>
      <c r="AC141" s="247" t="s">
        <v>516</v>
      </c>
      <c r="AD141" s="247" t="s">
        <v>516</v>
      </c>
      <c r="AE141" s="247" t="s">
        <v>533</v>
      </c>
      <c r="AF141" s="247">
        <v>52</v>
      </c>
      <c r="AG141" s="247" t="s">
        <v>528</v>
      </c>
      <c r="AH141" s="247">
        <v>0</v>
      </c>
      <c r="AI141" s="247">
        <v>18</v>
      </c>
      <c r="AJ141" s="247" t="s">
        <v>668</v>
      </c>
    </row>
    <row r="142" spans="20:36">
      <c r="T142" s="92"/>
      <c r="AA142" s="247">
        <v>578</v>
      </c>
      <c r="AB142" s="247" t="s">
        <v>701</v>
      </c>
      <c r="AC142" s="247" t="s">
        <v>516</v>
      </c>
      <c r="AD142" s="247" t="s">
        <v>516</v>
      </c>
      <c r="AE142" s="247" t="s">
        <v>533</v>
      </c>
      <c r="AF142" s="247">
        <v>75</v>
      </c>
      <c r="AG142" s="247" t="s">
        <v>528</v>
      </c>
      <c r="AH142" s="247">
        <v>0</v>
      </c>
      <c r="AI142" s="247">
        <v>16</v>
      </c>
      <c r="AJ142" s="247" t="s">
        <v>668</v>
      </c>
    </row>
    <row r="143" spans="20:36">
      <c r="T143" s="92"/>
      <c r="AA143" s="247">
        <v>579</v>
      </c>
      <c r="AB143" s="247" t="s">
        <v>702</v>
      </c>
      <c r="AC143" s="247" t="s">
        <v>516</v>
      </c>
      <c r="AD143" s="247" t="s">
        <v>516</v>
      </c>
      <c r="AE143" s="247" t="s">
        <v>533</v>
      </c>
      <c r="AF143" s="247">
        <v>75</v>
      </c>
      <c r="AG143" s="247" t="s">
        <v>528</v>
      </c>
      <c r="AH143" s="247">
        <v>0</v>
      </c>
      <c r="AI143" s="247">
        <v>18</v>
      </c>
      <c r="AJ143" s="247" t="s">
        <v>668</v>
      </c>
    </row>
    <row r="144" spans="20:36">
      <c r="T144" s="92"/>
      <c r="AA144" s="247">
        <v>581</v>
      </c>
      <c r="AB144" s="247" t="s">
        <v>703</v>
      </c>
      <c r="AC144" s="247">
        <v>1922</v>
      </c>
      <c r="AD144" s="247" t="s">
        <v>704</v>
      </c>
      <c r="AE144" s="247" t="s">
        <v>533</v>
      </c>
      <c r="AF144" s="247">
        <v>180</v>
      </c>
      <c r="AG144" s="247" t="s">
        <v>528</v>
      </c>
      <c r="AH144" s="247">
        <v>0</v>
      </c>
      <c r="AI144" s="247">
        <v>18</v>
      </c>
      <c r="AJ144" s="247" t="s">
        <v>668</v>
      </c>
    </row>
    <row r="145" spans="20:36">
      <c r="T145" s="92"/>
      <c r="AA145" s="247">
        <v>582</v>
      </c>
      <c r="AB145" s="247" t="s">
        <v>705</v>
      </c>
      <c r="AC145" s="247">
        <v>1923</v>
      </c>
      <c r="AD145" s="247" t="s">
        <v>706</v>
      </c>
      <c r="AE145" s="247" t="s">
        <v>533</v>
      </c>
      <c r="AF145" s="247">
        <v>180</v>
      </c>
      <c r="AG145" s="247" t="s">
        <v>528</v>
      </c>
      <c r="AH145" s="247">
        <v>0</v>
      </c>
      <c r="AI145" s="247">
        <v>18</v>
      </c>
      <c r="AJ145" s="247" t="s">
        <v>668</v>
      </c>
    </row>
    <row r="146" spans="20:36">
      <c r="T146" s="92"/>
      <c r="AA146" s="247">
        <v>583</v>
      </c>
      <c r="AB146" s="247" t="s">
        <v>707</v>
      </c>
      <c r="AC146" s="247">
        <v>1924</v>
      </c>
      <c r="AD146" s="247" t="s">
        <v>708</v>
      </c>
      <c r="AE146" s="247" t="s">
        <v>533</v>
      </c>
      <c r="AF146" s="247">
        <v>180</v>
      </c>
      <c r="AG146" s="247" t="s">
        <v>528</v>
      </c>
      <c r="AH146" s="247">
        <v>0</v>
      </c>
      <c r="AI146" s="247">
        <v>18</v>
      </c>
      <c r="AJ146" s="247" t="s">
        <v>668</v>
      </c>
    </row>
    <row r="147" spans="20:36">
      <c r="T147" s="92"/>
      <c r="AA147" s="247">
        <v>586</v>
      </c>
      <c r="AB147" s="247" t="s">
        <v>709</v>
      </c>
      <c r="AC147" s="247" t="s">
        <v>516</v>
      </c>
      <c r="AD147" s="247" t="s">
        <v>516</v>
      </c>
      <c r="AE147" s="247" t="s">
        <v>533</v>
      </c>
      <c r="AF147" s="247">
        <v>170</v>
      </c>
      <c r="AG147" s="247"/>
      <c r="AH147" s="247">
        <v>20</v>
      </c>
      <c r="AI147" s="247">
        <v>16</v>
      </c>
      <c r="AJ147" s="247" t="s">
        <v>668</v>
      </c>
    </row>
    <row r="148" spans="20:36">
      <c r="T148" s="92"/>
      <c r="AA148" s="247">
        <v>588</v>
      </c>
      <c r="AB148" s="247" t="s">
        <v>710</v>
      </c>
      <c r="AC148" s="247" t="s">
        <v>516</v>
      </c>
      <c r="AD148" s="247" t="s">
        <v>516</v>
      </c>
      <c r="AE148" s="247" t="s">
        <v>533</v>
      </c>
      <c r="AF148" s="247">
        <v>180</v>
      </c>
      <c r="AG148" s="247" t="s">
        <v>528</v>
      </c>
      <c r="AH148" s="247">
        <v>0</v>
      </c>
      <c r="AI148" s="247">
        <v>18</v>
      </c>
      <c r="AJ148" s="247" t="s">
        <v>668</v>
      </c>
    </row>
    <row r="149" spans="20:36">
      <c r="T149" s="92"/>
      <c r="AA149" s="247">
        <v>589</v>
      </c>
      <c r="AB149" s="247" t="s">
        <v>711</v>
      </c>
      <c r="AC149" s="247" t="s">
        <v>516</v>
      </c>
      <c r="AD149" s="247" t="s">
        <v>516</v>
      </c>
      <c r="AE149" s="247" t="s">
        <v>533</v>
      </c>
      <c r="AF149" s="247">
        <v>52</v>
      </c>
      <c r="AG149" s="247"/>
      <c r="AH149" s="247">
        <v>20</v>
      </c>
      <c r="AI149" s="247">
        <v>16</v>
      </c>
      <c r="AJ149" s="247" t="s">
        <v>668</v>
      </c>
    </row>
    <row r="150" spans="20:36">
      <c r="T150" s="92"/>
      <c r="AA150" s="247">
        <v>592</v>
      </c>
      <c r="AB150" s="247" t="s">
        <v>712</v>
      </c>
      <c r="AC150" s="247" t="s">
        <v>516</v>
      </c>
      <c r="AD150" s="247" t="s">
        <v>516</v>
      </c>
      <c r="AE150" s="247" t="s">
        <v>533</v>
      </c>
      <c r="AF150" s="247">
        <v>180</v>
      </c>
      <c r="AG150" s="247" t="s">
        <v>528</v>
      </c>
      <c r="AH150" s="247">
        <v>0</v>
      </c>
      <c r="AI150" s="247">
        <v>18</v>
      </c>
      <c r="AJ150" s="247" t="s">
        <v>668</v>
      </c>
    </row>
    <row r="151" spans="20:36">
      <c r="T151" s="92"/>
      <c r="AA151" s="247">
        <v>594</v>
      </c>
      <c r="AB151" s="247" t="s">
        <v>713</v>
      </c>
      <c r="AC151" s="247" t="s">
        <v>516</v>
      </c>
      <c r="AD151" s="247" t="s">
        <v>516</v>
      </c>
      <c r="AE151" s="247" t="s">
        <v>507</v>
      </c>
      <c r="AF151" s="247">
        <v>0</v>
      </c>
      <c r="AG151" s="247"/>
      <c r="AH151" s="247">
        <v>20</v>
      </c>
      <c r="AI151" s="247">
        <v>28</v>
      </c>
      <c r="AJ151" s="247"/>
    </row>
    <row r="152" spans="20:36">
      <c r="T152" s="92"/>
      <c r="AA152" s="247">
        <v>600</v>
      </c>
      <c r="AB152" s="247" t="s">
        <v>714</v>
      </c>
      <c r="AC152" s="247">
        <v>1147</v>
      </c>
      <c r="AD152" s="247" t="s">
        <v>715</v>
      </c>
      <c r="AE152" s="247" t="s">
        <v>533</v>
      </c>
      <c r="AF152" s="247">
        <v>52</v>
      </c>
      <c r="AG152" s="247"/>
      <c r="AH152" s="247">
        <v>30</v>
      </c>
      <c r="AI152" s="247">
        <v>18</v>
      </c>
      <c r="AJ152" s="247" t="s">
        <v>668</v>
      </c>
    </row>
    <row r="153" spans="20:36">
      <c r="T153" s="92"/>
      <c r="AA153" s="247">
        <v>605</v>
      </c>
      <c r="AB153" s="247" t="s">
        <v>716</v>
      </c>
      <c r="AC153" s="247">
        <v>1148</v>
      </c>
      <c r="AD153" s="247" t="s">
        <v>717</v>
      </c>
      <c r="AE153" s="247" t="s">
        <v>533</v>
      </c>
      <c r="AF153" s="247">
        <v>52</v>
      </c>
      <c r="AG153" s="247"/>
      <c r="AH153" s="247">
        <v>30</v>
      </c>
      <c r="AI153" s="247">
        <v>18</v>
      </c>
      <c r="AJ153" s="247" t="s">
        <v>668</v>
      </c>
    </row>
    <row r="154" spans="20:36">
      <c r="T154" s="92"/>
      <c r="AA154" s="247">
        <v>610</v>
      </c>
      <c r="AB154" s="247" t="s">
        <v>718</v>
      </c>
      <c r="AC154" s="247">
        <v>1149</v>
      </c>
      <c r="AD154" s="247" t="s">
        <v>719</v>
      </c>
      <c r="AE154" s="247" t="s">
        <v>533</v>
      </c>
      <c r="AF154" s="247">
        <v>52</v>
      </c>
      <c r="AG154" s="247"/>
      <c r="AH154" s="247">
        <v>30</v>
      </c>
      <c r="AI154" s="247">
        <v>18</v>
      </c>
      <c r="AJ154" s="247" t="s">
        <v>668</v>
      </c>
    </row>
    <row r="155" spans="20:36">
      <c r="T155" s="92"/>
      <c r="AA155" s="247">
        <v>628</v>
      </c>
      <c r="AB155" s="247" t="s">
        <v>720</v>
      </c>
      <c r="AC155" s="247">
        <v>1199</v>
      </c>
      <c r="AD155" s="247" t="s">
        <v>721</v>
      </c>
      <c r="AE155" s="247" t="s">
        <v>533</v>
      </c>
      <c r="AF155" s="247">
        <v>52</v>
      </c>
      <c r="AG155" s="247"/>
      <c r="AH155" s="247">
        <v>20</v>
      </c>
      <c r="AI155" s="247">
        <v>18</v>
      </c>
      <c r="AJ155" s="247" t="s">
        <v>668</v>
      </c>
    </row>
    <row r="156" spans="20:36">
      <c r="T156" s="92"/>
      <c r="AA156" s="247">
        <v>630</v>
      </c>
      <c r="AB156" s="247" t="s">
        <v>722</v>
      </c>
      <c r="AC156" s="247">
        <v>1173</v>
      </c>
      <c r="AD156" s="247" t="s">
        <v>723</v>
      </c>
      <c r="AE156" s="247" t="s">
        <v>533</v>
      </c>
      <c r="AF156" s="247">
        <v>52</v>
      </c>
      <c r="AG156" s="247" t="s">
        <v>528</v>
      </c>
      <c r="AH156" s="247">
        <v>20</v>
      </c>
      <c r="AI156" s="247">
        <v>18</v>
      </c>
      <c r="AJ156" s="247" t="s">
        <v>668</v>
      </c>
    </row>
    <row r="157" spans="20:36">
      <c r="T157" s="92"/>
      <c r="AA157" s="247">
        <v>641</v>
      </c>
      <c r="AB157" s="247" t="s">
        <v>724</v>
      </c>
      <c r="AC157" s="247" t="s">
        <v>516</v>
      </c>
      <c r="AD157" s="247" t="s">
        <v>516</v>
      </c>
      <c r="AE157" s="247" t="s">
        <v>533</v>
      </c>
      <c r="AF157" s="247">
        <v>180</v>
      </c>
      <c r="AG157" s="247" t="s">
        <v>528</v>
      </c>
      <c r="AH157" s="247">
        <v>0</v>
      </c>
      <c r="AI157" s="247">
        <v>18</v>
      </c>
      <c r="AJ157" s="247" t="s">
        <v>668</v>
      </c>
    </row>
    <row r="158" spans="20:36">
      <c r="T158" s="92"/>
      <c r="AA158" s="247">
        <v>642</v>
      </c>
      <c r="AB158" s="247" t="s">
        <v>725</v>
      </c>
      <c r="AC158" s="247" t="s">
        <v>516</v>
      </c>
      <c r="AD158" s="247" t="s">
        <v>516</v>
      </c>
      <c r="AE158" s="247" t="s">
        <v>533</v>
      </c>
      <c r="AF158" s="247">
        <v>180</v>
      </c>
      <c r="AG158" s="247" t="s">
        <v>528</v>
      </c>
      <c r="AH158" s="247">
        <v>0</v>
      </c>
      <c r="AI158" s="247">
        <v>18</v>
      </c>
      <c r="AJ158" s="247" t="s">
        <v>668</v>
      </c>
    </row>
    <row r="159" spans="20:36">
      <c r="T159" s="92"/>
      <c r="AA159" s="247">
        <v>643</v>
      </c>
      <c r="AB159" s="247" t="s">
        <v>726</v>
      </c>
      <c r="AC159" s="247" t="s">
        <v>516</v>
      </c>
      <c r="AD159" s="247" t="s">
        <v>516</v>
      </c>
      <c r="AE159" s="247" t="s">
        <v>533</v>
      </c>
      <c r="AF159" s="247">
        <v>180</v>
      </c>
      <c r="AG159" s="247" t="s">
        <v>528</v>
      </c>
      <c r="AH159" s="247">
        <v>0</v>
      </c>
      <c r="AI159" s="247">
        <v>18</v>
      </c>
      <c r="AJ159" s="247" t="s">
        <v>668</v>
      </c>
    </row>
    <row r="160" spans="20:36">
      <c r="T160" s="92"/>
      <c r="AA160" s="247">
        <v>644</v>
      </c>
      <c r="AB160" s="247" t="s">
        <v>727</v>
      </c>
      <c r="AC160" s="247" t="s">
        <v>516</v>
      </c>
      <c r="AD160" s="247" t="s">
        <v>516</v>
      </c>
      <c r="AE160" s="247" t="s">
        <v>507</v>
      </c>
      <c r="AF160" s="247">
        <v>0</v>
      </c>
      <c r="AG160" s="247"/>
      <c r="AH160" s="247">
        <v>0</v>
      </c>
      <c r="AI160" s="247">
        <v>27</v>
      </c>
      <c r="AJ160" s="247"/>
    </row>
    <row r="161" spans="20:36">
      <c r="T161" s="92"/>
      <c r="AA161" s="247">
        <v>650</v>
      </c>
      <c r="AB161" s="247" t="s">
        <v>728</v>
      </c>
      <c r="AC161" s="247">
        <v>1157</v>
      </c>
      <c r="AD161" s="247" t="s">
        <v>729</v>
      </c>
      <c r="AE161" s="247" t="s">
        <v>533</v>
      </c>
      <c r="AF161" s="247">
        <v>180</v>
      </c>
      <c r="AG161" s="247"/>
      <c r="AH161" s="247">
        <v>10</v>
      </c>
      <c r="AI161" s="247">
        <v>18</v>
      </c>
      <c r="AJ161" s="247" t="s">
        <v>730</v>
      </c>
    </row>
    <row r="162" spans="20:36">
      <c r="T162" s="92"/>
      <c r="AA162" s="247">
        <v>652</v>
      </c>
      <c r="AB162" s="247" t="s">
        <v>731</v>
      </c>
      <c r="AC162" s="247" t="s">
        <v>516</v>
      </c>
      <c r="AD162" s="247" t="s">
        <v>516</v>
      </c>
      <c r="AE162" s="247" t="s">
        <v>533</v>
      </c>
      <c r="AF162" s="247">
        <v>180</v>
      </c>
      <c r="AG162" s="247"/>
      <c r="AH162" s="247">
        <v>10</v>
      </c>
      <c r="AI162" s="247">
        <v>18</v>
      </c>
      <c r="AJ162" s="247" t="s">
        <v>730</v>
      </c>
    </row>
    <row r="163" spans="20:36">
      <c r="T163" s="93"/>
      <c r="AA163" s="247">
        <v>653</v>
      </c>
      <c r="AB163" s="247" t="s">
        <v>732</v>
      </c>
      <c r="AC163" s="247" t="s">
        <v>516</v>
      </c>
      <c r="AD163" s="247" t="s">
        <v>516</v>
      </c>
      <c r="AE163" s="247" t="s">
        <v>543</v>
      </c>
      <c r="AF163" s="247">
        <v>0</v>
      </c>
      <c r="AG163" s="247" t="s">
        <v>528</v>
      </c>
      <c r="AH163" s="247">
        <v>20</v>
      </c>
      <c r="AI163" s="247">
        <v>27</v>
      </c>
      <c r="AJ163" s="247"/>
    </row>
    <row r="164" spans="20:36">
      <c r="T164" s="93"/>
      <c r="AA164" s="247">
        <v>654</v>
      </c>
      <c r="AB164" s="247" t="s">
        <v>733</v>
      </c>
      <c r="AC164" s="247" t="s">
        <v>516</v>
      </c>
      <c r="AD164" s="247" t="s">
        <v>516</v>
      </c>
      <c r="AE164" s="247" t="s">
        <v>543</v>
      </c>
      <c r="AF164" s="247">
        <v>0</v>
      </c>
      <c r="AG164" s="247"/>
      <c r="AH164" s="247">
        <v>20</v>
      </c>
      <c r="AI164" s="247">
        <v>27</v>
      </c>
      <c r="AJ164" s="247"/>
    </row>
    <row r="165" spans="20:36">
      <c r="T165" s="93"/>
      <c r="AA165" s="247">
        <v>656</v>
      </c>
      <c r="AB165" s="247" t="s">
        <v>734</v>
      </c>
      <c r="AC165" s="247">
        <v>1910</v>
      </c>
      <c r="AD165" s="247" t="s">
        <v>735</v>
      </c>
      <c r="AE165" s="247" t="s">
        <v>533</v>
      </c>
      <c r="AF165" s="247">
        <v>180</v>
      </c>
      <c r="AG165" s="247" t="s">
        <v>528</v>
      </c>
      <c r="AH165" s="247">
        <v>20</v>
      </c>
      <c r="AI165" s="247">
        <v>18</v>
      </c>
      <c r="AJ165" s="247" t="s">
        <v>730</v>
      </c>
    </row>
    <row r="166" spans="20:36">
      <c r="T166" s="93"/>
      <c r="AA166" s="247">
        <v>657</v>
      </c>
      <c r="AB166" s="247" t="s">
        <v>736</v>
      </c>
      <c r="AC166" s="247">
        <v>1911</v>
      </c>
      <c r="AD166" s="247" t="s">
        <v>737</v>
      </c>
      <c r="AE166" s="247" t="s">
        <v>533</v>
      </c>
      <c r="AF166" s="247">
        <v>180</v>
      </c>
      <c r="AG166" s="247" t="s">
        <v>528</v>
      </c>
      <c r="AH166" s="247">
        <v>20</v>
      </c>
      <c r="AI166" s="247">
        <v>18</v>
      </c>
      <c r="AJ166" s="247" t="s">
        <v>730</v>
      </c>
    </row>
    <row r="167" spans="20:36">
      <c r="T167" s="93"/>
      <c r="AA167" s="247">
        <v>658</v>
      </c>
      <c r="AB167" s="247" t="s">
        <v>738</v>
      </c>
      <c r="AC167" s="247">
        <v>1912</v>
      </c>
      <c r="AD167" s="247" t="s">
        <v>739</v>
      </c>
      <c r="AE167" s="247" t="s">
        <v>533</v>
      </c>
      <c r="AF167" s="247">
        <v>180</v>
      </c>
      <c r="AG167" s="247" t="s">
        <v>528</v>
      </c>
      <c r="AH167" s="247">
        <v>20</v>
      </c>
      <c r="AI167" s="247">
        <v>18</v>
      </c>
      <c r="AJ167" s="247" t="s">
        <v>730</v>
      </c>
    </row>
    <row r="168" spans="20:36">
      <c r="T168" s="93"/>
      <c r="AA168" s="247">
        <v>660</v>
      </c>
      <c r="AB168" s="247" t="s">
        <v>740</v>
      </c>
      <c r="AC168" s="247">
        <v>1159</v>
      </c>
      <c r="AD168" s="247" t="s">
        <v>741</v>
      </c>
      <c r="AE168" s="247" t="s">
        <v>533</v>
      </c>
      <c r="AF168" s="247">
        <v>190</v>
      </c>
      <c r="AG168" s="247" t="s">
        <v>528</v>
      </c>
      <c r="AH168" s="247">
        <v>0</v>
      </c>
      <c r="AI168" s="247">
        <v>18</v>
      </c>
      <c r="AJ168" s="247" t="s">
        <v>730</v>
      </c>
    </row>
    <row r="169" spans="20:36">
      <c r="T169" s="93"/>
      <c r="AA169" s="247">
        <v>664</v>
      </c>
      <c r="AB169" s="247" t="s">
        <v>742</v>
      </c>
      <c r="AC169" s="247" t="s">
        <v>516</v>
      </c>
      <c r="AD169" s="247" t="s">
        <v>516</v>
      </c>
      <c r="AE169" s="247" t="s">
        <v>507</v>
      </c>
      <c r="AF169" s="247">
        <v>52</v>
      </c>
      <c r="AG169" s="247"/>
      <c r="AH169" s="247">
        <v>20</v>
      </c>
      <c r="AI169" s="247">
        <v>6</v>
      </c>
      <c r="AJ169" s="247"/>
    </row>
    <row r="170" spans="20:36">
      <c r="T170" s="93"/>
      <c r="AA170" s="247">
        <v>665</v>
      </c>
      <c r="AB170" s="247" t="s">
        <v>743</v>
      </c>
      <c r="AC170" s="247">
        <v>1161</v>
      </c>
      <c r="AD170" s="247" t="s">
        <v>743</v>
      </c>
      <c r="AE170" s="247" t="s">
        <v>533</v>
      </c>
      <c r="AF170" s="247">
        <v>52</v>
      </c>
      <c r="AG170" s="247" t="s">
        <v>528</v>
      </c>
      <c r="AH170" s="247">
        <v>20</v>
      </c>
      <c r="AI170" s="247">
        <v>18</v>
      </c>
      <c r="AJ170" s="247" t="s">
        <v>730</v>
      </c>
    </row>
    <row r="171" spans="20:36">
      <c r="T171" s="93"/>
      <c r="AA171" s="247">
        <v>666</v>
      </c>
      <c r="AB171" s="247" t="s">
        <v>744</v>
      </c>
      <c r="AC171" s="247" t="s">
        <v>516</v>
      </c>
      <c r="AD171" s="247" t="s">
        <v>516</v>
      </c>
      <c r="AE171" s="247" t="s">
        <v>533</v>
      </c>
      <c r="AF171" s="247">
        <v>52</v>
      </c>
      <c r="AG171" s="247" t="s">
        <v>528</v>
      </c>
      <c r="AH171" s="247">
        <v>20</v>
      </c>
      <c r="AI171" s="247">
        <v>18</v>
      </c>
      <c r="AJ171" s="247" t="s">
        <v>730</v>
      </c>
    </row>
    <row r="172" spans="20:36">
      <c r="T172" s="93"/>
      <c r="AA172" s="247">
        <v>667</v>
      </c>
      <c r="AB172" s="247" t="s">
        <v>745</v>
      </c>
      <c r="AC172" s="247" t="s">
        <v>516</v>
      </c>
      <c r="AD172" s="247" t="s">
        <v>516</v>
      </c>
      <c r="AE172" s="247" t="s">
        <v>543</v>
      </c>
      <c r="AF172" s="247">
        <v>0</v>
      </c>
      <c r="AG172" s="247" t="s">
        <v>528</v>
      </c>
      <c r="AH172" s="247">
        <v>20</v>
      </c>
      <c r="AI172" s="247">
        <v>27</v>
      </c>
      <c r="AJ172" s="247"/>
    </row>
    <row r="173" spans="20:36">
      <c r="T173" s="93"/>
      <c r="AA173" s="247">
        <v>668</v>
      </c>
      <c r="AB173" s="247" t="s">
        <v>746</v>
      </c>
      <c r="AC173" s="247" t="s">
        <v>516</v>
      </c>
      <c r="AD173" s="247" t="s">
        <v>516</v>
      </c>
      <c r="AE173" s="247" t="s">
        <v>533</v>
      </c>
      <c r="AF173" s="247">
        <v>52</v>
      </c>
      <c r="AG173" s="247" t="s">
        <v>528</v>
      </c>
      <c r="AH173" s="247">
        <v>0</v>
      </c>
      <c r="AI173" s="247">
        <v>18</v>
      </c>
      <c r="AJ173" s="247" t="s">
        <v>747</v>
      </c>
    </row>
    <row r="174" spans="20:36">
      <c r="AA174" s="247">
        <v>669</v>
      </c>
      <c r="AB174" s="247" t="s">
        <v>748</v>
      </c>
      <c r="AC174" s="247" t="s">
        <v>516</v>
      </c>
      <c r="AD174" s="247" t="s">
        <v>516</v>
      </c>
      <c r="AE174" s="247" t="s">
        <v>533</v>
      </c>
      <c r="AF174" s="247">
        <v>52</v>
      </c>
      <c r="AG174" s="247" t="s">
        <v>528</v>
      </c>
      <c r="AH174" s="247">
        <v>20</v>
      </c>
      <c r="AI174" s="247">
        <v>18</v>
      </c>
      <c r="AJ174" s="247" t="s">
        <v>747</v>
      </c>
    </row>
    <row r="175" spans="20:36">
      <c r="AA175" s="247">
        <v>670</v>
      </c>
      <c r="AB175" s="247" t="s">
        <v>749</v>
      </c>
      <c r="AC175" s="247">
        <v>1163</v>
      </c>
      <c r="AD175" s="247" t="s">
        <v>750</v>
      </c>
      <c r="AE175" s="247" t="s">
        <v>533</v>
      </c>
      <c r="AF175" s="247">
        <v>180</v>
      </c>
      <c r="AG175" s="247" t="s">
        <v>528</v>
      </c>
      <c r="AH175" s="247">
        <v>0</v>
      </c>
      <c r="AI175" s="247">
        <v>18</v>
      </c>
      <c r="AJ175" s="247" t="s">
        <v>730</v>
      </c>
    </row>
    <row r="176" spans="20:36">
      <c r="AA176" s="247">
        <v>672</v>
      </c>
      <c r="AB176" s="247" t="s">
        <v>751</v>
      </c>
      <c r="AC176" s="247" t="s">
        <v>516</v>
      </c>
      <c r="AD176" s="247" t="s">
        <v>516</v>
      </c>
      <c r="AE176" s="247" t="s">
        <v>533</v>
      </c>
      <c r="AF176" s="247">
        <v>180</v>
      </c>
      <c r="AG176" s="247" t="s">
        <v>528</v>
      </c>
      <c r="AH176" s="247">
        <v>0</v>
      </c>
      <c r="AI176" s="247">
        <v>18</v>
      </c>
      <c r="AJ176" s="247" t="s">
        <v>730</v>
      </c>
    </row>
    <row r="177" spans="27:36">
      <c r="AA177" s="247">
        <v>675</v>
      </c>
      <c r="AB177" s="247" t="s">
        <v>752</v>
      </c>
      <c r="AC177" s="247">
        <v>1166</v>
      </c>
      <c r="AD177" s="247" t="s">
        <v>753</v>
      </c>
      <c r="AE177" s="247" t="s">
        <v>533</v>
      </c>
      <c r="AF177" s="247">
        <v>180</v>
      </c>
      <c r="AG177" s="247" t="s">
        <v>528</v>
      </c>
      <c r="AH177" s="247">
        <v>0</v>
      </c>
      <c r="AI177" s="247">
        <v>21</v>
      </c>
      <c r="AJ177" s="247" t="s">
        <v>730</v>
      </c>
    </row>
    <row r="178" spans="27:36">
      <c r="AA178" s="247">
        <v>679</v>
      </c>
      <c r="AB178" s="247" t="s">
        <v>754</v>
      </c>
      <c r="AC178" s="247" t="s">
        <v>516</v>
      </c>
      <c r="AD178" s="247" t="s">
        <v>516</v>
      </c>
      <c r="AE178" s="247" t="s">
        <v>533</v>
      </c>
      <c r="AF178" s="247">
        <v>52</v>
      </c>
      <c r="AG178" s="247" t="s">
        <v>528</v>
      </c>
      <c r="AH178" s="247">
        <v>20</v>
      </c>
      <c r="AI178" s="247">
        <v>18</v>
      </c>
      <c r="AJ178" s="247" t="s">
        <v>730</v>
      </c>
    </row>
    <row r="179" spans="27:36">
      <c r="AA179" s="247">
        <v>681</v>
      </c>
      <c r="AB179" s="247" t="s">
        <v>755</v>
      </c>
      <c r="AC179" s="247" t="s">
        <v>516</v>
      </c>
      <c r="AD179" s="247" t="s">
        <v>516</v>
      </c>
      <c r="AE179" s="247" t="s">
        <v>543</v>
      </c>
      <c r="AF179" s="247">
        <v>0</v>
      </c>
      <c r="AG179" s="247" t="s">
        <v>528</v>
      </c>
      <c r="AH179" s="247">
        <v>0</v>
      </c>
      <c r="AI179" s="247">
        <v>27</v>
      </c>
      <c r="AJ179" s="247"/>
    </row>
    <row r="180" spans="27:36">
      <c r="AA180" s="247">
        <v>682</v>
      </c>
      <c r="AB180" s="247" t="s">
        <v>756</v>
      </c>
      <c r="AC180" s="247" t="s">
        <v>516</v>
      </c>
      <c r="AD180" s="247" t="s">
        <v>516</v>
      </c>
      <c r="AE180" s="247" t="s">
        <v>543</v>
      </c>
      <c r="AF180" s="247">
        <v>0</v>
      </c>
      <c r="AG180" s="247" t="s">
        <v>528</v>
      </c>
      <c r="AH180" s="247">
        <v>0</v>
      </c>
      <c r="AI180" s="247">
        <v>27</v>
      </c>
      <c r="AJ180" s="247"/>
    </row>
    <row r="181" spans="27:36">
      <c r="AA181" s="247">
        <v>683</v>
      </c>
      <c r="AB181" s="247" t="s">
        <v>757</v>
      </c>
      <c r="AC181" s="247" t="s">
        <v>516</v>
      </c>
      <c r="AD181" s="247" t="s">
        <v>516</v>
      </c>
      <c r="AE181" s="247" t="s">
        <v>543</v>
      </c>
      <c r="AF181" s="247">
        <v>0</v>
      </c>
      <c r="AG181" s="247" t="s">
        <v>528</v>
      </c>
      <c r="AH181" s="247">
        <v>0</v>
      </c>
      <c r="AI181" s="247">
        <v>27</v>
      </c>
      <c r="AJ181" s="247"/>
    </row>
    <row r="182" spans="27:36">
      <c r="AA182" s="247">
        <v>687</v>
      </c>
      <c r="AB182" s="247" t="s">
        <v>758</v>
      </c>
      <c r="AC182" s="247">
        <v>1931</v>
      </c>
      <c r="AD182" s="247" t="s">
        <v>759</v>
      </c>
      <c r="AE182" s="247" t="s">
        <v>533</v>
      </c>
      <c r="AF182" s="247">
        <v>75</v>
      </c>
      <c r="AG182" s="247" t="s">
        <v>528</v>
      </c>
      <c r="AH182" s="247">
        <v>20</v>
      </c>
      <c r="AI182" s="247">
        <v>24</v>
      </c>
      <c r="AJ182" s="247" t="s">
        <v>747</v>
      </c>
    </row>
    <row r="183" spans="27:36">
      <c r="AA183" s="247">
        <v>691</v>
      </c>
      <c r="AB183" s="247" t="s">
        <v>760</v>
      </c>
      <c r="AC183" s="247" t="s">
        <v>516</v>
      </c>
      <c r="AD183" s="247" t="s">
        <v>516</v>
      </c>
      <c r="AE183" s="247" t="s">
        <v>533</v>
      </c>
      <c r="AF183" s="247">
        <v>170</v>
      </c>
      <c r="AG183" s="247" t="s">
        <v>528</v>
      </c>
      <c r="AH183" s="247">
        <v>0</v>
      </c>
      <c r="AI183" s="247">
        <v>16</v>
      </c>
      <c r="AJ183" s="247" t="s">
        <v>730</v>
      </c>
    </row>
    <row r="184" spans="27:36">
      <c r="AA184" s="247">
        <v>693</v>
      </c>
      <c r="AB184" s="247" t="s">
        <v>761</v>
      </c>
      <c r="AC184" s="247" t="s">
        <v>516</v>
      </c>
      <c r="AD184" s="247" t="s">
        <v>516</v>
      </c>
      <c r="AE184" s="247" t="s">
        <v>533</v>
      </c>
      <c r="AF184" s="247">
        <v>170</v>
      </c>
      <c r="AG184" s="247" t="s">
        <v>528</v>
      </c>
      <c r="AH184" s="247">
        <v>0</v>
      </c>
      <c r="AI184" s="247">
        <v>16</v>
      </c>
      <c r="AJ184" s="247" t="s">
        <v>730</v>
      </c>
    </row>
    <row r="185" spans="27:36">
      <c r="AA185" s="247">
        <v>694</v>
      </c>
      <c r="AB185" s="247" t="s">
        <v>762</v>
      </c>
      <c r="AC185" s="247" t="s">
        <v>516</v>
      </c>
      <c r="AD185" s="247" t="s">
        <v>516</v>
      </c>
      <c r="AE185" s="247" t="s">
        <v>533</v>
      </c>
      <c r="AF185" s="247">
        <v>170</v>
      </c>
      <c r="AG185" s="247" t="s">
        <v>528</v>
      </c>
      <c r="AH185" s="247">
        <v>0</v>
      </c>
      <c r="AI185" s="247">
        <v>16</v>
      </c>
      <c r="AJ185" s="247" t="s">
        <v>730</v>
      </c>
    </row>
    <row r="186" spans="27:36">
      <c r="AA186" s="247">
        <v>695</v>
      </c>
      <c r="AB186" s="247" t="s">
        <v>763</v>
      </c>
      <c r="AC186" s="247">
        <v>1198</v>
      </c>
      <c r="AD186" s="247" t="s">
        <v>764</v>
      </c>
      <c r="AE186" s="247" t="s">
        <v>533</v>
      </c>
      <c r="AF186" s="247">
        <v>52</v>
      </c>
      <c r="AG186" s="247"/>
      <c r="AH186" s="247">
        <v>30</v>
      </c>
      <c r="AI186" s="247">
        <v>22</v>
      </c>
      <c r="AJ186" s="247" t="s">
        <v>668</v>
      </c>
    </row>
    <row r="187" spans="27:36">
      <c r="AA187" s="247">
        <v>696</v>
      </c>
      <c r="AB187" s="247" t="s">
        <v>765</v>
      </c>
      <c r="AC187" s="247" t="s">
        <v>516</v>
      </c>
      <c r="AD187" s="247" t="s">
        <v>516</v>
      </c>
      <c r="AE187" s="247" t="s">
        <v>533</v>
      </c>
      <c r="AF187" s="247">
        <v>52</v>
      </c>
      <c r="AG187" s="247" t="s">
        <v>528</v>
      </c>
      <c r="AH187" s="247">
        <v>0</v>
      </c>
      <c r="AI187" s="247">
        <v>16</v>
      </c>
      <c r="AJ187" s="247" t="s">
        <v>668</v>
      </c>
    </row>
    <row r="188" spans="27:36">
      <c r="AA188" s="247">
        <v>697</v>
      </c>
      <c r="AB188" s="247" t="s">
        <v>766</v>
      </c>
      <c r="AC188" s="247" t="s">
        <v>516</v>
      </c>
      <c r="AD188" s="247" t="s">
        <v>516</v>
      </c>
      <c r="AE188" s="247" t="s">
        <v>507</v>
      </c>
      <c r="AF188" s="247">
        <v>0</v>
      </c>
      <c r="AG188" s="247"/>
      <c r="AH188" s="247">
        <v>0</v>
      </c>
      <c r="AI188" s="247">
        <v>27</v>
      </c>
      <c r="AJ188" s="247"/>
    </row>
    <row r="189" spans="27:36">
      <c r="AA189" s="247">
        <v>700</v>
      </c>
      <c r="AB189" s="247" t="s">
        <v>767</v>
      </c>
      <c r="AC189" s="247">
        <v>57</v>
      </c>
      <c r="AD189" s="247" t="s">
        <v>768</v>
      </c>
      <c r="AE189" s="247" t="s">
        <v>533</v>
      </c>
      <c r="AF189" s="247">
        <v>52</v>
      </c>
      <c r="AG189" s="247" t="s">
        <v>528</v>
      </c>
      <c r="AH189" s="247">
        <v>0</v>
      </c>
      <c r="AI189" s="247">
        <v>18</v>
      </c>
      <c r="AJ189" s="247" t="s">
        <v>747</v>
      </c>
    </row>
    <row r="190" spans="27:36">
      <c r="AA190" s="247">
        <v>707</v>
      </c>
      <c r="AB190" s="247" t="s">
        <v>769</v>
      </c>
      <c r="AC190" s="247">
        <v>2408</v>
      </c>
      <c r="AD190" s="247" t="s">
        <v>770</v>
      </c>
      <c r="AE190" s="247" t="s">
        <v>507</v>
      </c>
      <c r="AF190" s="247">
        <v>52</v>
      </c>
      <c r="AG190" s="247"/>
      <c r="AH190" s="247">
        <v>10</v>
      </c>
      <c r="AI190" s="247">
        <v>28</v>
      </c>
      <c r="AJ190" s="247"/>
    </row>
    <row r="191" spans="27:36">
      <c r="AA191" s="247">
        <v>710</v>
      </c>
      <c r="AB191" s="247" t="s">
        <v>771</v>
      </c>
      <c r="AC191" s="247">
        <v>95</v>
      </c>
      <c r="AD191" s="247" t="s">
        <v>771</v>
      </c>
      <c r="AE191" s="247" t="s">
        <v>507</v>
      </c>
      <c r="AF191" s="247">
        <v>180</v>
      </c>
      <c r="AG191" s="247"/>
      <c r="AH191" s="247">
        <v>10</v>
      </c>
      <c r="AI191" s="247">
        <v>28</v>
      </c>
      <c r="AJ191" s="247"/>
    </row>
    <row r="192" spans="27:36">
      <c r="AA192" s="247">
        <v>711</v>
      </c>
      <c r="AB192" s="247" t="s">
        <v>772</v>
      </c>
      <c r="AC192" s="247" t="s">
        <v>516</v>
      </c>
      <c r="AD192" s="247" t="s">
        <v>516</v>
      </c>
      <c r="AE192" s="247" t="s">
        <v>543</v>
      </c>
      <c r="AF192" s="247">
        <v>0</v>
      </c>
      <c r="AG192" s="247" t="s">
        <v>528</v>
      </c>
      <c r="AH192" s="247">
        <v>0</v>
      </c>
      <c r="AI192" s="247">
        <v>27</v>
      </c>
      <c r="AJ192" s="247"/>
    </row>
    <row r="193" spans="27:36">
      <c r="AA193" s="247">
        <v>712</v>
      </c>
      <c r="AB193" s="247" t="s">
        <v>773</v>
      </c>
      <c r="AC193" s="247" t="s">
        <v>516</v>
      </c>
      <c r="AD193" s="247" t="s">
        <v>516</v>
      </c>
      <c r="AE193" s="247" t="s">
        <v>543</v>
      </c>
      <c r="AF193" s="247">
        <v>0</v>
      </c>
      <c r="AG193" s="247" t="s">
        <v>528</v>
      </c>
      <c r="AH193" s="247">
        <v>0</v>
      </c>
      <c r="AI193" s="247">
        <v>27</v>
      </c>
      <c r="AJ193" s="247"/>
    </row>
    <row r="194" spans="27:36">
      <c r="AA194" s="247">
        <v>713</v>
      </c>
      <c r="AB194" s="247" t="s">
        <v>774</v>
      </c>
      <c r="AC194" s="247" t="s">
        <v>516</v>
      </c>
      <c r="AD194" s="247" t="s">
        <v>516</v>
      </c>
      <c r="AE194" s="247" t="s">
        <v>543</v>
      </c>
      <c r="AF194" s="247">
        <v>0</v>
      </c>
      <c r="AG194" s="247" t="s">
        <v>528</v>
      </c>
      <c r="AH194" s="247">
        <v>0</v>
      </c>
      <c r="AI194" s="247">
        <v>27</v>
      </c>
      <c r="AJ194" s="247"/>
    </row>
    <row r="195" spans="27:36">
      <c r="AA195" s="247">
        <v>714</v>
      </c>
      <c r="AB195" s="247" t="s">
        <v>775</v>
      </c>
      <c r="AC195" s="247" t="s">
        <v>516</v>
      </c>
      <c r="AD195" s="247" t="s">
        <v>516</v>
      </c>
      <c r="AE195" s="247" t="s">
        <v>543</v>
      </c>
      <c r="AF195" s="247">
        <v>0</v>
      </c>
      <c r="AG195" s="247" t="s">
        <v>528</v>
      </c>
      <c r="AH195" s="247">
        <v>0</v>
      </c>
      <c r="AI195" s="247">
        <v>27</v>
      </c>
      <c r="AJ195" s="247"/>
    </row>
    <row r="196" spans="27:36">
      <c r="AA196" s="247">
        <v>715</v>
      </c>
      <c r="AB196" s="247" t="s">
        <v>776</v>
      </c>
      <c r="AC196" s="247">
        <v>1175</v>
      </c>
      <c r="AD196" s="247" t="s">
        <v>777</v>
      </c>
      <c r="AE196" s="247" t="s">
        <v>533</v>
      </c>
      <c r="AF196" s="247">
        <v>52</v>
      </c>
      <c r="AG196" s="247" t="s">
        <v>528</v>
      </c>
      <c r="AH196" s="247">
        <v>0</v>
      </c>
      <c r="AI196" s="247">
        <v>18</v>
      </c>
      <c r="AJ196" s="247" t="s">
        <v>747</v>
      </c>
    </row>
    <row r="197" spans="27:36">
      <c r="AA197" s="247">
        <v>716</v>
      </c>
      <c r="AB197" s="247" t="s">
        <v>778</v>
      </c>
      <c r="AC197" s="247" t="s">
        <v>516</v>
      </c>
      <c r="AD197" s="247" t="s">
        <v>516</v>
      </c>
      <c r="AE197" s="247" t="s">
        <v>543</v>
      </c>
      <c r="AF197" s="247">
        <v>0</v>
      </c>
      <c r="AG197" s="247" t="s">
        <v>528</v>
      </c>
      <c r="AH197" s="247">
        <v>0</v>
      </c>
      <c r="AI197" s="247">
        <v>27</v>
      </c>
      <c r="AJ197" s="247"/>
    </row>
    <row r="198" spans="27:36">
      <c r="AA198" s="247">
        <v>717</v>
      </c>
      <c r="AB198" s="247" t="s">
        <v>779</v>
      </c>
      <c r="AC198" s="247" t="s">
        <v>516</v>
      </c>
      <c r="AD198" s="247" t="s">
        <v>516</v>
      </c>
      <c r="AE198" s="247" t="s">
        <v>543</v>
      </c>
      <c r="AF198" s="247">
        <v>0</v>
      </c>
      <c r="AG198" s="247" t="s">
        <v>528</v>
      </c>
      <c r="AH198" s="247">
        <v>0</v>
      </c>
      <c r="AI198" s="247">
        <v>27</v>
      </c>
      <c r="AJ198" s="247"/>
    </row>
    <row r="199" spans="27:36">
      <c r="AA199" s="247">
        <v>718</v>
      </c>
      <c r="AB199" s="247" t="s">
        <v>780</v>
      </c>
      <c r="AC199" s="247" t="s">
        <v>516</v>
      </c>
      <c r="AD199" s="247" t="s">
        <v>516</v>
      </c>
      <c r="AE199" s="247" t="s">
        <v>543</v>
      </c>
      <c r="AF199" s="247">
        <v>0</v>
      </c>
      <c r="AG199" s="247" t="s">
        <v>528</v>
      </c>
      <c r="AH199" s="247">
        <v>0</v>
      </c>
      <c r="AI199" s="247">
        <v>27</v>
      </c>
      <c r="AJ199" s="247"/>
    </row>
    <row r="200" spans="27:36">
      <c r="AA200" s="247">
        <v>740</v>
      </c>
      <c r="AB200" s="247" t="s">
        <v>781</v>
      </c>
      <c r="AC200" s="247" t="s">
        <v>516</v>
      </c>
      <c r="AD200" s="247" t="s">
        <v>516</v>
      </c>
      <c r="AE200" s="247" t="s">
        <v>533</v>
      </c>
      <c r="AF200" s="247">
        <v>170</v>
      </c>
      <c r="AG200" s="247"/>
      <c r="AH200" s="247">
        <v>20</v>
      </c>
      <c r="AI200" s="247">
        <v>18</v>
      </c>
      <c r="AJ200" s="247" t="s">
        <v>747</v>
      </c>
    </row>
    <row r="201" spans="27:36">
      <c r="AA201" s="247">
        <v>741</v>
      </c>
      <c r="AB201" s="247" t="s">
        <v>782</v>
      </c>
      <c r="AC201" s="247" t="s">
        <v>516</v>
      </c>
      <c r="AD201" s="247" t="s">
        <v>516</v>
      </c>
      <c r="AE201" s="247" t="s">
        <v>533</v>
      </c>
      <c r="AF201" s="247">
        <v>180</v>
      </c>
      <c r="AG201" s="247"/>
      <c r="AH201" s="247">
        <v>20</v>
      </c>
      <c r="AI201" s="247">
        <v>18</v>
      </c>
      <c r="AJ201" s="247" t="s">
        <v>747</v>
      </c>
    </row>
    <row r="202" spans="27:36">
      <c r="AA202" s="247">
        <v>775</v>
      </c>
      <c r="AB202" s="247" t="s">
        <v>783</v>
      </c>
      <c r="AC202" s="247" t="s">
        <v>516</v>
      </c>
      <c r="AD202" s="247" t="s">
        <v>516</v>
      </c>
      <c r="AE202" s="247" t="s">
        <v>507</v>
      </c>
      <c r="AF202" s="247">
        <v>60</v>
      </c>
      <c r="AG202" s="247"/>
      <c r="AH202" s="247">
        <v>20</v>
      </c>
      <c r="AI202" s="247">
        <v>6</v>
      </c>
      <c r="AJ202" s="247"/>
    </row>
    <row r="203" spans="27:36">
      <c r="AA203" s="247">
        <v>776</v>
      </c>
      <c r="AB203" s="247" t="s">
        <v>784</v>
      </c>
      <c r="AC203" s="247" t="s">
        <v>516</v>
      </c>
      <c r="AD203" s="247" t="s">
        <v>516</v>
      </c>
      <c r="AE203" s="247" t="s">
        <v>543</v>
      </c>
      <c r="AF203" s="247">
        <v>0</v>
      </c>
      <c r="AG203" s="247" t="s">
        <v>528</v>
      </c>
      <c r="AH203" s="247">
        <v>0</v>
      </c>
      <c r="AI203" s="247">
        <v>27</v>
      </c>
      <c r="AJ203" s="247"/>
    </row>
    <row r="204" spans="27:36">
      <c r="AA204" s="247">
        <v>780</v>
      </c>
      <c r="AB204" s="247" t="s">
        <v>785</v>
      </c>
      <c r="AC204" s="247" t="s">
        <v>516</v>
      </c>
      <c r="AD204" s="247" t="s">
        <v>516</v>
      </c>
      <c r="AE204" s="247" t="s">
        <v>533</v>
      </c>
      <c r="AF204" s="247">
        <v>52</v>
      </c>
      <c r="AG204" s="247" t="s">
        <v>528</v>
      </c>
      <c r="AH204" s="247">
        <v>0</v>
      </c>
      <c r="AI204" s="247">
        <v>18</v>
      </c>
      <c r="AJ204" s="247" t="s">
        <v>747</v>
      </c>
    </row>
    <row r="205" spans="27:36">
      <c r="AA205" s="247">
        <v>785</v>
      </c>
      <c r="AB205" s="247" t="s">
        <v>786</v>
      </c>
      <c r="AC205" s="247" t="s">
        <v>516</v>
      </c>
      <c r="AD205" s="247" t="s">
        <v>516</v>
      </c>
      <c r="AE205" s="247" t="s">
        <v>543</v>
      </c>
      <c r="AF205" s="247">
        <v>0</v>
      </c>
      <c r="AG205" s="247"/>
      <c r="AH205" s="247">
        <v>20</v>
      </c>
      <c r="AI205" s="247">
        <v>27</v>
      </c>
      <c r="AJ205" s="247"/>
    </row>
    <row r="206" spans="27:36">
      <c r="AA206" s="247">
        <v>786</v>
      </c>
      <c r="AB206" s="247" t="s">
        <v>787</v>
      </c>
      <c r="AC206" s="247" t="s">
        <v>516</v>
      </c>
      <c r="AD206" s="247" t="s">
        <v>516</v>
      </c>
      <c r="AE206" s="247" t="s">
        <v>543</v>
      </c>
      <c r="AF206" s="247">
        <v>0</v>
      </c>
      <c r="AG206" s="247"/>
      <c r="AH206" s="247">
        <v>0</v>
      </c>
      <c r="AI206" s="247">
        <v>27</v>
      </c>
      <c r="AJ206" s="247"/>
    </row>
    <row r="207" spans="27:36">
      <c r="AA207" s="247">
        <v>806</v>
      </c>
      <c r="AB207" s="247" t="s">
        <v>788</v>
      </c>
      <c r="AC207" s="247" t="s">
        <v>516</v>
      </c>
      <c r="AD207" s="247" t="s">
        <v>516</v>
      </c>
      <c r="AE207" s="247" t="s">
        <v>533</v>
      </c>
      <c r="AF207" s="247">
        <v>75</v>
      </c>
      <c r="AG207" s="247" t="s">
        <v>528</v>
      </c>
      <c r="AH207" s="247">
        <v>30</v>
      </c>
      <c r="AI207" s="247">
        <v>14</v>
      </c>
      <c r="AJ207" s="247"/>
    </row>
    <row r="208" spans="27:36">
      <c r="AA208" s="247">
        <v>811</v>
      </c>
      <c r="AB208" s="247" t="s">
        <v>789</v>
      </c>
      <c r="AC208" s="247" t="s">
        <v>516</v>
      </c>
      <c r="AD208" s="247" t="s">
        <v>516</v>
      </c>
      <c r="AE208" s="247" t="s">
        <v>533</v>
      </c>
      <c r="AF208" s="247">
        <v>190</v>
      </c>
      <c r="AG208" s="247" t="s">
        <v>528</v>
      </c>
      <c r="AH208" s="247">
        <v>0</v>
      </c>
      <c r="AI208" s="247">
        <v>14</v>
      </c>
      <c r="AJ208" s="247"/>
    </row>
    <row r="209" spans="27:36">
      <c r="AA209" s="247">
        <v>821</v>
      </c>
      <c r="AB209" s="247" t="s">
        <v>790</v>
      </c>
      <c r="AC209" s="247" t="s">
        <v>516</v>
      </c>
      <c r="AD209" s="247" t="s">
        <v>516</v>
      </c>
      <c r="AE209" s="247" t="s">
        <v>507</v>
      </c>
      <c r="AF209" s="247">
        <v>52</v>
      </c>
      <c r="AG209" s="247"/>
      <c r="AH209" s="247">
        <v>20</v>
      </c>
      <c r="AI209" s="247">
        <v>15</v>
      </c>
      <c r="AJ209" s="247"/>
    </row>
    <row r="210" spans="27:36">
      <c r="AA210" s="247">
        <v>825</v>
      </c>
      <c r="AB210" s="247" t="s">
        <v>791</v>
      </c>
      <c r="AC210" s="247" t="s">
        <v>516</v>
      </c>
      <c r="AD210" s="247" t="s">
        <v>516</v>
      </c>
      <c r="AE210" s="247" t="s">
        <v>533</v>
      </c>
      <c r="AF210" s="247">
        <v>52</v>
      </c>
      <c r="AG210" s="247"/>
      <c r="AH210" s="247">
        <v>20</v>
      </c>
      <c r="AI210" s="247">
        <v>21</v>
      </c>
      <c r="AJ210" s="247"/>
    </row>
    <row r="211" spans="27:36">
      <c r="AA211" s="247">
        <v>826</v>
      </c>
      <c r="AB211" s="247" t="s">
        <v>792</v>
      </c>
      <c r="AC211" s="247" t="s">
        <v>516</v>
      </c>
      <c r="AD211" s="247" t="s">
        <v>516</v>
      </c>
      <c r="AE211" s="247" t="s">
        <v>533</v>
      </c>
      <c r="AF211" s="247">
        <v>52</v>
      </c>
      <c r="AG211" s="247"/>
      <c r="AH211" s="247">
        <v>20</v>
      </c>
      <c r="AI211" s="247">
        <v>21</v>
      </c>
      <c r="AJ211" s="247"/>
    </row>
    <row r="212" spans="27:36">
      <c r="AA212" s="247">
        <v>829</v>
      </c>
      <c r="AB212" s="247" t="s">
        <v>793</v>
      </c>
      <c r="AC212" s="247" t="s">
        <v>516</v>
      </c>
      <c r="AD212" s="247" t="s">
        <v>516</v>
      </c>
      <c r="AE212" s="247" t="s">
        <v>533</v>
      </c>
      <c r="AF212" s="247">
        <v>52</v>
      </c>
      <c r="AG212" s="247"/>
      <c r="AH212" s="247">
        <v>20</v>
      </c>
      <c r="AI212" s="247">
        <v>21</v>
      </c>
      <c r="AJ212" s="247"/>
    </row>
    <row r="213" spans="27:36">
      <c r="AA213" s="247">
        <v>830</v>
      </c>
      <c r="AB213" s="247" t="s">
        <v>794</v>
      </c>
      <c r="AC213" s="247" t="s">
        <v>516</v>
      </c>
      <c r="AD213" s="247" t="s">
        <v>516</v>
      </c>
      <c r="AE213" s="247" t="s">
        <v>543</v>
      </c>
      <c r="AF213" s="247">
        <v>0</v>
      </c>
      <c r="AG213" s="247"/>
      <c r="AH213" s="247">
        <v>20</v>
      </c>
      <c r="AI213" s="247">
        <v>27</v>
      </c>
      <c r="AJ213" s="247"/>
    </row>
    <row r="214" spans="27:36">
      <c r="AA214" s="247">
        <v>831</v>
      </c>
      <c r="AB214" s="247" t="s">
        <v>795</v>
      </c>
      <c r="AC214" s="247" t="s">
        <v>516</v>
      </c>
      <c r="AD214" s="247" t="s">
        <v>516</v>
      </c>
      <c r="AE214" s="247" t="s">
        <v>533</v>
      </c>
      <c r="AF214" s="247">
        <v>52</v>
      </c>
      <c r="AG214" s="247" t="s">
        <v>528</v>
      </c>
      <c r="AH214" s="247">
        <v>0</v>
      </c>
      <c r="AI214" s="247">
        <v>21</v>
      </c>
      <c r="AJ214" s="247"/>
    </row>
    <row r="215" spans="27:36">
      <c r="AA215" s="247">
        <v>835</v>
      </c>
      <c r="AB215" s="247" t="s">
        <v>796</v>
      </c>
      <c r="AC215" s="247" t="s">
        <v>516</v>
      </c>
      <c r="AD215" s="247" t="s">
        <v>516</v>
      </c>
      <c r="AE215" s="247" t="s">
        <v>543</v>
      </c>
      <c r="AF215" s="247">
        <v>0</v>
      </c>
      <c r="AG215" s="247" t="s">
        <v>528</v>
      </c>
      <c r="AH215" s="247">
        <v>20</v>
      </c>
      <c r="AI215" s="247">
        <v>27</v>
      </c>
      <c r="AJ215" s="247"/>
    </row>
    <row r="216" spans="27:36">
      <c r="AA216" s="247">
        <v>836</v>
      </c>
      <c r="AB216" s="247" t="s">
        <v>797</v>
      </c>
      <c r="AC216" s="247" t="s">
        <v>516</v>
      </c>
      <c r="AD216" s="247" t="s">
        <v>516</v>
      </c>
      <c r="AE216" s="247" t="s">
        <v>533</v>
      </c>
      <c r="AF216" s="247">
        <v>52</v>
      </c>
      <c r="AG216" s="247" t="s">
        <v>528</v>
      </c>
      <c r="AH216" s="247">
        <v>0</v>
      </c>
      <c r="AI216" s="247">
        <v>21</v>
      </c>
      <c r="AJ216" s="247"/>
    </row>
    <row r="217" spans="27:36">
      <c r="AA217" s="247">
        <v>850</v>
      </c>
      <c r="AB217" s="247" t="s">
        <v>798</v>
      </c>
      <c r="AC217" s="247">
        <v>1932</v>
      </c>
      <c r="AD217" s="247" t="s">
        <v>799</v>
      </c>
      <c r="AE217" s="247" t="s">
        <v>543</v>
      </c>
      <c r="AF217" s="247">
        <v>0</v>
      </c>
      <c r="AG217" s="247"/>
      <c r="AH217" s="247">
        <v>20</v>
      </c>
      <c r="AI217" s="247">
        <v>27</v>
      </c>
      <c r="AJ217" s="247"/>
    </row>
    <row r="218" spans="27:36">
      <c r="AA218" s="247">
        <v>855</v>
      </c>
      <c r="AB218" s="247" t="s">
        <v>800</v>
      </c>
      <c r="AC218" s="247" t="s">
        <v>516</v>
      </c>
      <c r="AD218" s="247" t="s">
        <v>516</v>
      </c>
      <c r="AE218" s="247" t="s">
        <v>507</v>
      </c>
      <c r="AF218" s="247">
        <v>50</v>
      </c>
      <c r="AG218" s="247"/>
      <c r="AH218" s="247">
        <v>20</v>
      </c>
      <c r="AI218" s="247">
        <v>28</v>
      </c>
      <c r="AJ218" s="247"/>
    </row>
    <row r="219" spans="27:36">
      <c r="AA219" s="247">
        <v>856</v>
      </c>
      <c r="AB219" s="247" t="s">
        <v>801</v>
      </c>
      <c r="AC219" s="247" t="s">
        <v>516</v>
      </c>
      <c r="AD219" s="247" t="s">
        <v>516</v>
      </c>
      <c r="AE219" s="247" t="s">
        <v>507</v>
      </c>
      <c r="AF219" s="247">
        <v>52</v>
      </c>
      <c r="AG219" s="247"/>
      <c r="AH219" s="247">
        <v>20</v>
      </c>
      <c r="AI219" s="247">
        <v>28</v>
      </c>
      <c r="AJ219" s="247"/>
    </row>
    <row r="220" spans="27:36">
      <c r="AA220" s="247">
        <v>857</v>
      </c>
      <c r="AB220" s="247" t="s">
        <v>802</v>
      </c>
      <c r="AC220" s="247" t="s">
        <v>516</v>
      </c>
      <c r="AD220" s="247" t="s">
        <v>516</v>
      </c>
      <c r="AE220" s="247" t="s">
        <v>543</v>
      </c>
      <c r="AF220" s="247">
        <v>0</v>
      </c>
      <c r="AG220" s="247" t="s">
        <v>528</v>
      </c>
      <c r="AH220" s="247">
        <v>0</v>
      </c>
      <c r="AI220" s="247">
        <v>27</v>
      </c>
      <c r="AJ220" s="247"/>
    </row>
    <row r="221" spans="27:36">
      <c r="AA221" s="247">
        <v>858</v>
      </c>
      <c r="AB221" s="247" t="s">
        <v>803</v>
      </c>
      <c r="AC221" s="247" t="s">
        <v>516</v>
      </c>
      <c r="AD221" s="247" t="s">
        <v>516</v>
      </c>
      <c r="AE221" s="247" t="s">
        <v>543</v>
      </c>
      <c r="AF221" s="247">
        <v>0</v>
      </c>
      <c r="AG221" s="247" t="s">
        <v>528</v>
      </c>
      <c r="AH221" s="247">
        <v>20</v>
      </c>
      <c r="AI221" s="247">
        <v>27</v>
      </c>
      <c r="AJ221" s="247"/>
    </row>
    <row r="222" spans="27:36">
      <c r="AA222" s="247">
        <v>871</v>
      </c>
      <c r="AB222" s="247" t="s">
        <v>804</v>
      </c>
      <c r="AC222" s="247" t="s">
        <v>516</v>
      </c>
      <c r="AD222" s="247" t="s">
        <v>516</v>
      </c>
      <c r="AE222" s="247" t="s">
        <v>507</v>
      </c>
      <c r="AF222" s="247">
        <v>0</v>
      </c>
      <c r="AG222" s="247"/>
      <c r="AH222" s="247">
        <v>30</v>
      </c>
      <c r="AI222" s="247">
        <v>28</v>
      </c>
      <c r="AJ222" s="247"/>
    </row>
    <row r="223" spans="27:36">
      <c r="AA223" s="247">
        <v>872</v>
      </c>
      <c r="AB223" s="247" t="s">
        <v>805</v>
      </c>
      <c r="AC223" s="247" t="s">
        <v>516</v>
      </c>
      <c r="AD223" s="247" t="s">
        <v>516</v>
      </c>
      <c r="AE223" s="247" t="s">
        <v>507</v>
      </c>
      <c r="AF223" s="247">
        <v>0</v>
      </c>
      <c r="AG223" s="247"/>
      <c r="AH223" s="247">
        <v>30</v>
      </c>
      <c r="AI223" s="247">
        <v>28</v>
      </c>
      <c r="AJ223" s="247"/>
    </row>
    <row r="224" spans="27:36">
      <c r="AA224" s="247">
        <v>873</v>
      </c>
      <c r="AB224" s="247" t="s">
        <v>806</v>
      </c>
      <c r="AC224" s="247" t="s">
        <v>516</v>
      </c>
      <c r="AD224" s="247" t="s">
        <v>516</v>
      </c>
      <c r="AE224" s="247" t="s">
        <v>507</v>
      </c>
      <c r="AF224" s="247">
        <v>0</v>
      </c>
      <c r="AG224" s="247"/>
      <c r="AH224" s="247">
        <v>30</v>
      </c>
      <c r="AI224" s="247">
        <v>28</v>
      </c>
      <c r="AJ224" s="247"/>
    </row>
    <row r="225" spans="27:36">
      <c r="AA225" s="247">
        <v>874</v>
      </c>
      <c r="AB225" s="247" t="s">
        <v>807</v>
      </c>
      <c r="AC225" s="247" t="s">
        <v>516</v>
      </c>
      <c r="AD225" s="247" t="s">
        <v>516</v>
      </c>
      <c r="AE225" s="247" t="s">
        <v>543</v>
      </c>
      <c r="AF225" s="247">
        <v>0</v>
      </c>
      <c r="AG225" s="247" t="s">
        <v>528</v>
      </c>
      <c r="AH225" s="247">
        <v>20</v>
      </c>
      <c r="AI225" s="247">
        <v>27</v>
      </c>
      <c r="AJ225" s="247"/>
    </row>
    <row r="226" spans="27:36">
      <c r="AA226" s="247">
        <v>875</v>
      </c>
      <c r="AB226" s="247" t="s">
        <v>808</v>
      </c>
      <c r="AC226" s="247" t="s">
        <v>516</v>
      </c>
      <c r="AD226" s="247" t="s">
        <v>516</v>
      </c>
      <c r="AE226" s="247" t="s">
        <v>507</v>
      </c>
      <c r="AF226" s="247">
        <v>0</v>
      </c>
      <c r="AG226" s="247"/>
      <c r="AH226" s="247">
        <v>20</v>
      </c>
      <c r="AI226" s="247">
        <v>27</v>
      </c>
      <c r="AJ226" s="247"/>
    </row>
    <row r="227" spans="27:36">
      <c r="AA227" s="247">
        <v>876</v>
      </c>
      <c r="AB227" s="247" t="s">
        <v>809</v>
      </c>
      <c r="AC227" s="247" t="s">
        <v>516</v>
      </c>
      <c r="AD227" s="247" t="s">
        <v>516</v>
      </c>
      <c r="AE227" s="247" t="s">
        <v>507</v>
      </c>
      <c r="AF227" s="247">
        <v>0</v>
      </c>
      <c r="AG227" s="247"/>
      <c r="AH227" s="247">
        <v>30</v>
      </c>
      <c r="AI227" s="247">
        <v>27</v>
      </c>
      <c r="AJ227" s="247"/>
    </row>
    <row r="228" spans="27:36">
      <c r="AA228" s="247">
        <v>877</v>
      </c>
      <c r="AB228" s="247" t="s">
        <v>810</v>
      </c>
      <c r="AC228" s="247" t="s">
        <v>516</v>
      </c>
      <c r="AD228" s="247" t="s">
        <v>516</v>
      </c>
      <c r="AE228" s="247" t="s">
        <v>507</v>
      </c>
      <c r="AF228" s="247">
        <v>0</v>
      </c>
      <c r="AG228" s="247"/>
      <c r="AH228" s="247">
        <v>20</v>
      </c>
      <c r="AI228" s="247">
        <v>27</v>
      </c>
      <c r="AJ228" s="247"/>
    </row>
    <row r="229" spans="27:36">
      <c r="AA229" s="247">
        <v>878</v>
      </c>
      <c r="AB229" s="247" t="s">
        <v>811</v>
      </c>
      <c r="AC229" s="247" t="s">
        <v>516</v>
      </c>
      <c r="AD229" s="247" t="s">
        <v>516</v>
      </c>
      <c r="AE229" s="247" t="s">
        <v>507</v>
      </c>
      <c r="AF229" s="247">
        <v>0</v>
      </c>
      <c r="AG229" s="247"/>
      <c r="AH229" s="247">
        <v>20</v>
      </c>
      <c r="AI229" s="247">
        <v>27</v>
      </c>
      <c r="AJ229" s="247"/>
    </row>
    <row r="230" spans="27:36">
      <c r="AA230" s="247">
        <v>960</v>
      </c>
      <c r="AB230" s="247" t="s">
        <v>812</v>
      </c>
      <c r="AC230" s="247" t="s">
        <v>516</v>
      </c>
      <c r="AD230" s="247" t="s">
        <v>516</v>
      </c>
      <c r="AE230" s="247" t="s">
        <v>543</v>
      </c>
      <c r="AF230" s="247">
        <v>0</v>
      </c>
      <c r="AG230" s="247" t="s">
        <v>528</v>
      </c>
      <c r="AH230" s="247">
        <v>20</v>
      </c>
      <c r="AI230" s="247">
        <v>27</v>
      </c>
      <c r="AJ230" s="247"/>
    </row>
    <row r="231" spans="27:36">
      <c r="AA231" s="247">
        <v>961</v>
      </c>
      <c r="AB231" s="247" t="s">
        <v>813</v>
      </c>
      <c r="AC231" s="247" t="s">
        <v>516</v>
      </c>
      <c r="AD231" s="247" t="s">
        <v>516</v>
      </c>
      <c r="AE231" s="247" t="s">
        <v>543</v>
      </c>
      <c r="AF231" s="247">
        <v>0</v>
      </c>
      <c r="AG231" s="247" t="s">
        <v>528</v>
      </c>
      <c r="AH231" s="247">
        <v>0</v>
      </c>
      <c r="AI231" s="247">
        <v>27</v>
      </c>
      <c r="AJ231" s="247"/>
    </row>
    <row r="232" spans="27:36">
      <c r="AA232" s="247">
        <v>962</v>
      </c>
      <c r="AB232" s="247" t="s">
        <v>814</v>
      </c>
      <c r="AC232" s="247" t="s">
        <v>516</v>
      </c>
      <c r="AD232" s="247" t="s">
        <v>516</v>
      </c>
      <c r="AE232" s="247" t="s">
        <v>543</v>
      </c>
      <c r="AF232" s="247">
        <v>0</v>
      </c>
      <c r="AG232" s="247" t="s">
        <v>528</v>
      </c>
      <c r="AH232" s="247">
        <v>20</v>
      </c>
      <c r="AI232" s="247">
        <v>27</v>
      </c>
      <c r="AJ232" s="247"/>
    </row>
    <row r="233" spans="27:36">
      <c r="AA233" s="247">
        <v>963</v>
      </c>
      <c r="AB233" s="247" t="s">
        <v>815</v>
      </c>
      <c r="AC233" s="247" t="s">
        <v>516</v>
      </c>
      <c r="AD233" s="247" t="s">
        <v>516</v>
      </c>
      <c r="AE233" s="247" t="s">
        <v>543</v>
      </c>
      <c r="AF233" s="247">
        <v>0</v>
      </c>
      <c r="AG233" s="247" t="s">
        <v>528</v>
      </c>
      <c r="AH233" s="247">
        <v>20</v>
      </c>
      <c r="AI233" s="247">
        <v>27</v>
      </c>
      <c r="AJ233" s="247"/>
    </row>
    <row r="234" spans="27:36">
      <c r="AA234" s="247">
        <v>964</v>
      </c>
      <c r="AB234" s="247" t="s">
        <v>816</v>
      </c>
      <c r="AC234" s="247" t="s">
        <v>516</v>
      </c>
      <c r="AD234" s="247" t="s">
        <v>516</v>
      </c>
      <c r="AE234" s="247" t="s">
        <v>543</v>
      </c>
      <c r="AF234" s="247">
        <v>0</v>
      </c>
      <c r="AG234" s="247" t="s">
        <v>528</v>
      </c>
      <c r="AH234" s="247">
        <v>20</v>
      </c>
      <c r="AI234" s="247">
        <v>27</v>
      </c>
      <c r="AJ234" s="247"/>
    </row>
    <row r="235" spans="27:36">
      <c r="AA235" s="247">
        <v>965</v>
      </c>
      <c r="AB235" s="247" t="s">
        <v>817</v>
      </c>
      <c r="AC235" s="247" t="s">
        <v>516</v>
      </c>
      <c r="AD235" s="247" t="s">
        <v>516</v>
      </c>
      <c r="AE235" s="247" t="s">
        <v>543</v>
      </c>
      <c r="AF235" s="247">
        <v>0</v>
      </c>
      <c r="AG235" s="247" t="s">
        <v>528</v>
      </c>
      <c r="AH235" s="247">
        <v>20</v>
      </c>
      <c r="AI235" s="247">
        <v>27</v>
      </c>
      <c r="AJ235" s="247"/>
    </row>
    <row r="236" spans="27:36">
      <c r="AA236" s="247">
        <v>967</v>
      </c>
      <c r="AB236" s="247" t="s">
        <v>818</v>
      </c>
      <c r="AC236" s="247" t="s">
        <v>516</v>
      </c>
      <c r="AD236" s="247" t="s">
        <v>516</v>
      </c>
      <c r="AE236" s="247" t="s">
        <v>543</v>
      </c>
      <c r="AF236" s="247">
        <v>0</v>
      </c>
      <c r="AG236" s="247"/>
      <c r="AH236" s="247">
        <v>20</v>
      </c>
      <c r="AI236" s="247">
        <v>28</v>
      </c>
      <c r="AJ236" s="247"/>
    </row>
    <row r="237" spans="27:36">
      <c r="AA237" s="247">
        <v>968</v>
      </c>
      <c r="AB237" s="247" t="s">
        <v>819</v>
      </c>
      <c r="AC237" s="247" t="s">
        <v>516</v>
      </c>
      <c r="AD237" s="247" t="s">
        <v>516</v>
      </c>
      <c r="AE237" s="247" t="s">
        <v>543</v>
      </c>
      <c r="AF237" s="247">
        <v>0</v>
      </c>
      <c r="AG237" s="247" t="s">
        <v>528</v>
      </c>
      <c r="AH237" s="247">
        <v>20</v>
      </c>
      <c r="AI237" s="247">
        <v>27</v>
      </c>
      <c r="AJ237" s="247"/>
    </row>
    <row r="238" spans="27:36">
      <c r="AA238" s="247">
        <v>969</v>
      </c>
      <c r="AB238" s="247" t="s">
        <v>820</v>
      </c>
      <c r="AC238" s="247" t="s">
        <v>516</v>
      </c>
      <c r="AD238" s="247" t="s">
        <v>516</v>
      </c>
      <c r="AE238" s="247" t="s">
        <v>543</v>
      </c>
      <c r="AF238" s="247">
        <v>0</v>
      </c>
      <c r="AG238" s="247"/>
      <c r="AH238" s="247">
        <v>20</v>
      </c>
      <c r="AI238" s="247">
        <v>28</v>
      </c>
      <c r="AJ238" s="247"/>
    </row>
    <row r="239" spans="27:36">
      <c r="AA239" s="247">
        <v>970</v>
      </c>
      <c r="AB239" s="247" t="s">
        <v>821</v>
      </c>
      <c r="AC239" s="247" t="s">
        <v>516</v>
      </c>
      <c r="AD239" s="247" t="s">
        <v>516</v>
      </c>
      <c r="AE239" s="247" t="s">
        <v>543</v>
      </c>
      <c r="AF239" s="247">
        <v>0</v>
      </c>
      <c r="AG239" s="247" t="s">
        <v>528</v>
      </c>
      <c r="AH239" s="247">
        <v>0</v>
      </c>
      <c r="AI239" s="247">
        <v>27</v>
      </c>
      <c r="AJ239" s="247"/>
    </row>
    <row r="240" spans="27:36">
      <c r="AA240" s="247">
        <v>971</v>
      </c>
      <c r="AB240" s="247" t="s">
        <v>822</v>
      </c>
      <c r="AC240" s="247" t="s">
        <v>516</v>
      </c>
      <c r="AD240" s="247" t="s">
        <v>516</v>
      </c>
      <c r="AE240" s="247" t="s">
        <v>507</v>
      </c>
      <c r="AF240" s="247">
        <v>52</v>
      </c>
      <c r="AG240" s="247"/>
      <c r="AH240" s="247">
        <v>20</v>
      </c>
      <c r="AI240" s="247">
        <v>15</v>
      </c>
      <c r="AJ240" s="247"/>
    </row>
    <row r="241" spans="27:36">
      <c r="AA241" s="247">
        <v>972</v>
      </c>
      <c r="AB241" s="247" t="s">
        <v>823</v>
      </c>
      <c r="AC241" s="247" t="s">
        <v>516</v>
      </c>
      <c r="AD241" s="247" t="s">
        <v>516</v>
      </c>
      <c r="AE241" s="247" t="s">
        <v>543</v>
      </c>
      <c r="AF241" s="247">
        <v>0</v>
      </c>
      <c r="AG241" s="247" t="s">
        <v>528</v>
      </c>
      <c r="AH241" s="247">
        <v>20</v>
      </c>
      <c r="AI241" s="247">
        <v>27</v>
      </c>
      <c r="AJ241" s="247"/>
    </row>
    <row r="242" spans="27:36">
      <c r="AA242" s="247">
        <v>973</v>
      </c>
      <c r="AB242" s="247" t="s">
        <v>824</v>
      </c>
      <c r="AC242" s="247" t="s">
        <v>516</v>
      </c>
      <c r="AD242" s="247" t="s">
        <v>516</v>
      </c>
      <c r="AE242" s="247" t="s">
        <v>507</v>
      </c>
      <c r="AF242" s="247">
        <v>75</v>
      </c>
      <c r="AG242" s="247" t="s">
        <v>528</v>
      </c>
      <c r="AH242" s="247">
        <v>20</v>
      </c>
      <c r="AI242" s="247">
        <v>15</v>
      </c>
      <c r="AJ242" s="247"/>
    </row>
    <row r="243" spans="27:36">
      <c r="AA243" s="247">
        <v>974</v>
      </c>
      <c r="AB243" s="247" t="s">
        <v>825</v>
      </c>
      <c r="AC243" s="247" t="s">
        <v>516</v>
      </c>
      <c r="AD243" s="247" t="s">
        <v>516</v>
      </c>
      <c r="AE243" s="247" t="s">
        <v>543</v>
      </c>
      <c r="AF243" s="247">
        <v>0</v>
      </c>
      <c r="AG243" s="247" t="s">
        <v>528</v>
      </c>
      <c r="AH243" s="247">
        <v>20</v>
      </c>
      <c r="AI243" s="247">
        <v>27</v>
      </c>
      <c r="AJ243" s="247"/>
    </row>
    <row r="244" spans="27:36">
      <c r="AA244" s="247">
        <v>1001</v>
      </c>
      <c r="AB244" s="247" t="s">
        <v>826</v>
      </c>
      <c r="AC244" s="247" t="s">
        <v>516</v>
      </c>
      <c r="AD244" s="247" t="s">
        <v>516</v>
      </c>
      <c r="AE244" s="247" t="s">
        <v>543</v>
      </c>
      <c r="AF244" s="247">
        <v>0</v>
      </c>
      <c r="AG244" s="247"/>
      <c r="AH244" s="247">
        <v>20</v>
      </c>
      <c r="AI244" s="247">
        <v>27</v>
      </c>
      <c r="AJ244" s="247"/>
    </row>
    <row r="245" spans="27:36">
      <c r="AA245" s="247">
        <v>1005</v>
      </c>
      <c r="AB245" s="247" t="s">
        <v>827</v>
      </c>
      <c r="AC245" s="247">
        <v>1558</v>
      </c>
      <c r="AD245" s="247" t="s">
        <v>828</v>
      </c>
      <c r="AE245" s="247" t="s">
        <v>533</v>
      </c>
      <c r="AF245" s="247">
        <v>52</v>
      </c>
      <c r="AG245" s="247" t="s">
        <v>528</v>
      </c>
      <c r="AH245" s="247">
        <v>20</v>
      </c>
      <c r="AI245" s="247">
        <v>15</v>
      </c>
      <c r="AJ245" s="247"/>
    </row>
    <row r="246" spans="27:36">
      <c r="AA246" s="247">
        <v>1015</v>
      </c>
      <c r="AB246" s="247" t="s">
        <v>829</v>
      </c>
      <c r="AC246" s="247">
        <v>1564</v>
      </c>
      <c r="AD246" s="247" t="s">
        <v>830</v>
      </c>
      <c r="AE246" s="247" t="s">
        <v>533</v>
      </c>
      <c r="AF246" s="247">
        <v>52</v>
      </c>
      <c r="AG246" s="247" t="s">
        <v>528</v>
      </c>
      <c r="AH246" s="247">
        <v>0</v>
      </c>
      <c r="AI246" s="247">
        <v>15</v>
      </c>
      <c r="AJ246" s="247"/>
    </row>
    <row r="247" spans="27:36">
      <c r="AA247" s="247">
        <v>1050</v>
      </c>
      <c r="AB247" s="247" t="s">
        <v>831</v>
      </c>
      <c r="AC247" s="247" t="s">
        <v>516</v>
      </c>
      <c r="AD247" s="247" t="s">
        <v>516</v>
      </c>
      <c r="AE247" s="247" t="s">
        <v>543</v>
      </c>
      <c r="AF247" s="247">
        <v>0</v>
      </c>
      <c r="AG247" s="247"/>
      <c r="AH247" s="247">
        <v>10</v>
      </c>
      <c r="AI247" s="247">
        <v>27</v>
      </c>
      <c r="AJ247" s="247"/>
    </row>
    <row r="248" spans="27:36">
      <c r="AA248" s="247">
        <v>1055</v>
      </c>
      <c r="AB248" s="247" t="s">
        <v>832</v>
      </c>
      <c r="AC248" s="247" t="s">
        <v>516</v>
      </c>
      <c r="AD248" s="247" t="s">
        <v>516</v>
      </c>
      <c r="AE248" s="247" t="s">
        <v>533</v>
      </c>
      <c r="AF248" s="247">
        <v>52</v>
      </c>
      <c r="AG248" s="247" t="s">
        <v>528</v>
      </c>
      <c r="AH248" s="247">
        <v>0</v>
      </c>
      <c r="AI248" s="247">
        <v>25</v>
      </c>
      <c r="AJ248" s="247"/>
    </row>
    <row r="249" spans="27:36">
      <c r="AA249" s="247">
        <v>1065</v>
      </c>
      <c r="AB249" s="247" t="s">
        <v>833</v>
      </c>
      <c r="AC249" s="247" t="s">
        <v>516</v>
      </c>
      <c r="AD249" s="247" t="s">
        <v>516</v>
      </c>
      <c r="AE249" s="247" t="s">
        <v>507</v>
      </c>
      <c r="AF249" s="247">
        <v>52</v>
      </c>
      <c r="AG249" s="247"/>
      <c r="AH249" s="247">
        <v>20</v>
      </c>
      <c r="AI249" s="247">
        <v>15</v>
      </c>
      <c r="AJ249" s="247"/>
    </row>
    <row r="250" spans="27:36">
      <c r="AA250" s="247">
        <v>1070</v>
      </c>
      <c r="AB250" s="247" t="s">
        <v>834</v>
      </c>
      <c r="AC250" s="247" t="s">
        <v>516</v>
      </c>
      <c r="AD250" s="247" t="s">
        <v>516</v>
      </c>
      <c r="AE250" s="247" t="s">
        <v>507</v>
      </c>
      <c r="AF250" s="247">
        <v>52</v>
      </c>
      <c r="AG250" s="247"/>
      <c r="AH250" s="247">
        <v>20</v>
      </c>
      <c r="AI250" s="247">
        <v>15</v>
      </c>
      <c r="AJ250" s="247"/>
    </row>
    <row r="251" spans="27:36">
      <c r="AA251" s="247">
        <v>1125</v>
      </c>
      <c r="AB251" s="247" t="s">
        <v>835</v>
      </c>
      <c r="AC251" s="247" t="s">
        <v>516</v>
      </c>
      <c r="AD251" s="247" t="s">
        <v>516</v>
      </c>
      <c r="AE251" s="247" t="s">
        <v>533</v>
      </c>
      <c r="AF251" s="247">
        <v>52</v>
      </c>
      <c r="AG251" s="247" t="s">
        <v>528</v>
      </c>
      <c r="AH251" s="247">
        <v>20</v>
      </c>
      <c r="AI251" s="247">
        <v>21</v>
      </c>
      <c r="AJ251" s="247"/>
    </row>
    <row r="252" spans="27:36">
      <c r="AA252" s="247">
        <v>1130</v>
      </c>
      <c r="AB252" s="247" t="s">
        <v>836</v>
      </c>
      <c r="AC252" s="247" t="s">
        <v>516</v>
      </c>
      <c r="AD252" s="247" t="s">
        <v>516</v>
      </c>
      <c r="AE252" s="247" t="s">
        <v>533</v>
      </c>
      <c r="AF252" s="247">
        <v>52</v>
      </c>
      <c r="AG252" s="247" t="s">
        <v>528</v>
      </c>
      <c r="AH252" s="247">
        <v>0</v>
      </c>
      <c r="AI252" s="247">
        <v>21</v>
      </c>
      <c r="AJ252" s="247"/>
    </row>
    <row r="253" spans="27:36">
      <c r="AA253" s="247">
        <v>1150</v>
      </c>
      <c r="AB253" s="247" t="s">
        <v>837</v>
      </c>
      <c r="AC253" s="247" t="s">
        <v>516</v>
      </c>
      <c r="AD253" s="247" t="s">
        <v>516</v>
      </c>
      <c r="AE253" s="247" t="s">
        <v>543</v>
      </c>
      <c r="AF253" s="247">
        <v>0</v>
      </c>
      <c r="AG253" s="247" t="s">
        <v>528</v>
      </c>
      <c r="AH253" s="247">
        <v>20</v>
      </c>
      <c r="AI253" s="247">
        <v>27</v>
      </c>
      <c r="AJ253" s="247"/>
    </row>
    <row r="254" spans="27:36">
      <c r="AA254" s="247">
        <v>1151</v>
      </c>
      <c r="AB254" s="247" t="s">
        <v>838</v>
      </c>
      <c r="AC254" s="247" t="s">
        <v>516</v>
      </c>
      <c r="AD254" s="247" t="s">
        <v>516</v>
      </c>
      <c r="AE254" s="247" t="s">
        <v>507</v>
      </c>
      <c r="AF254" s="247">
        <v>0</v>
      </c>
      <c r="AG254" s="247"/>
      <c r="AH254" s="247">
        <v>20</v>
      </c>
      <c r="AI254" s="247">
        <v>27</v>
      </c>
      <c r="AJ254" s="247"/>
    </row>
    <row r="255" spans="27:36">
      <c r="AA255" s="247">
        <v>1160</v>
      </c>
      <c r="AB255" s="247" t="s">
        <v>839</v>
      </c>
      <c r="AC255" s="247" t="s">
        <v>516</v>
      </c>
      <c r="AD255" s="247" t="s">
        <v>516</v>
      </c>
      <c r="AE255" s="247" t="s">
        <v>543</v>
      </c>
      <c r="AF255" s="247">
        <v>0</v>
      </c>
      <c r="AG255" s="247"/>
      <c r="AH255" s="247">
        <v>20</v>
      </c>
      <c r="AI255" s="247">
        <v>27</v>
      </c>
      <c r="AJ255" s="247"/>
    </row>
    <row r="256" spans="27:36">
      <c r="AA256" s="247">
        <v>1161</v>
      </c>
      <c r="AB256" s="247" t="s">
        <v>840</v>
      </c>
      <c r="AC256" s="247" t="s">
        <v>516</v>
      </c>
      <c r="AD256" s="247" t="s">
        <v>516</v>
      </c>
      <c r="AE256" s="247" t="s">
        <v>543</v>
      </c>
      <c r="AF256" s="247">
        <v>0</v>
      </c>
      <c r="AG256" s="247"/>
      <c r="AH256" s="247">
        <v>20</v>
      </c>
      <c r="AI256" s="247">
        <v>27</v>
      </c>
      <c r="AJ256" s="247"/>
    </row>
    <row r="257" spans="27:36">
      <c r="AA257" s="247">
        <v>1200</v>
      </c>
      <c r="AB257" s="247" t="s">
        <v>841</v>
      </c>
      <c r="AC257" s="247">
        <v>1713</v>
      </c>
      <c r="AD257" s="247" t="s">
        <v>842</v>
      </c>
      <c r="AE257" s="247" t="s">
        <v>543</v>
      </c>
      <c r="AF257" s="247">
        <v>0</v>
      </c>
      <c r="AG257" s="247"/>
      <c r="AH257" s="247">
        <v>30</v>
      </c>
      <c r="AI257" s="247">
        <v>27</v>
      </c>
      <c r="AJ257" s="247"/>
    </row>
    <row r="258" spans="27:36">
      <c r="AA258" s="247">
        <v>1210</v>
      </c>
      <c r="AB258" s="247" t="s">
        <v>843</v>
      </c>
      <c r="AC258" s="247">
        <v>1714</v>
      </c>
      <c r="AD258" s="247" t="s">
        <v>844</v>
      </c>
      <c r="AE258" s="247" t="s">
        <v>533</v>
      </c>
      <c r="AF258" s="247">
        <v>52</v>
      </c>
      <c r="AG258" s="247" t="s">
        <v>528</v>
      </c>
      <c r="AH258" s="247">
        <v>0</v>
      </c>
      <c r="AI258" s="247">
        <v>22</v>
      </c>
      <c r="AJ258" s="247"/>
    </row>
    <row r="259" spans="27:36">
      <c r="AA259" s="247">
        <v>1215</v>
      </c>
      <c r="AB259" s="247" t="s">
        <v>845</v>
      </c>
      <c r="AC259" s="247" t="s">
        <v>516</v>
      </c>
      <c r="AD259" s="247" t="s">
        <v>516</v>
      </c>
      <c r="AE259" s="247" t="s">
        <v>543</v>
      </c>
      <c r="AF259" s="247">
        <v>0</v>
      </c>
      <c r="AG259" s="247" t="s">
        <v>528</v>
      </c>
      <c r="AH259" s="247">
        <v>20</v>
      </c>
      <c r="AI259" s="247">
        <v>27</v>
      </c>
      <c r="AJ259" s="247"/>
    </row>
    <row r="260" spans="27:36">
      <c r="AA260" s="247">
        <v>1216</v>
      </c>
      <c r="AB260" s="247" t="s">
        <v>846</v>
      </c>
      <c r="AC260" s="247" t="s">
        <v>516</v>
      </c>
      <c r="AD260" s="247" t="s">
        <v>516</v>
      </c>
      <c r="AE260" s="247" t="s">
        <v>533</v>
      </c>
      <c r="AF260" s="247">
        <v>52</v>
      </c>
      <c r="AG260" s="247" t="s">
        <v>528</v>
      </c>
      <c r="AH260" s="247">
        <v>0</v>
      </c>
      <c r="AI260" s="247">
        <v>21</v>
      </c>
      <c r="AJ260" s="247"/>
    </row>
    <row r="261" spans="27:36">
      <c r="AA261" s="247">
        <v>1311</v>
      </c>
      <c r="AB261" s="247" t="s">
        <v>847</v>
      </c>
      <c r="AC261" s="247" t="s">
        <v>516</v>
      </c>
      <c r="AD261" s="247" t="s">
        <v>516</v>
      </c>
      <c r="AE261" s="247" t="s">
        <v>543</v>
      </c>
      <c r="AF261" s="247">
        <v>0</v>
      </c>
      <c r="AG261" s="247" t="s">
        <v>528</v>
      </c>
      <c r="AH261" s="247">
        <v>20</v>
      </c>
      <c r="AI261" s="247">
        <v>27</v>
      </c>
      <c r="AJ261" s="247"/>
    </row>
    <row r="262" spans="27:36">
      <c r="AA262" s="247">
        <v>1312</v>
      </c>
      <c r="AB262" s="247" t="s">
        <v>848</v>
      </c>
      <c r="AC262" s="247" t="s">
        <v>516</v>
      </c>
      <c r="AD262" s="247" t="s">
        <v>516</v>
      </c>
      <c r="AE262" s="247" t="s">
        <v>543</v>
      </c>
      <c r="AF262" s="247">
        <v>0</v>
      </c>
      <c r="AG262" s="247" t="s">
        <v>528</v>
      </c>
      <c r="AH262" s="247">
        <v>20</v>
      </c>
      <c r="AI262" s="247">
        <v>27</v>
      </c>
      <c r="AJ262" s="247"/>
    </row>
    <row r="263" spans="27:36">
      <c r="AA263" s="247">
        <v>1313</v>
      </c>
      <c r="AB263" s="247" t="s">
        <v>849</v>
      </c>
      <c r="AC263" s="247" t="s">
        <v>516</v>
      </c>
      <c r="AD263" s="247" t="s">
        <v>516</v>
      </c>
      <c r="AE263" s="247" t="s">
        <v>543</v>
      </c>
      <c r="AF263" s="247">
        <v>0</v>
      </c>
      <c r="AG263" s="247" t="s">
        <v>528</v>
      </c>
      <c r="AH263" s="247">
        <v>20</v>
      </c>
      <c r="AI263" s="247">
        <v>27</v>
      </c>
      <c r="AJ263" s="247"/>
    </row>
    <row r="264" spans="27:36">
      <c r="AA264" s="247">
        <v>1314</v>
      </c>
      <c r="AB264" s="247" t="s">
        <v>850</v>
      </c>
      <c r="AC264" s="247" t="s">
        <v>516</v>
      </c>
      <c r="AD264" s="247" t="s">
        <v>516</v>
      </c>
      <c r="AE264" s="247" t="s">
        <v>543</v>
      </c>
      <c r="AF264" s="247">
        <v>0</v>
      </c>
      <c r="AG264" s="247" t="s">
        <v>528</v>
      </c>
      <c r="AH264" s="247">
        <v>20</v>
      </c>
      <c r="AI264" s="247">
        <v>27</v>
      </c>
      <c r="AJ264" s="247"/>
    </row>
    <row r="265" spans="27:36">
      <c r="AA265" s="247">
        <v>1316</v>
      </c>
      <c r="AB265" s="247" t="s">
        <v>851</v>
      </c>
      <c r="AC265" s="247" t="s">
        <v>516</v>
      </c>
      <c r="AD265" s="247" t="s">
        <v>516</v>
      </c>
      <c r="AE265" s="247" t="s">
        <v>533</v>
      </c>
      <c r="AF265" s="247">
        <v>52</v>
      </c>
      <c r="AG265" s="247" t="s">
        <v>528</v>
      </c>
      <c r="AH265" s="247">
        <v>20</v>
      </c>
      <c r="AI265" s="247">
        <v>23</v>
      </c>
      <c r="AJ265" s="247"/>
    </row>
    <row r="266" spans="27:36">
      <c r="AA266" s="247">
        <v>1319</v>
      </c>
      <c r="AB266" s="247" t="s">
        <v>852</v>
      </c>
      <c r="AC266" s="247" t="s">
        <v>516</v>
      </c>
      <c r="AD266" s="247" t="s">
        <v>516</v>
      </c>
      <c r="AE266" s="247" t="s">
        <v>543</v>
      </c>
      <c r="AF266" s="247">
        <v>0</v>
      </c>
      <c r="AG266" s="247" t="s">
        <v>528</v>
      </c>
      <c r="AH266" s="247">
        <v>20</v>
      </c>
      <c r="AI266" s="247">
        <v>27</v>
      </c>
      <c r="AJ266" s="247"/>
    </row>
    <row r="267" spans="27:36">
      <c r="AA267" s="247">
        <v>1320</v>
      </c>
      <c r="AB267" s="247" t="s">
        <v>853</v>
      </c>
      <c r="AC267" s="247" t="s">
        <v>516</v>
      </c>
      <c r="AD267" s="247" t="s">
        <v>516</v>
      </c>
      <c r="AE267" s="247" t="s">
        <v>507</v>
      </c>
      <c r="AF267" s="247">
        <v>0</v>
      </c>
      <c r="AG267" s="247"/>
      <c r="AH267" s="247">
        <v>20</v>
      </c>
      <c r="AI267" s="247">
        <v>27</v>
      </c>
      <c r="AJ267" s="247"/>
    </row>
    <row r="268" spans="27:36">
      <c r="AA268" s="247">
        <v>1321</v>
      </c>
      <c r="AB268" s="247" t="s">
        <v>854</v>
      </c>
      <c r="AC268" s="247" t="s">
        <v>516</v>
      </c>
      <c r="AD268" s="247" t="s">
        <v>516</v>
      </c>
      <c r="AE268" s="247" t="s">
        <v>543</v>
      </c>
      <c r="AF268" s="247">
        <v>0</v>
      </c>
      <c r="AG268" s="247" t="s">
        <v>528</v>
      </c>
      <c r="AH268" s="247">
        <v>20</v>
      </c>
      <c r="AI268" s="247">
        <v>27</v>
      </c>
      <c r="AJ268" s="247"/>
    </row>
    <row r="269" spans="27:36">
      <c r="AA269" s="247">
        <v>1322</v>
      </c>
      <c r="AB269" s="247" t="s">
        <v>855</v>
      </c>
      <c r="AC269" s="247" t="s">
        <v>516</v>
      </c>
      <c r="AD269" s="247" t="s">
        <v>516</v>
      </c>
      <c r="AE269" s="247" t="s">
        <v>543</v>
      </c>
      <c r="AF269" s="247">
        <v>0</v>
      </c>
      <c r="AG269" s="247" t="s">
        <v>528</v>
      </c>
      <c r="AH269" s="247">
        <v>20</v>
      </c>
      <c r="AI269" s="247">
        <v>27</v>
      </c>
      <c r="AJ269" s="247"/>
    </row>
    <row r="270" spans="27:36">
      <c r="AA270" s="247">
        <v>1405</v>
      </c>
      <c r="AB270" s="247" t="s">
        <v>856</v>
      </c>
      <c r="AC270" s="247">
        <v>1585</v>
      </c>
      <c r="AD270" s="247" t="s">
        <v>857</v>
      </c>
      <c r="AE270" s="247" t="s">
        <v>507</v>
      </c>
      <c r="AF270" s="247">
        <v>60</v>
      </c>
      <c r="AG270" s="247" t="s">
        <v>528</v>
      </c>
      <c r="AH270" s="247">
        <v>0</v>
      </c>
      <c r="AI270" s="247">
        <v>9</v>
      </c>
      <c r="AJ270" s="247"/>
    </row>
    <row r="271" spans="27:36">
      <c r="AA271" s="247">
        <v>1407</v>
      </c>
      <c r="AB271" s="247" t="s">
        <v>858</v>
      </c>
      <c r="AC271" s="247" t="s">
        <v>516</v>
      </c>
      <c r="AD271" s="247" t="s">
        <v>516</v>
      </c>
      <c r="AE271" s="247" t="s">
        <v>507</v>
      </c>
      <c r="AF271" s="247">
        <v>60</v>
      </c>
      <c r="AG271" s="247" t="s">
        <v>528</v>
      </c>
      <c r="AH271" s="247">
        <v>0</v>
      </c>
      <c r="AI271" s="247">
        <v>9</v>
      </c>
      <c r="AJ271" s="247"/>
    </row>
    <row r="272" spans="27:36">
      <c r="AA272" s="247">
        <v>1408</v>
      </c>
      <c r="AB272" s="247" t="s">
        <v>859</v>
      </c>
      <c r="AC272" s="247" t="s">
        <v>516</v>
      </c>
      <c r="AD272" s="247" t="s">
        <v>516</v>
      </c>
      <c r="AE272" s="247" t="s">
        <v>507</v>
      </c>
      <c r="AF272" s="247">
        <v>0</v>
      </c>
      <c r="AG272" s="247"/>
      <c r="AH272" s="247">
        <v>20</v>
      </c>
      <c r="AI272" s="247">
        <v>28</v>
      </c>
      <c r="AJ272" s="247"/>
    </row>
    <row r="273" spans="27:36">
      <c r="AA273" s="247">
        <v>1409</v>
      </c>
      <c r="AB273" s="247" t="s">
        <v>860</v>
      </c>
      <c r="AC273" s="247" t="s">
        <v>516</v>
      </c>
      <c r="AD273" s="247" t="s">
        <v>516</v>
      </c>
      <c r="AE273" s="247" t="s">
        <v>507</v>
      </c>
      <c r="AF273" s="247">
        <v>0</v>
      </c>
      <c r="AG273" s="247"/>
      <c r="AH273" s="247">
        <v>20</v>
      </c>
      <c r="AI273" s="247">
        <v>28</v>
      </c>
      <c r="AJ273" s="247"/>
    </row>
    <row r="274" spans="27:36">
      <c r="AA274" s="247">
        <v>1410</v>
      </c>
      <c r="AB274" s="247" t="s">
        <v>861</v>
      </c>
      <c r="AC274" s="247" t="s">
        <v>516</v>
      </c>
      <c r="AD274" s="247" t="s">
        <v>516</v>
      </c>
      <c r="AE274" s="247" t="s">
        <v>507</v>
      </c>
      <c r="AF274" s="247">
        <v>190</v>
      </c>
      <c r="AG274" s="247" t="s">
        <v>528</v>
      </c>
      <c r="AH274" s="247">
        <v>0</v>
      </c>
      <c r="AI274" s="247">
        <v>9</v>
      </c>
      <c r="AJ274" s="247"/>
    </row>
    <row r="275" spans="27:36">
      <c r="AA275" s="247">
        <v>1500</v>
      </c>
      <c r="AB275" s="247" t="s">
        <v>862</v>
      </c>
      <c r="AC275" s="247">
        <v>1337</v>
      </c>
      <c r="AD275" s="247" t="s">
        <v>863</v>
      </c>
      <c r="AE275" s="247" t="s">
        <v>533</v>
      </c>
      <c r="AF275" s="247">
        <v>52</v>
      </c>
      <c r="AG275" s="247" t="s">
        <v>528</v>
      </c>
      <c r="AH275" s="247">
        <v>0</v>
      </c>
      <c r="AI275" s="247">
        <v>23</v>
      </c>
      <c r="AJ275" s="247"/>
    </row>
    <row r="276" spans="27:36">
      <c r="AA276" s="247">
        <v>1510</v>
      </c>
      <c r="AB276" s="247" t="s">
        <v>864</v>
      </c>
      <c r="AC276" s="247">
        <v>1306</v>
      </c>
      <c r="AD276" s="247" t="s">
        <v>865</v>
      </c>
      <c r="AE276" s="247" t="s">
        <v>533</v>
      </c>
      <c r="AF276" s="247">
        <v>52</v>
      </c>
      <c r="AG276" s="247" t="s">
        <v>528</v>
      </c>
      <c r="AH276" s="247">
        <v>0</v>
      </c>
      <c r="AI276" s="247">
        <v>23</v>
      </c>
      <c r="AJ276" s="247"/>
    </row>
    <row r="277" spans="27:36">
      <c r="AA277" s="247">
        <v>1520</v>
      </c>
      <c r="AB277" s="247" t="s">
        <v>866</v>
      </c>
      <c r="AC277" s="247" t="s">
        <v>516</v>
      </c>
      <c r="AD277" s="247" t="s">
        <v>516</v>
      </c>
      <c r="AE277" s="247" t="s">
        <v>533</v>
      </c>
      <c r="AF277" s="247">
        <v>52</v>
      </c>
      <c r="AG277" s="247" t="s">
        <v>528</v>
      </c>
      <c r="AH277" s="247">
        <v>20</v>
      </c>
      <c r="AI277" s="247">
        <v>21</v>
      </c>
      <c r="AJ277" s="247"/>
    </row>
    <row r="278" spans="27:36">
      <c r="AA278" s="247">
        <v>1525</v>
      </c>
      <c r="AB278" s="247" t="s">
        <v>867</v>
      </c>
      <c r="AC278" s="247" t="s">
        <v>516</v>
      </c>
      <c r="AD278" s="247" t="s">
        <v>516</v>
      </c>
      <c r="AE278" s="247" t="s">
        <v>533</v>
      </c>
      <c r="AF278" s="247">
        <v>52</v>
      </c>
      <c r="AG278" s="247" t="s">
        <v>528</v>
      </c>
      <c r="AH278" s="247">
        <v>20</v>
      </c>
      <c r="AI278" s="247">
        <v>21</v>
      </c>
      <c r="AJ278" s="247"/>
    </row>
    <row r="279" spans="27:36">
      <c r="AA279" s="247">
        <v>1530</v>
      </c>
      <c r="AB279" s="247" t="s">
        <v>868</v>
      </c>
      <c r="AC279" s="247" t="s">
        <v>516</v>
      </c>
      <c r="AD279" s="247" t="s">
        <v>516</v>
      </c>
      <c r="AE279" s="247" t="s">
        <v>543</v>
      </c>
      <c r="AF279" s="247">
        <v>0</v>
      </c>
      <c r="AG279" s="247"/>
      <c r="AH279" s="247">
        <v>10</v>
      </c>
      <c r="AI279" s="247">
        <v>27</v>
      </c>
      <c r="AJ279" s="247"/>
    </row>
    <row r="280" spans="27:36">
      <c r="AA280" s="247">
        <v>1548</v>
      </c>
      <c r="AB280" s="247" t="s">
        <v>869</v>
      </c>
      <c r="AC280" s="247" t="s">
        <v>516</v>
      </c>
      <c r="AD280" s="247" t="s">
        <v>516</v>
      </c>
      <c r="AE280" s="247" t="s">
        <v>533</v>
      </c>
      <c r="AF280" s="247">
        <v>52</v>
      </c>
      <c r="AG280" s="247" t="s">
        <v>528</v>
      </c>
      <c r="AH280" s="247">
        <v>20</v>
      </c>
      <c r="AI280" s="247">
        <v>23</v>
      </c>
      <c r="AJ280" s="247"/>
    </row>
    <row r="281" spans="27:36">
      <c r="AA281" s="247">
        <v>1550</v>
      </c>
      <c r="AB281" s="247" t="s">
        <v>870</v>
      </c>
      <c r="AC281" s="247">
        <v>1355</v>
      </c>
      <c r="AD281" s="247" t="s">
        <v>871</v>
      </c>
      <c r="AE281" s="247" t="s">
        <v>533</v>
      </c>
      <c r="AF281" s="247">
        <v>52</v>
      </c>
      <c r="AG281" s="247" t="s">
        <v>528</v>
      </c>
      <c r="AH281" s="247">
        <v>20</v>
      </c>
      <c r="AI281" s="247">
        <v>23</v>
      </c>
      <c r="AJ281" s="247"/>
    </row>
    <row r="282" spans="27:36">
      <c r="AA282" s="247">
        <v>1552</v>
      </c>
      <c r="AB282" s="247" t="s">
        <v>872</v>
      </c>
      <c r="AC282" s="247">
        <v>2315</v>
      </c>
      <c r="AD282" s="247" t="s">
        <v>516</v>
      </c>
      <c r="AE282" s="247" t="s">
        <v>507</v>
      </c>
      <c r="AF282" s="247">
        <v>0</v>
      </c>
      <c r="AG282" s="247"/>
      <c r="AH282" s="247">
        <v>20</v>
      </c>
      <c r="AI282" s="247">
        <v>28</v>
      </c>
      <c r="AJ282" s="247"/>
    </row>
    <row r="283" spans="27:36">
      <c r="AA283" s="247">
        <v>1555</v>
      </c>
      <c r="AB283" s="247" t="s">
        <v>873</v>
      </c>
      <c r="AC283" s="247" t="s">
        <v>516</v>
      </c>
      <c r="AD283" s="247" t="s">
        <v>516</v>
      </c>
      <c r="AE283" s="247" t="s">
        <v>507</v>
      </c>
      <c r="AF283" s="247">
        <v>0</v>
      </c>
      <c r="AG283" s="247"/>
      <c r="AH283" s="247">
        <v>20</v>
      </c>
      <c r="AI283" s="247">
        <v>28</v>
      </c>
      <c r="AJ283" s="247"/>
    </row>
    <row r="284" spans="27:36">
      <c r="AA284" s="247">
        <v>1557</v>
      </c>
      <c r="AB284" s="247" t="s">
        <v>874</v>
      </c>
      <c r="AC284" s="247" t="s">
        <v>516</v>
      </c>
      <c r="AD284" s="247" t="s">
        <v>516</v>
      </c>
      <c r="AE284" s="247" t="s">
        <v>507</v>
      </c>
      <c r="AF284" s="247">
        <v>0</v>
      </c>
      <c r="AG284" s="247"/>
      <c r="AH284" s="247">
        <v>20</v>
      </c>
      <c r="AI284" s="247">
        <v>28</v>
      </c>
      <c r="AJ284" s="247"/>
    </row>
    <row r="285" spans="27:36">
      <c r="AA285" s="247">
        <v>1558</v>
      </c>
      <c r="AB285" s="247" t="s">
        <v>875</v>
      </c>
      <c r="AC285" s="247" t="s">
        <v>516</v>
      </c>
      <c r="AD285" s="247" t="s">
        <v>516</v>
      </c>
      <c r="AE285" s="247" t="s">
        <v>543</v>
      </c>
      <c r="AF285" s="247">
        <v>0</v>
      </c>
      <c r="AG285" s="247" t="s">
        <v>528</v>
      </c>
      <c r="AH285" s="247">
        <v>0</v>
      </c>
      <c r="AI285" s="247">
        <v>27</v>
      </c>
      <c r="AJ285" s="247"/>
    </row>
    <row r="286" spans="27:36">
      <c r="AA286" s="247">
        <v>1560</v>
      </c>
      <c r="AB286" s="247" t="s">
        <v>876</v>
      </c>
      <c r="AC286" s="247" t="s">
        <v>516</v>
      </c>
      <c r="AD286" s="247" t="s">
        <v>516</v>
      </c>
      <c r="AE286" s="247" t="s">
        <v>507</v>
      </c>
      <c r="AF286" s="247">
        <v>0</v>
      </c>
      <c r="AG286" s="247"/>
      <c r="AH286" s="247">
        <v>20</v>
      </c>
      <c r="AI286" s="247">
        <v>28</v>
      </c>
      <c r="AJ286" s="247"/>
    </row>
    <row r="287" spans="27:36">
      <c r="AA287" s="247">
        <v>1565</v>
      </c>
      <c r="AB287" s="247" t="s">
        <v>877</v>
      </c>
      <c r="AC287" s="247" t="s">
        <v>516</v>
      </c>
      <c r="AD287" s="247" t="s">
        <v>516</v>
      </c>
      <c r="AE287" s="247" t="s">
        <v>507</v>
      </c>
      <c r="AF287" s="247">
        <v>0</v>
      </c>
      <c r="AG287" s="247"/>
      <c r="AH287" s="247">
        <v>20</v>
      </c>
      <c r="AI287" s="247">
        <v>28</v>
      </c>
      <c r="AJ287" s="247"/>
    </row>
    <row r="288" spans="27:36">
      <c r="AA288" s="247">
        <v>1570</v>
      </c>
      <c r="AB288" s="247" t="s">
        <v>878</v>
      </c>
      <c r="AC288" s="247" t="s">
        <v>516</v>
      </c>
      <c r="AD288" s="247" t="s">
        <v>516</v>
      </c>
      <c r="AE288" s="247" t="s">
        <v>507</v>
      </c>
      <c r="AF288" s="247">
        <v>0</v>
      </c>
      <c r="AG288" s="247"/>
      <c r="AH288" s="247">
        <v>20</v>
      </c>
      <c r="AI288" s="247">
        <v>28</v>
      </c>
      <c r="AJ288" s="247"/>
    </row>
    <row r="289" spans="27:36">
      <c r="AA289" s="247">
        <v>1600</v>
      </c>
      <c r="AB289" s="247" t="s">
        <v>879</v>
      </c>
      <c r="AC289" s="247" t="s">
        <v>880</v>
      </c>
      <c r="AD289" s="247" t="s">
        <v>881</v>
      </c>
      <c r="AE289" s="247" t="s">
        <v>533</v>
      </c>
      <c r="AF289" s="247">
        <v>75</v>
      </c>
      <c r="AG289" s="247" t="s">
        <v>528</v>
      </c>
      <c r="AH289" s="247">
        <v>30</v>
      </c>
      <c r="AI289" s="247">
        <v>14</v>
      </c>
      <c r="AJ289" s="247"/>
    </row>
    <row r="290" spans="27:36">
      <c r="AA290" s="247">
        <v>1610</v>
      </c>
      <c r="AB290" s="247" t="s">
        <v>882</v>
      </c>
      <c r="AC290" s="247" t="s">
        <v>883</v>
      </c>
      <c r="AD290" s="247" t="s">
        <v>884</v>
      </c>
      <c r="AE290" s="247" t="s">
        <v>533</v>
      </c>
      <c r="AF290" s="247">
        <v>190</v>
      </c>
      <c r="AG290" s="247" t="s">
        <v>528</v>
      </c>
      <c r="AH290" s="247">
        <v>0</v>
      </c>
      <c r="AI290" s="247">
        <v>14</v>
      </c>
      <c r="AJ290" s="247"/>
    </row>
    <row r="291" spans="27:36">
      <c r="AA291" s="247">
        <v>1625</v>
      </c>
      <c r="AB291" s="247" t="s">
        <v>885</v>
      </c>
      <c r="AC291" s="247" t="s">
        <v>516</v>
      </c>
      <c r="AD291" s="247" t="s">
        <v>516</v>
      </c>
      <c r="AE291" s="247" t="s">
        <v>533</v>
      </c>
      <c r="AF291" s="247">
        <v>52</v>
      </c>
      <c r="AG291" s="247"/>
      <c r="AH291" s="247">
        <v>20</v>
      </c>
      <c r="AI291" s="247">
        <v>21</v>
      </c>
      <c r="AJ291" s="247"/>
    </row>
    <row r="292" spans="27:36">
      <c r="AA292" s="247">
        <v>1630</v>
      </c>
      <c r="AB292" s="247" t="s">
        <v>886</v>
      </c>
      <c r="AC292" s="247" t="s">
        <v>516</v>
      </c>
      <c r="AD292" s="247" t="s">
        <v>516</v>
      </c>
      <c r="AE292" s="247" t="s">
        <v>533</v>
      </c>
      <c r="AF292" s="247">
        <v>52</v>
      </c>
      <c r="AG292" s="247" t="s">
        <v>528</v>
      </c>
      <c r="AH292" s="247">
        <v>0</v>
      </c>
      <c r="AI292" s="247">
        <v>21</v>
      </c>
      <c r="AJ292" s="247"/>
    </row>
    <row r="293" spans="27:36">
      <c r="AA293" s="247">
        <v>1680</v>
      </c>
      <c r="AB293" s="247" t="s">
        <v>887</v>
      </c>
      <c r="AC293" s="247" t="s">
        <v>516</v>
      </c>
      <c r="AD293" s="247" t="s">
        <v>516</v>
      </c>
      <c r="AE293" s="247" t="s">
        <v>533</v>
      </c>
      <c r="AF293" s="247">
        <v>52</v>
      </c>
      <c r="AG293" s="247"/>
      <c r="AH293" s="247">
        <v>20</v>
      </c>
      <c r="AI293" s="247">
        <v>21</v>
      </c>
      <c r="AJ293" s="247"/>
    </row>
    <row r="294" spans="27:36">
      <c r="AA294" s="247">
        <v>1685</v>
      </c>
      <c r="AB294" s="247" t="s">
        <v>888</v>
      </c>
      <c r="AC294" s="247" t="s">
        <v>516</v>
      </c>
      <c r="AD294" s="247" t="s">
        <v>516</v>
      </c>
      <c r="AE294" s="247" t="s">
        <v>533</v>
      </c>
      <c r="AF294" s="247">
        <v>52</v>
      </c>
      <c r="AG294" s="247" t="s">
        <v>528</v>
      </c>
      <c r="AH294" s="247">
        <v>20</v>
      </c>
      <c r="AI294" s="247">
        <v>15</v>
      </c>
      <c r="AJ294" s="247"/>
    </row>
    <row r="295" spans="27:36">
      <c r="AA295" s="247">
        <v>1700</v>
      </c>
      <c r="AB295" s="247" t="s">
        <v>889</v>
      </c>
      <c r="AC295" s="247" t="s">
        <v>890</v>
      </c>
      <c r="AD295" s="247" t="s">
        <v>891</v>
      </c>
      <c r="AE295" s="247" t="s">
        <v>543</v>
      </c>
      <c r="AF295" s="247">
        <v>0</v>
      </c>
      <c r="AG295" s="247"/>
      <c r="AH295" s="247">
        <v>20</v>
      </c>
      <c r="AI295" s="247">
        <v>27</v>
      </c>
      <c r="AJ295" s="247"/>
    </row>
    <row r="296" spans="27:36">
      <c r="AA296" s="247">
        <v>1705</v>
      </c>
      <c r="AB296" s="247" t="s">
        <v>892</v>
      </c>
      <c r="AC296" s="247" t="s">
        <v>893</v>
      </c>
      <c r="AD296" s="247" t="s">
        <v>894</v>
      </c>
      <c r="AE296" s="247" t="s">
        <v>533</v>
      </c>
      <c r="AF296" s="247">
        <v>52</v>
      </c>
      <c r="AG296" s="247" t="s">
        <v>528</v>
      </c>
      <c r="AH296" s="247">
        <v>0</v>
      </c>
      <c r="AI296" s="247">
        <v>22</v>
      </c>
      <c r="AJ296" s="247"/>
    </row>
    <row r="297" spans="27:36">
      <c r="AA297" s="247">
        <v>1707</v>
      </c>
      <c r="AB297" s="247" t="s">
        <v>895</v>
      </c>
      <c r="AC297" s="247" t="s">
        <v>516</v>
      </c>
      <c r="AD297" s="247" t="s">
        <v>516</v>
      </c>
      <c r="AE297" s="247" t="s">
        <v>533</v>
      </c>
      <c r="AF297" s="247">
        <v>52</v>
      </c>
      <c r="AG297" s="247" t="s">
        <v>528</v>
      </c>
      <c r="AH297" s="247">
        <v>20</v>
      </c>
      <c r="AI297" s="247">
        <v>21</v>
      </c>
      <c r="AJ297" s="247"/>
    </row>
    <row r="298" spans="27:36">
      <c r="AA298" s="247">
        <v>1708</v>
      </c>
      <c r="AB298" s="247" t="s">
        <v>896</v>
      </c>
      <c r="AC298" s="247" t="s">
        <v>516</v>
      </c>
      <c r="AD298" s="247" t="s">
        <v>516</v>
      </c>
      <c r="AE298" s="247" t="s">
        <v>533</v>
      </c>
      <c r="AF298" s="247">
        <v>52</v>
      </c>
      <c r="AG298" s="247" t="s">
        <v>528</v>
      </c>
      <c r="AH298" s="247">
        <v>20</v>
      </c>
      <c r="AI298" s="247">
        <v>21</v>
      </c>
      <c r="AJ298" s="247"/>
    </row>
    <row r="299" spans="27:36">
      <c r="AA299" s="247">
        <v>1710</v>
      </c>
      <c r="AB299" s="247" t="s">
        <v>897</v>
      </c>
      <c r="AC299" s="247" t="s">
        <v>898</v>
      </c>
      <c r="AD299" s="247" t="s">
        <v>899</v>
      </c>
      <c r="AE299" s="247" t="s">
        <v>543</v>
      </c>
      <c r="AF299" s="247">
        <v>0</v>
      </c>
      <c r="AG299" s="247"/>
      <c r="AH299" s="247">
        <v>20</v>
      </c>
      <c r="AI299" s="247">
        <v>27</v>
      </c>
      <c r="AJ299" s="247"/>
    </row>
    <row r="300" spans="27:36">
      <c r="AA300" s="247">
        <v>1715</v>
      </c>
      <c r="AB300" s="247" t="s">
        <v>900</v>
      </c>
      <c r="AC300" s="247" t="s">
        <v>901</v>
      </c>
      <c r="AD300" s="247" t="s">
        <v>902</v>
      </c>
      <c r="AE300" s="247" t="s">
        <v>533</v>
      </c>
      <c r="AF300" s="247">
        <v>52</v>
      </c>
      <c r="AG300" s="247" t="s">
        <v>528</v>
      </c>
      <c r="AH300" s="247">
        <v>0</v>
      </c>
      <c r="AI300" s="247">
        <v>22</v>
      </c>
      <c r="AJ300" s="247"/>
    </row>
    <row r="301" spans="27:36">
      <c r="AA301" s="247">
        <v>1717</v>
      </c>
      <c r="AB301" s="247" t="s">
        <v>903</v>
      </c>
      <c r="AC301" s="247" t="s">
        <v>516</v>
      </c>
      <c r="AD301" s="247" t="s">
        <v>516</v>
      </c>
      <c r="AE301" s="247" t="s">
        <v>533</v>
      </c>
      <c r="AF301" s="247">
        <v>52</v>
      </c>
      <c r="AG301" s="247" t="s">
        <v>528</v>
      </c>
      <c r="AH301" s="247">
        <v>20</v>
      </c>
      <c r="AI301" s="247">
        <v>21</v>
      </c>
      <c r="AJ301" s="247"/>
    </row>
    <row r="302" spans="27:36">
      <c r="AA302" s="247">
        <v>1718</v>
      </c>
      <c r="AB302" s="247" t="s">
        <v>904</v>
      </c>
      <c r="AC302" s="247" t="s">
        <v>516</v>
      </c>
      <c r="AD302" s="247" t="s">
        <v>516</v>
      </c>
      <c r="AE302" s="247" t="s">
        <v>533</v>
      </c>
      <c r="AF302" s="247">
        <v>52</v>
      </c>
      <c r="AG302" s="247" t="s">
        <v>528</v>
      </c>
      <c r="AH302" s="247">
        <v>20</v>
      </c>
      <c r="AI302" s="247">
        <v>21</v>
      </c>
      <c r="AJ302" s="247"/>
    </row>
    <row r="303" spans="27:36">
      <c r="AA303" s="247">
        <v>1720</v>
      </c>
      <c r="AB303" s="247" t="s">
        <v>905</v>
      </c>
      <c r="AC303" s="247" t="s">
        <v>906</v>
      </c>
      <c r="AD303" s="247" t="s">
        <v>907</v>
      </c>
      <c r="AE303" s="247" t="s">
        <v>533</v>
      </c>
      <c r="AF303" s="247">
        <v>52</v>
      </c>
      <c r="AG303" s="247" t="s">
        <v>528</v>
      </c>
      <c r="AH303" s="247">
        <v>20</v>
      </c>
      <c r="AI303" s="247">
        <v>22</v>
      </c>
      <c r="AJ303" s="247"/>
    </row>
    <row r="304" spans="27:36">
      <c r="AA304" s="247">
        <v>1723</v>
      </c>
      <c r="AB304" s="247" t="s">
        <v>908</v>
      </c>
      <c r="AC304" s="247" t="s">
        <v>516</v>
      </c>
      <c r="AD304" s="247" t="s">
        <v>516</v>
      </c>
      <c r="AE304" s="247" t="s">
        <v>543</v>
      </c>
      <c r="AF304" s="247">
        <v>0</v>
      </c>
      <c r="AG304" s="247" t="s">
        <v>528</v>
      </c>
      <c r="AH304" s="247">
        <v>20</v>
      </c>
      <c r="AI304" s="247">
        <v>27</v>
      </c>
      <c r="AJ304" s="247"/>
    </row>
    <row r="305" spans="27:36">
      <c r="AA305" s="247">
        <v>1725</v>
      </c>
      <c r="AB305" s="247" t="s">
        <v>909</v>
      </c>
      <c r="AC305" s="247" t="s">
        <v>910</v>
      </c>
      <c r="AD305" s="247" t="s">
        <v>911</v>
      </c>
      <c r="AE305" s="247" t="s">
        <v>507</v>
      </c>
      <c r="AF305" s="247">
        <v>52</v>
      </c>
      <c r="AG305" s="247" t="s">
        <v>528</v>
      </c>
      <c r="AH305" s="247">
        <v>30</v>
      </c>
      <c r="AI305" s="247">
        <v>6</v>
      </c>
      <c r="AJ305" s="247"/>
    </row>
    <row r="306" spans="27:36">
      <c r="AA306" s="247">
        <v>1727</v>
      </c>
      <c r="AB306" s="247" t="s">
        <v>912</v>
      </c>
      <c r="AC306" s="247" t="s">
        <v>516</v>
      </c>
      <c r="AD306" s="247" t="s">
        <v>516</v>
      </c>
      <c r="AE306" s="247" t="s">
        <v>533</v>
      </c>
      <c r="AF306" s="247">
        <v>52</v>
      </c>
      <c r="AG306" s="247" t="s">
        <v>528</v>
      </c>
      <c r="AH306" s="247">
        <v>20</v>
      </c>
      <c r="AI306" s="247">
        <v>21</v>
      </c>
      <c r="AJ306" s="247"/>
    </row>
    <row r="307" spans="27:36">
      <c r="AA307" s="247">
        <v>1728</v>
      </c>
      <c r="AB307" s="247" t="s">
        <v>913</v>
      </c>
      <c r="AC307" s="247" t="s">
        <v>516</v>
      </c>
      <c r="AD307" s="247" t="s">
        <v>516</v>
      </c>
      <c r="AE307" s="247" t="s">
        <v>533</v>
      </c>
      <c r="AF307" s="247">
        <v>52</v>
      </c>
      <c r="AG307" s="247" t="s">
        <v>528</v>
      </c>
      <c r="AH307" s="247">
        <v>20</v>
      </c>
      <c r="AI307" s="247">
        <v>21</v>
      </c>
      <c r="AJ307" s="247"/>
    </row>
    <row r="308" spans="27:36">
      <c r="AA308" s="247">
        <v>1729</v>
      </c>
      <c r="AB308" s="247" t="s">
        <v>914</v>
      </c>
      <c r="AC308" s="247" t="s">
        <v>516</v>
      </c>
      <c r="AD308" s="247" t="s">
        <v>516</v>
      </c>
      <c r="AE308" s="247" t="s">
        <v>543</v>
      </c>
      <c r="AF308" s="247">
        <v>0</v>
      </c>
      <c r="AG308" s="247" t="s">
        <v>528</v>
      </c>
      <c r="AH308" s="247">
        <v>20</v>
      </c>
      <c r="AI308" s="247">
        <v>27</v>
      </c>
      <c r="AJ308" s="247"/>
    </row>
    <row r="309" spans="27:36">
      <c r="AA309" s="247">
        <v>1731</v>
      </c>
      <c r="AB309" s="247" t="s">
        <v>915</v>
      </c>
      <c r="AC309" s="247" t="s">
        <v>516</v>
      </c>
      <c r="AD309" s="247" t="s">
        <v>516</v>
      </c>
      <c r="AE309" s="247" t="s">
        <v>543</v>
      </c>
      <c r="AF309" s="247">
        <v>0</v>
      </c>
      <c r="AG309" s="247"/>
      <c r="AH309" s="247">
        <v>20</v>
      </c>
      <c r="AI309" s="247">
        <v>27</v>
      </c>
      <c r="AJ309" s="247"/>
    </row>
    <row r="310" spans="27:36">
      <c r="AA310" s="247">
        <v>1732</v>
      </c>
      <c r="AB310" s="247" t="s">
        <v>916</v>
      </c>
      <c r="AC310" s="247" t="s">
        <v>516</v>
      </c>
      <c r="AD310" s="247" t="s">
        <v>516</v>
      </c>
      <c r="AE310" s="247" t="s">
        <v>533</v>
      </c>
      <c r="AF310" s="247">
        <v>52</v>
      </c>
      <c r="AG310" s="247" t="s">
        <v>528</v>
      </c>
      <c r="AH310" s="247">
        <v>0</v>
      </c>
      <c r="AI310" s="247">
        <v>22</v>
      </c>
      <c r="AJ310" s="247"/>
    </row>
    <row r="311" spans="27:36">
      <c r="AA311" s="247">
        <v>1738</v>
      </c>
      <c r="AB311" s="247" t="s">
        <v>917</v>
      </c>
      <c r="AC311" s="247" t="s">
        <v>516</v>
      </c>
      <c r="AD311" s="247" t="s">
        <v>516</v>
      </c>
      <c r="AE311" s="247" t="s">
        <v>543</v>
      </c>
      <c r="AF311" s="247">
        <v>0</v>
      </c>
      <c r="AG311" s="247" t="s">
        <v>528</v>
      </c>
      <c r="AH311" s="247">
        <v>20</v>
      </c>
      <c r="AI311" s="247">
        <v>27</v>
      </c>
      <c r="AJ311" s="247"/>
    </row>
    <row r="312" spans="27:36">
      <c r="AA312" s="247">
        <v>1740</v>
      </c>
      <c r="AB312" s="247" t="s">
        <v>918</v>
      </c>
      <c r="AC312" s="247" t="s">
        <v>516</v>
      </c>
      <c r="AD312" s="247" t="s">
        <v>516</v>
      </c>
      <c r="AE312" s="247" t="s">
        <v>543</v>
      </c>
      <c r="AF312" s="247">
        <v>0</v>
      </c>
      <c r="AG312" s="247"/>
      <c r="AH312" s="247">
        <v>20</v>
      </c>
      <c r="AI312" s="247">
        <v>27</v>
      </c>
      <c r="AJ312" s="247"/>
    </row>
    <row r="313" spans="27:36">
      <c r="AA313" s="247">
        <v>1745</v>
      </c>
      <c r="AB313" s="247" t="s">
        <v>919</v>
      </c>
      <c r="AC313" s="247" t="s">
        <v>516</v>
      </c>
      <c r="AD313" s="247" t="s">
        <v>516</v>
      </c>
      <c r="AE313" s="247" t="s">
        <v>533</v>
      </c>
      <c r="AF313" s="247">
        <v>52</v>
      </c>
      <c r="AG313" s="247" t="s">
        <v>528</v>
      </c>
      <c r="AH313" s="247">
        <v>0</v>
      </c>
      <c r="AI313" s="247">
        <v>22</v>
      </c>
      <c r="AJ313" s="247"/>
    </row>
    <row r="314" spans="27:36">
      <c r="AA314" s="247">
        <v>1747</v>
      </c>
      <c r="AB314" s="247" t="s">
        <v>920</v>
      </c>
      <c r="AC314" s="247" t="s">
        <v>516</v>
      </c>
      <c r="AD314" s="247" t="s">
        <v>516</v>
      </c>
      <c r="AE314" s="247" t="s">
        <v>533</v>
      </c>
      <c r="AF314" s="247">
        <v>52</v>
      </c>
      <c r="AG314" s="247" t="s">
        <v>528</v>
      </c>
      <c r="AH314" s="247">
        <v>20</v>
      </c>
      <c r="AI314" s="247">
        <v>21</v>
      </c>
      <c r="AJ314" s="247"/>
    </row>
    <row r="315" spans="27:36">
      <c r="AA315" s="247">
        <v>1748</v>
      </c>
      <c r="AB315" s="247" t="s">
        <v>921</v>
      </c>
      <c r="AC315" s="247" t="s">
        <v>516</v>
      </c>
      <c r="AD315" s="247" t="s">
        <v>516</v>
      </c>
      <c r="AE315" s="247" t="s">
        <v>533</v>
      </c>
      <c r="AF315" s="247">
        <v>52</v>
      </c>
      <c r="AG315" s="247" t="s">
        <v>528</v>
      </c>
      <c r="AH315" s="247">
        <v>20</v>
      </c>
      <c r="AI315" s="247">
        <v>21</v>
      </c>
      <c r="AJ315" s="247"/>
    </row>
    <row r="316" spans="27:36">
      <c r="AA316" s="247">
        <v>1750</v>
      </c>
      <c r="AB316" s="247" t="s">
        <v>922</v>
      </c>
      <c r="AC316" s="247" t="s">
        <v>516</v>
      </c>
      <c r="AD316" s="247" t="s">
        <v>516</v>
      </c>
      <c r="AE316" s="247" t="s">
        <v>543</v>
      </c>
      <c r="AF316" s="247">
        <v>0</v>
      </c>
      <c r="AG316" s="247"/>
      <c r="AH316" s="247">
        <v>20</v>
      </c>
      <c r="AI316" s="247">
        <v>27</v>
      </c>
      <c r="AJ316" s="247"/>
    </row>
    <row r="317" spans="27:36">
      <c r="AA317" s="247">
        <v>1755</v>
      </c>
      <c r="AB317" s="247" t="s">
        <v>923</v>
      </c>
      <c r="AC317" s="247" t="s">
        <v>516</v>
      </c>
      <c r="AD317" s="247" t="s">
        <v>516</v>
      </c>
      <c r="AE317" s="247" t="s">
        <v>533</v>
      </c>
      <c r="AF317" s="247">
        <v>52</v>
      </c>
      <c r="AG317" s="247" t="s">
        <v>528</v>
      </c>
      <c r="AH317" s="247">
        <v>0</v>
      </c>
      <c r="AI317" s="247">
        <v>22</v>
      </c>
      <c r="AJ317" s="247"/>
    </row>
    <row r="318" spans="27:36">
      <c r="AA318" s="247">
        <v>1757</v>
      </c>
      <c r="AB318" s="247" t="s">
        <v>924</v>
      </c>
      <c r="AC318" s="247" t="s">
        <v>516</v>
      </c>
      <c r="AD318" s="247" t="s">
        <v>516</v>
      </c>
      <c r="AE318" s="247" t="s">
        <v>533</v>
      </c>
      <c r="AF318" s="247">
        <v>52</v>
      </c>
      <c r="AG318" s="247" t="s">
        <v>528</v>
      </c>
      <c r="AH318" s="247">
        <v>20</v>
      </c>
      <c r="AI318" s="247">
        <v>21</v>
      </c>
      <c r="AJ318" s="247"/>
    </row>
    <row r="319" spans="27:36">
      <c r="AA319" s="247">
        <v>1758</v>
      </c>
      <c r="AB319" s="247" t="s">
        <v>925</v>
      </c>
      <c r="AC319" s="247" t="s">
        <v>516</v>
      </c>
      <c r="AD319" s="247" t="s">
        <v>516</v>
      </c>
      <c r="AE319" s="247" t="s">
        <v>533</v>
      </c>
      <c r="AF319" s="247">
        <v>52</v>
      </c>
      <c r="AG319" s="247" t="s">
        <v>528</v>
      </c>
      <c r="AH319" s="247">
        <v>20</v>
      </c>
      <c r="AI319" s="247">
        <v>21</v>
      </c>
      <c r="AJ319" s="247"/>
    </row>
    <row r="320" spans="27:36">
      <c r="AA320" s="247">
        <v>1800</v>
      </c>
      <c r="AB320" s="247" t="s">
        <v>926</v>
      </c>
      <c r="AC320" s="247" t="s">
        <v>927</v>
      </c>
      <c r="AD320" s="247" t="s">
        <v>928</v>
      </c>
      <c r="AE320" s="247" t="s">
        <v>533</v>
      </c>
      <c r="AF320" s="247">
        <v>52</v>
      </c>
      <c r="AG320" s="247" t="s">
        <v>528</v>
      </c>
      <c r="AH320" s="247">
        <v>20</v>
      </c>
      <c r="AI320" s="247">
        <v>24</v>
      </c>
      <c r="AJ320" s="247"/>
    </row>
    <row r="321" spans="27:36">
      <c r="AA321" s="247">
        <v>1810</v>
      </c>
      <c r="AB321" s="247" t="s">
        <v>929</v>
      </c>
      <c r="AC321" s="247" t="s">
        <v>930</v>
      </c>
      <c r="AD321" s="247" t="s">
        <v>931</v>
      </c>
      <c r="AE321" s="247" t="s">
        <v>543</v>
      </c>
      <c r="AF321" s="247">
        <v>0</v>
      </c>
      <c r="AG321" s="247" t="s">
        <v>528</v>
      </c>
      <c r="AH321" s="247">
        <v>20</v>
      </c>
      <c r="AI321" s="247">
        <v>27</v>
      </c>
      <c r="AJ321" s="247"/>
    </row>
    <row r="322" spans="27:36">
      <c r="AA322" s="247">
        <v>1816</v>
      </c>
      <c r="AB322" s="247" t="s">
        <v>932</v>
      </c>
      <c r="AC322" s="247" t="s">
        <v>516</v>
      </c>
      <c r="AD322" s="247" t="s">
        <v>516</v>
      </c>
      <c r="AE322" s="247" t="s">
        <v>543</v>
      </c>
      <c r="AF322" s="247">
        <v>0</v>
      </c>
      <c r="AG322" s="247" t="s">
        <v>528</v>
      </c>
      <c r="AH322" s="247">
        <v>20</v>
      </c>
      <c r="AI322" s="247">
        <v>27</v>
      </c>
      <c r="AJ322" s="247"/>
    </row>
    <row r="323" spans="27:36">
      <c r="AA323" s="247">
        <v>1818</v>
      </c>
      <c r="AB323" s="247" t="s">
        <v>933</v>
      </c>
      <c r="AC323" s="247" t="s">
        <v>516</v>
      </c>
      <c r="AD323" s="247" t="s">
        <v>516</v>
      </c>
      <c r="AE323" s="247" t="s">
        <v>543</v>
      </c>
      <c r="AF323" s="247">
        <v>0</v>
      </c>
      <c r="AG323" s="247" t="s">
        <v>528</v>
      </c>
      <c r="AH323" s="247">
        <v>20</v>
      </c>
      <c r="AI323" s="247">
        <v>27</v>
      </c>
      <c r="AJ323" s="247"/>
    </row>
    <row r="324" spans="27:36">
      <c r="AA324" s="247">
        <v>1819</v>
      </c>
      <c r="AB324" s="247" t="s">
        <v>934</v>
      </c>
      <c r="AC324" s="247" t="s">
        <v>516</v>
      </c>
      <c r="AD324" s="247" t="s">
        <v>516</v>
      </c>
      <c r="AE324" s="247" t="s">
        <v>543</v>
      </c>
      <c r="AF324" s="247">
        <v>0</v>
      </c>
      <c r="AG324" s="247" t="s">
        <v>528</v>
      </c>
      <c r="AH324" s="247">
        <v>20</v>
      </c>
      <c r="AI324" s="247">
        <v>27</v>
      </c>
      <c r="AJ324" s="247"/>
    </row>
    <row r="325" spans="27:36">
      <c r="AA325" s="247">
        <v>1822</v>
      </c>
      <c r="AB325" s="247" t="s">
        <v>935</v>
      </c>
      <c r="AC325" s="247" t="s">
        <v>516</v>
      </c>
      <c r="AD325" s="247" t="s">
        <v>516</v>
      </c>
      <c r="AE325" s="247" t="s">
        <v>543</v>
      </c>
      <c r="AF325" s="247">
        <v>0</v>
      </c>
      <c r="AG325" s="247" t="s">
        <v>528</v>
      </c>
      <c r="AH325" s="247">
        <v>20</v>
      </c>
      <c r="AI325" s="247">
        <v>27</v>
      </c>
      <c r="AJ325" s="247"/>
    </row>
    <row r="326" spans="27:36">
      <c r="AA326" s="247">
        <v>1824</v>
      </c>
      <c r="AB326" s="247" t="s">
        <v>936</v>
      </c>
      <c r="AC326" s="247" t="s">
        <v>516</v>
      </c>
      <c r="AD326" s="247" t="s">
        <v>516</v>
      </c>
      <c r="AE326" s="247" t="s">
        <v>543</v>
      </c>
      <c r="AF326" s="247">
        <v>0</v>
      </c>
      <c r="AG326" s="247" t="s">
        <v>528</v>
      </c>
      <c r="AH326" s="247">
        <v>20</v>
      </c>
      <c r="AI326" s="247">
        <v>27</v>
      </c>
      <c r="AJ326" s="247"/>
    </row>
    <row r="327" spans="27:36">
      <c r="AA327" s="247">
        <v>1860</v>
      </c>
      <c r="AB327" s="247" t="s">
        <v>937</v>
      </c>
      <c r="AC327" s="247" t="s">
        <v>938</v>
      </c>
      <c r="AD327" s="247" t="s">
        <v>939</v>
      </c>
      <c r="AE327" s="247" t="s">
        <v>543</v>
      </c>
      <c r="AF327" s="247">
        <v>0</v>
      </c>
      <c r="AG327" s="247" t="s">
        <v>528</v>
      </c>
      <c r="AH327" s="247">
        <v>0</v>
      </c>
      <c r="AI327" s="247">
        <v>27</v>
      </c>
      <c r="AJ327" s="247"/>
    </row>
    <row r="328" spans="27:36">
      <c r="AA328" s="247">
        <v>1870</v>
      </c>
      <c r="AB328" s="247" t="s">
        <v>940</v>
      </c>
      <c r="AC328" s="247" t="s">
        <v>516</v>
      </c>
      <c r="AD328" s="247" t="s">
        <v>516</v>
      </c>
      <c r="AE328" s="247" t="s">
        <v>543</v>
      </c>
      <c r="AF328" s="247">
        <v>0</v>
      </c>
      <c r="AG328" s="247" t="s">
        <v>528</v>
      </c>
      <c r="AH328" s="247">
        <v>20</v>
      </c>
      <c r="AI328" s="247">
        <v>27</v>
      </c>
      <c r="AJ328" s="247"/>
    </row>
    <row r="329" spans="27:36">
      <c r="AA329" s="247">
        <v>1880</v>
      </c>
      <c r="AB329" s="247" t="s">
        <v>941</v>
      </c>
      <c r="AC329" s="247" t="s">
        <v>516</v>
      </c>
      <c r="AD329" s="247" t="s">
        <v>516</v>
      </c>
      <c r="AE329" s="247" t="s">
        <v>543</v>
      </c>
      <c r="AF329" s="247">
        <v>0</v>
      </c>
      <c r="AG329" s="247" t="s">
        <v>528</v>
      </c>
      <c r="AH329" s="247">
        <v>10</v>
      </c>
      <c r="AI329" s="247">
        <v>27</v>
      </c>
      <c r="AJ329" s="247"/>
    </row>
    <row r="330" spans="27:36">
      <c r="AA330" s="247">
        <v>1920</v>
      </c>
      <c r="AB330" s="247" t="s">
        <v>942</v>
      </c>
      <c r="AC330" s="247" t="s">
        <v>516</v>
      </c>
      <c r="AD330" s="247" t="s">
        <v>516</v>
      </c>
      <c r="AE330" s="247" t="s">
        <v>543</v>
      </c>
      <c r="AF330" s="247">
        <v>0</v>
      </c>
      <c r="AG330" s="247" t="s">
        <v>528</v>
      </c>
      <c r="AH330" s="247">
        <v>20</v>
      </c>
      <c r="AI330" s="247">
        <v>27</v>
      </c>
      <c r="AJ330" s="247"/>
    </row>
    <row r="331" spans="27:36">
      <c r="AA331" s="247">
        <v>1922</v>
      </c>
      <c r="AB331" s="247" t="s">
        <v>943</v>
      </c>
      <c r="AC331" s="247" t="s">
        <v>516</v>
      </c>
      <c r="AD331" s="247" t="s">
        <v>516</v>
      </c>
      <c r="AE331" s="247" t="s">
        <v>543</v>
      </c>
      <c r="AF331" s="247">
        <v>0</v>
      </c>
      <c r="AG331" s="247" t="s">
        <v>528</v>
      </c>
      <c r="AH331" s="247">
        <v>20</v>
      </c>
      <c r="AI331" s="247">
        <v>27</v>
      </c>
      <c r="AJ331" s="247"/>
    </row>
    <row r="332" spans="27:36">
      <c r="AA332" s="247">
        <v>1924</v>
      </c>
      <c r="AB332" s="247" t="s">
        <v>944</v>
      </c>
      <c r="AC332" s="247" t="s">
        <v>516</v>
      </c>
      <c r="AD332" s="247" t="s">
        <v>516</v>
      </c>
      <c r="AE332" s="247" t="s">
        <v>533</v>
      </c>
      <c r="AF332" s="247">
        <v>52</v>
      </c>
      <c r="AG332" s="247" t="s">
        <v>528</v>
      </c>
      <c r="AH332" s="247">
        <v>0</v>
      </c>
      <c r="AI332" s="247">
        <v>23</v>
      </c>
      <c r="AJ332" s="247"/>
    </row>
    <row r="333" spans="27:36">
      <c r="AA333" s="247">
        <v>1926</v>
      </c>
      <c r="AB333" s="247" t="s">
        <v>945</v>
      </c>
      <c r="AC333" s="247" t="s">
        <v>516</v>
      </c>
      <c r="AD333" s="247" t="s">
        <v>516</v>
      </c>
      <c r="AE333" s="247" t="s">
        <v>543</v>
      </c>
      <c r="AF333" s="247">
        <v>0</v>
      </c>
      <c r="AG333" s="247" t="s">
        <v>528</v>
      </c>
      <c r="AH333" s="247">
        <v>20</v>
      </c>
      <c r="AI333" s="247">
        <v>27</v>
      </c>
      <c r="AJ333" s="247"/>
    </row>
    <row r="334" spans="27:36">
      <c r="AA334" s="247">
        <v>2005</v>
      </c>
      <c r="AB334" s="247" t="s">
        <v>946</v>
      </c>
      <c r="AC334" s="247" t="s">
        <v>516</v>
      </c>
      <c r="AD334" s="247" t="s">
        <v>516</v>
      </c>
      <c r="AE334" s="247" t="s">
        <v>533</v>
      </c>
      <c r="AF334" s="247">
        <v>52</v>
      </c>
      <c r="AG334" s="247" t="s">
        <v>528</v>
      </c>
      <c r="AH334" s="247">
        <v>0</v>
      </c>
      <c r="AI334" s="247">
        <v>23</v>
      </c>
      <c r="AJ334" s="247"/>
    </row>
    <row r="335" spans="27:36">
      <c r="AA335" s="247">
        <v>2007</v>
      </c>
      <c r="AB335" s="247" t="s">
        <v>947</v>
      </c>
      <c r="AC335" s="247" t="s">
        <v>516</v>
      </c>
      <c r="AD335" s="247" t="s">
        <v>516</v>
      </c>
      <c r="AE335" s="247" t="s">
        <v>543</v>
      </c>
      <c r="AF335" s="247">
        <v>0</v>
      </c>
      <c r="AG335" s="247" t="s">
        <v>528</v>
      </c>
      <c r="AH335" s="247">
        <v>30</v>
      </c>
      <c r="AI335" s="247">
        <v>27</v>
      </c>
      <c r="AJ335" s="247"/>
    </row>
    <row r="336" spans="27:36">
      <c r="AA336" s="247">
        <v>2050</v>
      </c>
      <c r="AB336" s="247" t="s">
        <v>948</v>
      </c>
      <c r="AC336" s="247" t="s">
        <v>949</v>
      </c>
      <c r="AD336" s="247" t="s">
        <v>950</v>
      </c>
      <c r="AE336" s="247" t="s">
        <v>533</v>
      </c>
      <c r="AF336" s="247">
        <v>170</v>
      </c>
      <c r="AG336" s="247" t="s">
        <v>528</v>
      </c>
      <c r="AH336" s="247">
        <v>0</v>
      </c>
      <c r="AI336" s="247">
        <v>23</v>
      </c>
      <c r="AJ336" s="247"/>
    </row>
    <row r="337" spans="27:36">
      <c r="AA337" s="247">
        <v>2125</v>
      </c>
      <c r="AB337" s="247" t="s">
        <v>951</v>
      </c>
      <c r="AC337" s="247" t="s">
        <v>516</v>
      </c>
      <c r="AD337" s="247" t="s">
        <v>516</v>
      </c>
      <c r="AE337" s="247" t="s">
        <v>543</v>
      </c>
      <c r="AF337" s="247">
        <v>0</v>
      </c>
      <c r="AG337" s="247" t="s">
        <v>528</v>
      </c>
      <c r="AH337" s="247">
        <v>20</v>
      </c>
      <c r="AI337" s="247">
        <v>27</v>
      </c>
      <c r="AJ337" s="247"/>
    </row>
    <row r="338" spans="27:36">
      <c r="AA338" s="247">
        <v>2150</v>
      </c>
      <c r="AB338" s="247" t="s">
        <v>952</v>
      </c>
      <c r="AC338" s="247" t="s">
        <v>516</v>
      </c>
      <c r="AD338" s="247" t="s">
        <v>516</v>
      </c>
      <c r="AE338" s="247" t="s">
        <v>507</v>
      </c>
      <c r="AF338" s="247">
        <v>52</v>
      </c>
      <c r="AG338" s="247" t="s">
        <v>528</v>
      </c>
      <c r="AH338" s="247">
        <v>20</v>
      </c>
      <c r="AI338" s="247">
        <v>28</v>
      </c>
      <c r="AJ338" s="247"/>
    </row>
    <row r="339" spans="27:36">
      <c r="AA339" s="247">
        <v>2160</v>
      </c>
      <c r="AB339" s="247" t="s">
        <v>953</v>
      </c>
      <c r="AC339" s="247" t="s">
        <v>516</v>
      </c>
      <c r="AD339" s="247" t="s">
        <v>516</v>
      </c>
      <c r="AE339" s="247" t="s">
        <v>507</v>
      </c>
      <c r="AF339" s="247">
        <v>0</v>
      </c>
      <c r="AG339" s="247" t="s">
        <v>528</v>
      </c>
      <c r="AH339" s="247">
        <v>20</v>
      </c>
      <c r="AI339" s="247">
        <v>28</v>
      </c>
      <c r="AJ339" s="247"/>
    </row>
    <row r="340" spans="27:36">
      <c r="AA340" s="247">
        <v>2170</v>
      </c>
      <c r="AB340" s="247" t="s">
        <v>954</v>
      </c>
      <c r="AC340" s="247" t="s">
        <v>516</v>
      </c>
      <c r="AD340" s="247" t="s">
        <v>516</v>
      </c>
      <c r="AE340" s="247" t="s">
        <v>507</v>
      </c>
      <c r="AF340" s="247">
        <v>75</v>
      </c>
      <c r="AG340" s="247" t="s">
        <v>528</v>
      </c>
      <c r="AH340" s="247">
        <v>20</v>
      </c>
      <c r="AI340" s="247">
        <v>28</v>
      </c>
      <c r="AJ340" s="247"/>
    </row>
    <row r="341" spans="27:36">
      <c r="AA341" s="247">
        <v>2200</v>
      </c>
      <c r="AB341" s="247" t="s">
        <v>955</v>
      </c>
      <c r="AC341" s="247" t="s">
        <v>516</v>
      </c>
      <c r="AD341" s="247" t="s">
        <v>516</v>
      </c>
      <c r="AE341" s="247" t="s">
        <v>533</v>
      </c>
      <c r="AF341" s="247">
        <v>52</v>
      </c>
      <c r="AG341" s="247" t="s">
        <v>528</v>
      </c>
      <c r="AH341" s="247">
        <v>0</v>
      </c>
      <c r="AI341" s="247">
        <v>15</v>
      </c>
      <c r="AJ341" s="247"/>
    </row>
    <row r="342" spans="27:36">
      <c r="AA342" s="247">
        <v>2340</v>
      </c>
      <c r="AB342" s="247" t="s">
        <v>956</v>
      </c>
      <c r="AC342" s="247" t="s">
        <v>516</v>
      </c>
      <c r="AD342" s="247" t="s">
        <v>516</v>
      </c>
      <c r="AE342" s="247" t="s">
        <v>533</v>
      </c>
      <c r="AF342" s="247">
        <v>52</v>
      </c>
      <c r="AG342" s="247" t="s">
        <v>528</v>
      </c>
      <c r="AH342" s="247">
        <v>0</v>
      </c>
      <c r="AI342" s="247">
        <v>23</v>
      </c>
      <c r="AJ342" s="247"/>
    </row>
    <row r="343" spans="27:36">
      <c r="AA343" s="247">
        <v>2350</v>
      </c>
      <c r="AB343" s="247" t="s">
        <v>957</v>
      </c>
      <c r="AC343" s="247" t="s">
        <v>516</v>
      </c>
      <c r="AD343" s="247" t="s">
        <v>516</v>
      </c>
      <c r="AE343" s="247" t="s">
        <v>507</v>
      </c>
      <c r="AF343" s="247">
        <v>52</v>
      </c>
      <c r="AG343" s="247"/>
      <c r="AH343" s="247">
        <v>20</v>
      </c>
      <c r="AI343" s="247">
        <v>28</v>
      </c>
      <c r="AJ343" s="247"/>
    </row>
    <row r="344" spans="27:36">
      <c r="AA344" s="247">
        <v>2355</v>
      </c>
      <c r="AB344" s="247" t="s">
        <v>958</v>
      </c>
      <c r="AC344" s="247" t="s">
        <v>516</v>
      </c>
      <c r="AD344" s="247" t="s">
        <v>516</v>
      </c>
      <c r="AE344" s="247" t="s">
        <v>507</v>
      </c>
      <c r="AF344" s="247">
        <v>0</v>
      </c>
      <c r="AG344" s="247"/>
      <c r="AH344" s="247">
        <v>20</v>
      </c>
      <c r="AI344" s="247">
        <v>28</v>
      </c>
      <c r="AJ344" s="247"/>
    </row>
    <row r="345" spans="27:36">
      <c r="AA345" s="247">
        <v>2356</v>
      </c>
      <c r="AB345" s="247" t="s">
        <v>959</v>
      </c>
      <c r="AC345" s="247" t="s">
        <v>516</v>
      </c>
      <c r="AD345" s="247" t="s">
        <v>516</v>
      </c>
      <c r="AE345" s="247" t="s">
        <v>507</v>
      </c>
      <c r="AF345" s="247">
        <v>75</v>
      </c>
      <c r="AG345" s="247"/>
      <c r="AH345" s="247">
        <v>0</v>
      </c>
      <c r="AI345" s="247">
        <v>15</v>
      </c>
      <c r="AJ345" s="247"/>
    </row>
    <row r="346" spans="27:36">
      <c r="AA346" s="247">
        <v>2357</v>
      </c>
      <c r="AB346" s="247" t="s">
        <v>960</v>
      </c>
      <c r="AC346" s="247" t="s">
        <v>516</v>
      </c>
      <c r="AD346" s="247" t="s">
        <v>516</v>
      </c>
      <c r="AE346" s="247" t="s">
        <v>507</v>
      </c>
      <c r="AF346" s="247">
        <v>75</v>
      </c>
      <c r="AG346" s="247"/>
      <c r="AH346" s="247">
        <v>20</v>
      </c>
      <c r="AI346" s="247">
        <v>15</v>
      </c>
      <c r="AJ346" s="247"/>
    </row>
    <row r="347" spans="27:36">
      <c r="AA347" s="247">
        <v>2358</v>
      </c>
      <c r="AB347" s="247" t="s">
        <v>961</v>
      </c>
      <c r="AC347" s="247" t="s">
        <v>516</v>
      </c>
      <c r="AD347" s="247" t="s">
        <v>516</v>
      </c>
      <c r="AE347" s="247" t="s">
        <v>543</v>
      </c>
      <c r="AF347" s="247">
        <v>0</v>
      </c>
      <c r="AG347" s="247" t="s">
        <v>528</v>
      </c>
      <c r="AH347" s="247">
        <v>20</v>
      </c>
      <c r="AI347" s="247">
        <v>27</v>
      </c>
      <c r="AJ347" s="247"/>
    </row>
    <row r="348" spans="27:36">
      <c r="AA348" s="247">
        <v>2360</v>
      </c>
      <c r="AB348" s="247" t="s">
        <v>962</v>
      </c>
      <c r="AC348" s="247" t="s">
        <v>516</v>
      </c>
      <c r="AD348" s="247" t="s">
        <v>516</v>
      </c>
      <c r="AE348" s="247" t="s">
        <v>533</v>
      </c>
      <c r="AF348" s="247">
        <v>52</v>
      </c>
      <c r="AG348" s="247" t="s">
        <v>528</v>
      </c>
      <c r="AH348" s="247">
        <v>20</v>
      </c>
      <c r="AI348" s="247">
        <v>21</v>
      </c>
      <c r="AJ348" s="247"/>
    </row>
    <row r="349" spans="27:36">
      <c r="AA349" s="247">
        <v>2361</v>
      </c>
      <c r="AB349" s="247" t="s">
        <v>963</v>
      </c>
      <c r="AC349" s="247" t="s">
        <v>516</v>
      </c>
      <c r="AD349" s="247" t="s">
        <v>516</v>
      </c>
      <c r="AE349" s="247" t="s">
        <v>533</v>
      </c>
      <c r="AF349" s="247">
        <v>52</v>
      </c>
      <c r="AG349" s="247" t="s">
        <v>528</v>
      </c>
      <c r="AH349" s="247">
        <v>20</v>
      </c>
      <c r="AI349" s="247">
        <v>21</v>
      </c>
      <c r="AJ349" s="247"/>
    </row>
    <row r="350" spans="27:36">
      <c r="AA350" s="247">
        <v>2370</v>
      </c>
      <c r="AB350" s="247" t="s">
        <v>964</v>
      </c>
      <c r="AC350" s="247" t="s">
        <v>516</v>
      </c>
      <c r="AD350" s="247" t="s">
        <v>516</v>
      </c>
      <c r="AE350" s="247" t="s">
        <v>533</v>
      </c>
      <c r="AF350" s="247">
        <v>52</v>
      </c>
      <c r="AG350" s="247" t="s">
        <v>528</v>
      </c>
      <c r="AH350" s="247">
        <v>20</v>
      </c>
      <c r="AI350" s="247">
        <v>21</v>
      </c>
      <c r="AJ350" s="247"/>
    </row>
    <row r="351" spans="27:36">
      <c r="AA351" s="247">
        <v>2371</v>
      </c>
      <c r="AB351" s="247" t="s">
        <v>965</v>
      </c>
      <c r="AC351" s="247" t="s">
        <v>516</v>
      </c>
      <c r="AD351" s="247" t="s">
        <v>516</v>
      </c>
      <c r="AE351" s="247" t="s">
        <v>533</v>
      </c>
      <c r="AF351" s="247">
        <v>52</v>
      </c>
      <c r="AG351" s="247" t="s">
        <v>528</v>
      </c>
      <c r="AH351" s="247">
        <v>20</v>
      </c>
      <c r="AI351" s="247">
        <v>21</v>
      </c>
      <c r="AJ351" s="247"/>
    </row>
    <row r="352" spans="27:36">
      <c r="AA352" s="247">
        <v>2380</v>
      </c>
      <c r="AB352" s="247" t="s">
        <v>966</v>
      </c>
      <c r="AC352" s="247" t="s">
        <v>516</v>
      </c>
      <c r="AD352" s="247" t="s">
        <v>516</v>
      </c>
      <c r="AE352" s="247" t="s">
        <v>533</v>
      </c>
      <c r="AF352" s="247">
        <v>52</v>
      </c>
      <c r="AG352" s="247" t="s">
        <v>528</v>
      </c>
      <c r="AH352" s="247">
        <v>20</v>
      </c>
      <c r="AI352" s="247">
        <v>21</v>
      </c>
      <c r="AJ352" s="247"/>
    </row>
    <row r="353" spans="27:36">
      <c r="AA353" s="247">
        <v>2390</v>
      </c>
      <c r="AB353" s="247" t="s">
        <v>967</v>
      </c>
      <c r="AC353" s="247" t="s">
        <v>516</v>
      </c>
      <c r="AD353" s="247" t="s">
        <v>516</v>
      </c>
      <c r="AE353" s="247" t="s">
        <v>533</v>
      </c>
      <c r="AF353" s="247">
        <v>52</v>
      </c>
      <c r="AG353" s="247" t="s">
        <v>528</v>
      </c>
      <c r="AH353" s="247">
        <v>0</v>
      </c>
      <c r="AI353" s="247">
        <v>24</v>
      </c>
      <c r="AJ353" s="247"/>
    </row>
    <row r="354" spans="27:36">
      <c r="AA354" s="247">
        <v>2515</v>
      </c>
      <c r="AB354" s="247" t="s">
        <v>968</v>
      </c>
      <c r="AC354" s="247" t="s">
        <v>516</v>
      </c>
      <c r="AD354" s="247" t="s">
        <v>516</v>
      </c>
      <c r="AE354" s="247" t="s">
        <v>533</v>
      </c>
      <c r="AF354" s="247">
        <v>52</v>
      </c>
      <c r="AG354" s="247" t="s">
        <v>528</v>
      </c>
      <c r="AH354" s="247">
        <v>0</v>
      </c>
      <c r="AI354" s="247">
        <v>21</v>
      </c>
      <c r="AJ354" s="247"/>
    </row>
    <row r="355" spans="27:36">
      <c r="AA355" s="247">
        <v>2520</v>
      </c>
      <c r="AB355" s="247" t="s">
        <v>969</v>
      </c>
      <c r="AC355" s="247" t="s">
        <v>516</v>
      </c>
      <c r="AD355" s="247" t="s">
        <v>516</v>
      </c>
      <c r="AE355" s="247" t="s">
        <v>533</v>
      </c>
      <c r="AF355" s="247">
        <v>52</v>
      </c>
      <c r="AG355" s="247"/>
      <c r="AH355" s="247">
        <v>20</v>
      </c>
      <c r="AI355" s="247">
        <v>20</v>
      </c>
      <c r="AJ355" s="247"/>
    </row>
    <row r="356" spans="27:36">
      <c r="AA356" s="247">
        <v>2521</v>
      </c>
      <c r="AB356" s="247" t="s">
        <v>970</v>
      </c>
      <c r="AC356" s="247" t="s">
        <v>516</v>
      </c>
      <c r="AD356" s="247" t="s">
        <v>516</v>
      </c>
      <c r="AE356" s="247" t="s">
        <v>533</v>
      </c>
      <c r="AF356" s="247">
        <v>52</v>
      </c>
      <c r="AG356" s="247"/>
      <c r="AH356" s="247">
        <v>20</v>
      </c>
      <c r="AI356" s="247">
        <v>21</v>
      </c>
      <c r="AJ356" s="247"/>
    </row>
    <row r="357" spans="27:36">
      <c r="AA357" s="247">
        <v>2530</v>
      </c>
      <c r="AB357" s="247" t="s">
        <v>971</v>
      </c>
      <c r="AC357" s="247" t="s">
        <v>516</v>
      </c>
      <c r="AD357" s="247" t="s">
        <v>516</v>
      </c>
      <c r="AE357" s="247" t="s">
        <v>507</v>
      </c>
      <c r="AF357" s="247">
        <v>0</v>
      </c>
      <c r="AG357" s="247"/>
      <c r="AH357" s="247">
        <v>20</v>
      </c>
      <c r="AI357" s="247">
        <v>32</v>
      </c>
      <c r="AJ357" s="247"/>
    </row>
    <row r="358" spans="27:36">
      <c r="AA358" s="247">
        <v>2540</v>
      </c>
      <c r="AB358" s="247" t="s">
        <v>972</v>
      </c>
      <c r="AC358" s="247" t="s">
        <v>516</v>
      </c>
      <c r="AD358" s="247" t="s">
        <v>516</v>
      </c>
      <c r="AE358" s="247" t="s">
        <v>533</v>
      </c>
      <c r="AF358" s="247">
        <v>52</v>
      </c>
      <c r="AG358" s="247" t="s">
        <v>528</v>
      </c>
      <c r="AH358" s="247">
        <v>20</v>
      </c>
      <c r="AI358" s="247">
        <v>21</v>
      </c>
      <c r="AJ358" s="247"/>
    </row>
    <row r="359" spans="27:36">
      <c r="AA359" s="247">
        <v>2541</v>
      </c>
      <c r="AB359" s="247" t="s">
        <v>973</v>
      </c>
      <c r="AC359" s="247" t="s">
        <v>516</v>
      </c>
      <c r="AD359" s="247" t="s">
        <v>516</v>
      </c>
      <c r="AE359" s="247" t="s">
        <v>533</v>
      </c>
      <c r="AF359" s="247">
        <v>52</v>
      </c>
      <c r="AG359" s="247" t="s">
        <v>528</v>
      </c>
      <c r="AH359" s="247">
        <v>20</v>
      </c>
      <c r="AI359" s="247">
        <v>21</v>
      </c>
      <c r="AJ359" s="247"/>
    </row>
    <row r="360" spans="27:36">
      <c r="AA360" s="247">
        <v>2550</v>
      </c>
      <c r="AB360" s="247" t="s">
        <v>974</v>
      </c>
      <c r="AC360" s="247" t="s">
        <v>975</v>
      </c>
      <c r="AD360" s="247" t="s">
        <v>976</v>
      </c>
      <c r="AE360" s="247" t="s">
        <v>543</v>
      </c>
      <c r="AF360" s="247">
        <v>0</v>
      </c>
      <c r="AG360" s="247" t="s">
        <v>528</v>
      </c>
      <c r="AH360" s="247">
        <v>20</v>
      </c>
      <c r="AI360" s="247">
        <v>27</v>
      </c>
      <c r="AJ360" s="247"/>
    </row>
    <row r="361" spans="27:36">
      <c r="AA361" s="247">
        <v>2600</v>
      </c>
      <c r="AB361" s="247" t="s">
        <v>977</v>
      </c>
      <c r="AC361" s="247" t="s">
        <v>978</v>
      </c>
      <c r="AD361" s="247" t="s">
        <v>979</v>
      </c>
      <c r="AE361" s="247" t="s">
        <v>543</v>
      </c>
      <c r="AF361" s="247">
        <v>0</v>
      </c>
      <c r="AG361" s="247"/>
      <c r="AH361" s="247">
        <v>30</v>
      </c>
      <c r="AI361" s="247">
        <v>27</v>
      </c>
      <c r="AJ361" s="247"/>
    </row>
    <row r="362" spans="27:36">
      <c r="AA362" s="247">
        <v>2605</v>
      </c>
      <c r="AB362" s="247" t="s">
        <v>980</v>
      </c>
      <c r="AC362" s="247" t="s">
        <v>981</v>
      </c>
      <c r="AD362" s="247" t="s">
        <v>982</v>
      </c>
      <c r="AE362" s="247" t="s">
        <v>533</v>
      </c>
      <c r="AF362" s="247">
        <v>52</v>
      </c>
      <c r="AG362" s="247" t="s">
        <v>528</v>
      </c>
      <c r="AH362" s="247">
        <v>0</v>
      </c>
      <c r="AI362" s="247">
        <v>22</v>
      </c>
      <c r="AJ362" s="247"/>
    </row>
    <row r="363" spans="27:36">
      <c r="AA363" s="247">
        <v>2607</v>
      </c>
      <c r="AB363" s="247" t="s">
        <v>983</v>
      </c>
      <c r="AC363" s="247" t="s">
        <v>516</v>
      </c>
      <c r="AD363" s="247" t="s">
        <v>516</v>
      </c>
      <c r="AE363" s="247" t="s">
        <v>533</v>
      </c>
      <c r="AF363" s="247">
        <v>52</v>
      </c>
      <c r="AG363" s="247" t="s">
        <v>528</v>
      </c>
      <c r="AH363" s="247">
        <v>20</v>
      </c>
      <c r="AI363" s="247">
        <v>21</v>
      </c>
      <c r="AJ363" s="247"/>
    </row>
    <row r="364" spans="27:36">
      <c r="AA364" s="247">
        <v>2608</v>
      </c>
      <c r="AB364" s="247" t="s">
        <v>984</v>
      </c>
      <c r="AC364" s="247" t="s">
        <v>516</v>
      </c>
      <c r="AD364" s="247" t="s">
        <v>516</v>
      </c>
      <c r="AE364" s="247" t="s">
        <v>533</v>
      </c>
      <c r="AF364" s="247">
        <v>52</v>
      </c>
      <c r="AG364" s="247" t="s">
        <v>528</v>
      </c>
      <c r="AH364" s="247">
        <v>20</v>
      </c>
      <c r="AI364" s="247">
        <v>21</v>
      </c>
      <c r="AJ364" s="247"/>
    </row>
    <row r="365" spans="27:36">
      <c r="AA365" s="247">
        <v>2610</v>
      </c>
      <c r="AB365" s="247" t="s">
        <v>985</v>
      </c>
      <c r="AC365" s="247" t="s">
        <v>986</v>
      </c>
      <c r="AD365" s="247" t="s">
        <v>987</v>
      </c>
      <c r="AE365" s="247" t="s">
        <v>543</v>
      </c>
      <c r="AF365" s="247">
        <v>0</v>
      </c>
      <c r="AG365" s="247"/>
      <c r="AH365" s="247">
        <v>30</v>
      </c>
      <c r="AI365" s="247">
        <v>27</v>
      </c>
      <c r="AJ365" s="247"/>
    </row>
    <row r="366" spans="27:36">
      <c r="AA366" s="247">
        <v>2615</v>
      </c>
      <c r="AB366" s="247" t="s">
        <v>988</v>
      </c>
      <c r="AC366" s="247" t="s">
        <v>989</v>
      </c>
      <c r="AD366" s="247" t="s">
        <v>990</v>
      </c>
      <c r="AE366" s="247" t="s">
        <v>533</v>
      </c>
      <c r="AF366" s="247">
        <v>52</v>
      </c>
      <c r="AG366" s="247" t="s">
        <v>528</v>
      </c>
      <c r="AH366" s="247">
        <v>0</v>
      </c>
      <c r="AI366" s="247">
        <v>22</v>
      </c>
      <c r="AJ366" s="247"/>
    </row>
    <row r="367" spans="27:36">
      <c r="AA367" s="247">
        <v>2617</v>
      </c>
      <c r="AB367" s="247" t="s">
        <v>991</v>
      </c>
      <c r="AC367" s="247" t="s">
        <v>516</v>
      </c>
      <c r="AD367" s="247" t="s">
        <v>516</v>
      </c>
      <c r="AE367" s="247" t="s">
        <v>533</v>
      </c>
      <c r="AF367" s="247">
        <v>52</v>
      </c>
      <c r="AG367" s="247" t="s">
        <v>528</v>
      </c>
      <c r="AH367" s="247">
        <v>20</v>
      </c>
      <c r="AI367" s="247">
        <v>21</v>
      </c>
      <c r="AJ367" s="247"/>
    </row>
    <row r="368" spans="27:36">
      <c r="AA368" s="247">
        <v>2618</v>
      </c>
      <c r="AB368" s="247" t="s">
        <v>992</v>
      </c>
      <c r="AC368" s="247" t="s">
        <v>516</v>
      </c>
      <c r="AD368" s="247" t="s">
        <v>516</v>
      </c>
      <c r="AE368" s="247" t="s">
        <v>533</v>
      </c>
      <c r="AF368" s="247">
        <v>52</v>
      </c>
      <c r="AG368" s="247" t="s">
        <v>528</v>
      </c>
      <c r="AH368" s="247">
        <v>20</v>
      </c>
      <c r="AI368" s="247">
        <v>21</v>
      </c>
      <c r="AJ368" s="247"/>
    </row>
    <row r="369" spans="27:36">
      <c r="AA369" s="247">
        <v>2650</v>
      </c>
      <c r="AB369" s="247" t="s">
        <v>993</v>
      </c>
      <c r="AC369" s="247" t="s">
        <v>994</v>
      </c>
      <c r="AD369" s="247" t="s">
        <v>995</v>
      </c>
      <c r="AE369" s="247" t="s">
        <v>543</v>
      </c>
      <c r="AF369" s="247">
        <v>0</v>
      </c>
      <c r="AG369" s="247" t="s">
        <v>528</v>
      </c>
      <c r="AH369" s="247">
        <v>20</v>
      </c>
      <c r="AI369" s="247">
        <v>27</v>
      </c>
      <c r="AJ369" s="247"/>
    </row>
    <row r="370" spans="27:36">
      <c r="AA370" s="247">
        <v>2655</v>
      </c>
      <c r="AB370" s="247" t="s">
        <v>996</v>
      </c>
      <c r="AC370" s="247" t="s">
        <v>516</v>
      </c>
      <c r="AD370" s="247" t="s">
        <v>516</v>
      </c>
      <c r="AE370" s="247" t="s">
        <v>543</v>
      </c>
      <c r="AF370" s="247">
        <v>0</v>
      </c>
      <c r="AG370" s="247" t="s">
        <v>528</v>
      </c>
      <c r="AH370" s="247">
        <v>20</v>
      </c>
      <c r="AI370" s="247">
        <v>27</v>
      </c>
      <c r="AJ370" s="247"/>
    </row>
    <row r="371" spans="27:36">
      <c r="AA371" s="247">
        <v>2660</v>
      </c>
      <c r="AB371" s="247" t="s">
        <v>997</v>
      </c>
      <c r="AC371" s="247" t="s">
        <v>998</v>
      </c>
      <c r="AD371" s="247" t="s">
        <v>999</v>
      </c>
      <c r="AE371" s="247" t="s">
        <v>533</v>
      </c>
      <c r="AF371" s="247">
        <v>52</v>
      </c>
      <c r="AG371" s="247" t="s">
        <v>528</v>
      </c>
      <c r="AH371" s="247">
        <v>0</v>
      </c>
      <c r="AI371" s="247">
        <v>22</v>
      </c>
      <c r="AJ371" s="247"/>
    </row>
    <row r="372" spans="27:36">
      <c r="AA372" s="247">
        <v>2662</v>
      </c>
      <c r="AB372" s="247" t="s">
        <v>1000</v>
      </c>
      <c r="AC372" s="247" t="s">
        <v>516</v>
      </c>
      <c r="AD372" s="247" t="s">
        <v>516</v>
      </c>
      <c r="AE372" s="247" t="s">
        <v>533</v>
      </c>
      <c r="AF372" s="247">
        <v>52</v>
      </c>
      <c r="AG372" s="247" t="s">
        <v>528</v>
      </c>
      <c r="AH372" s="247">
        <v>20</v>
      </c>
      <c r="AI372" s="247">
        <v>21</v>
      </c>
      <c r="AJ372" s="247"/>
    </row>
    <row r="373" spans="27:36">
      <c r="AA373" s="247">
        <v>2663</v>
      </c>
      <c r="AB373" s="247" t="s">
        <v>1001</v>
      </c>
      <c r="AC373" s="247" t="s">
        <v>516</v>
      </c>
      <c r="AD373" s="247" t="s">
        <v>516</v>
      </c>
      <c r="AE373" s="247" t="s">
        <v>533</v>
      </c>
      <c r="AF373" s="247">
        <v>52</v>
      </c>
      <c r="AG373" s="247" t="s">
        <v>528</v>
      </c>
      <c r="AH373" s="247">
        <v>20</v>
      </c>
      <c r="AI373" s="247">
        <v>21</v>
      </c>
      <c r="AJ373" s="247"/>
    </row>
    <row r="374" spans="27:36">
      <c r="AA374" s="247">
        <v>2665</v>
      </c>
      <c r="AB374" s="247" t="s">
        <v>1002</v>
      </c>
      <c r="AC374" s="247" t="s">
        <v>1003</v>
      </c>
      <c r="AD374" s="247" t="s">
        <v>1004</v>
      </c>
      <c r="AE374" s="247" t="s">
        <v>543</v>
      </c>
      <c r="AF374" s="247">
        <v>0</v>
      </c>
      <c r="AG374" s="247"/>
      <c r="AH374" s="247">
        <v>30</v>
      </c>
      <c r="AI374" s="247">
        <v>27</v>
      </c>
      <c r="AJ374" s="247"/>
    </row>
    <row r="375" spans="27:36">
      <c r="AA375" s="247">
        <v>2666</v>
      </c>
      <c r="AB375" s="247" t="s">
        <v>1005</v>
      </c>
      <c r="AC375" s="247" t="s">
        <v>516</v>
      </c>
      <c r="AD375" s="247" t="s">
        <v>516</v>
      </c>
      <c r="AE375" s="247" t="s">
        <v>543</v>
      </c>
      <c r="AF375" s="247">
        <v>0</v>
      </c>
      <c r="AG375" s="247"/>
      <c r="AH375" s="247">
        <v>20</v>
      </c>
      <c r="AI375" s="247">
        <v>27</v>
      </c>
      <c r="AJ375" s="247"/>
    </row>
    <row r="376" spans="27:36">
      <c r="AA376" s="247">
        <v>2670</v>
      </c>
      <c r="AB376" s="247" t="s">
        <v>1006</v>
      </c>
      <c r="AC376" s="247" t="s">
        <v>1007</v>
      </c>
      <c r="AD376" s="247" t="s">
        <v>1008</v>
      </c>
      <c r="AE376" s="247" t="s">
        <v>533</v>
      </c>
      <c r="AF376" s="247">
        <v>52</v>
      </c>
      <c r="AG376" s="247" t="s">
        <v>528</v>
      </c>
      <c r="AH376" s="247">
        <v>30</v>
      </c>
      <c r="AI376" s="247">
        <v>22</v>
      </c>
      <c r="AJ376" s="247"/>
    </row>
    <row r="377" spans="27:36">
      <c r="AA377" s="247">
        <v>2671</v>
      </c>
      <c r="AB377" s="247" t="s">
        <v>1009</v>
      </c>
      <c r="AC377" s="247" t="s">
        <v>516</v>
      </c>
      <c r="AD377" s="247" t="s">
        <v>516</v>
      </c>
      <c r="AE377" s="247" t="s">
        <v>533</v>
      </c>
      <c r="AF377" s="247">
        <v>52</v>
      </c>
      <c r="AG377" s="247" t="s">
        <v>528</v>
      </c>
      <c r="AH377" s="247">
        <v>20</v>
      </c>
      <c r="AI377" s="247">
        <v>22</v>
      </c>
      <c r="AJ377" s="247"/>
    </row>
    <row r="378" spans="27:36">
      <c r="AA378" s="247">
        <v>2672</v>
      </c>
      <c r="AB378" s="247" t="s">
        <v>1010</v>
      </c>
      <c r="AC378" s="247" t="s">
        <v>516</v>
      </c>
      <c r="AD378" s="247" t="s">
        <v>516</v>
      </c>
      <c r="AE378" s="247" t="s">
        <v>533</v>
      </c>
      <c r="AF378" s="247">
        <v>52</v>
      </c>
      <c r="AG378" s="247" t="s">
        <v>528</v>
      </c>
      <c r="AH378" s="247">
        <v>20</v>
      </c>
      <c r="AI378" s="247">
        <v>21</v>
      </c>
      <c r="AJ378" s="247"/>
    </row>
    <row r="379" spans="27:36">
      <c r="AA379" s="247">
        <v>2673</v>
      </c>
      <c r="AB379" s="247" t="s">
        <v>1011</v>
      </c>
      <c r="AC379" s="247" t="s">
        <v>516</v>
      </c>
      <c r="AD379" s="247" t="s">
        <v>516</v>
      </c>
      <c r="AE379" s="247" t="s">
        <v>533</v>
      </c>
      <c r="AF379" s="247">
        <v>52</v>
      </c>
      <c r="AG379" s="247" t="s">
        <v>528</v>
      </c>
      <c r="AH379" s="247">
        <v>20</v>
      </c>
      <c r="AI379" s="247">
        <v>21</v>
      </c>
      <c r="AJ379" s="247"/>
    </row>
    <row r="380" spans="27:36">
      <c r="AA380" s="247">
        <v>2674</v>
      </c>
      <c r="AB380" s="247" t="s">
        <v>1012</v>
      </c>
      <c r="AC380" s="247" t="s">
        <v>516</v>
      </c>
      <c r="AD380" s="247" t="s">
        <v>516</v>
      </c>
      <c r="AE380" s="247" t="s">
        <v>543</v>
      </c>
      <c r="AF380" s="247">
        <v>0</v>
      </c>
      <c r="AG380" s="247" t="s">
        <v>528</v>
      </c>
      <c r="AH380" s="247">
        <v>20</v>
      </c>
      <c r="AI380" s="247">
        <v>27</v>
      </c>
      <c r="AJ380" s="247"/>
    </row>
    <row r="381" spans="27:36">
      <c r="AA381" s="247">
        <v>2675</v>
      </c>
      <c r="AB381" s="247" t="s">
        <v>1013</v>
      </c>
      <c r="AC381" s="247" t="s">
        <v>516</v>
      </c>
      <c r="AD381" s="247" t="s">
        <v>516</v>
      </c>
      <c r="AE381" s="247" t="s">
        <v>533</v>
      </c>
      <c r="AF381" s="247">
        <v>52</v>
      </c>
      <c r="AG381" s="247" t="s">
        <v>528</v>
      </c>
      <c r="AH381" s="247">
        <v>20</v>
      </c>
      <c r="AI381" s="247">
        <v>24</v>
      </c>
      <c r="AJ381" s="247"/>
    </row>
    <row r="382" spans="27:36">
      <c r="AA382" s="247">
        <v>2685</v>
      </c>
      <c r="AB382" s="247" t="s">
        <v>1014</v>
      </c>
      <c r="AC382" s="247" t="s">
        <v>1015</v>
      </c>
      <c r="AD382" s="247" t="s">
        <v>1016</v>
      </c>
      <c r="AE382" s="247" t="s">
        <v>543</v>
      </c>
      <c r="AF382" s="247">
        <v>0</v>
      </c>
      <c r="AG382" s="247"/>
      <c r="AH382" s="247">
        <v>20</v>
      </c>
      <c r="AI382" s="247">
        <v>27</v>
      </c>
      <c r="AJ382" s="247"/>
    </row>
    <row r="383" spans="27:36">
      <c r="AA383" s="247">
        <v>2687</v>
      </c>
      <c r="AB383" s="247" t="s">
        <v>1017</v>
      </c>
      <c r="AC383" s="247" t="s">
        <v>1018</v>
      </c>
      <c r="AD383" s="247" t="s">
        <v>1019</v>
      </c>
      <c r="AE383" s="247" t="s">
        <v>533</v>
      </c>
      <c r="AF383" s="247">
        <v>52</v>
      </c>
      <c r="AG383" s="247"/>
      <c r="AH383" s="247">
        <v>30</v>
      </c>
      <c r="AI383" s="247">
        <v>22</v>
      </c>
      <c r="AJ383" s="247"/>
    </row>
    <row r="384" spans="27:36">
      <c r="AA384" s="247">
        <v>2689</v>
      </c>
      <c r="AB384" s="247" t="s">
        <v>1020</v>
      </c>
      <c r="AC384" s="247" t="s">
        <v>516</v>
      </c>
      <c r="AD384" s="247" t="s">
        <v>516</v>
      </c>
      <c r="AE384" s="247" t="s">
        <v>533</v>
      </c>
      <c r="AF384" s="247">
        <v>52</v>
      </c>
      <c r="AG384" s="247" t="s">
        <v>528</v>
      </c>
      <c r="AH384" s="247">
        <v>20</v>
      </c>
      <c r="AI384" s="247">
        <v>21</v>
      </c>
      <c r="AJ384" s="247"/>
    </row>
    <row r="385" spans="27:36">
      <c r="AA385" s="247">
        <v>2691</v>
      </c>
      <c r="AB385" s="247" t="s">
        <v>1021</v>
      </c>
      <c r="AC385" s="247" t="s">
        <v>516</v>
      </c>
      <c r="AD385" s="247" t="s">
        <v>516</v>
      </c>
      <c r="AE385" s="247" t="s">
        <v>533</v>
      </c>
      <c r="AF385" s="247">
        <v>52</v>
      </c>
      <c r="AG385" s="247" t="s">
        <v>528</v>
      </c>
      <c r="AH385" s="247">
        <v>20</v>
      </c>
      <c r="AI385" s="247">
        <v>21</v>
      </c>
      <c r="AJ385" s="247"/>
    </row>
    <row r="386" spans="27:36">
      <c r="AA386" s="247">
        <v>2695</v>
      </c>
      <c r="AB386" s="247" t="s">
        <v>1022</v>
      </c>
      <c r="AC386" s="247" t="s">
        <v>516</v>
      </c>
      <c r="AD386" s="247" t="s">
        <v>516</v>
      </c>
      <c r="AE386" s="247" t="s">
        <v>543</v>
      </c>
      <c r="AF386" s="247">
        <v>0</v>
      </c>
      <c r="AG386" s="247" t="s">
        <v>528</v>
      </c>
      <c r="AH386" s="247">
        <v>20</v>
      </c>
      <c r="AI386" s="247">
        <v>27</v>
      </c>
      <c r="AJ386" s="247"/>
    </row>
    <row r="387" spans="27:36">
      <c r="AA387" s="247">
        <v>2696</v>
      </c>
      <c r="AB387" s="247" t="s">
        <v>1023</v>
      </c>
      <c r="AC387" s="247" t="s">
        <v>516</v>
      </c>
      <c r="AD387" s="247" t="s">
        <v>516</v>
      </c>
      <c r="AE387" s="247" t="s">
        <v>533</v>
      </c>
      <c r="AF387" s="247">
        <v>52</v>
      </c>
      <c r="AG387" s="247" t="s">
        <v>528</v>
      </c>
      <c r="AH387" s="247">
        <v>20</v>
      </c>
      <c r="AI387" s="247">
        <v>22</v>
      </c>
      <c r="AJ387" s="247"/>
    </row>
    <row r="388" spans="27:36">
      <c r="AA388" s="247">
        <v>2710</v>
      </c>
      <c r="AB388" s="247" t="s">
        <v>1024</v>
      </c>
      <c r="AC388" s="247" t="s">
        <v>1025</v>
      </c>
      <c r="AD388" s="247" t="s">
        <v>1026</v>
      </c>
      <c r="AE388" s="247" t="s">
        <v>533</v>
      </c>
      <c r="AF388" s="247">
        <v>52</v>
      </c>
      <c r="AG388" s="247" t="s">
        <v>528</v>
      </c>
      <c r="AH388" s="247">
        <v>20</v>
      </c>
      <c r="AI388" s="247">
        <v>20</v>
      </c>
      <c r="AJ388" s="247"/>
    </row>
    <row r="389" spans="27:36">
      <c r="AA389" s="247">
        <v>2800</v>
      </c>
      <c r="AB389" s="247" t="s">
        <v>1027</v>
      </c>
      <c r="AC389" s="247" t="s">
        <v>1028</v>
      </c>
      <c r="AD389" s="247" t="s">
        <v>1029</v>
      </c>
      <c r="AE389" s="247" t="s">
        <v>533</v>
      </c>
      <c r="AF389" s="247">
        <v>52</v>
      </c>
      <c r="AG389" s="247" t="s">
        <v>528</v>
      </c>
      <c r="AH389" s="247">
        <v>0</v>
      </c>
      <c r="AI389" s="247">
        <v>24</v>
      </c>
      <c r="AJ389" s="247"/>
    </row>
    <row r="390" spans="27:36">
      <c r="AA390" s="247">
        <v>2810</v>
      </c>
      <c r="AB390" s="247" t="s">
        <v>1030</v>
      </c>
      <c r="AC390" s="247" t="s">
        <v>1031</v>
      </c>
      <c r="AD390" s="247" t="s">
        <v>1032</v>
      </c>
      <c r="AE390" s="247" t="s">
        <v>543</v>
      </c>
      <c r="AF390" s="247">
        <v>0</v>
      </c>
      <c r="AG390" s="247" t="s">
        <v>528</v>
      </c>
      <c r="AH390" s="247">
        <v>0</v>
      </c>
      <c r="AI390" s="247">
        <v>27</v>
      </c>
      <c r="AJ390" s="247"/>
    </row>
    <row r="391" spans="27:36">
      <c r="AA391" s="247">
        <v>2811</v>
      </c>
      <c r="AB391" s="247" t="s">
        <v>1033</v>
      </c>
      <c r="AC391" s="247" t="s">
        <v>516</v>
      </c>
      <c r="AD391" s="247" t="s">
        <v>516</v>
      </c>
      <c r="AE391" s="247" t="s">
        <v>533</v>
      </c>
      <c r="AF391" s="247">
        <v>52</v>
      </c>
      <c r="AG391" s="247" t="s">
        <v>528</v>
      </c>
      <c r="AH391" s="247">
        <v>0</v>
      </c>
      <c r="AI391" s="247">
        <v>20</v>
      </c>
      <c r="AJ391" s="247"/>
    </row>
    <row r="392" spans="27:36">
      <c r="AA392" s="247">
        <v>2822</v>
      </c>
      <c r="AB392" s="247" t="s">
        <v>1034</v>
      </c>
      <c r="AC392" s="247" t="s">
        <v>516</v>
      </c>
      <c r="AD392" s="247" t="s">
        <v>516</v>
      </c>
      <c r="AE392" s="247" t="s">
        <v>543</v>
      </c>
      <c r="AF392" s="247">
        <v>0</v>
      </c>
      <c r="AG392" s="247" t="s">
        <v>528</v>
      </c>
      <c r="AH392" s="247">
        <v>20</v>
      </c>
      <c r="AI392" s="247">
        <v>27</v>
      </c>
      <c r="AJ392" s="247"/>
    </row>
    <row r="393" spans="27:36">
      <c r="AA393" s="247">
        <v>2823</v>
      </c>
      <c r="AB393" s="247" t="s">
        <v>1035</v>
      </c>
      <c r="AC393" s="247" t="s">
        <v>516</v>
      </c>
      <c r="AD393" s="247" t="s">
        <v>516</v>
      </c>
      <c r="AE393" s="247" t="s">
        <v>543</v>
      </c>
      <c r="AF393" s="247">
        <v>0</v>
      </c>
      <c r="AG393" s="247" t="s">
        <v>528</v>
      </c>
      <c r="AH393" s="247">
        <v>20</v>
      </c>
      <c r="AI393" s="247">
        <v>27</v>
      </c>
      <c r="AJ393" s="247"/>
    </row>
    <row r="394" spans="27:36">
      <c r="AA394" s="247">
        <v>2826</v>
      </c>
      <c r="AB394" s="247" t="s">
        <v>1036</v>
      </c>
      <c r="AC394" s="247" t="s">
        <v>516</v>
      </c>
      <c r="AD394" s="247" t="s">
        <v>516</v>
      </c>
      <c r="AE394" s="247" t="s">
        <v>507</v>
      </c>
      <c r="AF394" s="247">
        <v>0</v>
      </c>
      <c r="AG394" s="247"/>
      <c r="AH394" s="247">
        <v>20</v>
      </c>
      <c r="AI394" s="247">
        <v>28</v>
      </c>
      <c r="AJ394" s="247"/>
    </row>
    <row r="395" spans="27:36">
      <c r="AA395" s="247">
        <v>2828</v>
      </c>
      <c r="AB395" s="247" t="s">
        <v>1037</v>
      </c>
      <c r="AC395" s="247" t="s">
        <v>516</v>
      </c>
      <c r="AD395" s="247" t="s">
        <v>516</v>
      </c>
      <c r="AE395" s="247" t="s">
        <v>533</v>
      </c>
      <c r="AF395" s="247">
        <v>52</v>
      </c>
      <c r="AG395" s="247" t="s">
        <v>528</v>
      </c>
      <c r="AH395" s="247">
        <v>20</v>
      </c>
      <c r="AI395" s="247">
        <v>23</v>
      </c>
      <c r="AJ395" s="247"/>
    </row>
    <row r="396" spans="27:36">
      <c r="AA396" s="247">
        <v>2829</v>
      </c>
      <c r="AB396" s="247" t="s">
        <v>1038</v>
      </c>
      <c r="AC396" s="247" t="s">
        <v>516</v>
      </c>
      <c r="AD396" s="247" t="s">
        <v>516</v>
      </c>
      <c r="AE396" s="247" t="s">
        <v>507</v>
      </c>
      <c r="AF396" s="247">
        <v>0</v>
      </c>
      <c r="AG396" s="247"/>
      <c r="AH396" s="247">
        <v>20</v>
      </c>
      <c r="AI396" s="247">
        <v>32</v>
      </c>
      <c r="AJ396" s="247"/>
    </row>
    <row r="397" spans="27:36">
      <c r="AA397" s="247">
        <v>2831</v>
      </c>
      <c r="AB397" s="247" t="s">
        <v>1039</v>
      </c>
      <c r="AC397" s="247" t="s">
        <v>516</v>
      </c>
      <c r="AD397" s="247" t="s">
        <v>516</v>
      </c>
      <c r="AE397" s="247" t="s">
        <v>543</v>
      </c>
      <c r="AF397" s="247">
        <v>0</v>
      </c>
      <c r="AG397" s="247" t="s">
        <v>528</v>
      </c>
      <c r="AH397" s="247">
        <v>20</v>
      </c>
      <c r="AI397" s="247">
        <v>27</v>
      </c>
      <c r="AJ397" s="247"/>
    </row>
    <row r="398" spans="27:36">
      <c r="AA398" s="247">
        <v>2832</v>
      </c>
      <c r="AB398" s="247" t="s">
        <v>1040</v>
      </c>
      <c r="AC398" s="247" t="s">
        <v>516</v>
      </c>
      <c r="AD398" s="247" t="s">
        <v>516</v>
      </c>
      <c r="AE398" s="247" t="s">
        <v>543</v>
      </c>
      <c r="AF398" s="247">
        <v>0</v>
      </c>
      <c r="AG398" s="247" t="s">
        <v>528</v>
      </c>
      <c r="AH398" s="247">
        <v>20</v>
      </c>
      <c r="AI398" s="247">
        <v>27</v>
      </c>
      <c r="AJ398" s="247"/>
    </row>
    <row r="399" spans="27:36">
      <c r="AA399" s="247">
        <v>2900</v>
      </c>
      <c r="AB399" s="247" t="s">
        <v>1041</v>
      </c>
      <c r="AC399" s="247" t="s">
        <v>516</v>
      </c>
      <c r="AD399" s="247" t="s">
        <v>516</v>
      </c>
      <c r="AE399" s="247" t="s">
        <v>507</v>
      </c>
      <c r="AF399" s="247">
        <v>0</v>
      </c>
      <c r="AG399" s="247"/>
      <c r="AH399" s="247">
        <v>20</v>
      </c>
      <c r="AI399" s="247">
        <v>27</v>
      </c>
      <c r="AJ399" s="247"/>
    </row>
    <row r="400" spans="27:36">
      <c r="AA400" s="247">
        <v>2910</v>
      </c>
      <c r="AB400" s="247" t="s">
        <v>1042</v>
      </c>
      <c r="AC400" s="247" t="s">
        <v>516</v>
      </c>
      <c r="AD400" s="247" t="s">
        <v>516</v>
      </c>
      <c r="AE400" s="247" t="s">
        <v>507</v>
      </c>
      <c r="AF400" s="247">
        <v>0</v>
      </c>
      <c r="AG400" s="247"/>
      <c r="AH400" s="247">
        <v>20</v>
      </c>
      <c r="AI400" s="247">
        <v>27</v>
      </c>
      <c r="AJ400" s="247"/>
    </row>
    <row r="401" spans="27:36">
      <c r="AA401" s="247">
        <v>2920</v>
      </c>
      <c r="AB401" s="247" t="s">
        <v>1043</v>
      </c>
      <c r="AC401" s="247" t="s">
        <v>516</v>
      </c>
      <c r="AD401" s="247" t="s">
        <v>516</v>
      </c>
      <c r="AE401" s="247" t="s">
        <v>507</v>
      </c>
      <c r="AF401" s="247">
        <v>0</v>
      </c>
      <c r="AG401" s="247"/>
      <c r="AH401" s="247">
        <v>20</v>
      </c>
      <c r="AI401" s="247">
        <v>27</v>
      </c>
      <c r="AJ401" s="247"/>
    </row>
    <row r="402" spans="27:36">
      <c r="AA402" s="247">
        <v>2930</v>
      </c>
      <c r="AB402" s="247" t="s">
        <v>1044</v>
      </c>
      <c r="AC402" s="247" t="s">
        <v>516</v>
      </c>
      <c r="AD402" s="247" t="s">
        <v>516</v>
      </c>
      <c r="AE402" s="247" t="s">
        <v>507</v>
      </c>
      <c r="AF402" s="247">
        <v>0</v>
      </c>
      <c r="AG402" s="247"/>
      <c r="AH402" s="247">
        <v>20</v>
      </c>
      <c r="AI402" s="247">
        <v>27</v>
      </c>
      <c r="AJ402" s="247"/>
    </row>
    <row r="403" spans="27:36">
      <c r="AA403" s="247">
        <v>2950</v>
      </c>
      <c r="AB403" s="247" t="s">
        <v>1045</v>
      </c>
      <c r="AC403" s="247" t="s">
        <v>1046</v>
      </c>
      <c r="AD403" s="247" t="s">
        <v>1047</v>
      </c>
      <c r="AE403" s="247" t="s">
        <v>543</v>
      </c>
      <c r="AF403" s="247">
        <v>0</v>
      </c>
      <c r="AG403" s="247"/>
      <c r="AH403" s="247">
        <v>0</v>
      </c>
      <c r="AI403" s="247">
        <v>27</v>
      </c>
      <c r="AJ403" s="247"/>
    </row>
    <row r="404" spans="27:36">
      <c r="AA404" s="247">
        <v>3000</v>
      </c>
      <c r="AB404" s="247" t="s">
        <v>1048</v>
      </c>
      <c r="AC404" s="247" t="s">
        <v>1049</v>
      </c>
      <c r="AD404" s="247" t="s">
        <v>1050</v>
      </c>
      <c r="AE404" s="247" t="s">
        <v>533</v>
      </c>
      <c r="AF404" s="247">
        <v>75</v>
      </c>
      <c r="AG404" s="247"/>
      <c r="AH404" s="247">
        <v>10</v>
      </c>
      <c r="AI404" s="247">
        <v>20</v>
      </c>
      <c r="AJ404" s="247"/>
    </row>
    <row r="405" spans="27:36">
      <c r="AA405" s="247">
        <v>3005</v>
      </c>
      <c r="AB405" s="247" t="s">
        <v>1051</v>
      </c>
      <c r="AC405" s="247" t="s">
        <v>516</v>
      </c>
      <c r="AD405" s="247" t="s">
        <v>516</v>
      </c>
      <c r="AE405" s="247" t="s">
        <v>543</v>
      </c>
      <c r="AF405" s="247">
        <v>0</v>
      </c>
      <c r="AG405" s="247"/>
      <c r="AH405" s="247">
        <v>20</v>
      </c>
      <c r="AI405" s="247">
        <v>27</v>
      </c>
      <c r="AJ405" s="247"/>
    </row>
    <row r="406" spans="27:36">
      <c r="AA406" s="247">
        <v>3010</v>
      </c>
      <c r="AB406" s="247" t="s">
        <v>1052</v>
      </c>
      <c r="AC406" s="247" t="s">
        <v>516</v>
      </c>
      <c r="AD406" s="247" t="s">
        <v>516</v>
      </c>
      <c r="AE406" s="247" t="s">
        <v>533</v>
      </c>
      <c r="AF406" s="247">
        <v>52</v>
      </c>
      <c r="AG406" s="247" t="s">
        <v>528</v>
      </c>
      <c r="AH406" s="247">
        <v>20</v>
      </c>
      <c r="AI406" s="247">
        <v>15</v>
      </c>
      <c r="AJ406" s="247"/>
    </row>
    <row r="407" spans="27:36">
      <c r="AA407" s="247">
        <v>3011</v>
      </c>
      <c r="AB407" s="247" t="s">
        <v>1053</v>
      </c>
      <c r="AC407" s="247" t="s">
        <v>516</v>
      </c>
      <c r="AD407" s="247" t="s">
        <v>516</v>
      </c>
      <c r="AE407" s="247" t="s">
        <v>543</v>
      </c>
      <c r="AF407" s="247">
        <v>0</v>
      </c>
      <c r="AG407" s="247" t="s">
        <v>528</v>
      </c>
      <c r="AH407" s="247">
        <v>0</v>
      </c>
      <c r="AI407" s="247">
        <v>27</v>
      </c>
      <c r="AJ407" s="247"/>
    </row>
    <row r="408" spans="27:36">
      <c r="AA408" s="247">
        <v>3020</v>
      </c>
      <c r="AB408" s="247" t="s">
        <v>1054</v>
      </c>
      <c r="AC408" s="247" t="s">
        <v>516</v>
      </c>
      <c r="AD408" s="247" t="s">
        <v>516</v>
      </c>
      <c r="AE408" s="247" t="s">
        <v>543</v>
      </c>
      <c r="AF408" s="247">
        <v>0</v>
      </c>
      <c r="AG408" s="247"/>
      <c r="AH408" s="247">
        <v>20</v>
      </c>
      <c r="AI408" s="247">
        <v>28</v>
      </c>
      <c r="AJ408" s="247"/>
    </row>
    <row r="409" spans="27:36">
      <c r="AA409" s="247">
        <v>3021</v>
      </c>
      <c r="AB409" s="247" t="s">
        <v>1055</v>
      </c>
      <c r="AC409" s="247" t="s">
        <v>516</v>
      </c>
      <c r="AD409" s="247" t="s">
        <v>516</v>
      </c>
      <c r="AE409" s="247" t="s">
        <v>533</v>
      </c>
      <c r="AF409" s="247">
        <v>75</v>
      </c>
      <c r="AG409" s="247"/>
      <c r="AH409" s="247">
        <v>20</v>
      </c>
      <c r="AI409" s="247">
        <v>20</v>
      </c>
      <c r="AJ409" s="247"/>
    </row>
    <row r="410" spans="27:36">
      <c r="AA410" s="247">
        <v>3030</v>
      </c>
      <c r="AB410" s="247" t="s">
        <v>1056</v>
      </c>
      <c r="AC410" s="247" t="s">
        <v>516</v>
      </c>
      <c r="AD410" s="247" t="s">
        <v>516</v>
      </c>
      <c r="AE410" s="247" t="s">
        <v>543</v>
      </c>
      <c r="AF410" s="247">
        <v>0</v>
      </c>
      <c r="AG410" s="247"/>
      <c r="AH410" s="247">
        <v>20</v>
      </c>
      <c r="AI410" s="247">
        <v>27</v>
      </c>
      <c r="AJ410" s="247"/>
    </row>
    <row r="411" spans="27:36">
      <c r="AA411" s="247">
        <v>3040</v>
      </c>
      <c r="AB411" s="247" t="s">
        <v>1057</v>
      </c>
      <c r="AC411" s="247" t="s">
        <v>516</v>
      </c>
      <c r="AD411" s="247" t="s">
        <v>516</v>
      </c>
      <c r="AE411" s="247" t="s">
        <v>507</v>
      </c>
      <c r="AF411" s="247">
        <v>52</v>
      </c>
      <c r="AG411" s="247"/>
      <c r="AH411" s="247">
        <v>30</v>
      </c>
      <c r="AI411" s="247">
        <v>28</v>
      </c>
      <c r="AJ411" s="247"/>
    </row>
    <row r="412" spans="27:36">
      <c r="AA412" s="247">
        <v>3050</v>
      </c>
      <c r="AB412" s="247" t="s">
        <v>1058</v>
      </c>
      <c r="AC412" s="247" t="s">
        <v>1059</v>
      </c>
      <c r="AD412" s="247" t="s">
        <v>1060</v>
      </c>
      <c r="AE412" s="247" t="s">
        <v>533</v>
      </c>
      <c r="AF412" s="247">
        <v>52</v>
      </c>
      <c r="AG412" s="247"/>
      <c r="AH412" s="247">
        <v>10</v>
      </c>
      <c r="AI412" s="247">
        <v>20</v>
      </c>
      <c r="AJ412" s="247"/>
    </row>
    <row r="413" spans="27:36">
      <c r="AA413" s="247">
        <v>3060</v>
      </c>
      <c r="AB413" s="247" t="s">
        <v>1061</v>
      </c>
      <c r="AC413" s="247" t="s">
        <v>516</v>
      </c>
      <c r="AD413" s="247" t="s">
        <v>516</v>
      </c>
      <c r="AE413" s="247" t="s">
        <v>533</v>
      </c>
      <c r="AF413" s="247">
        <v>75</v>
      </c>
      <c r="AG413" s="247" t="s">
        <v>528</v>
      </c>
      <c r="AH413" s="247">
        <v>20</v>
      </c>
      <c r="AI413" s="247">
        <v>20</v>
      </c>
      <c r="AJ413" s="247"/>
    </row>
    <row r="414" spans="27:36">
      <c r="AA414" s="247">
        <v>3061</v>
      </c>
      <c r="AB414" s="247" t="s">
        <v>1062</v>
      </c>
      <c r="AC414" s="247" t="s">
        <v>516</v>
      </c>
      <c r="AD414" s="247" t="s">
        <v>516</v>
      </c>
      <c r="AE414" s="247" t="s">
        <v>533</v>
      </c>
      <c r="AF414" s="247">
        <v>75</v>
      </c>
      <c r="AG414" s="247" t="s">
        <v>528</v>
      </c>
      <c r="AH414" s="247">
        <v>20</v>
      </c>
      <c r="AI414" s="247">
        <v>20</v>
      </c>
      <c r="AJ414" s="247"/>
    </row>
    <row r="415" spans="27:36">
      <c r="AA415" s="247">
        <v>3062</v>
      </c>
      <c r="AB415" s="247" t="s">
        <v>1063</v>
      </c>
      <c r="AC415" s="247" t="s">
        <v>516</v>
      </c>
      <c r="AD415" s="247" t="s">
        <v>516</v>
      </c>
      <c r="AE415" s="247" t="s">
        <v>533</v>
      </c>
      <c r="AF415" s="247">
        <v>75</v>
      </c>
      <c r="AG415" s="247" t="s">
        <v>528</v>
      </c>
      <c r="AH415" s="247">
        <v>20</v>
      </c>
      <c r="AI415" s="247">
        <v>20</v>
      </c>
      <c r="AJ415" s="247"/>
    </row>
    <row r="416" spans="27:36">
      <c r="AA416" s="247">
        <v>3063</v>
      </c>
      <c r="AB416" s="247" t="s">
        <v>1064</v>
      </c>
      <c r="AC416" s="247" t="s">
        <v>516</v>
      </c>
      <c r="AD416" s="247" t="s">
        <v>516</v>
      </c>
      <c r="AE416" s="247" t="s">
        <v>533</v>
      </c>
      <c r="AF416" s="247">
        <v>75</v>
      </c>
      <c r="AG416" s="247" t="s">
        <v>528</v>
      </c>
      <c r="AH416" s="247">
        <v>20</v>
      </c>
      <c r="AI416" s="247">
        <v>20</v>
      </c>
      <c r="AJ416" s="247"/>
    </row>
    <row r="417" spans="20:36">
      <c r="AA417" s="247">
        <v>3064</v>
      </c>
      <c r="AB417" s="247" t="s">
        <v>1065</v>
      </c>
      <c r="AC417" s="247" t="s">
        <v>516</v>
      </c>
      <c r="AD417" s="247" t="s">
        <v>516</v>
      </c>
      <c r="AE417" s="247" t="s">
        <v>533</v>
      </c>
      <c r="AF417" s="247">
        <v>75</v>
      </c>
      <c r="AG417" s="247" t="s">
        <v>528</v>
      </c>
      <c r="AH417" s="247">
        <v>20</v>
      </c>
      <c r="AI417" s="247">
        <v>20</v>
      </c>
      <c r="AJ417" s="247"/>
    </row>
    <row r="418" spans="20:36">
      <c r="AA418" s="247">
        <v>3065</v>
      </c>
      <c r="AB418" s="247" t="s">
        <v>1066</v>
      </c>
      <c r="AC418" s="247" t="s">
        <v>516</v>
      </c>
      <c r="AD418" s="247" t="s">
        <v>516</v>
      </c>
      <c r="AE418" s="247" t="s">
        <v>533</v>
      </c>
      <c r="AF418" s="247">
        <v>75</v>
      </c>
      <c r="AG418" s="247" t="s">
        <v>528</v>
      </c>
      <c r="AH418" s="247">
        <v>20</v>
      </c>
      <c r="AI418" s="247">
        <v>20</v>
      </c>
      <c r="AJ418" s="247"/>
    </row>
    <row r="419" spans="20:36">
      <c r="AA419" s="247">
        <v>3090</v>
      </c>
      <c r="AB419" s="247" t="s">
        <v>1067</v>
      </c>
      <c r="AC419" s="247" t="s">
        <v>516</v>
      </c>
      <c r="AD419" s="247" t="s">
        <v>516</v>
      </c>
      <c r="AE419" s="247" t="s">
        <v>533</v>
      </c>
      <c r="AF419" s="247">
        <v>75</v>
      </c>
      <c r="AG419" s="247" t="s">
        <v>528</v>
      </c>
      <c r="AH419" s="247">
        <v>0</v>
      </c>
      <c r="AI419" s="247">
        <v>20</v>
      </c>
      <c r="AJ419" s="247"/>
    </row>
    <row r="420" spans="20:36">
      <c r="AA420" s="247">
        <v>3095</v>
      </c>
      <c r="AB420" s="247" t="s">
        <v>1068</v>
      </c>
      <c r="AC420" s="247" t="s">
        <v>516</v>
      </c>
      <c r="AD420" s="247" t="s">
        <v>516</v>
      </c>
      <c r="AE420" s="247" t="s">
        <v>533</v>
      </c>
      <c r="AF420" s="247">
        <v>75</v>
      </c>
      <c r="AG420" s="247" t="s">
        <v>528</v>
      </c>
      <c r="AH420" s="247">
        <v>0</v>
      </c>
      <c r="AI420" s="247">
        <v>20</v>
      </c>
      <c r="AJ420" s="247"/>
    </row>
    <row r="421" spans="20:36">
      <c r="T421" s="94"/>
      <c r="U421" s="95"/>
      <c r="AA421" s="247">
        <v>3096</v>
      </c>
      <c r="AB421" s="247" t="s">
        <v>1069</v>
      </c>
      <c r="AC421" s="247" t="s">
        <v>516</v>
      </c>
      <c r="AD421" s="247" t="s">
        <v>516</v>
      </c>
      <c r="AE421" s="247" t="s">
        <v>533</v>
      </c>
      <c r="AF421" s="247">
        <v>52</v>
      </c>
      <c r="AG421" s="247" t="s">
        <v>528</v>
      </c>
      <c r="AH421" s="247">
        <v>0</v>
      </c>
      <c r="AI421" s="247">
        <v>20</v>
      </c>
      <c r="AJ421" s="247"/>
    </row>
    <row r="422" spans="20:36">
      <c r="T422" s="249"/>
      <c r="U422" s="250"/>
      <c r="AA422" s="247">
        <v>3097</v>
      </c>
      <c r="AB422" s="247" t="s">
        <v>1070</v>
      </c>
      <c r="AC422" s="247" t="s">
        <v>516</v>
      </c>
      <c r="AD422" s="247" t="s">
        <v>516</v>
      </c>
      <c r="AE422" s="247" t="s">
        <v>533</v>
      </c>
      <c r="AF422" s="247">
        <v>75</v>
      </c>
      <c r="AG422" s="247" t="s">
        <v>528</v>
      </c>
      <c r="AH422" s="247">
        <v>0</v>
      </c>
      <c r="AI422" s="247">
        <v>20</v>
      </c>
      <c r="AJ422" s="247"/>
    </row>
    <row r="423" spans="20:36">
      <c r="T423" s="251"/>
      <c r="U423" s="247"/>
      <c r="AA423" s="247">
        <v>3110</v>
      </c>
      <c r="AB423" s="247" t="s">
        <v>1071</v>
      </c>
      <c r="AC423" s="247" t="s">
        <v>1072</v>
      </c>
      <c r="AD423" s="247" t="s">
        <v>1073</v>
      </c>
      <c r="AE423" s="247" t="s">
        <v>533</v>
      </c>
      <c r="AF423" s="247">
        <v>75</v>
      </c>
      <c r="AG423" s="247" t="s">
        <v>528</v>
      </c>
      <c r="AH423" s="247">
        <v>20</v>
      </c>
      <c r="AI423" s="247">
        <v>20</v>
      </c>
      <c r="AJ423" s="247"/>
    </row>
    <row r="424" spans="20:36">
      <c r="AA424" s="247">
        <v>3120</v>
      </c>
      <c r="AB424" s="247" t="s">
        <v>1074</v>
      </c>
      <c r="AC424" s="247" t="s">
        <v>1075</v>
      </c>
      <c r="AD424" s="247" t="s">
        <v>1076</v>
      </c>
      <c r="AE424" s="247" t="s">
        <v>533</v>
      </c>
      <c r="AF424" s="247">
        <v>75</v>
      </c>
      <c r="AG424" s="247"/>
      <c r="AH424" s="247">
        <v>10</v>
      </c>
      <c r="AI424" s="247">
        <v>14</v>
      </c>
      <c r="AJ424" s="247"/>
    </row>
    <row r="425" spans="20:36">
      <c r="AA425" s="247">
        <v>3121</v>
      </c>
      <c r="AB425" s="247" t="s">
        <v>1077</v>
      </c>
      <c r="AC425" s="247" t="s">
        <v>516</v>
      </c>
      <c r="AD425" s="247" t="s">
        <v>516</v>
      </c>
      <c r="AE425" s="247" t="s">
        <v>533</v>
      </c>
      <c r="AF425" s="247">
        <v>75</v>
      </c>
      <c r="AG425" s="247"/>
      <c r="AH425" s="247">
        <v>10</v>
      </c>
      <c r="AI425" s="247">
        <v>14</v>
      </c>
      <c r="AJ425" s="247"/>
    </row>
    <row r="426" spans="20:36">
      <c r="AA426" s="247">
        <v>3125</v>
      </c>
      <c r="AB426" s="247" t="s">
        <v>1078</v>
      </c>
      <c r="AC426" s="247" t="s">
        <v>1079</v>
      </c>
      <c r="AD426" s="247" t="s">
        <v>1080</v>
      </c>
      <c r="AE426" s="247" t="s">
        <v>533</v>
      </c>
      <c r="AF426" s="247">
        <v>52</v>
      </c>
      <c r="AG426" s="247"/>
      <c r="AH426" s="247">
        <v>10</v>
      </c>
      <c r="AI426" s="247">
        <v>24</v>
      </c>
      <c r="AJ426" s="247"/>
    </row>
    <row r="427" spans="20:36">
      <c r="AA427" s="247">
        <v>3130</v>
      </c>
      <c r="AB427" s="247" t="s">
        <v>1081</v>
      </c>
      <c r="AC427" s="247" t="s">
        <v>1082</v>
      </c>
      <c r="AD427" s="247" t="s">
        <v>1083</v>
      </c>
      <c r="AE427" s="247" t="s">
        <v>533</v>
      </c>
      <c r="AF427" s="247">
        <v>52</v>
      </c>
      <c r="AG427" s="247"/>
      <c r="AH427" s="247">
        <v>10</v>
      </c>
      <c r="AI427" s="247">
        <v>20</v>
      </c>
      <c r="AJ427" s="247"/>
    </row>
    <row r="428" spans="20:36">
      <c r="AA428" s="247">
        <v>3140</v>
      </c>
      <c r="AB428" s="247" t="s">
        <v>1084</v>
      </c>
      <c r="AC428" s="247" t="s">
        <v>1085</v>
      </c>
      <c r="AD428" s="247" t="s">
        <v>1086</v>
      </c>
      <c r="AE428" s="247" t="s">
        <v>533</v>
      </c>
      <c r="AF428" s="247">
        <v>52</v>
      </c>
      <c r="AG428" s="247"/>
      <c r="AH428" s="247">
        <v>10</v>
      </c>
      <c r="AI428" s="247">
        <v>20</v>
      </c>
      <c r="AJ428" s="247"/>
    </row>
    <row r="429" spans="20:36">
      <c r="AA429" s="247">
        <v>3155</v>
      </c>
      <c r="AB429" s="247" t="s">
        <v>1087</v>
      </c>
      <c r="AC429" s="247" t="s">
        <v>516</v>
      </c>
      <c r="AD429" s="247" t="s">
        <v>516</v>
      </c>
      <c r="AE429" s="247" t="s">
        <v>507</v>
      </c>
      <c r="AF429" s="247">
        <v>0</v>
      </c>
      <c r="AG429" s="247"/>
      <c r="AH429" s="247">
        <v>20</v>
      </c>
      <c r="AI429" s="247">
        <v>27</v>
      </c>
      <c r="AJ429" s="247"/>
    </row>
    <row r="430" spans="20:36">
      <c r="AA430" s="247">
        <v>3160</v>
      </c>
      <c r="AB430" s="247" t="s">
        <v>1088</v>
      </c>
      <c r="AC430" s="247" t="s">
        <v>1089</v>
      </c>
      <c r="AD430" s="247" t="s">
        <v>1088</v>
      </c>
      <c r="AE430" s="247" t="s">
        <v>543</v>
      </c>
      <c r="AF430" s="247">
        <v>0</v>
      </c>
      <c r="AG430" s="247"/>
      <c r="AH430" s="247">
        <v>20</v>
      </c>
      <c r="AI430" s="247">
        <v>27</v>
      </c>
      <c r="AJ430" s="247"/>
    </row>
    <row r="431" spans="20:36">
      <c r="AA431" s="247">
        <v>3161</v>
      </c>
      <c r="AB431" s="247" t="s">
        <v>1090</v>
      </c>
      <c r="AC431" s="247" t="s">
        <v>516</v>
      </c>
      <c r="AD431" s="247" t="s">
        <v>516</v>
      </c>
      <c r="AE431" s="247" t="s">
        <v>507</v>
      </c>
      <c r="AF431" s="247">
        <v>0</v>
      </c>
      <c r="AG431" s="247"/>
      <c r="AH431" s="247">
        <v>20</v>
      </c>
      <c r="AI431" s="247">
        <v>27</v>
      </c>
      <c r="AJ431" s="247"/>
    </row>
    <row r="432" spans="20:36">
      <c r="AA432" s="247">
        <v>3162</v>
      </c>
      <c r="AB432" s="247" t="s">
        <v>1091</v>
      </c>
      <c r="AC432" s="247" t="s">
        <v>1092</v>
      </c>
      <c r="AD432" s="247" t="s">
        <v>1091</v>
      </c>
      <c r="AE432" s="247" t="s">
        <v>533</v>
      </c>
      <c r="AF432" s="247">
        <v>52</v>
      </c>
      <c r="AG432" s="247"/>
      <c r="AH432" s="247">
        <v>20</v>
      </c>
      <c r="AI432" s="247">
        <v>24</v>
      </c>
      <c r="AJ432" s="247"/>
    </row>
    <row r="433" spans="27:36">
      <c r="AA433" s="247">
        <v>3164</v>
      </c>
      <c r="AB433" s="247" t="s">
        <v>1093</v>
      </c>
      <c r="AC433" s="247" t="s">
        <v>516</v>
      </c>
      <c r="AD433" s="247" t="s">
        <v>516</v>
      </c>
      <c r="AE433" s="247" t="s">
        <v>507</v>
      </c>
      <c r="AF433" s="247">
        <v>0</v>
      </c>
      <c r="AG433" s="247"/>
      <c r="AH433" s="247">
        <v>20</v>
      </c>
      <c r="AI433" s="247">
        <v>27</v>
      </c>
      <c r="AJ433" s="247"/>
    </row>
    <row r="434" spans="27:36">
      <c r="AA434" s="247">
        <v>3200</v>
      </c>
      <c r="AB434" s="247" t="s">
        <v>1094</v>
      </c>
      <c r="AC434" s="247" t="s">
        <v>1095</v>
      </c>
      <c r="AD434" s="247" t="s">
        <v>1096</v>
      </c>
      <c r="AE434" s="247" t="s">
        <v>507</v>
      </c>
      <c r="AF434" s="247">
        <v>52</v>
      </c>
      <c r="AG434" s="247"/>
      <c r="AH434" s="247">
        <v>20</v>
      </c>
      <c r="AI434" s="247">
        <v>6</v>
      </c>
      <c r="AJ434" s="247"/>
    </row>
    <row r="435" spans="27:36">
      <c r="AA435" s="247">
        <v>3201</v>
      </c>
      <c r="AB435" s="247" t="s">
        <v>1097</v>
      </c>
      <c r="AC435" s="247" t="s">
        <v>516</v>
      </c>
      <c r="AD435" s="247" t="s">
        <v>516</v>
      </c>
      <c r="AE435" s="247" t="s">
        <v>507</v>
      </c>
      <c r="AF435" s="247">
        <v>0</v>
      </c>
      <c r="AG435" s="247"/>
      <c r="AH435" s="247">
        <v>20</v>
      </c>
      <c r="AI435" s="247">
        <v>28</v>
      </c>
      <c r="AJ435" s="247"/>
    </row>
    <row r="436" spans="27:36">
      <c r="AA436" s="247">
        <v>3202</v>
      </c>
      <c r="AB436" s="247" t="s">
        <v>1098</v>
      </c>
      <c r="AC436" s="247" t="s">
        <v>516</v>
      </c>
      <c r="AD436" s="247" t="s">
        <v>516</v>
      </c>
      <c r="AE436" s="247" t="s">
        <v>533</v>
      </c>
      <c r="AF436" s="247">
        <v>52</v>
      </c>
      <c r="AG436" s="247" t="s">
        <v>528</v>
      </c>
      <c r="AH436" s="247">
        <v>0</v>
      </c>
      <c r="AI436" s="247">
        <v>6</v>
      </c>
      <c r="AJ436" s="247"/>
    </row>
    <row r="437" spans="27:36">
      <c r="AA437" s="247">
        <v>3210</v>
      </c>
      <c r="AB437" s="247" t="s">
        <v>1099</v>
      </c>
      <c r="AC437" s="247" t="s">
        <v>1100</v>
      </c>
      <c r="AD437" s="247" t="s">
        <v>1101</v>
      </c>
      <c r="AE437" s="247" t="s">
        <v>533</v>
      </c>
      <c r="AF437" s="247">
        <v>75</v>
      </c>
      <c r="AG437" s="247"/>
      <c r="AH437" s="247">
        <v>10</v>
      </c>
      <c r="AI437" s="247">
        <v>20</v>
      </c>
      <c r="AJ437" s="247"/>
    </row>
    <row r="438" spans="27:36">
      <c r="AA438" s="247">
        <v>3211</v>
      </c>
      <c r="AB438" s="247" t="s">
        <v>1102</v>
      </c>
      <c r="AC438" s="247" t="s">
        <v>516</v>
      </c>
      <c r="AD438" s="247" t="s">
        <v>516</v>
      </c>
      <c r="AE438" s="247" t="s">
        <v>533</v>
      </c>
      <c r="AF438" s="247">
        <v>75</v>
      </c>
      <c r="AG438" s="247"/>
      <c r="AH438" s="247">
        <v>10</v>
      </c>
      <c r="AI438" s="247">
        <v>20</v>
      </c>
      <c r="AJ438" s="247"/>
    </row>
    <row r="439" spans="27:36">
      <c r="AA439" s="247">
        <v>3220</v>
      </c>
      <c r="AB439" s="247" t="s">
        <v>1103</v>
      </c>
      <c r="AC439" s="247" t="s">
        <v>1104</v>
      </c>
      <c r="AD439" s="247" t="s">
        <v>1105</v>
      </c>
      <c r="AE439" s="247" t="s">
        <v>543</v>
      </c>
      <c r="AF439" s="247">
        <v>0</v>
      </c>
      <c r="AG439" s="247"/>
      <c r="AH439" s="247">
        <v>20</v>
      </c>
      <c r="AI439" s="247">
        <v>27</v>
      </c>
      <c r="AJ439" s="247"/>
    </row>
    <row r="440" spans="27:36">
      <c r="AA440" s="247">
        <v>3222</v>
      </c>
      <c r="AB440" s="247" t="s">
        <v>1106</v>
      </c>
      <c r="AC440" s="247" t="s">
        <v>516</v>
      </c>
      <c r="AD440" s="247" t="s">
        <v>516</v>
      </c>
      <c r="AE440" s="247" t="s">
        <v>533</v>
      </c>
      <c r="AF440" s="247">
        <v>52</v>
      </c>
      <c r="AG440" s="247" t="s">
        <v>528</v>
      </c>
      <c r="AH440" s="247">
        <v>20</v>
      </c>
      <c r="AI440" s="247">
        <v>20</v>
      </c>
      <c r="AJ440" s="247"/>
    </row>
    <row r="441" spans="27:36">
      <c r="AA441" s="247">
        <v>3225</v>
      </c>
      <c r="AB441" s="247" t="s">
        <v>1107</v>
      </c>
      <c r="AC441" s="247" t="s">
        <v>516</v>
      </c>
      <c r="AD441" s="247" t="s">
        <v>516</v>
      </c>
      <c r="AE441" s="247" t="s">
        <v>543</v>
      </c>
      <c r="AF441" s="247">
        <v>0</v>
      </c>
      <c r="AG441" s="247"/>
      <c r="AH441" s="247">
        <v>20</v>
      </c>
      <c r="AI441" s="247">
        <v>27</v>
      </c>
      <c r="AJ441" s="247"/>
    </row>
    <row r="442" spans="27:36">
      <c r="AA442" s="247">
        <v>3227</v>
      </c>
      <c r="AB442" s="247" t="s">
        <v>1108</v>
      </c>
      <c r="AC442" s="247" t="s">
        <v>516</v>
      </c>
      <c r="AD442" s="247" t="s">
        <v>516</v>
      </c>
      <c r="AE442" s="247" t="s">
        <v>543</v>
      </c>
      <c r="AF442" s="247">
        <v>0</v>
      </c>
      <c r="AG442" s="247" t="s">
        <v>528</v>
      </c>
      <c r="AH442" s="247">
        <v>0</v>
      </c>
      <c r="AI442" s="247">
        <v>27</v>
      </c>
      <c r="AJ442" s="247"/>
    </row>
    <row r="443" spans="27:36">
      <c r="AA443" s="247">
        <v>3250</v>
      </c>
      <c r="AB443" s="247" t="s">
        <v>1109</v>
      </c>
      <c r="AC443" s="247" t="s">
        <v>1110</v>
      </c>
      <c r="AD443" s="247" t="s">
        <v>1109</v>
      </c>
      <c r="AE443" s="247" t="s">
        <v>533</v>
      </c>
      <c r="AF443" s="247">
        <v>52</v>
      </c>
      <c r="AG443" s="247"/>
      <c r="AH443" s="247">
        <v>20</v>
      </c>
      <c r="AI443" s="247">
        <v>20</v>
      </c>
      <c r="AJ443" s="247"/>
    </row>
    <row r="444" spans="27:36">
      <c r="AA444" s="247">
        <v>3255</v>
      </c>
      <c r="AB444" s="247" t="s">
        <v>1111</v>
      </c>
      <c r="AC444" s="247" t="s">
        <v>516</v>
      </c>
      <c r="AD444" s="247" t="s">
        <v>516</v>
      </c>
      <c r="AE444" s="247" t="s">
        <v>543</v>
      </c>
      <c r="AF444" s="247">
        <v>0</v>
      </c>
      <c r="AG444" s="247"/>
      <c r="AH444" s="247">
        <v>20</v>
      </c>
      <c r="AI444" s="247">
        <v>27</v>
      </c>
      <c r="AJ444" s="247"/>
    </row>
    <row r="445" spans="27:36">
      <c r="AA445" s="247">
        <v>3260</v>
      </c>
      <c r="AB445" s="247" t="s">
        <v>1112</v>
      </c>
      <c r="AC445" s="247" t="s">
        <v>516</v>
      </c>
      <c r="AD445" s="247" t="s">
        <v>516</v>
      </c>
      <c r="AE445" s="247" t="s">
        <v>543</v>
      </c>
      <c r="AF445" s="247">
        <v>0</v>
      </c>
      <c r="AG445" s="247"/>
      <c r="AH445" s="247">
        <v>20</v>
      </c>
      <c r="AI445" s="247">
        <v>27</v>
      </c>
      <c r="AJ445" s="247"/>
    </row>
    <row r="446" spans="27:36">
      <c r="AA446" s="247">
        <v>3265</v>
      </c>
      <c r="AB446" s="247" t="s">
        <v>1113</v>
      </c>
      <c r="AC446" s="247" t="s">
        <v>1114</v>
      </c>
      <c r="AD446" s="247" t="s">
        <v>1115</v>
      </c>
      <c r="AE446" s="247" t="s">
        <v>543</v>
      </c>
      <c r="AF446" s="247">
        <v>0</v>
      </c>
      <c r="AG446" s="247"/>
      <c r="AH446" s="247">
        <v>20</v>
      </c>
      <c r="AI446" s="247">
        <v>27</v>
      </c>
      <c r="AJ446" s="247"/>
    </row>
    <row r="447" spans="27:36">
      <c r="AA447" s="247">
        <v>3267</v>
      </c>
      <c r="AB447" s="247" t="s">
        <v>1116</v>
      </c>
      <c r="AC447" s="247" t="s">
        <v>516</v>
      </c>
      <c r="AD447" s="247" t="s">
        <v>516</v>
      </c>
      <c r="AE447" s="247" t="s">
        <v>533</v>
      </c>
      <c r="AF447" s="247">
        <v>52</v>
      </c>
      <c r="AG447" s="247" t="s">
        <v>528</v>
      </c>
      <c r="AH447" s="247">
        <v>0</v>
      </c>
      <c r="AI447" s="247">
        <v>16</v>
      </c>
      <c r="AJ447" s="247"/>
    </row>
    <row r="448" spans="27:36">
      <c r="AA448" s="247">
        <v>3270</v>
      </c>
      <c r="AB448" s="247" t="s">
        <v>1117</v>
      </c>
      <c r="AC448" s="247" t="s">
        <v>516</v>
      </c>
      <c r="AD448" s="247" t="s">
        <v>516</v>
      </c>
      <c r="AE448" s="247" t="s">
        <v>507</v>
      </c>
      <c r="AF448" s="247">
        <v>0</v>
      </c>
      <c r="AG448" s="247"/>
      <c r="AH448" s="247">
        <v>20</v>
      </c>
      <c r="AI448" s="247">
        <v>27</v>
      </c>
      <c r="AJ448" s="247"/>
    </row>
    <row r="449" spans="27:36">
      <c r="AA449" s="247">
        <v>3271</v>
      </c>
      <c r="AB449" s="247" t="s">
        <v>1118</v>
      </c>
      <c r="AC449" s="247" t="s">
        <v>516</v>
      </c>
      <c r="AD449" s="247" t="s">
        <v>516</v>
      </c>
      <c r="AE449" s="247" t="s">
        <v>533</v>
      </c>
      <c r="AF449" s="247">
        <v>75</v>
      </c>
      <c r="AG449" s="247"/>
      <c r="AH449" s="247">
        <v>20</v>
      </c>
      <c r="AI449" s="247">
        <v>15</v>
      </c>
      <c r="AJ449" s="247"/>
    </row>
    <row r="450" spans="27:36">
      <c r="AA450" s="247">
        <v>3280</v>
      </c>
      <c r="AB450" s="247" t="s">
        <v>1119</v>
      </c>
      <c r="AC450" s="247" t="s">
        <v>516</v>
      </c>
      <c r="AD450" s="247" t="s">
        <v>516</v>
      </c>
      <c r="AE450" s="247" t="s">
        <v>507</v>
      </c>
      <c r="AF450" s="247">
        <v>0</v>
      </c>
      <c r="AG450" s="247"/>
      <c r="AH450" s="247">
        <v>20</v>
      </c>
      <c r="AI450" s="247">
        <v>28</v>
      </c>
      <c r="AJ450" s="247"/>
    </row>
    <row r="451" spans="27:36">
      <c r="AA451" s="247">
        <v>3281</v>
      </c>
      <c r="AB451" s="247" t="s">
        <v>1120</v>
      </c>
      <c r="AC451" s="247" t="s">
        <v>516</v>
      </c>
      <c r="AD451" s="247" t="s">
        <v>516</v>
      </c>
      <c r="AE451" s="247" t="s">
        <v>507</v>
      </c>
      <c r="AF451" s="247">
        <v>60</v>
      </c>
      <c r="AG451" s="247"/>
      <c r="AH451" s="247">
        <v>0</v>
      </c>
      <c r="AI451" s="247">
        <v>9</v>
      </c>
      <c r="AJ451" s="247"/>
    </row>
    <row r="452" spans="27:36">
      <c r="AA452" s="247">
        <v>3350</v>
      </c>
      <c r="AB452" s="247" t="s">
        <v>1121</v>
      </c>
      <c r="AC452" s="247" t="s">
        <v>516</v>
      </c>
      <c r="AD452" s="247" t="s">
        <v>516</v>
      </c>
      <c r="AE452" s="247" t="s">
        <v>543</v>
      </c>
      <c r="AF452" s="247">
        <v>0</v>
      </c>
      <c r="AG452" s="247"/>
      <c r="AH452" s="247">
        <v>20</v>
      </c>
      <c r="AI452" s="247">
        <v>27</v>
      </c>
      <c r="AJ452" s="247"/>
    </row>
    <row r="453" spans="27:36">
      <c r="AA453" s="247">
        <v>3351</v>
      </c>
      <c r="AB453" s="247" t="s">
        <v>1122</v>
      </c>
      <c r="AC453" s="247" t="s">
        <v>516</v>
      </c>
      <c r="AD453" s="247" t="s">
        <v>516</v>
      </c>
      <c r="AE453" s="247" t="s">
        <v>543</v>
      </c>
      <c r="AF453" s="247">
        <v>52</v>
      </c>
      <c r="AG453" s="247" t="s">
        <v>528</v>
      </c>
      <c r="AH453" s="247">
        <v>0</v>
      </c>
      <c r="AI453" s="247">
        <v>23</v>
      </c>
      <c r="AJ453" s="247"/>
    </row>
    <row r="454" spans="27:36">
      <c r="AA454" s="247">
        <v>3355</v>
      </c>
      <c r="AB454" s="247" t="s">
        <v>1123</v>
      </c>
      <c r="AC454" s="247" t="s">
        <v>516</v>
      </c>
      <c r="AD454" s="247" t="s">
        <v>516</v>
      </c>
      <c r="AE454" s="247" t="s">
        <v>543</v>
      </c>
      <c r="AF454" s="247">
        <v>0</v>
      </c>
      <c r="AG454" s="247"/>
      <c r="AH454" s="247">
        <v>20</v>
      </c>
      <c r="AI454" s="247">
        <v>27</v>
      </c>
      <c r="AJ454" s="247"/>
    </row>
    <row r="455" spans="27:36">
      <c r="AA455" s="247">
        <v>3356</v>
      </c>
      <c r="AB455" s="247" t="s">
        <v>1124</v>
      </c>
      <c r="AC455" s="247" t="s">
        <v>516</v>
      </c>
      <c r="AD455" s="247" t="s">
        <v>516</v>
      </c>
      <c r="AE455" s="247" t="s">
        <v>543</v>
      </c>
      <c r="AF455" s="247">
        <v>0</v>
      </c>
      <c r="AG455" s="247"/>
      <c r="AH455" s="247">
        <v>20</v>
      </c>
      <c r="AI455" s="247">
        <v>27</v>
      </c>
      <c r="AJ455" s="247"/>
    </row>
    <row r="456" spans="27:36">
      <c r="AA456" s="247">
        <v>3357</v>
      </c>
      <c r="AB456" s="247" t="s">
        <v>1125</v>
      </c>
      <c r="AC456" s="247" t="s">
        <v>516</v>
      </c>
      <c r="AD456" s="247" t="s">
        <v>516</v>
      </c>
      <c r="AE456" s="247" t="s">
        <v>533</v>
      </c>
      <c r="AF456" s="247">
        <v>52</v>
      </c>
      <c r="AG456" s="247" t="s">
        <v>528</v>
      </c>
      <c r="AH456" s="247">
        <v>0</v>
      </c>
      <c r="AI456" s="247">
        <v>23</v>
      </c>
      <c r="AJ456" s="247"/>
    </row>
    <row r="457" spans="27:36">
      <c r="AA457" s="247">
        <v>3358</v>
      </c>
      <c r="AB457" s="247" t="s">
        <v>1126</v>
      </c>
      <c r="AC457" s="247" t="s">
        <v>516</v>
      </c>
      <c r="AD457" s="247" t="s">
        <v>516</v>
      </c>
      <c r="AE457" s="247" t="s">
        <v>543</v>
      </c>
      <c r="AF457" s="247">
        <v>0</v>
      </c>
      <c r="AG457" s="247"/>
      <c r="AH457" s="247">
        <v>20</v>
      </c>
      <c r="AI457" s="247">
        <v>27</v>
      </c>
      <c r="AJ457" s="247"/>
    </row>
    <row r="458" spans="27:36">
      <c r="AA458" s="247">
        <v>3359</v>
      </c>
      <c r="AB458" s="247" t="s">
        <v>1127</v>
      </c>
      <c r="AC458" s="247" t="s">
        <v>516</v>
      </c>
      <c r="AD458" s="247" t="s">
        <v>516</v>
      </c>
      <c r="AE458" s="247" t="s">
        <v>533</v>
      </c>
      <c r="AF458" s="247">
        <v>52</v>
      </c>
      <c r="AG458" s="247" t="s">
        <v>528</v>
      </c>
      <c r="AH458" s="247">
        <v>0</v>
      </c>
      <c r="AI458" s="247">
        <v>23</v>
      </c>
      <c r="AJ458" s="247"/>
    </row>
    <row r="459" spans="27:36">
      <c r="AA459" s="247">
        <v>3360</v>
      </c>
      <c r="AB459" s="247" t="s">
        <v>1128</v>
      </c>
      <c r="AC459" s="247" t="s">
        <v>516</v>
      </c>
      <c r="AD459" s="247" t="s">
        <v>516</v>
      </c>
      <c r="AE459" s="247" t="s">
        <v>543</v>
      </c>
      <c r="AF459" s="247">
        <v>0</v>
      </c>
      <c r="AG459" s="247" t="s">
        <v>528</v>
      </c>
      <c r="AH459" s="247">
        <v>20</v>
      </c>
      <c r="AI459" s="247">
        <v>27</v>
      </c>
      <c r="AJ459" s="247"/>
    </row>
    <row r="460" spans="27:36">
      <c r="AA460" s="247">
        <v>3365</v>
      </c>
      <c r="AB460" s="247" t="s">
        <v>1129</v>
      </c>
      <c r="AC460" s="247" t="s">
        <v>516</v>
      </c>
      <c r="AD460" s="247" t="s">
        <v>516</v>
      </c>
      <c r="AE460" s="247" t="s">
        <v>543</v>
      </c>
      <c r="AF460" s="247">
        <v>0</v>
      </c>
      <c r="AG460" s="247"/>
      <c r="AH460" s="247">
        <v>20</v>
      </c>
      <c r="AI460" s="247">
        <v>27</v>
      </c>
      <c r="AJ460" s="247"/>
    </row>
    <row r="461" spans="27:36">
      <c r="AA461" s="247">
        <v>3366</v>
      </c>
      <c r="AB461" s="247" t="s">
        <v>1130</v>
      </c>
      <c r="AC461" s="247" t="s">
        <v>516</v>
      </c>
      <c r="AD461" s="247" t="s">
        <v>516</v>
      </c>
      <c r="AE461" s="247" t="s">
        <v>543</v>
      </c>
      <c r="AF461" s="247">
        <v>0</v>
      </c>
      <c r="AG461" s="247"/>
      <c r="AH461" s="247">
        <v>20</v>
      </c>
      <c r="AI461" s="247">
        <v>27</v>
      </c>
      <c r="AJ461" s="247"/>
    </row>
    <row r="462" spans="27:36">
      <c r="AA462" s="247">
        <v>3367</v>
      </c>
      <c r="AB462" s="247" t="s">
        <v>1131</v>
      </c>
      <c r="AC462" s="247" t="s">
        <v>516</v>
      </c>
      <c r="AD462" s="247" t="s">
        <v>516</v>
      </c>
      <c r="AE462" s="247" t="s">
        <v>543</v>
      </c>
      <c r="AF462" s="247">
        <v>0</v>
      </c>
      <c r="AG462" s="247"/>
      <c r="AH462" s="247">
        <v>20</v>
      </c>
      <c r="AI462" s="247">
        <v>27</v>
      </c>
      <c r="AJ462" s="247"/>
    </row>
    <row r="463" spans="27:36">
      <c r="AA463" s="247">
        <v>3368</v>
      </c>
      <c r="AB463" s="247" t="s">
        <v>1132</v>
      </c>
      <c r="AC463" s="247" t="s">
        <v>516</v>
      </c>
      <c r="AD463" s="247" t="s">
        <v>516</v>
      </c>
      <c r="AE463" s="247" t="s">
        <v>543</v>
      </c>
      <c r="AF463" s="247">
        <v>0</v>
      </c>
      <c r="AG463" s="247"/>
      <c r="AH463" s="247">
        <v>20</v>
      </c>
      <c r="AI463" s="247">
        <v>27</v>
      </c>
      <c r="AJ463" s="247"/>
    </row>
    <row r="464" spans="27:36">
      <c r="AA464" s="247">
        <v>3370</v>
      </c>
      <c r="AB464" s="247" t="s">
        <v>1133</v>
      </c>
      <c r="AC464" s="247" t="s">
        <v>516</v>
      </c>
      <c r="AD464" s="247" t="s">
        <v>516</v>
      </c>
      <c r="AE464" s="247" t="s">
        <v>543</v>
      </c>
      <c r="AF464" s="247">
        <v>0</v>
      </c>
      <c r="AG464" s="247"/>
      <c r="AH464" s="247">
        <v>20</v>
      </c>
      <c r="AI464" s="247">
        <v>27</v>
      </c>
      <c r="AJ464" s="247"/>
    </row>
    <row r="465" spans="27:36">
      <c r="AA465" s="247">
        <v>3371</v>
      </c>
      <c r="AB465" s="247" t="s">
        <v>1134</v>
      </c>
      <c r="AC465" s="247" t="s">
        <v>516</v>
      </c>
      <c r="AD465" s="247" t="s">
        <v>516</v>
      </c>
      <c r="AE465" s="247" t="s">
        <v>543</v>
      </c>
      <c r="AF465" s="247">
        <v>0</v>
      </c>
      <c r="AG465" s="247" t="s">
        <v>528</v>
      </c>
      <c r="AH465" s="247">
        <v>0</v>
      </c>
      <c r="AI465" s="247">
        <v>27</v>
      </c>
      <c r="AJ465" s="247"/>
    </row>
    <row r="466" spans="27:36">
      <c r="AA466" s="247">
        <v>3372</v>
      </c>
      <c r="AB466" s="247" t="s">
        <v>1135</v>
      </c>
      <c r="AC466" s="247" t="s">
        <v>516</v>
      </c>
      <c r="AD466" s="247" t="s">
        <v>516</v>
      </c>
      <c r="AE466" s="247" t="s">
        <v>543</v>
      </c>
      <c r="AF466" s="247">
        <v>0</v>
      </c>
      <c r="AG466" s="247" t="s">
        <v>528</v>
      </c>
      <c r="AH466" s="247">
        <v>0</v>
      </c>
      <c r="AI466" s="247">
        <v>27</v>
      </c>
      <c r="AJ466" s="247"/>
    </row>
    <row r="467" spans="27:36">
      <c r="AA467" s="247">
        <v>3373</v>
      </c>
      <c r="AB467" s="247" t="s">
        <v>1136</v>
      </c>
      <c r="AC467" s="247" t="s">
        <v>516</v>
      </c>
      <c r="AD467" s="247" t="s">
        <v>516</v>
      </c>
      <c r="AE467" s="247" t="s">
        <v>543</v>
      </c>
      <c r="AF467" s="247">
        <v>0</v>
      </c>
      <c r="AG467" s="247"/>
      <c r="AH467" s="247">
        <v>20</v>
      </c>
      <c r="AI467" s="247">
        <v>27</v>
      </c>
      <c r="AJ467" s="247"/>
    </row>
    <row r="468" spans="27:36">
      <c r="AA468" s="247">
        <v>3374</v>
      </c>
      <c r="AB468" s="247" t="s">
        <v>1137</v>
      </c>
      <c r="AC468" s="247" t="s">
        <v>516</v>
      </c>
      <c r="AD468" s="247" t="s">
        <v>516</v>
      </c>
      <c r="AE468" s="247" t="s">
        <v>543</v>
      </c>
      <c r="AF468" s="247">
        <v>0</v>
      </c>
      <c r="AG468" s="247" t="s">
        <v>528</v>
      </c>
      <c r="AH468" s="247">
        <v>0</v>
      </c>
      <c r="AI468" s="247">
        <v>27</v>
      </c>
      <c r="AJ468" s="247"/>
    </row>
    <row r="469" spans="27:36">
      <c r="AA469" s="247">
        <v>3375</v>
      </c>
      <c r="AB469" s="247" t="s">
        <v>1138</v>
      </c>
      <c r="AC469" s="247" t="s">
        <v>516</v>
      </c>
      <c r="AD469" s="247" t="s">
        <v>516</v>
      </c>
      <c r="AE469" s="247" t="s">
        <v>543</v>
      </c>
      <c r="AF469" s="247">
        <v>0</v>
      </c>
      <c r="AG469" s="247"/>
      <c r="AH469" s="247">
        <v>20</v>
      </c>
      <c r="AI469" s="247">
        <v>27</v>
      </c>
      <c r="AJ469" s="247"/>
    </row>
    <row r="470" spans="27:36">
      <c r="AA470" s="247">
        <v>3376</v>
      </c>
      <c r="AB470" s="247" t="s">
        <v>1137</v>
      </c>
      <c r="AC470" s="247" t="s">
        <v>516</v>
      </c>
      <c r="AD470" s="247" t="s">
        <v>516</v>
      </c>
      <c r="AE470" s="247" t="s">
        <v>543</v>
      </c>
      <c r="AF470" s="247">
        <v>0</v>
      </c>
      <c r="AG470" s="247" t="s">
        <v>528</v>
      </c>
      <c r="AH470" s="247">
        <v>0</v>
      </c>
      <c r="AI470" s="247">
        <v>27</v>
      </c>
      <c r="AJ470" s="247"/>
    </row>
    <row r="471" spans="27:36">
      <c r="AA471" s="247">
        <v>3377</v>
      </c>
      <c r="AB471" s="247" t="s">
        <v>1139</v>
      </c>
      <c r="AC471" s="247" t="s">
        <v>516</v>
      </c>
      <c r="AD471" s="247" t="s">
        <v>516</v>
      </c>
      <c r="AE471" s="247" t="s">
        <v>543</v>
      </c>
      <c r="AF471" s="247">
        <v>0</v>
      </c>
      <c r="AG471" s="247" t="s">
        <v>528</v>
      </c>
      <c r="AH471" s="247">
        <v>20</v>
      </c>
      <c r="AI471" s="247">
        <v>27</v>
      </c>
      <c r="AJ471" s="247"/>
    </row>
    <row r="472" spans="27:36">
      <c r="AA472" s="247">
        <v>3378</v>
      </c>
      <c r="AB472" s="247" t="s">
        <v>1140</v>
      </c>
      <c r="AC472" s="247" t="s">
        <v>516</v>
      </c>
      <c r="AD472" s="247" t="s">
        <v>516</v>
      </c>
      <c r="AE472" s="247" t="s">
        <v>543</v>
      </c>
      <c r="AF472" s="247">
        <v>0</v>
      </c>
      <c r="AG472" s="247" t="s">
        <v>528</v>
      </c>
      <c r="AH472" s="247">
        <v>20</v>
      </c>
      <c r="AI472" s="247">
        <v>27</v>
      </c>
      <c r="AJ472" s="247"/>
    </row>
    <row r="473" spans="27:36">
      <c r="AA473" s="247">
        <v>3380</v>
      </c>
      <c r="AB473" s="247" t="s">
        <v>1141</v>
      </c>
      <c r="AC473" s="247" t="s">
        <v>516</v>
      </c>
      <c r="AD473" s="247" t="s">
        <v>516</v>
      </c>
      <c r="AE473" s="247" t="s">
        <v>543</v>
      </c>
      <c r="AF473" s="247">
        <v>0</v>
      </c>
      <c r="AG473" s="247"/>
      <c r="AH473" s="247">
        <v>20</v>
      </c>
      <c r="AI473" s="247">
        <v>27</v>
      </c>
      <c r="AJ473" s="247"/>
    </row>
    <row r="474" spans="27:36">
      <c r="AA474" s="247">
        <v>3381</v>
      </c>
      <c r="AB474" s="247" t="s">
        <v>1142</v>
      </c>
      <c r="AC474" s="247" t="s">
        <v>516</v>
      </c>
      <c r="AD474" s="247" t="s">
        <v>516</v>
      </c>
      <c r="AE474" s="247" t="s">
        <v>543</v>
      </c>
      <c r="AF474" s="247">
        <v>0</v>
      </c>
      <c r="AG474" s="247" t="s">
        <v>528</v>
      </c>
      <c r="AH474" s="247">
        <v>20</v>
      </c>
      <c r="AI474" s="247">
        <v>27</v>
      </c>
      <c r="AJ474" s="247"/>
    </row>
    <row r="475" spans="27:36">
      <c r="AA475" s="247">
        <v>3385</v>
      </c>
      <c r="AB475" s="247" t="s">
        <v>1143</v>
      </c>
      <c r="AC475" s="247" t="s">
        <v>516</v>
      </c>
      <c r="AD475" s="247" t="s">
        <v>516</v>
      </c>
      <c r="AE475" s="247" t="s">
        <v>543</v>
      </c>
      <c r="AF475" s="247">
        <v>0</v>
      </c>
      <c r="AG475" s="247"/>
      <c r="AH475" s="247">
        <v>0</v>
      </c>
      <c r="AI475" s="247">
        <v>27</v>
      </c>
      <c r="AJ475" s="247"/>
    </row>
    <row r="476" spans="27:36">
      <c r="AA476" s="247">
        <v>3386</v>
      </c>
      <c r="AB476" s="247" t="s">
        <v>1144</v>
      </c>
      <c r="AC476" s="247" t="s">
        <v>516</v>
      </c>
      <c r="AD476" s="247" t="s">
        <v>516</v>
      </c>
      <c r="AE476" s="247" t="s">
        <v>533</v>
      </c>
      <c r="AF476" s="247">
        <v>52</v>
      </c>
      <c r="AG476" s="247" t="s">
        <v>528</v>
      </c>
      <c r="AH476" s="247">
        <v>20</v>
      </c>
      <c r="AI476" s="247">
        <v>22</v>
      </c>
      <c r="AJ476" s="247"/>
    </row>
    <row r="477" spans="27:36">
      <c r="AA477" s="247">
        <v>3387</v>
      </c>
      <c r="AB477" s="247" t="s">
        <v>1145</v>
      </c>
      <c r="AC477" s="247" t="s">
        <v>516</v>
      </c>
      <c r="AD477" s="247" t="s">
        <v>516</v>
      </c>
      <c r="AE477" s="247" t="s">
        <v>543</v>
      </c>
      <c r="AF477" s="247">
        <v>0</v>
      </c>
      <c r="AG477" s="247" t="s">
        <v>528</v>
      </c>
      <c r="AH477" s="247">
        <v>20</v>
      </c>
      <c r="AI477" s="247">
        <v>27</v>
      </c>
      <c r="AJ477" s="247"/>
    </row>
    <row r="478" spans="27:36">
      <c r="AA478" s="247">
        <v>3390</v>
      </c>
      <c r="AB478" s="247" t="s">
        <v>1146</v>
      </c>
      <c r="AC478" s="247" t="s">
        <v>516</v>
      </c>
      <c r="AD478" s="247" t="s">
        <v>516</v>
      </c>
      <c r="AE478" s="247" t="s">
        <v>507</v>
      </c>
      <c r="AF478" s="247">
        <v>0</v>
      </c>
      <c r="AG478" s="247"/>
      <c r="AH478" s="247">
        <v>20</v>
      </c>
      <c r="AI478" s="247">
        <v>28</v>
      </c>
      <c r="AJ478" s="247"/>
    </row>
    <row r="479" spans="27:36">
      <c r="AA479" s="247">
        <v>3391</v>
      </c>
      <c r="AB479" s="247" t="s">
        <v>1147</v>
      </c>
      <c r="AC479" s="247" t="s">
        <v>516</v>
      </c>
      <c r="AD479" s="247" t="s">
        <v>516</v>
      </c>
      <c r="AE479" s="247" t="s">
        <v>507</v>
      </c>
      <c r="AF479" s="247">
        <v>0</v>
      </c>
      <c r="AG479" s="247"/>
      <c r="AH479" s="247">
        <v>20</v>
      </c>
      <c r="AI479" s="247">
        <v>28</v>
      </c>
      <c r="AJ479" s="247"/>
    </row>
    <row r="480" spans="27:36">
      <c r="AA480" s="247">
        <v>3392</v>
      </c>
      <c r="AB480" s="247" t="s">
        <v>1148</v>
      </c>
      <c r="AC480" s="247" t="s">
        <v>516</v>
      </c>
      <c r="AD480" s="247" t="s">
        <v>516</v>
      </c>
      <c r="AE480" s="247" t="s">
        <v>507</v>
      </c>
      <c r="AF480" s="247">
        <v>0</v>
      </c>
      <c r="AG480" s="247"/>
      <c r="AH480" s="247">
        <v>20</v>
      </c>
      <c r="AI480" s="247">
        <v>28</v>
      </c>
      <c r="AJ480" s="247"/>
    </row>
    <row r="481" spans="27:36">
      <c r="AA481" s="247">
        <v>3393</v>
      </c>
      <c r="AB481" s="247" t="s">
        <v>1149</v>
      </c>
      <c r="AC481" s="247" t="s">
        <v>516</v>
      </c>
      <c r="AD481" s="247" t="s">
        <v>516</v>
      </c>
      <c r="AE481" s="247" t="s">
        <v>507</v>
      </c>
      <c r="AF481" s="247">
        <v>0</v>
      </c>
      <c r="AG481" s="247"/>
      <c r="AH481" s="247">
        <v>20</v>
      </c>
      <c r="AI481" s="247">
        <v>28</v>
      </c>
      <c r="AJ481" s="247"/>
    </row>
    <row r="482" spans="27:36">
      <c r="AA482" s="247">
        <v>3395</v>
      </c>
      <c r="AB482" s="247" t="s">
        <v>1150</v>
      </c>
      <c r="AC482" s="247" t="s">
        <v>516</v>
      </c>
      <c r="AD482" s="247" t="s">
        <v>516</v>
      </c>
      <c r="AE482" s="247" t="s">
        <v>533</v>
      </c>
      <c r="AF482" s="247">
        <v>52</v>
      </c>
      <c r="AG482" s="247" t="s">
        <v>528</v>
      </c>
      <c r="AH482" s="247">
        <v>20</v>
      </c>
      <c r="AI482" s="247">
        <v>24</v>
      </c>
      <c r="AJ482" s="247"/>
    </row>
    <row r="483" spans="27:36">
      <c r="AA483" s="247">
        <v>3396</v>
      </c>
      <c r="AB483" s="247" t="s">
        <v>1151</v>
      </c>
      <c r="AC483" s="247" t="s">
        <v>516</v>
      </c>
      <c r="AD483" s="247" t="s">
        <v>516</v>
      </c>
      <c r="AE483" s="247" t="s">
        <v>543</v>
      </c>
      <c r="AF483" s="247">
        <v>0</v>
      </c>
      <c r="AG483" s="247" t="s">
        <v>528</v>
      </c>
      <c r="AH483" s="247">
        <v>20</v>
      </c>
      <c r="AI483" s="247">
        <v>27</v>
      </c>
      <c r="AJ483" s="247"/>
    </row>
    <row r="484" spans="27:36">
      <c r="AA484" s="247">
        <v>3397</v>
      </c>
      <c r="AB484" s="247" t="s">
        <v>1152</v>
      </c>
      <c r="AC484" s="247" t="s">
        <v>516</v>
      </c>
      <c r="AD484" s="247" t="s">
        <v>516</v>
      </c>
      <c r="AE484" s="247" t="s">
        <v>543</v>
      </c>
      <c r="AF484" s="247">
        <v>0</v>
      </c>
      <c r="AG484" s="247" t="s">
        <v>528</v>
      </c>
      <c r="AH484" s="247">
        <v>20</v>
      </c>
      <c r="AI484" s="247">
        <v>27</v>
      </c>
      <c r="AJ484" s="247"/>
    </row>
    <row r="485" spans="27:36">
      <c r="AA485" s="247">
        <v>3400</v>
      </c>
      <c r="AB485" s="247" t="s">
        <v>1153</v>
      </c>
      <c r="AC485" s="247" t="s">
        <v>1154</v>
      </c>
      <c r="AD485" s="247" t="s">
        <v>1155</v>
      </c>
      <c r="AE485" s="247" t="s">
        <v>543</v>
      </c>
      <c r="AF485" s="247">
        <v>0</v>
      </c>
      <c r="AG485" s="247"/>
      <c r="AH485" s="247">
        <v>0</v>
      </c>
      <c r="AI485" s="247">
        <v>27</v>
      </c>
      <c r="AJ485" s="247"/>
    </row>
    <row r="486" spans="27:36">
      <c r="AA486" s="247">
        <v>3410</v>
      </c>
      <c r="AB486" s="247" t="s">
        <v>1156</v>
      </c>
      <c r="AC486" s="247" t="s">
        <v>516</v>
      </c>
      <c r="AD486" s="247" t="s">
        <v>516</v>
      </c>
      <c r="AE486" s="247" t="s">
        <v>533</v>
      </c>
      <c r="AF486" s="247">
        <v>52</v>
      </c>
      <c r="AG486" s="247" t="s">
        <v>528</v>
      </c>
      <c r="AH486" s="247">
        <v>0</v>
      </c>
      <c r="AI486" s="247">
        <v>24</v>
      </c>
      <c r="AJ486" s="247"/>
    </row>
    <row r="487" spans="27:36">
      <c r="AA487" s="247">
        <v>3420</v>
      </c>
      <c r="AB487" s="247" t="s">
        <v>1157</v>
      </c>
      <c r="AC487" s="247" t="s">
        <v>516</v>
      </c>
      <c r="AD487" s="247" t="s">
        <v>516</v>
      </c>
      <c r="AE487" s="247" t="s">
        <v>533</v>
      </c>
      <c r="AF487" s="247">
        <v>52</v>
      </c>
      <c r="AG487" s="247" t="s">
        <v>528</v>
      </c>
      <c r="AH487" s="247">
        <v>0</v>
      </c>
      <c r="AI487" s="247">
        <v>24</v>
      </c>
      <c r="AJ487" s="247"/>
    </row>
    <row r="488" spans="27:36">
      <c r="AA488" s="247">
        <v>3430</v>
      </c>
      <c r="AB488" s="247" t="s">
        <v>1156</v>
      </c>
      <c r="AC488" s="247" t="s">
        <v>516</v>
      </c>
      <c r="AD488" s="247" t="s">
        <v>516</v>
      </c>
      <c r="AE488" s="247" t="s">
        <v>543</v>
      </c>
      <c r="AF488" s="247">
        <v>0</v>
      </c>
      <c r="AG488" s="247"/>
      <c r="AH488" s="247">
        <v>20</v>
      </c>
      <c r="AI488" s="247">
        <v>27</v>
      </c>
      <c r="AJ488" s="247"/>
    </row>
    <row r="489" spans="27:36">
      <c r="AA489" s="247">
        <v>3440</v>
      </c>
      <c r="AB489" s="247" t="s">
        <v>1158</v>
      </c>
      <c r="AC489" s="247" t="s">
        <v>516</v>
      </c>
      <c r="AD489" s="247" t="s">
        <v>516</v>
      </c>
      <c r="AE489" s="247" t="s">
        <v>543</v>
      </c>
      <c r="AF489" s="247">
        <v>0</v>
      </c>
      <c r="AG489" s="247" t="s">
        <v>528</v>
      </c>
      <c r="AH489" s="247">
        <v>20</v>
      </c>
      <c r="AI489" s="247">
        <v>27</v>
      </c>
      <c r="AJ489" s="247"/>
    </row>
    <row r="490" spans="27:36">
      <c r="AA490" s="247">
        <v>3455</v>
      </c>
      <c r="AB490" s="247" t="s">
        <v>1159</v>
      </c>
      <c r="AC490" s="247" t="s">
        <v>516</v>
      </c>
      <c r="AD490" s="247" t="s">
        <v>516</v>
      </c>
      <c r="AE490" s="247" t="s">
        <v>507</v>
      </c>
      <c r="AF490" s="247">
        <v>75</v>
      </c>
      <c r="AG490" s="247" t="s">
        <v>528</v>
      </c>
      <c r="AH490" s="247">
        <v>20</v>
      </c>
      <c r="AI490" s="247">
        <v>4</v>
      </c>
      <c r="AJ490" s="247"/>
    </row>
    <row r="491" spans="27:36">
      <c r="AA491" s="247">
        <v>3460</v>
      </c>
      <c r="AB491" s="247" t="s">
        <v>1160</v>
      </c>
      <c r="AC491" s="247" t="s">
        <v>516</v>
      </c>
      <c r="AD491" s="247" t="s">
        <v>516</v>
      </c>
      <c r="AE491" s="247" t="s">
        <v>533</v>
      </c>
      <c r="AF491" s="247">
        <v>52</v>
      </c>
      <c r="AG491" s="247" t="s">
        <v>528</v>
      </c>
      <c r="AH491" s="247">
        <v>20</v>
      </c>
      <c r="AI491" s="247">
        <v>24</v>
      </c>
      <c r="AJ491" s="247"/>
    </row>
    <row r="492" spans="27:36">
      <c r="AA492" s="247">
        <v>3461</v>
      </c>
      <c r="AB492" s="247" t="s">
        <v>1161</v>
      </c>
      <c r="AC492" s="247" t="s">
        <v>516</v>
      </c>
      <c r="AD492" s="247" t="s">
        <v>516</v>
      </c>
      <c r="AE492" s="247" t="s">
        <v>543</v>
      </c>
      <c r="AF492" s="247">
        <v>0</v>
      </c>
      <c r="AG492" s="247" t="s">
        <v>528</v>
      </c>
      <c r="AH492" s="247">
        <v>20</v>
      </c>
      <c r="AI492" s="247">
        <v>27</v>
      </c>
      <c r="AJ492" s="247"/>
    </row>
    <row r="493" spans="27:36">
      <c r="AA493" s="247">
        <v>3500</v>
      </c>
      <c r="AB493" s="247" t="s">
        <v>306</v>
      </c>
      <c r="AC493" s="247" t="s">
        <v>1162</v>
      </c>
      <c r="AD493" s="247" t="s">
        <v>1163</v>
      </c>
      <c r="AE493" s="247" t="s">
        <v>507</v>
      </c>
      <c r="AF493" s="247">
        <v>75</v>
      </c>
      <c r="AG493" s="247"/>
      <c r="AH493" s="247">
        <v>20</v>
      </c>
      <c r="AI493" s="247">
        <v>4</v>
      </c>
      <c r="AJ493" s="247"/>
    </row>
    <row r="494" spans="27:36">
      <c r="AA494" s="247">
        <v>3501</v>
      </c>
      <c r="AB494" s="247" t="s">
        <v>1164</v>
      </c>
      <c r="AC494" s="247" t="s">
        <v>516</v>
      </c>
      <c r="AD494" s="247" t="s">
        <v>516</v>
      </c>
      <c r="AE494" s="247" t="s">
        <v>507</v>
      </c>
      <c r="AF494" s="247">
        <v>75</v>
      </c>
      <c r="AG494" s="247"/>
      <c r="AH494" s="247">
        <v>20</v>
      </c>
      <c r="AI494" s="247">
        <v>4</v>
      </c>
      <c r="AJ494" s="247"/>
    </row>
    <row r="495" spans="27:36">
      <c r="AA495" s="247">
        <v>3502</v>
      </c>
      <c r="AB495" s="247" t="s">
        <v>1165</v>
      </c>
      <c r="AC495" s="247" t="s">
        <v>516</v>
      </c>
      <c r="AD495" s="247" t="s">
        <v>516</v>
      </c>
      <c r="AE495" s="247" t="s">
        <v>533</v>
      </c>
      <c r="AF495" s="247">
        <v>75</v>
      </c>
      <c r="AG495" s="247" t="s">
        <v>528</v>
      </c>
      <c r="AH495" s="247">
        <v>0</v>
      </c>
      <c r="AI495" s="247">
        <v>4</v>
      </c>
      <c r="AJ495" s="247"/>
    </row>
    <row r="496" spans="27:36">
      <c r="AA496" s="247">
        <v>3503</v>
      </c>
      <c r="AB496" s="247" t="s">
        <v>1166</v>
      </c>
      <c r="AC496" s="247" t="s">
        <v>516</v>
      </c>
      <c r="AD496" s="247" t="s">
        <v>516</v>
      </c>
      <c r="AE496" s="247" t="s">
        <v>507</v>
      </c>
      <c r="AF496" s="247">
        <v>52</v>
      </c>
      <c r="AG496" s="247"/>
      <c r="AH496" s="247">
        <v>20</v>
      </c>
      <c r="AI496" s="247">
        <v>4</v>
      </c>
      <c r="AJ496" s="247"/>
    </row>
    <row r="497" spans="27:36">
      <c r="AA497" s="247">
        <v>3530</v>
      </c>
      <c r="AB497" s="247" t="s">
        <v>1167</v>
      </c>
      <c r="AC497" s="247" t="s">
        <v>1168</v>
      </c>
      <c r="AD497" s="247" t="s">
        <v>1169</v>
      </c>
      <c r="AE497" s="247" t="s">
        <v>507</v>
      </c>
      <c r="AF497" s="247">
        <v>75</v>
      </c>
      <c r="AG497" s="247"/>
      <c r="AH497" s="247">
        <v>20</v>
      </c>
      <c r="AI497" s="247">
        <v>4</v>
      </c>
      <c r="AJ497" s="247"/>
    </row>
    <row r="498" spans="27:36">
      <c r="AA498" s="247">
        <v>3531</v>
      </c>
      <c r="AB498" s="247" t="s">
        <v>1170</v>
      </c>
      <c r="AC498" s="247" t="s">
        <v>516</v>
      </c>
      <c r="AD498" s="247" t="s">
        <v>516</v>
      </c>
      <c r="AE498" s="247" t="s">
        <v>507</v>
      </c>
      <c r="AF498" s="247">
        <v>75</v>
      </c>
      <c r="AG498" s="247"/>
      <c r="AH498" s="247">
        <v>20</v>
      </c>
      <c r="AI498" s="247">
        <v>4</v>
      </c>
      <c r="AJ498" s="247"/>
    </row>
    <row r="499" spans="27:36">
      <c r="AA499" s="247">
        <v>3532</v>
      </c>
      <c r="AB499" s="247" t="s">
        <v>1171</v>
      </c>
      <c r="AC499" s="247" t="s">
        <v>516</v>
      </c>
      <c r="AD499" s="247" t="s">
        <v>516</v>
      </c>
      <c r="AE499" s="247" t="s">
        <v>507</v>
      </c>
      <c r="AF499" s="247">
        <v>52</v>
      </c>
      <c r="AG499" s="247"/>
      <c r="AH499" s="247">
        <v>20</v>
      </c>
      <c r="AI499" s="247">
        <v>4</v>
      </c>
      <c r="AJ499" s="247"/>
    </row>
    <row r="500" spans="27:36">
      <c r="AA500" s="247">
        <v>3533</v>
      </c>
      <c r="AB500" s="247" t="s">
        <v>1172</v>
      </c>
      <c r="AC500" s="247" t="s">
        <v>516</v>
      </c>
      <c r="AD500" s="247" t="s">
        <v>516</v>
      </c>
      <c r="AE500" s="247" t="s">
        <v>507</v>
      </c>
      <c r="AF500" s="247">
        <v>52</v>
      </c>
      <c r="AG500" s="247"/>
      <c r="AH500" s="247">
        <v>20</v>
      </c>
      <c r="AI500" s="247">
        <v>4</v>
      </c>
      <c r="AJ500" s="247"/>
    </row>
    <row r="501" spans="27:36">
      <c r="AA501" s="247">
        <v>3534</v>
      </c>
      <c r="AB501" s="247" t="s">
        <v>1173</v>
      </c>
      <c r="AC501" s="247" t="s">
        <v>516</v>
      </c>
      <c r="AD501" s="247" t="s">
        <v>516</v>
      </c>
      <c r="AE501" s="247" t="s">
        <v>507</v>
      </c>
      <c r="AF501" s="247">
        <v>52</v>
      </c>
      <c r="AG501" s="247"/>
      <c r="AH501" s="247">
        <v>20</v>
      </c>
      <c r="AI501" s="247">
        <v>4</v>
      </c>
      <c r="AJ501" s="247"/>
    </row>
    <row r="502" spans="27:36">
      <c r="AA502" s="247">
        <v>3535</v>
      </c>
      <c r="AB502" s="247" t="s">
        <v>1174</v>
      </c>
      <c r="AC502" s="247" t="s">
        <v>1175</v>
      </c>
      <c r="AD502" s="247" t="s">
        <v>1176</v>
      </c>
      <c r="AE502" s="247" t="s">
        <v>507</v>
      </c>
      <c r="AF502" s="247">
        <v>75</v>
      </c>
      <c r="AG502" s="247"/>
      <c r="AH502" s="247">
        <v>20</v>
      </c>
      <c r="AI502" s="247">
        <v>4</v>
      </c>
      <c r="AJ502" s="247"/>
    </row>
    <row r="503" spans="27:36">
      <c r="AA503" s="247">
        <v>3536</v>
      </c>
      <c r="AB503" s="247" t="s">
        <v>1177</v>
      </c>
      <c r="AC503" s="247" t="s">
        <v>516</v>
      </c>
      <c r="AD503" s="247" t="s">
        <v>516</v>
      </c>
      <c r="AE503" s="247" t="s">
        <v>507</v>
      </c>
      <c r="AF503" s="247">
        <v>75</v>
      </c>
      <c r="AG503" s="247"/>
      <c r="AH503" s="247">
        <v>20</v>
      </c>
      <c r="AI503" s="247">
        <v>4</v>
      </c>
      <c r="AJ503" s="247"/>
    </row>
    <row r="504" spans="27:36">
      <c r="AA504" s="247">
        <v>3537</v>
      </c>
      <c r="AB504" s="247" t="s">
        <v>1178</v>
      </c>
      <c r="AC504" s="247" t="s">
        <v>1179</v>
      </c>
      <c r="AD504" s="247" t="s">
        <v>1180</v>
      </c>
      <c r="AE504" s="247" t="s">
        <v>507</v>
      </c>
      <c r="AF504" s="247">
        <v>0</v>
      </c>
      <c r="AG504" s="247"/>
      <c r="AH504" s="247">
        <v>20</v>
      </c>
      <c r="AI504" s="247">
        <v>27</v>
      </c>
      <c r="AJ504" s="247"/>
    </row>
    <row r="505" spans="27:36">
      <c r="AA505" s="247">
        <v>3540</v>
      </c>
      <c r="AB505" s="247" t="s">
        <v>1181</v>
      </c>
      <c r="AC505" s="247" t="s">
        <v>1182</v>
      </c>
      <c r="AD505" s="247" t="s">
        <v>1183</v>
      </c>
      <c r="AE505" s="247" t="s">
        <v>507</v>
      </c>
      <c r="AF505" s="247">
        <v>75</v>
      </c>
      <c r="AG505" s="247"/>
      <c r="AH505" s="247">
        <v>20</v>
      </c>
      <c r="AI505" s="247">
        <v>4</v>
      </c>
      <c r="AJ505" s="247"/>
    </row>
    <row r="506" spans="27:36">
      <c r="AA506" s="247">
        <v>3541</v>
      </c>
      <c r="AB506" s="247" t="s">
        <v>1184</v>
      </c>
      <c r="AC506" s="247" t="s">
        <v>516</v>
      </c>
      <c r="AD506" s="247" t="s">
        <v>516</v>
      </c>
      <c r="AE506" s="247" t="s">
        <v>507</v>
      </c>
      <c r="AF506" s="247">
        <v>75</v>
      </c>
      <c r="AG506" s="247"/>
      <c r="AH506" s="247">
        <v>20</v>
      </c>
      <c r="AI506" s="247">
        <v>4</v>
      </c>
      <c r="AJ506" s="247"/>
    </row>
    <row r="507" spans="27:36">
      <c r="AA507" s="247">
        <v>3542</v>
      </c>
      <c r="AB507" s="247" t="s">
        <v>1185</v>
      </c>
      <c r="AC507" s="247" t="s">
        <v>516</v>
      </c>
      <c r="AD507" s="247" t="s">
        <v>516</v>
      </c>
      <c r="AE507" s="247" t="s">
        <v>507</v>
      </c>
      <c r="AF507" s="247">
        <v>52</v>
      </c>
      <c r="AG507" s="247"/>
      <c r="AH507" s="247">
        <v>20</v>
      </c>
      <c r="AI507" s="247">
        <v>4</v>
      </c>
      <c r="AJ507" s="247"/>
    </row>
    <row r="508" spans="27:36">
      <c r="AA508" s="247">
        <v>3543</v>
      </c>
      <c r="AB508" s="247" t="s">
        <v>1186</v>
      </c>
      <c r="AC508" s="247" t="s">
        <v>516</v>
      </c>
      <c r="AD508" s="247" t="s">
        <v>516</v>
      </c>
      <c r="AE508" s="247" t="s">
        <v>507</v>
      </c>
      <c r="AF508" s="247">
        <v>0</v>
      </c>
      <c r="AG508" s="247"/>
      <c r="AH508" s="247">
        <v>20</v>
      </c>
      <c r="AI508" s="247">
        <v>27</v>
      </c>
      <c r="AJ508" s="247"/>
    </row>
    <row r="509" spans="27:36">
      <c r="AA509" s="247">
        <v>3544</v>
      </c>
      <c r="AB509" s="247" t="s">
        <v>1187</v>
      </c>
      <c r="AC509" s="247" t="s">
        <v>516</v>
      </c>
      <c r="AD509" s="247" t="s">
        <v>516</v>
      </c>
      <c r="AE509" s="247" t="s">
        <v>507</v>
      </c>
      <c r="AF509" s="247">
        <v>0</v>
      </c>
      <c r="AG509" s="247" t="s">
        <v>528</v>
      </c>
      <c r="AH509" s="247">
        <v>0</v>
      </c>
      <c r="AI509" s="247">
        <v>27</v>
      </c>
      <c r="AJ509" s="247"/>
    </row>
    <row r="510" spans="27:36">
      <c r="AA510" s="247">
        <v>3545</v>
      </c>
      <c r="AB510" s="247" t="s">
        <v>1188</v>
      </c>
      <c r="AC510" s="247" t="s">
        <v>1189</v>
      </c>
      <c r="AD510" s="247" t="s">
        <v>1190</v>
      </c>
      <c r="AE510" s="247" t="s">
        <v>507</v>
      </c>
      <c r="AF510" s="247">
        <v>75</v>
      </c>
      <c r="AG510" s="247"/>
      <c r="AH510" s="247">
        <v>20</v>
      </c>
      <c r="AI510" s="247">
        <v>4</v>
      </c>
      <c r="AJ510" s="247"/>
    </row>
    <row r="511" spans="27:36">
      <c r="AA511" s="247">
        <v>3546</v>
      </c>
      <c r="AB511" s="247" t="s">
        <v>1191</v>
      </c>
      <c r="AC511" s="247" t="s">
        <v>516</v>
      </c>
      <c r="AD511" s="247" t="s">
        <v>516</v>
      </c>
      <c r="AE511" s="247" t="s">
        <v>507</v>
      </c>
      <c r="AF511" s="247">
        <v>75</v>
      </c>
      <c r="AG511" s="247"/>
      <c r="AH511" s="247">
        <v>20</v>
      </c>
      <c r="AI511" s="247">
        <v>4</v>
      </c>
      <c r="AJ511" s="247"/>
    </row>
    <row r="512" spans="27:36">
      <c r="AA512" s="247">
        <v>3547</v>
      </c>
      <c r="AB512" s="247" t="s">
        <v>1192</v>
      </c>
      <c r="AC512" s="247" t="s">
        <v>1193</v>
      </c>
      <c r="AD512" s="247" t="s">
        <v>1194</v>
      </c>
      <c r="AE512" s="247" t="s">
        <v>507</v>
      </c>
      <c r="AF512" s="247">
        <v>0</v>
      </c>
      <c r="AG512" s="247"/>
      <c r="AH512" s="247">
        <v>20</v>
      </c>
      <c r="AI512" s="247">
        <v>27</v>
      </c>
      <c r="AJ512" s="247"/>
    </row>
    <row r="513" spans="27:36">
      <c r="AA513" s="247">
        <v>3550</v>
      </c>
      <c r="AB513" s="247" t="s">
        <v>1195</v>
      </c>
      <c r="AC513" s="247" t="s">
        <v>1196</v>
      </c>
      <c r="AD513" s="247" t="s">
        <v>1197</v>
      </c>
      <c r="AE513" s="247" t="s">
        <v>507</v>
      </c>
      <c r="AF513" s="247">
        <v>75</v>
      </c>
      <c r="AG513" s="247"/>
      <c r="AH513" s="247">
        <v>20</v>
      </c>
      <c r="AI513" s="247">
        <v>4</v>
      </c>
      <c r="AJ513" s="247"/>
    </row>
    <row r="514" spans="27:36">
      <c r="AA514" s="247">
        <v>3551</v>
      </c>
      <c r="AB514" s="247" t="s">
        <v>1195</v>
      </c>
      <c r="AC514" s="247" t="s">
        <v>516</v>
      </c>
      <c r="AD514" s="247" t="s">
        <v>516</v>
      </c>
      <c r="AE514" s="247" t="s">
        <v>507</v>
      </c>
      <c r="AF514" s="247">
        <v>75</v>
      </c>
      <c r="AG514" s="247"/>
      <c r="AH514" s="247">
        <v>20</v>
      </c>
      <c r="AI514" s="247">
        <v>4</v>
      </c>
      <c r="AJ514" s="247"/>
    </row>
    <row r="515" spans="27:36">
      <c r="AA515" s="247">
        <v>3555</v>
      </c>
      <c r="AB515" s="247" t="s">
        <v>1198</v>
      </c>
      <c r="AC515" s="247" t="s">
        <v>1199</v>
      </c>
      <c r="AD515" s="247" t="s">
        <v>1198</v>
      </c>
      <c r="AE515" s="247" t="s">
        <v>533</v>
      </c>
      <c r="AF515" s="247">
        <v>52</v>
      </c>
      <c r="AG515" s="247" t="s">
        <v>528</v>
      </c>
      <c r="AH515" s="247">
        <v>10</v>
      </c>
      <c r="AI515" s="247">
        <v>20</v>
      </c>
      <c r="AJ515" s="247"/>
    </row>
    <row r="516" spans="27:36">
      <c r="AA516" s="247">
        <v>3560</v>
      </c>
      <c r="AB516" s="247" t="s">
        <v>462</v>
      </c>
      <c r="AC516" s="247" t="s">
        <v>516</v>
      </c>
      <c r="AD516" s="247" t="s">
        <v>516</v>
      </c>
      <c r="AE516" s="247" t="s">
        <v>533</v>
      </c>
      <c r="AF516" s="247">
        <v>52</v>
      </c>
      <c r="AG516" s="247" t="s">
        <v>528</v>
      </c>
      <c r="AH516" s="247">
        <v>10</v>
      </c>
      <c r="AI516" s="247">
        <v>4</v>
      </c>
      <c r="AJ516" s="247"/>
    </row>
    <row r="517" spans="27:36">
      <c r="AA517" s="247">
        <v>3562</v>
      </c>
      <c r="AB517" s="247" t="s">
        <v>1200</v>
      </c>
      <c r="AC517" s="247" t="s">
        <v>516</v>
      </c>
      <c r="AD517" s="247" t="s">
        <v>516</v>
      </c>
      <c r="AE517" s="247" t="s">
        <v>507</v>
      </c>
      <c r="AF517" s="247">
        <v>52</v>
      </c>
      <c r="AG517" s="247"/>
      <c r="AH517" s="247">
        <v>20</v>
      </c>
      <c r="AI517" s="247">
        <v>4</v>
      </c>
      <c r="AJ517" s="247"/>
    </row>
    <row r="518" spans="27:36">
      <c r="AA518" s="247">
        <v>3570</v>
      </c>
      <c r="AB518" s="247" t="s">
        <v>1201</v>
      </c>
      <c r="AC518" s="247" t="s">
        <v>1202</v>
      </c>
      <c r="AD518" s="247" t="s">
        <v>1201</v>
      </c>
      <c r="AE518" s="247" t="s">
        <v>507</v>
      </c>
      <c r="AF518" s="247">
        <v>75</v>
      </c>
      <c r="AG518" s="247"/>
      <c r="AH518" s="247">
        <v>20</v>
      </c>
      <c r="AI518" s="247">
        <v>4</v>
      </c>
      <c r="AJ518" s="247"/>
    </row>
    <row r="519" spans="27:36">
      <c r="AA519" s="247">
        <v>3571</v>
      </c>
      <c r="AB519" s="247" t="s">
        <v>1203</v>
      </c>
      <c r="AC519" s="247" t="s">
        <v>516</v>
      </c>
      <c r="AD519" s="247" t="s">
        <v>516</v>
      </c>
      <c r="AE519" s="247" t="s">
        <v>507</v>
      </c>
      <c r="AF519" s="247">
        <v>75</v>
      </c>
      <c r="AG519" s="247"/>
      <c r="AH519" s="247">
        <v>20</v>
      </c>
      <c r="AI519" s="247">
        <v>4</v>
      </c>
      <c r="AJ519" s="247"/>
    </row>
    <row r="520" spans="27:36">
      <c r="AA520" s="247">
        <v>3572</v>
      </c>
      <c r="AB520" s="247" t="s">
        <v>1204</v>
      </c>
      <c r="AC520" s="247" t="s">
        <v>516</v>
      </c>
      <c r="AD520" s="247" t="s">
        <v>516</v>
      </c>
      <c r="AE520" s="247" t="s">
        <v>507</v>
      </c>
      <c r="AF520" s="247">
        <v>75</v>
      </c>
      <c r="AG520" s="247"/>
      <c r="AH520" s="247">
        <v>20</v>
      </c>
      <c r="AI520" s="247">
        <v>4</v>
      </c>
      <c r="AJ520" s="247"/>
    </row>
    <row r="521" spans="27:36">
      <c r="AA521" s="247">
        <v>3573</v>
      </c>
      <c r="AB521" s="247" t="s">
        <v>1205</v>
      </c>
      <c r="AC521" s="247" t="s">
        <v>516</v>
      </c>
      <c r="AD521" s="247" t="s">
        <v>516</v>
      </c>
      <c r="AE521" s="247" t="s">
        <v>507</v>
      </c>
      <c r="AF521" s="247">
        <v>75</v>
      </c>
      <c r="AG521" s="247"/>
      <c r="AH521" s="247">
        <v>20</v>
      </c>
      <c r="AI521" s="247">
        <v>4</v>
      </c>
      <c r="AJ521" s="247"/>
    </row>
    <row r="522" spans="27:36">
      <c r="AA522" s="247">
        <v>3574</v>
      </c>
      <c r="AB522" s="247" t="s">
        <v>1206</v>
      </c>
      <c r="AC522" s="247" t="s">
        <v>516</v>
      </c>
      <c r="AD522" s="247" t="s">
        <v>516</v>
      </c>
      <c r="AE522" s="247" t="s">
        <v>507</v>
      </c>
      <c r="AF522" s="247">
        <v>75</v>
      </c>
      <c r="AG522" s="247"/>
      <c r="AH522" s="247">
        <v>20</v>
      </c>
      <c r="AI522" s="247">
        <v>4</v>
      </c>
      <c r="AJ522" s="247"/>
    </row>
    <row r="523" spans="27:36">
      <c r="AA523" s="247">
        <v>3575</v>
      </c>
      <c r="AB523" s="247" t="s">
        <v>1207</v>
      </c>
      <c r="AC523" s="247" t="s">
        <v>516</v>
      </c>
      <c r="AD523" s="247" t="s">
        <v>516</v>
      </c>
      <c r="AE523" s="247" t="s">
        <v>507</v>
      </c>
      <c r="AF523" s="247">
        <v>75</v>
      </c>
      <c r="AG523" s="247"/>
      <c r="AH523" s="247">
        <v>20</v>
      </c>
      <c r="AI523" s="247">
        <v>4</v>
      </c>
      <c r="AJ523" s="247"/>
    </row>
    <row r="524" spans="27:36">
      <c r="AA524" s="247">
        <v>3576</v>
      </c>
      <c r="AB524" s="247" t="s">
        <v>1208</v>
      </c>
      <c r="AC524" s="247" t="s">
        <v>516</v>
      </c>
      <c r="AD524" s="247" t="s">
        <v>516</v>
      </c>
      <c r="AE524" s="247" t="s">
        <v>507</v>
      </c>
      <c r="AF524" s="247">
        <v>52</v>
      </c>
      <c r="AG524" s="247"/>
      <c r="AH524" s="247">
        <v>20</v>
      </c>
      <c r="AI524" s="247">
        <v>4</v>
      </c>
      <c r="AJ524" s="247"/>
    </row>
    <row r="525" spans="27:36">
      <c r="AA525" s="247">
        <v>3577</v>
      </c>
      <c r="AB525" s="247" t="s">
        <v>1209</v>
      </c>
      <c r="AC525" s="247" t="s">
        <v>516</v>
      </c>
      <c r="AD525" s="247" t="s">
        <v>516</v>
      </c>
      <c r="AE525" s="247" t="s">
        <v>507</v>
      </c>
      <c r="AF525" s="247">
        <v>0</v>
      </c>
      <c r="AG525" s="247"/>
      <c r="AH525" s="247">
        <v>20</v>
      </c>
      <c r="AI525" s="247">
        <v>27</v>
      </c>
      <c r="AJ525" s="247"/>
    </row>
    <row r="526" spans="27:36">
      <c r="AA526" s="247">
        <v>3581</v>
      </c>
      <c r="AB526" s="247" t="s">
        <v>1210</v>
      </c>
      <c r="AC526" s="247" t="s">
        <v>516</v>
      </c>
      <c r="AD526" s="247" t="s">
        <v>516</v>
      </c>
      <c r="AE526" s="247" t="s">
        <v>507</v>
      </c>
      <c r="AF526" s="247">
        <v>75</v>
      </c>
      <c r="AG526" s="247"/>
      <c r="AH526" s="247">
        <v>20</v>
      </c>
      <c r="AI526" s="247">
        <v>4</v>
      </c>
      <c r="AJ526" s="247"/>
    </row>
    <row r="527" spans="27:36">
      <c r="AA527" s="247">
        <v>3582</v>
      </c>
      <c r="AB527" s="247" t="s">
        <v>1211</v>
      </c>
      <c r="AC527" s="247" t="s">
        <v>516</v>
      </c>
      <c r="AD527" s="247" t="s">
        <v>516</v>
      </c>
      <c r="AE527" s="247" t="s">
        <v>507</v>
      </c>
      <c r="AF527" s="247">
        <v>75</v>
      </c>
      <c r="AG527" s="247"/>
      <c r="AH527" s="247">
        <v>20</v>
      </c>
      <c r="AI527" s="247">
        <v>4</v>
      </c>
      <c r="AJ527" s="247"/>
    </row>
    <row r="528" spans="27:36">
      <c r="AA528" s="247">
        <v>3583</v>
      </c>
      <c r="AB528" s="247" t="s">
        <v>1212</v>
      </c>
      <c r="AC528" s="247" t="s">
        <v>516</v>
      </c>
      <c r="AD528" s="247" t="s">
        <v>516</v>
      </c>
      <c r="AE528" s="247" t="s">
        <v>507</v>
      </c>
      <c r="AF528" s="247">
        <v>75</v>
      </c>
      <c r="AG528" s="247"/>
      <c r="AH528" s="247">
        <v>20</v>
      </c>
      <c r="AI528" s="247">
        <v>4</v>
      </c>
      <c r="AJ528" s="247"/>
    </row>
    <row r="529" spans="27:36">
      <c r="AA529" s="247">
        <v>3584</v>
      </c>
      <c r="AB529" s="247" t="s">
        <v>1213</v>
      </c>
      <c r="AC529" s="247" t="s">
        <v>516</v>
      </c>
      <c r="AD529" s="247" t="s">
        <v>516</v>
      </c>
      <c r="AE529" s="247" t="s">
        <v>507</v>
      </c>
      <c r="AF529" s="247">
        <v>75</v>
      </c>
      <c r="AG529" s="247"/>
      <c r="AH529" s="247">
        <v>20</v>
      </c>
      <c r="AI529" s="247">
        <v>4</v>
      </c>
      <c r="AJ529" s="247"/>
    </row>
    <row r="530" spans="27:36">
      <c r="AA530" s="247">
        <v>3585</v>
      </c>
      <c r="AB530" s="247" t="s">
        <v>1214</v>
      </c>
      <c r="AC530" s="247" t="s">
        <v>516</v>
      </c>
      <c r="AD530" s="247" t="s">
        <v>516</v>
      </c>
      <c r="AE530" s="247" t="s">
        <v>507</v>
      </c>
      <c r="AF530" s="247">
        <v>75</v>
      </c>
      <c r="AG530" s="247"/>
      <c r="AH530" s="247">
        <v>20</v>
      </c>
      <c r="AI530" s="247">
        <v>4</v>
      </c>
      <c r="AJ530" s="247"/>
    </row>
    <row r="531" spans="27:36">
      <c r="AA531" s="247">
        <v>3586</v>
      </c>
      <c r="AB531" s="247" t="s">
        <v>1215</v>
      </c>
      <c r="AC531" s="247" t="s">
        <v>516</v>
      </c>
      <c r="AD531" s="247" t="s">
        <v>516</v>
      </c>
      <c r="AE531" s="247" t="s">
        <v>507</v>
      </c>
      <c r="AF531" s="247">
        <v>0</v>
      </c>
      <c r="AG531" s="247"/>
      <c r="AH531" s="247">
        <v>20</v>
      </c>
      <c r="AI531" s="247">
        <v>27</v>
      </c>
      <c r="AJ531" s="247"/>
    </row>
    <row r="532" spans="27:36">
      <c r="AA532" s="247">
        <v>3590</v>
      </c>
      <c r="AB532" s="247" t="s">
        <v>1216</v>
      </c>
      <c r="AC532" s="247" t="s">
        <v>516</v>
      </c>
      <c r="AD532" s="247" t="s">
        <v>516</v>
      </c>
      <c r="AE532" s="247" t="s">
        <v>507</v>
      </c>
      <c r="AF532" s="247">
        <v>75</v>
      </c>
      <c r="AG532" s="247"/>
      <c r="AH532" s="247">
        <v>10</v>
      </c>
      <c r="AI532" s="247">
        <v>4</v>
      </c>
      <c r="AJ532" s="247"/>
    </row>
    <row r="533" spans="27:36">
      <c r="AA533" s="247">
        <v>3591</v>
      </c>
      <c r="AB533" s="247" t="s">
        <v>1217</v>
      </c>
      <c r="AC533" s="247" t="s">
        <v>516</v>
      </c>
      <c r="AD533" s="247" t="s">
        <v>516</v>
      </c>
      <c r="AE533" s="247" t="s">
        <v>507</v>
      </c>
      <c r="AF533" s="247">
        <v>0</v>
      </c>
      <c r="AG533" s="247"/>
      <c r="AH533" s="247">
        <v>20</v>
      </c>
      <c r="AI533" s="247">
        <v>27</v>
      </c>
      <c r="AJ533" s="247"/>
    </row>
    <row r="534" spans="27:36">
      <c r="AA534" s="247">
        <v>3592</v>
      </c>
      <c r="AB534" s="247" t="s">
        <v>1218</v>
      </c>
      <c r="AC534" s="247" t="s">
        <v>516</v>
      </c>
      <c r="AD534" s="247" t="s">
        <v>516</v>
      </c>
      <c r="AE534" s="247" t="s">
        <v>507</v>
      </c>
      <c r="AF534" s="247">
        <v>52</v>
      </c>
      <c r="AG534" s="247"/>
      <c r="AH534" s="247">
        <v>20</v>
      </c>
      <c r="AI534" s="247">
        <v>4</v>
      </c>
      <c r="AJ534" s="247"/>
    </row>
    <row r="535" spans="27:36">
      <c r="AA535" s="247">
        <v>3593</v>
      </c>
      <c r="AB535" s="247" t="s">
        <v>1219</v>
      </c>
      <c r="AC535" s="247" t="s">
        <v>516</v>
      </c>
      <c r="AD535" s="247" t="s">
        <v>516</v>
      </c>
      <c r="AE535" s="247" t="s">
        <v>507</v>
      </c>
      <c r="AF535" s="247">
        <v>52</v>
      </c>
      <c r="AG535" s="247"/>
      <c r="AH535" s="247">
        <v>20</v>
      </c>
      <c r="AI535" s="247">
        <v>4</v>
      </c>
      <c r="AJ535" s="247"/>
    </row>
    <row r="536" spans="27:36">
      <c r="AA536" s="247">
        <v>3594</v>
      </c>
      <c r="AB536" s="247" t="s">
        <v>1220</v>
      </c>
      <c r="AC536" s="247" t="s">
        <v>516</v>
      </c>
      <c r="AD536" s="247" t="s">
        <v>516</v>
      </c>
      <c r="AE536" s="247" t="s">
        <v>507</v>
      </c>
      <c r="AF536" s="247">
        <v>52</v>
      </c>
      <c r="AG536" s="247"/>
      <c r="AH536" s="247">
        <v>20</v>
      </c>
      <c r="AI536" s="247">
        <v>4</v>
      </c>
      <c r="AJ536" s="247"/>
    </row>
    <row r="537" spans="27:36">
      <c r="AA537" s="247">
        <v>3595</v>
      </c>
      <c r="AB537" s="247" t="s">
        <v>1221</v>
      </c>
      <c r="AC537" s="247" t="s">
        <v>516</v>
      </c>
      <c r="AD537" s="247" t="s">
        <v>516</v>
      </c>
      <c r="AE537" s="247" t="s">
        <v>533</v>
      </c>
      <c r="AF537" s="247">
        <v>52</v>
      </c>
      <c r="AG537" s="247"/>
      <c r="AH537" s="247">
        <v>20</v>
      </c>
      <c r="AI537" s="247">
        <v>16</v>
      </c>
      <c r="AJ537" s="247"/>
    </row>
    <row r="538" spans="27:36">
      <c r="AA538" s="247">
        <v>3630</v>
      </c>
      <c r="AB538" s="247" t="s">
        <v>1222</v>
      </c>
      <c r="AC538" s="247" t="s">
        <v>516</v>
      </c>
      <c r="AD538" s="247" t="s">
        <v>516</v>
      </c>
      <c r="AE538" s="247" t="s">
        <v>543</v>
      </c>
      <c r="AF538" s="247">
        <v>0</v>
      </c>
      <c r="AG538" s="247"/>
      <c r="AH538" s="247">
        <v>20</v>
      </c>
      <c r="AI538" s="247">
        <v>27</v>
      </c>
      <c r="AJ538" s="247"/>
    </row>
    <row r="539" spans="27:36">
      <c r="AA539" s="247">
        <v>3632</v>
      </c>
      <c r="AB539" s="247" t="s">
        <v>1223</v>
      </c>
      <c r="AC539" s="247" t="s">
        <v>516</v>
      </c>
      <c r="AD539" s="247" t="s">
        <v>516</v>
      </c>
      <c r="AE539" s="247" t="s">
        <v>533</v>
      </c>
      <c r="AF539" s="247">
        <v>52</v>
      </c>
      <c r="AG539" s="247"/>
      <c r="AH539" s="247">
        <v>20</v>
      </c>
      <c r="AI539" s="247">
        <v>4</v>
      </c>
      <c r="AJ539" s="247"/>
    </row>
    <row r="540" spans="27:36">
      <c r="AA540" s="247">
        <v>3640</v>
      </c>
      <c r="AB540" s="247" t="s">
        <v>1224</v>
      </c>
      <c r="AC540" s="247" t="s">
        <v>516</v>
      </c>
      <c r="AD540" s="247" t="s">
        <v>516</v>
      </c>
      <c r="AE540" s="247" t="s">
        <v>507</v>
      </c>
      <c r="AF540" s="247">
        <v>0</v>
      </c>
      <c r="AG540" s="247"/>
      <c r="AH540" s="247">
        <v>30</v>
      </c>
      <c r="AI540" s="247">
        <v>28</v>
      </c>
      <c r="AJ540" s="247"/>
    </row>
    <row r="541" spans="27:36">
      <c r="AA541" s="247">
        <v>3642</v>
      </c>
      <c r="AB541" s="247" t="s">
        <v>1225</v>
      </c>
      <c r="AC541" s="247" t="s">
        <v>516</v>
      </c>
      <c r="AD541" s="247" t="s">
        <v>516</v>
      </c>
      <c r="AE541" s="247" t="s">
        <v>507</v>
      </c>
      <c r="AF541" s="247">
        <v>0</v>
      </c>
      <c r="AG541" s="247"/>
      <c r="AH541" s="247">
        <v>20</v>
      </c>
      <c r="AI541" s="247">
        <v>28</v>
      </c>
      <c r="AJ541" s="247"/>
    </row>
    <row r="542" spans="27:36">
      <c r="AA542" s="247">
        <v>3750</v>
      </c>
      <c r="AB542" s="247" t="s">
        <v>1226</v>
      </c>
      <c r="AC542" s="247" t="s">
        <v>516</v>
      </c>
      <c r="AD542" s="247" t="s">
        <v>516</v>
      </c>
      <c r="AE542" s="247" t="s">
        <v>533</v>
      </c>
      <c r="AF542" s="247">
        <v>52</v>
      </c>
      <c r="AG542" s="247"/>
      <c r="AH542" s="247">
        <v>30</v>
      </c>
      <c r="AI542" s="247">
        <v>24</v>
      </c>
      <c r="AJ542" s="247"/>
    </row>
    <row r="543" spans="27:36">
      <c r="AA543" s="247">
        <v>3751</v>
      </c>
      <c r="AB543" s="247" t="s">
        <v>1227</v>
      </c>
      <c r="AC543" s="247" t="s">
        <v>516</v>
      </c>
      <c r="AD543" s="247" t="s">
        <v>516</v>
      </c>
      <c r="AE543" s="247" t="s">
        <v>507</v>
      </c>
      <c r="AF543" s="247">
        <v>52</v>
      </c>
      <c r="AG543" s="247"/>
      <c r="AH543" s="247">
        <v>20</v>
      </c>
      <c r="AI543" s="247">
        <v>28</v>
      </c>
      <c r="AJ543" s="247"/>
    </row>
    <row r="544" spans="27:36">
      <c r="AA544" s="247">
        <v>3800</v>
      </c>
      <c r="AB544" s="247" t="s">
        <v>1228</v>
      </c>
      <c r="AC544" s="247" t="s">
        <v>1229</v>
      </c>
      <c r="AD544" s="247" t="s">
        <v>1230</v>
      </c>
      <c r="AE544" s="247" t="s">
        <v>533</v>
      </c>
      <c r="AF544" s="247">
        <v>75</v>
      </c>
      <c r="AG544" s="247" t="s">
        <v>528</v>
      </c>
      <c r="AH544" s="247">
        <v>30</v>
      </c>
      <c r="AI544" s="247">
        <v>20</v>
      </c>
      <c r="AJ544" s="247"/>
    </row>
    <row r="545" spans="27:36">
      <c r="AA545" s="247">
        <v>3802</v>
      </c>
      <c r="AB545" s="247" t="s">
        <v>1231</v>
      </c>
      <c r="AC545" s="247" t="s">
        <v>516</v>
      </c>
      <c r="AD545" s="247" t="s">
        <v>516</v>
      </c>
      <c r="AE545" s="247" t="s">
        <v>507</v>
      </c>
      <c r="AF545" s="247">
        <v>75</v>
      </c>
      <c r="AG545" s="247" t="s">
        <v>528</v>
      </c>
      <c r="AH545" s="247">
        <v>20</v>
      </c>
      <c r="AI545" s="247">
        <v>9</v>
      </c>
      <c r="AJ545" s="247"/>
    </row>
    <row r="546" spans="27:36">
      <c r="AA546" s="247">
        <v>3803</v>
      </c>
      <c r="AB546" s="247" t="s">
        <v>1232</v>
      </c>
      <c r="AC546" s="247" t="s">
        <v>516</v>
      </c>
      <c r="AD546" s="247" t="s">
        <v>516</v>
      </c>
      <c r="AE546" s="247" t="s">
        <v>507</v>
      </c>
      <c r="AF546" s="247">
        <v>0</v>
      </c>
      <c r="AG546" s="247"/>
      <c r="AH546" s="247">
        <v>20</v>
      </c>
      <c r="AI546" s="247">
        <v>28</v>
      </c>
      <c r="AJ546" s="247"/>
    </row>
    <row r="547" spans="27:36">
      <c r="AA547" s="247">
        <v>3804</v>
      </c>
      <c r="AB547" s="247" t="s">
        <v>1233</v>
      </c>
      <c r="AC547" s="247" t="s">
        <v>516</v>
      </c>
      <c r="AD547" s="247" t="s">
        <v>516</v>
      </c>
      <c r="AE547" s="247" t="s">
        <v>533</v>
      </c>
      <c r="AF547" s="247">
        <v>75</v>
      </c>
      <c r="AG547" s="247" t="s">
        <v>528</v>
      </c>
      <c r="AH547" s="247">
        <v>0</v>
      </c>
      <c r="AI547" s="247">
        <v>24</v>
      </c>
      <c r="AJ547" s="247"/>
    </row>
    <row r="548" spans="27:36">
      <c r="AA548" s="247">
        <v>3805</v>
      </c>
      <c r="AB548" s="247" t="s">
        <v>1234</v>
      </c>
      <c r="AC548" s="247" t="s">
        <v>1235</v>
      </c>
      <c r="AD548" s="247" t="s">
        <v>1236</v>
      </c>
      <c r="AE548" s="247" t="s">
        <v>533</v>
      </c>
      <c r="AF548" s="247">
        <v>52</v>
      </c>
      <c r="AG548" s="247" t="s">
        <v>528</v>
      </c>
      <c r="AH548" s="247">
        <v>20</v>
      </c>
      <c r="AI548" s="247">
        <v>22</v>
      </c>
      <c r="AJ548" s="247"/>
    </row>
    <row r="549" spans="27:36">
      <c r="AA549" s="247">
        <v>3807</v>
      </c>
      <c r="AB549" s="247" t="s">
        <v>1237</v>
      </c>
      <c r="AC549" s="247" t="s">
        <v>516</v>
      </c>
      <c r="AD549" s="247" t="s">
        <v>516</v>
      </c>
      <c r="AE549" s="247" t="s">
        <v>507</v>
      </c>
      <c r="AF549" s="247">
        <v>75</v>
      </c>
      <c r="AG549" s="247" t="s">
        <v>528</v>
      </c>
      <c r="AH549" s="247">
        <v>0</v>
      </c>
      <c r="AI549" s="247">
        <v>9</v>
      </c>
      <c r="AJ549" s="247"/>
    </row>
    <row r="550" spans="27:36">
      <c r="AA550" s="247">
        <v>3809</v>
      </c>
      <c r="AB550" s="247" t="s">
        <v>1238</v>
      </c>
      <c r="AC550" s="247" t="s">
        <v>516</v>
      </c>
      <c r="AD550" s="247" t="s">
        <v>516</v>
      </c>
      <c r="AE550" s="247" t="s">
        <v>507</v>
      </c>
      <c r="AF550" s="247">
        <v>0</v>
      </c>
      <c r="AG550" s="247"/>
      <c r="AH550" s="247">
        <v>20</v>
      </c>
      <c r="AI550" s="247">
        <v>28</v>
      </c>
      <c r="AJ550" s="247"/>
    </row>
    <row r="551" spans="27:36">
      <c r="AA551" s="247">
        <v>3810</v>
      </c>
      <c r="AB551" s="247" t="s">
        <v>1239</v>
      </c>
      <c r="AC551" s="247" t="s">
        <v>1240</v>
      </c>
      <c r="AD551" s="247" t="s">
        <v>1241</v>
      </c>
      <c r="AE551" s="247" t="s">
        <v>533</v>
      </c>
      <c r="AF551" s="247">
        <v>75</v>
      </c>
      <c r="AG551" s="247" t="s">
        <v>528</v>
      </c>
      <c r="AH551" s="247">
        <v>0</v>
      </c>
      <c r="AI551" s="247">
        <v>15</v>
      </c>
      <c r="AJ551" s="247"/>
    </row>
    <row r="552" spans="27:36">
      <c r="AA552" s="247">
        <v>3812</v>
      </c>
      <c r="AB552" s="247" t="s">
        <v>1242</v>
      </c>
      <c r="AC552" s="247" t="s">
        <v>516</v>
      </c>
      <c r="AD552" s="247" t="s">
        <v>516</v>
      </c>
      <c r="AE552" s="247" t="s">
        <v>507</v>
      </c>
      <c r="AF552" s="247">
        <v>75</v>
      </c>
      <c r="AG552" s="247" t="s">
        <v>528</v>
      </c>
      <c r="AH552" s="247">
        <v>0</v>
      </c>
      <c r="AI552" s="247">
        <v>9</v>
      </c>
      <c r="AJ552" s="247"/>
    </row>
    <row r="553" spans="27:36">
      <c r="AA553" s="247">
        <v>3814</v>
      </c>
      <c r="AB553" s="247" t="s">
        <v>1243</v>
      </c>
      <c r="AC553" s="247" t="s">
        <v>516</v>
      </c>
      <c r="AD553" s="247" t="s">
        <v>516</v>
      </c>
      <c r="AE553" s="247" t="s">
        <v>507</v>
      </c>
      <c r="AF553" s="247">
        <v>75</v>
      </c>
      <c r="AG553" s="247" t="s">
        <v>528</v>
      </c>
      <c r="AH553" s="247">
        <v>0</v>
      </c>
      <c r="AI553" s="247">
        <v>9</v>
      </c>
      <c r="AJ553" s="247"/>
    </row>
    <row r="554" spans="27:36">
      <c r="AA554" s="247">
        <v>3836</v>
      </c>
      <c r="AB554" s="247" t="s">
        <v>1244</v>
      </c>
      <c r="AC554" s="247" t="s">
        <v>516</v>
      </c>
      <c r="AD554" s="247" t="s">
        <v>516</v>
      </c>
      <c r="AE554" s="247" t="s">
        <v>533</v>
      </c>
      <c r="AF554" s="247">
        <v>52</v>
      </c>
      <c r="AG554" s="247" t="s">
        <v>528</v>
      </c>
      <c r="AH554" s="247">
        <v>0</v>
      </c>
      <c r="AI554" s="247">
        <v>24</v>
      </c>
      <c r="AJ554" s="247"/>
    </row>
    <row r="555" spans="27:36">
      <c r="AA555" s="247">
        <v>3840</v>
      </c>
      <c r="AB555" s="247" t="s">
        <v>1245</v>
      </c>
      <c r="AC555" s="247" t="s">
        <v>1246</v>
      </c>
      <c r="AD555" s="247" t="s">
        <v>1247</v>
      </c>
      <c r="AE555" s="247" t="s">
        <v>533</v>
      </c>
      <c r="AF555" s="247">
        <v>52</v>
      </c>
      <c r="AG555" s="247" t="s">
        <v>528</v>
      </c>
      <c r="AH555" s="247">
        <v>0</v>
      </c>
      <c r="AI555" s="247">
        <v>24</v>
      </c>
      <c r="AJ555" s="247"/>
    </row>
    <row r="556" spans="27:36">
      <c r="AA556" s="247">
        <v>3849</v>
      </c>
      <c r="AB556" s="247" t="s">
        <v>1248</v>
      </c>
      <c r="AC556" s="247" t="s">
        <v>516</v>
      </c>
      <c r="AD556" s="247" t="s">
        <v>516</v>
      </c>
      <c r="AE556" s="247" t="s">
        <v>533</v>
      </c>
      <c r="AF556" s="247">
        <v>52</v>
      </c>
      <c r="AG556" s="247" t="s">
        <v>528</v>
      </c>
      <c r="AH556" s="247">
        <v>0</v>
      </c>
      <c r="AI556" s="247">
        <v>24</v>
      </c>
      <c r="AJ556" s="247"/>
    </row>
    <row r="557" spans="27:36">
      <c r="AA557" s="247">
        <v>3866</v>
      </c>
      <c r="AB557" s="247" t="s">
        <v>1249</v>
      </c>
      <c r="AC557" s="247" t="s">
        <v>516</v>
      </c>
      <c r="AD557" s="247" t="s">
        <v>516</v>
      </c>
      <c r="AE557" s="247" t="s">
        <v>533</v>
      </c>
      <c r="AF557" s="247">
        <v>52</v>
      </c>
      <c r="AG557" s="247" t="s">
        <v>528</v>
      </c>
      <c r="AH557" s="247">
        <v>0</v>
      </c>
      <c r="AI557" s="247">
        <v>24</v>
      </c>
      <c r="AJ557" s="247"/>
    </row>
    <row r="558" spans="27:36">
      <c r="AA558" s="247">
        <v>3869</v>
      </c>
      <c r="AB558" s="247" t="s">
        <v>1250</v>
      </c>
      <c r="AC558" s="247" t="s">
        <v>516</v>
      </c>
      <c r="AD558" s="247" t="s">
        <v>516</v>
      </c>
      <c r="AE558" s="247" t="s">
        <v>543</v>
      </c>
      <c r="AF558" s="247">
        <v>0</v>
      </c>
      <c r="AG558" s="247" t="s">
        <v>528</v>
      </c>
      <c r="AH558" s="247">
        <v>0</v>
      </c>
      <c r="AI558" s="247">
        <v>27</v>
      </c>
      <c r="AJ558" s="247"/>
    </row>
    <row r="559" spans="27:36">
      <c r="AA559" s="247">
        <v>3892</v>
      </c>
      <c r="AB559" s="247" t="s">
        <v>1251</v>
      </c>
      <c r="AC559" s="247" t="s">
        <v>516</v>
      </c>
      <c r="AD559" s="247" t="s">
        <v>516</v>
      </c>
      <c r="AE559" s="247" t="s">
        <v>533</v>
      </c>
      <c r="AF559" s="247">
        <v>52</v>
      </c>
      <c r="AG559" s="247" t="s">
        <v>528</v>
      </c>
      <c r="AH559" s="247">
        <v>20</v>
      </c>
      <c r="AI559" s="247">
        <v>21</v>
      </c>
      <c r="AJ559" s="247"/>
    </row>
    <row r="560" spans="27:36">
      <c r="AA560" s="247">
        <v>3894</v>
      </c>
      <c r="AB560" s="247" t="s">
        <v>1252</v>
      </c>
      <c r="AC560" s="247" t="s">
        <v>516</v>
      </c>
      <c r="AD560" s="247" t="s">
        <v>516</v>
      </c>
      <c r="AE560" s="247" t="s">
        <v>533</v>
      </c>
      <c r="AF560" s="247">
        <v>52</v>
      </c>
      <c r="AG560" s="247" t="s">
        <v>528</v>
      </c>
      <c r="AH560" s="247">
        <v>20</v>
      </c>
      <c r="AI560" s="247">
        <v>21</v>
      </c>
      <c r="AJ560" s="247"/>
    </row>
    <row r="561" spans="27:36">
      <c r="AA561" s="247">
        <v>3898</v>
      </c>
      <c r="AB561" s="247" t="s">
        <v>1253</v>
      </c>
      <c r="AC561" s="247" t="s">
        <v>516</v>
      </c>
      <c r="AD561" s="247" t="s">
        <v>516</v>
      </c>
      <c r="AE561" s="247" t="s">
        <v>533</v>
      </c>
      <c r="AF561" s="247">
        <v>52</v>
      </c>
      <c r="AG561" s="247"/>
      <c r="AH561" s="247">
        <v>20</v>
      </c>
      <c r="AI561" s="247">
        <v>22</v>
      </c>
      <c r="AJ561" s="247"/>
    </row>
    <row r="562" spans="27:36">
      <c r="AA562" s="247">
        <v>3901</v>
      </c>
      <c r="AB562" s="247" t="s">
        <v>1254</v>
      </c>
      <c r="AC562" s="247" t="s">
        <v>516</v>
      </c>
      <c r="AD562" s="247" t="s">
        <v>516</v>
      </c>
      <c r="AE562" s="247" t="s">
        <v>533</v>
      </c>
      <c r="AF562" s="247">
        <v>75</v>
      </c>
      <c r="AG562" s="247" t="s">
        <v>528</v>
      </c>
      <c r="AH562" s="247">
        <v>0</v>
      </c>
      <c r="AI562" s="247">
        <v>22</v>
      </c>
      <c r="AJ562" s="247"/>
    </row>
    <row r="563" spans="27:36">
      <c r="AA563" s="247">
        <v>3904</v>
      </c>
      <c r="AB563" s="247" t="s">
        <v>1255</v>
      </c>
      <c r="AC563" s="247" t="s">
        <v>516</v>
      </c>
      <c r="AD563" s="247" t="s">
        <v>516</v>
      </c>
      <c r="AE563" s="247" t="s">
        <v>533</v>
      </c>
      <c r="AF563" s="247">
        <v>52</v>
      </c>
      <c r="AG563" s="247"/>
      <c r="AH563" s="247">
        <v>20</v>
      </c>
      <c r="AI563" s="247">
        <v>22</v>
      </c>
      <c r="AJ563" s="247"/>
    </row>
    <row r="564" spans="27:36">
      <c r="AA564" s="247">
        <v>3907</v>
      </c>
      <c r="AB564" s="247" t="s">
        <v>1256</v>
      </c>
      <c r="AC564" s="247" t="s">
        <v>516</v>
      </c>
      <c r="AD564" s="247" t="s">
        <v>516</v>
      </c>
      <c r="AE564" s="247" t="s">
        <v>533</v>
      </c>
      <c r="AF564" s="247">
        <v>52</v>
      </c>
      <c r="AG564" s="247" t="s">
        <v>528</v>
      </c>
      <c r="AH564" s="247">
        <v>0</v>
      </c>
      <c r="AI564" s="247">
        <v>22</v>
      </c>
      <c r="AJ564" s="247"/>
    </row>
    <row r="565" spans="27:36">
      <c r="AA565" s="247">
        <v>3912</v>
      </c>
      <c r="AB565" s="247" t="s">
        <v>1257</v>
      </c>
      <c r="AC565" s="247" t="s">
        <v>516</v>
      </c>
      <c r="AD565" s="247" t="s">
        <v>516</v>
      </c>
      <c r="AE565" s="247" t="s">
        <v>533</v>
      </c>
      <c r="AF565" s="247">
        <v>75</v>
      </c>
      <c r="AG565" s="247" t="s">
        <v>528</v>
      </c>
      <c r="AH565" s="247">
        <v>0</v>
      </c>
      <c r="AI565" s="247">
        <v>24</v>
      </c>
      <c r="AJ565" s="247"/>
    </row>
    <row r="566" spans="27:36">
      <c r="AA566" s="247">
        <v>3914</v>
      </c>
      <c r="AB566" s="247" t="s">
        <v>1258</v>
      </c>
      <c r="AC566" s="247" t="s">
        <v>516</v>
      </c>
      <c r="AD566" s="247" t="s">
        <v>516</v>
      </c>
      <c r="AE566" s="247" t="s">
        <v>533</v>
      </c>
      <c r="AF566" s="247">
        <v>52</v>
      </c>
      <c r="AG566" s="247" t="s">
        <v>528</v>
      </c>
      <c r="AH566" s="247">
        <v>20</v>
      </c>
      <c r="AI566" s="247">
        <v>24</v>
      </c>
      <c r="AJ566" s="247"/>
    </row>
    <row r="567" spans="27:36">
      <c r="AA567" s="247">
        <v>3942</v>
      </c>
      <c r="AB567" s="247" t="s">
        <v>1259</v>
      </c>
      <c r="AC567" s="247" t="s">
        <v>516</v>
      </c>
      <c r="AD567" s="247" t="s">
        <v>516</v>
      </c>
      <c r="AE567" s="247" t="s">
        <v>533</v>
      </c>
      <c r="AF567" s="247">
        <v>52</v>
      </c>
      <c r="AG567" s="247" t="s">
        <v>528</v>
      </c>
      <c r="AH567" s="247">
        <v>20</v>
      </c>
      <c r="AI567" s="247">
        <v>21</v>
      </c>
      <c r="AJ567" s="247"/>
    </row>
    <row r="568" spans="27:36">
      <c r="AA568" s="247">
        <v>3943</v>
      </c>
      <c r="AB568" s="247" t="s">
        <v>1260</v>
      </c>
      <c r="AC568" s="247" t="s">
        <v>516</v>
      </c>
      <c r="AD568" s="247" t="s">
        <v>516</v>
      </c>
      <c r="AE568" s="247" t="s">
        <v>533</v>
      </c>
      <c r="AF568" s="247">
        <v>52</v>
      </c>
      <c r="AG568" s="247" t="s">
        <v>528</v>
      </c>
      <c r="AH568" s="247">
        <v>20</v>
      </c>
      <c r="AI568" s="247">
        <v>21</v>
      </c>
      <c r="AJ568" s="247"/>
    </row>
    <row r="569" spans="27:36">
      <c r="AA569" s="247">
        <v>3950</v>
      </c>
      <c r="AB569" s="247" t="s">
        <v>1261</v>
      </c>
      <c r="AC569" s="247" t="s">
        <v>516</v>
      </c>
      <c r="AD569" s="247" t="s">
        <v>516</v>
      </c>
      <c r="AE569" s="247" t="s">
        <v>533</v>
      </c>
      <c r="AF569" s="247">
        <v>52</v>
      </c>
      <c r="AG569" s="247" t="s">
        <v>528</v>
      </c>
      <c r="AH569" s="247">
        <v>20</v>
      </c>
      <c r="AI569" s="247">
        <v>24</v>
      </c>
      <c r="AJ569" s="247"/>
    </row>
    <row r="570" spans="27:36">
      <c r="AA570" s="247">
        <v>3954</v>
      </c>
      <c r="AB570" s="247" t="s">
        <v>1262</v>
      </c>
      <c r="AC570" s="247" t="s">
        <v>516</v>
      </c>
      <c r="AD570" s="247" t="s">
        <v>516</v>
      </c>
      <c r="AE570" s="247" t="s">
        <v>533</v>
      </c>
      <c r="AF570" s="247">
        <v>52</v>
      </c>
      <c r="AG570" s="247" t="s">
        <v>528</v>
      </c>
      <c r="AH570" s="247">
        <v>0</v>
      </c>
      <c r="AI570" s="247">
        <v>24</v>
      </c>
      <c r="AJ570" s="247"/>
    </row>
    <row r="571" spans="27:36">
      <c r="AA571" s="247">
        <v>3960</v>
      </c>
      <c r="AB571" s="247" t="s">
        <v>1263</v>
      </c>
      <c r="AC571" s="247" t="s">
        <v>516</v>
      </c>
      <c r="AD571" s="247" t="s">
        <v>516</v>
      </c>
      <c r="AE571" s="247" t="s">
        <v>533</v>
      </c>
      <c r="AF571" s="247">
        <v>52</v>
      </c>
      <c r="AG571" s="247"/>
      <c r="AH571" s="247">
        <v>20</v>
      </c>
      <c r="AI571" s="247">
        <v>22</v>
      </c>
      <c r="AJ571" s="247"/>
    </row>
    <row r="572" spans="27:36">
      <c r="AA572" s="247">
        <v>3962</v>
      </c>
      <c r="AB572" s="247" t="s">
        <v>1264</v>
      </c>
      <c r="AC572" s="247" t="s">
        <v>516</v>
      </c>
      <c r="AD572" s="247" t="s">
        <v>516</v>
      </c>
      <c r="AE572" s="247" t="s">
        <v>533</v>
      </c>
      <c r="AF572" s="247">
        <v>52</v>
      </c>
      <c r="AG572" s="247" t="s">
        <v>528</v>
      </c>
      <c r="AH572" s="247">
        <v>20</v>
      </c>
      <c r="AI572" s="247">
        <v>21</v>
      </c>
      <c r="AJ572" s="247"/>
    </row>
    <row r="573" spans="27:36">
      <c r="AA573" s="247">
        <v>3963</v>
      </c>
      <c r="AB573" s="247" t="s">
        <v>1265</v>
      </c>
      <c r="AC573" s="247" t="s">
        <v>516</v>
      </c>
      <c r="AD573" s="247" t="s">
        <v>516</v>
      </c>
      <c r="AE573" s="247" t="s">
        <v>533</v>
      </c>
      <c r="AF573" s="247">
        <v>52</v>
      </c>
      <c r="AG573" s="247" t="s">
        <v>528</v>
      </c>
      <c r="AH573" s="247">
        <v>20</v>
      </c>
      <c r="AI573" s="247">
        <v>21</v>
      </c>
      <c r="AJ573" s="247"/>
    </row>
    <row r="574" spans="27:36">
      <c r="AA574" s="247">
        <v>3970</v>
      </c>
      <c r="AB574" s="247" t="s">
        <v>1266</v>
      </c>
      <c r="AC574" s="247" t="s">
        <v>516</v>
      </c>
      <c r="AD574" s="247" t="s">
        <v>516</v>
      </c>
      <c r="AE574" s="247" t="s">
        <v>543</v>
      </c>
      <c r="AF574" s="247">
        <v>0</v>
      </c>
      <c r="AG574" s="247" t="s">
        <v>528</v>
      </c>
      <c r="AH574" s="247">
        <v>0</v>
      </c>
      <c r="AI574" s="247">
        <v>27</v>
      </c>
      <c r="AJ574" s="247"/>
    </row>
    <row r="575" spans="27:36">
      <c r="AA575" s="247">
        <v>3972</v>
      </c>
      <c r="AB575" s="247" t="s">
        <v>1267</v>
      </c>
      <c r="AC575" s="247" t="s">
        <v>516</v>
      </c>
      <c r="AD575" s="247" t="s">
        <v>516</v>
      </c>
      <c r="AE575" s="247" t="s">
        <v>543</v>
      </c>
      <c r="AF575" s="247">
        <v>0</v>
      </c>
      <c r="AG575" s="247" t="s">
        <v>528</v>
      </c>
      <c r="AH575" s="247">
        <v>0</v>
      </c>
      <c r="AI575" s="247">
        <v>27</v>
      </c>
      <c r="AJ575" s="247"/>
    </row>
    <row r="576" spans="27:36">
      <c r="AA576" s="247">
        <v>3974</v>
      </c>
      <c r="AB576" s="247" t="s">
        <v>1268</v>
      </c>
      <c r="AC576" s="247" t="s">
        <v>516</v>
      </c>
      <c r="AD576" s="247" t="s">
        <v>516</v>
      </c>
      <c r="AE576" s="247" t="s">
        <v>507</v>
      </c>
      <c r="AF576" s="247">
        <v>0</v>
      </c>
      <c r="AG576" s="247"/>
      <c r="AH576" s="247">
        <v>20</v>
      </c>
      <c r="AI576" s="247">
        <v>27</v>
      </c>
      <c r="AJ576" s="247"/>
    </row>
    <row r="577" spans="27:36">
      <c r="AA577" s="247">
        <v>4000</v>
      </c>
      <c r="AB577" s="247" t="s">
        <v>1269</v>
      </c>
      <c r="AC577" s="247" t="s">
        <v>1270</v>
      </c>
      <c r="AD577" s="247" t="s">
        <v>1271</v>
      </c>
      <c r="AE577" s="247" t="s">
        <v>543</v>
      </c>
      <c r="AF577" s="247">
        <v>0</v>
      </c>
      <c r="AG577" s="247"/>
      <c r="AH577" s="247">
        <v>20</v>
      </c>
      <c r="AI577" s="247">
        <v>27</v>
      </c>
      <c r="AJ577" s="247"/>
    </row>
    <row r="578" spans="27:36">
      <c r="AA578" s="247">
        <v>4020</v>
      </c>
      <c r="AB578" s="247" t="s">
        <v>1272</v>
      </c>
      <c r="AC578" s="247" t="s">
        <v>1273</v>
      </c>
      <c r="AD578" s="247" t="s">
        <v>1274</v>
      </c>
      <c r="AE578" s="247" t="s">
        <v>533</v>
      </c>
      <c r="AF578" s="247">
        <v>52</v>
      </c>
      <c r="AG578" s="247"/>
      <c r="AH578" s="247">
        <v>20</v>
      </c>
      <c r="AI578" s="247">
        <v>6</v>
      </c>
      <c r="AJ578" s="247"/>
    </row>
    <row r="579" spans="27:36">
      <c r="AA579" s="247">
        <v>4024</v>
      </c>
      <c r="AB579" s="247" t="s">
        <v>1275</v>
      </c>
      <c r="AC579" s="247" t="s">
        <v>516</v>
      </c>
      <c r="AD579" s="247" t="s">
        <v>516</v>
      </c>
      <c r="AE579" s="247" t="s">
        <v>543</v>
      </c>
      <c r="AF579" s="247">
        <v>0</v>
      </c>
      <c r="AG579" s="247" t="s">
        <v>528</v>
      </c>
      <c r="AH579" s="247">
        <v>20</v>
      </c>
      <c r="AI579" s="247">
        <v>27</v>
      </c>
      <c r="AJ579" s="247"/>
    </row>
    <row r="580" spans="27:36">
      <c r="AA580" s="247">
        <v>4061</v>
      </c>
      <c r="AB580" s="247" t="s">
        <v>1276</v>
      </c>
      <c r="AC580" s="247" t="s">
        <v>516</v>
      </c>
      <c r="AD580" s="247" t="s">
        <v>516</v>
      </c>
      <c r="AE580" s="247" t="s">
        <v>543</v>
      </c>
      <c r="AF580" s="247">
        <v>0</v>
      </c>
      <c r="AG580" s="247"/>
      <c r="AH580" s="247">
        <v>20</v>
      </c>
      <c r="AI580" s="247">
        <v>27</v>
      </c>
      <c r="AJ580" s="247"/>
    </row>
    <row r="581" spans="27:36">
      <c r="AA581" s="247">
        <v>4062</v>
      </c>
      <c r="AB581" s="247" t="s">
        <v>1277</v>
      </c>
      <c r="AC581" s="247" t="s">
        <v>516</v>
      </c>
      <c r="AD581" s="247" t="s">
        <v>516</v>
      </c>
      <c r="AE581" s="247" t="s">
        <v>533</v>
      </c>
      <c r="AF581" s="247">
        <v>52</v>
      </c>
      <c r="AG581" s="247" t="s">
        <v>528</v>
      </c>
      <c r="AH581" s="247">
        <v>20</v>
      </c>
      <c r="AI581" s="247">
        <v>6</v>
      </c>
      <c r="AJ581" s="247"/>
    </row>
    <row r="582" spans="27:36">
      <c r="AA582" s="247">
        <v>4072</v>
      </c>
      <c r="AB582" s="247" t="s">
        <v>1278</v>
      </c>
      <c r="AC582" s="247" t="s">
        <v>516</v>
      </c>
      <c r="AD582" s="247" t="s">
        <v>516</v>
      </c>
      <c r="AE582" s="247" t="s">
        <v>507</v>
      </c>
      <c r="AF582" s="247">
        <v>52</v>
      </c>
      <c r="AG582" s="247"/>
      <c r="AH582" s="247">
        <v>20</v>
      </c>
      <c r="AI582" s="247">
        <v>6</v>
      </c>
      <c r="AJ582" s="247"/>
    </row>
    <row r="583" spans="27:36">
      <c r="AA583" s="247">
        <v>4075</v>
      </c>
      <c r="AB583" s="247" t="s">
        <v>1279</v>
      </c>
      <c r="AC583" s="247" t="s">
        <v>516</v>
      </c>
      <c r="AD583" s="247" t="s">
        <v>516</v>
      </c>
      <c r="AE583" s="247" t="s">
        <v>543</v>
      </c>
      <c r="AF583" s="247">
        <v>0</v>
      </c>
      <c r="AG583" s="247" t="s">
        <v>528</v>
      </c>
      <c r="AH583" s="247">
        <v>20</v>
      </c>
      <c r="AI583" s="247">
        <v>27</v>
      </c>
      <c r="AJ583" s="247"/>
    </row>
    <row r="584" spans="27:36">
      <c r="AA584" s="247">
        <v>4086</v>
      </c>
      <c r="AB584" s="247" t="s">
        <v>1280</v>
      </c>
      <c r="AC584" s="247" t="s">
        <v>516</v>
      </c>
      <c r="AD584" s="247" t="s">
        <v>516</v>
      </c>
      <c r="AE584" s="247" t="s">
        <v>543</v>
      </c>
      <c r="AF584" s="247">
        <v>0</v>
      </c>
      <c r="AG584" s="247" t="s">
        <v>528</v>
      </c>
      <c r="AH584" s="247">
        <v>20</v>
      </c>
      <c r="AI584" s="247">
        <v>27</v>
      </c>
      <c r="AJ584" s="247"/>
    </row>
    <row r="585" spans="27:36">
      <c r="AA585" s="247">
        <v>4091</v>
      </c>
      <c r="AB585" s="247" t="s">
        <v>1281</v>
      </c>
      <c r="AC585" s="247" t="s">
        <v>516</v>
      </c>
      <c r="AD585" s="247" t="s">
        <v>516</v>
      </c>
      <c r="AE585" s="247" t="s">
        <v>543</v>
      </c>
      <c r="AF585" s="247">
        <v>0</v>
      </c>
      <c r="AG585" s="247"/>
      <c r="AH585" s="247">
        <v>20</v>
      </c>
      <c r="AI585" s="247">
        <v>27</v>
      </c>
      <c r="AJ585" s="247"/>
    </row>
    <row r="586" spans="27:36">
      <c r="AA586" s="247">
        <v>4092</v>
      </c>
      <c r="AB586" s="247" t="s">
        <v>1282</v>
      </c>
      <c r="AC586" s="247" t="s">
        <v>516</v>
      </c>
      <c r="AD586" s="247" t="s">
        <v>516</v>
      </c>
      <c r="AE586" s="247" t="s">
        <v>507</v>
      </c>
      <c r="AF586" s="247">
        <v>52</v>
      </c>
      <c r="AG586" s="247"/>
      <c r="AH586" s="247">
        <v>20</v>
      </c>
      <c r="AI586" s="247">
        <v>6</v>
      </c>
      <c r="AJ586" s="247"/>
    </row>
    <row r="587" spans="27:36">
      <c r="AA587" s="247">
        <v>4093</v>
      </c>
      <c r="AB587" s="247" t="s">
        <v>1283</v>
      </c>
      <c r="AC587" s="247" t="s">
        <v>516</v>
      </c>
      <c r="AD587" s="247" t="s">
        <v>516</v>
      </c>
      <c r="AE587" s="247" t="s">
        <v>533</v>
      </c>
      <c r="AF587" s="247">
        <v>52</v>
      </c>
      <c r="AG587" s="247" t="s">
        <v>528</v>
      </c>
      <c r="AH587" s="247">
        <v>20</v>
      </c>
      <c r="AI587" s="247">
        <v>6</v>
      </c>
      <c r="AJ587" s="247"/>
    </row>
    <row r="588" spans="27:36">
      <c r="AA588" s="247">
        <v>4100</v>
      </c>
      <c r="AB588" s="247" t="s">
        <v>1284</v>
      </c>
      <c r="AC588" s="247" t="s">
        <v>1285</v>
      </c>
      <c r="AD588" s="247" t="s">
        <v>1284</v>
      </c>
      <c r="AE588" s="247" t="s">
        <v>533</v>
      </c>
      <c r="AF588" s="247">
        <v>180</v>
      </c>
      <c r="AG588" s="247" t="s">
        <v>528</v>
      </c>
      <c r="AH588" s="247">
        <v>0</v>
      </c>
      <c r="AI588" s="247">
        <v>23</v>
      </c>
      <c r="AJ588" s="247"/>
    </row>
    <row r="589" spans="27:36">
      <c r="AA589" s="247">
        <v>4150</v>
      </c>
      <c r="AB589" s="247" t="s">
        <v>1286</v>
      </c>
      <c r="AC589" s="247" t="s">
        <v>516</v>
      </c>
      <c r="AD589" s="247" t="s">
        <v>516</v>
      </c>
      <c r="AE589" s="247" t="s">
        <v>507</v>
      </c>
      <c r="AF589" s="247">
        <v>52</v>
      </c>
      <c r="AG589" s="247"/>
      <c r="AH589" s="247">
        <v>0</v>
      </c>
      <c r="AI589" s="247">
        <v>13</v>
      </c>
      <c r="AJ589" s="247"/>
    </row>
    <row r="590" spans="27:36">
      <c r="AA590" s="247">
        <v>4200</v>
      </c>
      <c r="AB590" s="247" t="s">
        <v>1287</v>
      </c>
      <c r="AC590" s="247" t="s">
        <v>516</v>
      </c>
      <c r="AD590" s="247" t="s">
        <v>516</v>
      </c>
      <c r="AE590" s="247" t="s">
        <v>533</v>
      </c>
      <c r="AF590" s="247">
        <v>52</v>
      </c>
      <c r="AG590" s="247" t="s">
        <v>528</v>
      </c>
      <c r="AH590" s="247">
        <v>20</v>
      </c>
      <c r="AI590" s="247">
        <v>15</v>
      </c>
      <c r="AJ590" s="247"/>
    </row>
    <row r="591" spans="27:36">
      <c r="AA591" s="247">
        <v>4201</v>
      </c>
      <c r="AB591" s="247" t="s">
        <v>1288</v>
      </c>
      <c r="AC591" s="247" t="s">
        <v>1289</v>
      </c>
      <c r="AD591" s="247" t="s">
        <v>1290</v>
      </c>
      <c r="AE591" s="247" t="s">
        <v>533</v>
      </c>
      <c r="AF591" s="247">
        <v>52</v>
      </c>
      <c r="AG591" s="247" t="s">
        <v>528</v>
      </c>
      <c r="AH591" s="247">
        <v>0</v>
      </c>
      <c r="AI591" s="247">
        <v>15</v>
      </c>
      <c r="AJ591" s="247"/>
    </row>
    <row r="592" spans="27:36">
      <c r="AA592" s="247">
        <v>4202</v>
      </c>
      <c r="AB592" s="247" t="s">
        <v>1291</v>
      </c>
      <c r="AC592" s="247" t="s">
        <v>516</v>
      </c>
      <c r="AD592" s="247" t="s">
        <v>516</v>
      </c>
      <c r="AE592" s="247" t="s">
        <v>533</v>
      </c>
      <c r="AF592" s="247">
        <v>52</v>
      </c>
      <c r="AG592" s="247" t="s">
        <v>528</v>
      </c>
      <c r="AH592" s="247">
        <v>0</v>
      </c>
      <c r="AI592" s="247">
        <v>15</v>
      </c>
      <c r="AJ592" s="247"/>
    </row>
    <row r="593" spans="27:36">
      <c r="AA593" s="247">
        <v>4203</v>
      </c>
      <c r="AB593" s="247" t="s">
        <v>1292</v>
      </c>
      <c r="AC593" s="247" t="s">
        <v>1293</v>
      </c>
      <c r="AD593" s="247" t="s">
        <v>1294</v>
      </c>
      <c r="AE593" s="247" t="s">
        <v>533</v>
      </c>
      <c r="AF593" s="247">
        <v>52</v>
      </c>
      <c r="AG593" s="247" t="s">
        <v>528</v>
      </c>
      <c r="AH593" s="247">
        <v>0</v>
      </c>
      <c r="AI593" s="247">
        <v>15</v>
      </c>
      <c r="AJ593" s="247"/>
    </row>
    <row r="594" spans="27:36">
      <c r="AA594" s="247">
        <v>4204</v>
      </c>
      <c r="AB594" s="247" t="s">
        <v>1295</v>
      </c>
      <c r="AC594" s="247" t="s">
        <v>516</v>
      </c>
      <c r="AD594" s="247" t="s">
        <v>516</v>
      </c>
      <c r="AE594" s="247" t="s">
        <v>507</v>
      </c>
      <c r="AF594" s="247">
        <v>0</v>
      </c>
      <c r="AG594" s="247" t="s">
        <v>528</v>
      </c>
      <c r="AH594" s="247">
        <v>20</v>
      </c>
      <c r="AI594" s="247">
        <v>28</v>
      </c>
      <c r="AJ594" s="247"/>
    </row>
    <row r="595" spans="27:36">
      <c r="AA595" s="247">
        <v>4205</v>
      </c>
      <c r="AB595" s="247" t="s">
        <v>1296</v>
      </c>
      <c r="AC595" s="247" t="s">
        <v>516</v>
      </c>
      <c r="AD595" s="247" t="s">
        <v>516</v>
      </c>
      <c r="AE595" s="247" t="s">
        <v>533</v>
      </c>
      <c r="AF595" s="247">
        <v>52</v>
      </c>
      <c r="AG595" s="247" t="s">
        <v>528</v>
      </c>
      <c r="AH595" s="247">
        <v>0</v>
      </c>
      <c r="AI595" s="247">
        <v>9</v>
      </c>
      <c r="AJ595" s="247"/>
    </row>
    <row r="596" spans="27:36">
      <c r="AA596" s="247">
        <v>4210</v>
      </c>
      <c r="AB596" s="247" t="s">
        <v>1297</v>
      </c>
      <c r="AC596" s="247" t="s">
        <v>516</v>
      </c>
      <c r="AD596" s="247" t="s">
        <v>516</v>
      </c>
      <c r="AE596" s="247" t="s">
        <v>543</v>
      </c>
      <c r="AF596" s="247">
        <v>0</v>
      </c>
      <c r="AG596" s="247" t="s">
        <v>528</v>
      </c>
      <c r="AH596" s="247">
        <v>0</v>
      </c>
      <c r="AI596" s="247">
        <v>27</v>
      </c>
      <c r="AJ596" s="247"/>
    </row>
    <row r="597" spans="27:36">
      <c r="AA597" s="247">
        <v>4215</v>
      </c>
      <c r="AB597" s="247" t="s">
        <v>1298</v>
      </c>
      <c r="AC597" s="247" t="s">
        <v>516</v>
      </c>
      <c r="AD597" s="247" t="s">
        <v>516</v>
      </c>
      <c r="AE597" s="247" t="s">
        <v>533</v>
      </c>
      <c r="AF597" s="247">
        <v>52</v>
      </c>
      <c r="AG597" s="247" t="s">
        <v>528</v>
      </c>
      <c r="AH597" s="247">
        <v>0</v>
      </c>
      <c r="AI597" s="247">
        <v>15</v>
      </c>
      <c r="AJ597" s="247"/>
    </row>
    <row r="598" spans="27:36">
      <c r="AA598" s="247">
        <v>4220</v>
      </c>
      <c r="AB598" s="247" t="s">
        <v>1299</v>
      </c>
      <c r="AC598" s="247" t="s">
        <v>516</v>
      </c>
      <c r="AD598" s="247" t="s">
        <v>516</v>
      </c>
      <c r="AE598" s="247" t="s">
        <v>543</v>
      </c>
      <c r="AF598" s="247">
        <v>0</v>
      </c>
      <c r="AG598" s="247" t="s">
        <v>528</v>
      </c>
      <c r="AH598" s="247">
        <v>0</v>
      </c>
      <c r="AI598" s="247">
        <v>27</v>
      </c>
      <c r="AJ598" s="247"/>
    </row>
    <row r="599" spans="27:36">
      <c r="AA599" s="247">
        <v>4225</v>
      </c>
      <c r="AB599" s="247" t="s">
        <v>1300</v>
      </c>
      <c r="AC599" s="247" t="s">
        <v>516</v>
      </c>
      <c r="AD599" s="247" t="s">
        <v>516</v>
      </c>
      <c r="AE599" s="247" t="s">
        <v>533</v>
      </c>
      <c r="AF599" s="247">
        <v>52</v>
      </c>
      <c r="AG599" s="247" t="s">
        <v>528</v>
      </c>
      <c r="AH599" s="247">
        <v>0</v>
      </c>
      <c r="AI599" s="247">
        <v>15</v>
      </c>
      <c r="AJ599" s="247"/>
    </row>
    <row r="600" spans="27:36">
      <c r="AA600" s="247">
        <v>4230</v>
      </c>
      <c r="AB600" s="247" t="s">
        <v>1301</v>
      </c>
      <c r="AC600" s="247" t="s">
        <v>516</v>
      </c>
      <c r="AD600" s="247" t="s">
        <v>516</v>
      </c>
      <c r="AE600" s="247" t="s">
        <v>533</v>
      </c>
      <c r="AF600" s="247">
        <v>75</v>
      </c>
      <c r="AG600" s="247" t="s">
        <v>528</v>
      </c>
      <c r="AH600" s="247">
        <v>0</v>
      </c>
      <c r="AI600" s="247">
        <v>15</v>
      </c>
      <c r="AJ600" s="247"/>
    </row>
    <row r="601" spans="27:36">
      <c r="AA601" s="247">
        <v>4250</v>
      </c>
      <c r="AB601" s="247" t="s">
        <v>1302</v>
      </c>
      <c r="AC601" s="247" t="s">
        <v>516</v>
      </c>
      <c r="AD601" s="247" t="s">
        <v>516</v>
      </c>
      <c r="AE601" s="247" t="s">
        <v>507</v>
      </c>
      <c r="AF601" s="247">
        <v>0</v>
      </c>
      <c r="AG601" s="247"/>
      <c r="AH601" s="247">
        <v>20</v>
      </c>
      <c r="AI601" s="247">
        <v>27</v>
      </c>
      <c r="AJ601" s="247"/>
    </row>
    <row r="602" spans="27:36">
      <c r="AA602" s="247">
        <v>4252</v>
      </c>
      <c r="AB602" s="247" t="s">
        <v>1303</v>
      </c>
      <c r="AC602" s="247" t="s">
        <v>516</v>
      </c>
      <c r="AD602" s="247" t="s">
        <v>516</v>
      </c>
      <c r="AE602" s="247" t="s">
        <v>543</v>
      </c>
      <c r="AF602" s="247">
        <v>0</v>
      </c>
      <c r="AG602" s="247"/>
      <c r="AH602" s="247">
        <v>20</v>
      </c>
      <c r="AI602" s="247">
        <v>27</v>
      </c>
      <c r="AJ602" s="247"/>
    </row>
    <row r="603" spans="27:36">
      <c r="AA603" s="247">
        <v>4253</v>
      </c>
      <c r="AB603" s="247" t="s">
        <v>1304</v>
      </c>
      <c r="AC603" s="247" t="s">
        <v>516</v>
      </c>
      <c r="AD603" s="247" t="s">
        <v>516</v>
      </c>
      <c r="AE603" s="247" t="s">
        <v>543</v>
      </c>
      <c r="AF603" s="247">
        <v>0</v>
      </c>
      <c r="AG603" s="247" t="s">
        <v>528</v>
      </c>
      <c r="AH603" s="247">
        <v>20</v>
      </c>
      <c r="AI603" s="247">
        <v>27</v>
      </c>
      <c r="AJ603" s="247"/>
    </row>
    <row r="604" spans="27:36">
      <c r="AA604" s="247">
        <v>4255</v>
      </c>
      <c r="AB604" s="247" t="s">
        <v>1305</v>
      </c>
      <c r="AC604" s="247" t="s">
        <v>516</v>
      </c>
      <c r="AD604" s="247" t="s">
        <v>516</v>
      </c>
      <c r="AE604" s="247" t="s">
        <v>507</v>
      </c>
      <c r="AF604" s="247">
        <v>0</v>
      </c>
      <c r="AG604" s="247"/>
      <c r="AH604" s="247">
        <v>20</v>
      </c>
      <c r="AI604" s="247">
        <v>28</v>
      </c>
      <c r="AJ604" s="247"/>
    </row>
    <row r="605" spans="27:36">
      <c r="AA605" s="247">
        <v>4260</v>
      </c>
      <c r="AB605" s="247" t="s">
        <v>1306</v>
      </c>
      <c r="AC605" s="247" t="s">
        <v>516</v>
      </c>
      <c r="AD605" s="247" t="s">
        <v>516</v>
      </c>
      <c r="AE605" s="247" t="s">
        <v>507</v>
      </c>
      <c r="AF605" s="247">
        <v>0</v>
      </c>
      <c r="AG605" s="247"/>
      <c r="AH605" s="247">
        <v>20</v>
      </c>
      <c r="AI605" s="247">
        <v>27</v>
      </c>
      <c r="AJ605" s="247"/>
    </row>
    <row r="606" spans="27:36">
      <c r="AA606" s="247">
        <v>4262</v>
      </c>
      <c r="AB606" s="247" t="s">
        <v>1307</v>
      </c>
      <c r="AC606" s="247" t="s">
        <v>516</v>
      </c>
      <c r="AD606" s="247" t="s">
        <v>516</v>
      </c>
      <c r="AE606" s="247" t="s">
        <v>543</v>
      </c>
      <c r="AF606" s="247">
        <v>0</v>
      </c>
      <c r="AG606" s="247"/>
      <c r="AH606" s="247">
        <v>20</v>
      </c>
      <c r="AI606" s="247">
        <v>27</v>
      </c>
      <c r="AJ606" s="247"/>
    </row>
    <row r="607" spans="27:36">
      <c r="AA607" s="247">
        <v>4263</v>
      </c>
      <c r="AB607" s="247" t="s">
        <v>1308</v>
      </c>
      <c r="AC607" s="247" t="s">
        <v>516</v>
      </c>
      <c r="AD607" s="247" t="s">
        <v>516</v>
      </c>
      <c r="AE607" s="247" t="s">
        <v>543</v>
      </c>
      <c r="AF607" s="247">
        <v>0</v>
      </c>
      <c r="AG607" s="247" t="s">
        <v>528</v>
      </c>
      <c r="AH607" s="247">
        <v>20</v>
      </c>
      <c r="AI607" s="247">
        <v>27</v>
      </c>
      <c r="AJ607" s="247"/>
    </row>
    <row r="608" spans="27:36">
      <c r="AA608" s="247">
        <v>4270</v>
      </c>
      <c r="AB608" s="247" t="s">
        <v>1309</v>
      </c>
      <c r="AC608" s="247" t="s">
        <v>516</v>
      </c>
      <c r="AD608" s="247" t="s">
        <v>516</v>
      </c>
      <c r="AE608" s="247" t="s">
        <v>507</v>
      </c>
      <c r="AF608" s="247">
        <v>0</v>
      </c>
      <c r="AG608" s="247"/>
      <c r="AH608" s="247">
        <v>20</v>
      </c>
      <c r="AI608" s="247">
        <v>27</v>
      </c>
      <c r="AJ608" s="247"/>
    </row>
    <row r="609" spans="27:36">
      <c r="AA609" s="247">
        <v>4272</v>
      </c>
      <c r="AB609" s="247" t="s">
        <v>1310</v>
      </c>
      <c r="AC609" s="247" t="s">
        <v>516</v>
      </c>
      <c r="AD609" s="247" t="s">
        <v>516</v>
      </c>
      <c r="AE609" s="247" t="s">
        <v>543</v>
      </c>
      <c r="AF609" s="247">
        <v>0</v>
      </c>
      <c r="AG609" s="247"/>
      <c r="AH609" s="247">
        <v>20</v>
      </c>
      <c r="AI609" s="247">
        <v>27</v>
      </c>
      <c r="AJ609" s="247"/>
    </row>
    <row r="610" spans="27:36">
      <c r="AA610" s="247">
        <v>4273</v>
      </c>
      <c r="AB610" s="247" t="s">
        <v>1311</v>
      </c>
      <c r="AC610" s="247" t="s">
        <v>516</v>
      </c>
      <c r="AD610" s="247" t="s">
        <v>516</v>
      </c>
      <c r="AE610" s="247" t="s">
        <v>543</v>
      </c>
      <c r="AF610" s="247">
        <v>0</v>
      </c>
      <c r="AG610" s="247" t="s">
        <v>528</v>
      </c>
      <c r="AH610" s="247">
        <v>20</v>
      </c>
      <c r="AI610" s="247">
        <v>27</v>
      </c>
      <c r="AJ610" s="247"/>
    </row>
    <row r="611" spans="27:36">
      <c r="AA611" s="247">
        <v>4275</v>
      </c>
      <c r="AB611" s="247" t="s">
        <v>1312</v>
      </c>
      <c r="AC611" s="247" t="s">
        <v>516</v>
      </c>
      <c r="AD611" s="247" t="s">
        <v>516</v>
      </c>
      <c r="AE611" s="247" t="s">
        <v>543</v>
      </c>
      <c r="AF611" s="247">
        <v>0</v>
      </c>
      <c r="AG611" s="247"/>
      <c r="AH611" s="247">
        <v>20</v>
      </c>
      <c r="AI611" s="247">
        <v>27</v>
      </c>
      <c r="AJ611" s="247"/>
    </row>
    <row r="612" spans="27:36">
      <c r="AA612" s="247">
        <v>4276</v>
      </c>
      <c r="AB612" s="247" t="s">
        <v>1313</v>
      </c>
      <c r="AC612" s="247" t="s">
        <v>516</v>
      </c>
      <c r="AD612" s="247" t="s">
        <v>516</v>
      </c>
      <c r="AE612" s="247" t="s">
        <v>543</v>
      </c>
      <c r="AF612" s="247">
        <v>0</v>
      </c>
      <c r="AG612" s="247"/>
      <c r="AH612" s="247">
        <v>20</v>
      </c>
      <c r="AI612" s="247">
        <v>27</v>
      </c>
      <c r="AJ612" s="247"/>
    </row>
    <row r="613" spans="27:36">
      <c r="AA613" s="247">
        <v>4277</v>
      </c>
      <c r="AB613" s="247" t="s">
        <v>1314</v>
      </c>
      <c r="AC613" s="247" t="s">
        <v>516</v>
      </c>
      <c r="AD613" s="247" t="s">
        <v>516</v>
      </c>
      <c r="AE613" s="247" t="s">
        <v>543</v>
      </c>
      <c r="AF613" s="247">
        <v>0</v>
      </c>
      <c r="AG613" s="247" t="s">
        <v>528</v>
      </c>
      <c r="AH613" s="247">
        <v>0</v>
      </c>
      <c r="AI613" s="247">
        <v>27</v>
      </c>
      <c r="AJ613" s="247"/>
    </row>
    <row r="614" spans="27:36">
      <c r="AA614" s="247">
        <v>4278</v>
      </c>
      <c r="AB614" s="247" t="s">
        <v>1315</v>
      </c>
      <c r="AC614" s="247" t="s">
        <v>516</v>
      </c>
      <c r="AD614" s="247" t="s">
        <v>516</v>
      </c>
      <c r="AE614" s="247" t="s">
        <v>543</v>
      </c>
      <c r="AF614" s="247">
        <v>0</v>
      </c>
      <c r="AG614" s="247"/>
      <c r="AH614" s="247">
        <v>20</v>
      </c>
      <c r="AI614" s="247">
        <v>27</v>
      </c>
      <c r="AJ614" s="247"/>
    </row>
    <row r="615" spans="27:36">
      <c r="AA615" s="247">
        <v>4279</v>
      </c>
      <c r="AB615" s="247" t="s">
        <v>1316</v>
      </c>
      <c r="AC615" s="247" t="s">
        <v>516</v>
      </c>
      <c r="AD615" s="247" t="s">
        <v>516</v>
      </c>
      <c r="AE615" s="247" t="s">
        <v>543</v>
      </c>
      <c r="AF615" s="247">
        <v>0</v>
      </c>
      <c r="AG615" s="247" t="s">
        <v>528</v>
      </c>
      <c r="AH615" s="247">
        <v>0</v>
      </c>
      <c r="AI615" s="247">
        <v>27</v>
      </c>
      <c r="AJ615" s="247"/>
    </row>
    <row r="616" spans="27:36">
      <c r="AA616" s="247">
        <v>4280</v>
      </c>
      <c r="AB616" s="247" t="s">
        <v>1317</v>
      </c>
      <c r="AC616" s="247" t="s">
        <v>516</v>
      </c>
      <c r="AD616" s="247" t="s">
        <v>516</v>
      </c>
      <c r="AE616" s="247" t="s">
        <v>543</v>
      </c>
      <c r="AF616" s="247">
        <v>0</v>
      </c>
      <c r="AG616" s="247"/>
      <c r="AH616" s="247">
        <v>20</v>
      </c>
      <c r="AI616" s="247">
        <v>27</v>
      </c>
      <c r="AJ616" s="247"/>
    </row>
    <row r="617" spans="27:36">
      <c r="AA617" s="247">
        <v>4281</v>
      </c>
      <c r="AB617" s="247" t="s">
        <v>1318</v>
      </c>
      <c r="AC617" s="247" t="s">
        <v>516</v>
      </c>
      <c r="AD617" s="247" t="s">
        <v>516</v>
      </c>
      <c r="AE617" s="247" t="s">
        <v>543</v>
      </c>
      <c r="AF617" s="247">
        <v>0</v>
      </c>
      <c r="AG617" s="247"/>
      <c r="AH617" s="247">
        <v>20</v>
      </c>
      <c r="AI617" s="247">
        <v>27</v>
      </c>
      <c r="AJ617" s="247"/>
    </row>
    <row r="618" spans="27:36">
      <c r="AA618" s="247">
        <v>4285</v>
      </c>
      <c r="AB618" s="247" t="s">
        <v>1319</v>
      </c>
      <c r="AC618" s="247" t="s">
        <v>516</v>
      </c>
      <c r="AD618" s="247" t="s">
        <v>516</v>
      </c>
      <c r="AE618" s="247" t="s">
        <v>543</v>
      </c>
      <c r="AF618" s="247">
        <v>0</v>
      </c>
      <c r="AG618" s="247"/>
      <c r="AH618" s="247">
        <v>20</v>
      </c>
      <c r="AI618" s="247">
        <v>27</v>
      </c>
      <c r="AJ618" s="247"/>
    </row>
    <row r="619" spans="27:36">
      <c r="AA619" s="247">
        <v>4286</v>
      </c>
      <c r="AB619" s="247" t="s">
        <v>1320</v>
      </c>
      <c r="AC619" s="247" t="s">
        <v>516</v>
      </c>
      <c r="AD619" s="247" t="s">
        <v>516</v>
      </c>
      <c r="AE619" s="247" t="s">
        <v>543</v>
      </c>
      <c r="AF619" s="247">
        <v>0</v>
      </c>
      <c r="AG619" s="247"/>
      <c r="AH619" s="247">
        <v>20</v>
      </c>
      <c r="AI619" s="247">
        <v>27</v>
      </c>
      <c r="AJ619" s="247"/>
    </row>
    <row r="620" spans="27:36">
      <c r="AA620" s="247">
        <v>4290</v>
      </c>
      <c r="AB620" s="247" t="s">
        <v>1321</v>
      </c>
      <c r="AC620" s="247" t="s">
        <v>516</v>
      </c>
      <c r="AD620" s="247" t="s">
        <v>516</v>
      </c>
      <c r="AE620" s="247" t="s">
        <v>543</v>
      </c>
      <c r="AF620" s="247">
        <v>0</v>
      </c>
      <c r="AG620" s="247"/>
      <c r="AH620" s="247">
        <v>20</v>
      </c>
      <c r="AI620" s="247">
        <v>27</v>
      </c>
      <c r="AJ620" s="247"/>
    </row>
    <row r="621" spans="27:36">
      <c r="AA621" s="247">
        <v>4291</v>
      </c>
      <c r="AB621" s="247" t="s">
        <v>1322</v>
      </c>
      <c r="AC621" s="247" t="s">
        <v>516</v>
      </c>
      <c r="AD621" s="247" t="s">
        <v>516</v>
      </c>
      <c r="AE621" s="247" t="s">
        <v>543</v>
      </c>
      <c r="AF621" s="247">
        <v>0</v>
      </c>
      <c r="AG621" s="247"/>
      <c r="AH621" s="247">
        <v>20</v>
      </c>
      <c r="AI621" s="247">
        <v>27</v>
      </c>
      <c r="AJ621" s="247"/>
    </row>
    <row r="622" spans="27:36">
      <c r="AA622" s="247">
        <v>4293</v>
      </c>
      <c r="AB622" s="247" t="s">
        <v>1323</v>
      </c>
      <c r="AC622" s="247" t="s">
        <v>516</v>
      </c>
      <c r="AD622" s="247" t="s">
        <v>516</v>
      </c>
      <c r="AE622" s="247" t="s">
        <v>543</v>
      </c>
      <c r="AF622" s="247">
        <v>0</v>
      </c>
      <c r="AG622" s="247"/>
      <c r="AH622" s="247">
        <v>20</v>
      </c>
      <c r="AI622" s="247">
        <v>27</v>
      </c>
      <c r="AJ622" s="247"/>
    </row>
    <row r="623" spans="27:36">
      <c r="AA623" s="247">
        <v>4294</v>
      </c>
      <c r="AB623" s="247" t="s">
        <v>1324</v>
      </c>
      <c r="AC623" s="247" t="s">
        <v>516</v>
      </c>
      <c r="AD623" s="247" t="s">
        <v>516</v>
      </c>
      <c r="AE623" s="247" t="s">
        <v>543</v>
      </c>
      <c r="AF623" s="247">
        <v>0</v>
      </c>
      <c r="AG623" s="247"/>
      <c r="AH623" s="247">
        <v>20</v>
      </c>
      <c r="AI623" s="247">
        <v>27</v>
      </c>
      <c r="AJ623" s="247"/>
    </row>
    <row r="624" spans="27:36">
      <c r="AA624" s="247">
        <v>4296</v>
      </c>
      <c r="AB624" s="247" t="s">
        <v>1325</v>
      </c>
      <c r="AC624" s="247" t="s">
        <v>516</v>
      </c>
      <c r="AD624" s="247" t="s">
        <v>516</v>
      </c>
      <c r="AE624" s="247" t="s">
        <v>543</v>
      </c>
      <c r="AF624" s="247">
        <v>0</v>
      </c>
      <c r="AG624" s="247"/>
      <c r="AH624" s="247">
        <v>20</v>
      </c>
      <c r="AI624" s="247">
        <v>27</v>
      </c>
      <c r="AJ624" s="247"/>
    </row>
    <row r="625" spans="27:36">
      <c r="AA625" s="247">
        <v>4297</v>
      </c>
      <c r="AB625" s="247" t="s">
        <v>1326</v>
      </c>
      <c r="AC625" s="247" t="s">
        <v>516</v>
      </c>
      <c r="AD625" s="247" t="s">
        <v>516</v>
      </c>
      <c r="AE625" s="247" t="s">
        <v>543</v>
      </c>
      <c r="AF625" s="247">
        <v>0</v>
      </c>
      <c r="AG625" s="247"/>
      <c r="AH625" s="247">
        <v>20</v>
      </c>
      <c r="AI625" s="247">
        <v>27</v>
      </c>
      <c r="AJ625" s="247"/>
    </row>
    <row r="626" spans="27:36">
      <c r="AA626" s="247">
        <v>4500</v>
      </c>
      <c r="AB626" s="247" t="s">
        <v>1327</v>
      </c>
      <c r="AC626" s="247" t="s">
        <v>1328</v>
      </c>
      <c r="AD626" s="247" t="s">
        <v>1329</v>
      </c>
      <c r="AE626" s="247" t="s">
        <v>507</v>
      </c>
      <c r="AF626" s="247">
        <v>50</v>
      </c>
      <c r="AG626" s="247"/>
      <c r="AH626" s="247">
        <v>20</v>
      </c>
      <c r="AI626" s="247">
        <v>28</v>
      </c>
      <c r="AJ626" s="247"/>
    </row>
    <row r="627" spans="27:36">
      <c r="AA627" s="247">
        <v>4502</v>
      </c>
      <c r="AB627" s="247" t="s">
        <v>1330</v>
      </c>
      <c r="AC627" s="247" t="s">
        <v>516</v>
      </c>
      <c r="AD627" s="247" t="s">
        <v>516</v>
      </c>
      <c r="AE627" s="247" t="s">
        <v>543</v>
      </c>
      <c r="AF627" s="247">
        <v>0</v>
      </c>
      <c r="AG627" s="247"/>
      <c r="AH627" s="247">
        <v>20</v>
      </c>
      <c r="AI627" s="247">
        <v>27</v>
      </c>
      <c r="AJ627" s="247"/>
    </row>
    <row r="628" spans="27:36">
      <c r="AA628" s="247">
        <v>4503</v>
      </c>
      <c r="AB628" s="247" t="s">
        <v>1331</v>
      </c>
      <c r="AC628" s="247" t="s">
        <v>516</v>
      </c>
      <c r="AD628" s="247" t="s">
        <v>516</v>
      </c>
      <c r="AE628" s="247" t="s">
        <v>507</v>
      </c>
      <c r="AF628" s="247">
        <v>0</v>
      </c>
      <c r="AG628" s="247"/>
      <c r="AH628" s="247">
        <v>20</v>
      </c>
      <c r="AI628" s="247">
        <v>27</v>
      </c>
      <c r="AJ628" s="247"/>
    </row>
    <row r="629" spans="27:36">
      <c r="AA629" s="247">
        <v>4510</v>
      </c>
      <c r="AB629" s="247" t="s">
        <v>1332</v>
      </c>
      <c r="AC629" s="247" t="s">
        <v>1333</v>
      </c>
      <c r="AD629" s="247" t="s">
        <v>1334</v>
      </c>
      <c r="AE629" s="247" t="s">
        <v>507</v>
      </c>
      <c r="AF629" s="247">
        <v>52</v>
      </c>
      <c r="AG629" s="247"/>
      <c r="AH629" s="247">
        <v>20</v>
      </c>
      <c r="AI629" s="247">
        <v>15</v>
      </c>
      <c r="AJ629" s="247"/>
    </row>
    <row r="630" spans="27:36">
      <c r="AA630" s="247">
        <v>4511</v>
      </c>
      <c r="AB630" s="247" t="s">
        <v>1335</v>
      </c>
      <c r="AC630" s="247" t="s">
        <v>516</v>
      </c>
      <c r="AD630" s="247" t="s">
        <v>516</v>
      </c>
      <c r="AE630" s="247" t="s">
        <v>507</v>
      </c>
      <c r="AF630" s="247">
        <v>52</v>
      </c>
      <c r="AG630" s="247" t="s">
        <v>528</v>
      </c>
      <c r="AH630" s="247">
        <v>0</v>
      </c>
      <c r="AI630" s="247">
        <v>15</v>
      </c>
      <c r="AJ630" s="247"/>
    </row>
    <row r="631" spans="27:36">
      <c r="AA631" s="247">
        <v>4520</v>
      </c>
      <c r="AB631" s="247" t="s">
        <v>1336</v>
      </c>
      <c r="AC631" s="247" t="s">
        <v>1337</v>
      </c>
      <c r="AD631" s="247" t="s">
        <v>1338</v>
      </c>
      <c r="AE631" s="247" t="s">
        <v>507</v>
      </c>
      <c r="AF631" s="247">
        <v>52</v>
      </c>
      <c r="AG631" s="247"/>
      <c r="AH631" s="247">
        <v>20</v>
      </c>
      <c r="AI631" s="247">
        <v>15</v>
      </c>
      <c r="AJ631" s="247"/>
    </row>
    <row r="632" spans="27:36">
      <c r="AA632" s="247">
        <v>4521</v>
      </c>
      <c r="AB632" s="247" t="s">
        <v>1339</v>
      </c>
      <c r="AC632" s="247" t="s">
        <v>516</v>
      </c>
      <c r="AD632" s="247" t="s">
        <v>516</v>
      </c>
      <c r="AE632" s="247" t="s">
        <v>507</v>
      </c>
      <c r="AF632" s="247">
        <v>52</v>
      </c>
      <c r="AG632" s="247" t="s">
        <v>528</v>
      </c>
      <c r="AH632" s="247">
        <v>0</v>
      </c>
      <c r="AI632" s="247">
        <v>15</v>
      </c>
      <c r="AJ632" s="247"/>
    </row>
    <row r="633" spans="27:36">
      <c r="AA633" s="247">
        <v>4530</v>
      </c>
      <c r="AB633" s="247" t="s">
        <v>1340</v>
      </c>
      <c r="AC633" s="247" t="s">
        <v>1341</v>
      </c>
      <c r="AD633" s="247" t="s">
        <v>1342</v>
      </c>
      <c r="AE633" s="247" t="s">
        <v>507</v>
      </c>
      <c r="AF633" s="247">
        <v>52</v>
      </c>
      <c r="AG633" s="247"/>
      <c r="AH633" s="247">
        <v>20</v>
      </c>
      <c r="AI633" s="247">
        <v>15</v>
      </c>
      <c r="AJ633" s="247"/>
    </row>
    <row r="634" spans="27:36">
      <c r="AA634" s="247">
        <v>4531</v>
      </c>
      <c r="AB634" s="247" t="s">
        <v>1343</v>
      </c>
      <c r="AC634" s="247" t="s">
        <v>516</v>
      </c>
      <c r="AD634" s="247" t="s">
        <v>516</v>
      </c>
      <c r="AE634" s="247" t="s">
        <v>507</v>
      </c>
      <c r="AF634" s="247">
        <v>52</v>
      </c>
      <c r="AG634" s="247" t="s">
        <v>528</v>
      </c>
      <c r="AH634" s="247">
        <v>0</v>
      </c>
      <c r="AI634" s="247">
        <v>15</v>
      </c>
      <c r="AJ634" s="247"/>
    </row>
    <row r="635" spans="27:36">
      <c r="AA635" s="247">
        <v>4535</v>
      </c>
      <c r="AB635" s="247" t="s">
        <v>1344</v>
      </c>
      <c r="AC635" s="247" t="s">
        <v>516</v>
      </c>
      <c r="AD635" s="247" t="s">
        <v>516</v>
      </c>
      <c r="AE635" s="247" t="s">
        <v>533</v>
      </c>
      <c r="AF635" s="247">
        <v>52</v>
      </c>
      <c r="AG635" s="247" t="s">
        <v>528</v>
      </c>
      <c r="AH635" s="247">
        <v>0</v>
      </c>
      <c r="AI635" s="247">
        <v>15</v>
      </c>
      <c r="AJ635" s="247"/>
    </row>
    <row r="636" spans="27:36">
      <c r="AA636" s="247">
        <v>4540</v>
      </c>
      <c r="AB636" s="247" t="s">
        <v>1345</v>
      </c>
      <c r="AC636" s="247" t="s">
        <v>1346</v>
      </c>
      <c r="AD636" s="247" t="s">
        <v>1347</v>
      </c>
      <c r="AE636" s="247" t="s">
        <v>507</v>
      </c>
      <c r="AF636" s="247">
        <v>52</v>
      </c>
      <c r="AG636" s="247"/>
      <c r="AH636" s="247">
        <v>20</v>
      </c>
      <c r="AI636" s="247">
        <v>15</v>
      </c>
      <c r="AJ636" s="247"/>
    </row>
    <row r="637" spans="27:36">
      <c r="AA637" s="247">
        <v>4541</v>
      </c>
      <c r="AB637" s="247" t="s">
        <v>1348</v>
      </c>
      <c r="AC637" s="247" t="s">
        <v>516</v>
      </c>
      <c r="AD637" s="247" t="s">
        <v>516</v>
      </c>
      <c r="AE637" s="247" t="s">
        <v>507</v>
      </c>
      <c r="AF637" s="247">
        <v>52</v>
      </c>
      <c r="AG637" s="247" t="s">
        <v>528</v>
      </c>
      <c r="AH637" s="247">
        <v>0</v>
      </c>
      <c r="AI637" s="247">
        <v>15</v>
      </c>
      <c r="AJ637" s="247"/>
    </row>
    <row r="638" spans="27:36">
      <c r="AA638" s="247">
        <v>4545</v>
      </c>
      <c r="AB638" s="247" t="s">
        <v>1349</v>
      </c>
      <c r="AC638" s="247" t="s">
        <v>516</v>
      </c>
      <c r="AD638" s="247" t="s">
        <v>516</v>
      </c>
      <c r="AE638" s="247" t="s">
        <v>533</v>
      </c>
      <c r="AF638" s="247">
        <v>52</v>
      </c>
      <c r="AG638" s="247" t="s">
        <v>528</v>
      </c>
      <c r="AH638" s="247">
        <v>0</v>
      </c>
      <c r="AI638" s="247">
        <v>15</v>
      </c>
      <c r="AJ638" s="247"/>
    </row>
    <row r="639" spans="27:36">
      <c r="AA639" s="247">
        <v>4555</v>
      </c>
      <c r="AB639" s="247" t="s">
        <v>1350</v>
      </c>
      <c r="AC639" s="247" t="s">
        <v>516</v>
      </c>
      <c r="AD639" s="247" t="s">
        <v>516</v>
      </c>
      <c r="AE639" s="247" t="s">
        <v>533</v>
      </c>
      <c r="AF639" s="247">
        <v>52</v>
      </c>
      <c r="AG639" s="247" t="s">
        <v>528</v>
      </c>
      <c r="AH639" s="247">
        <v>20</v>
      </c>
      <c r="AI639" s="247">
        <v>21</v>
      </c>
      <c r="AJ639" s="247"/>
    </row>
    <row r="640" spans="27:36">
      <c r="AA640" s="247">
        <v>4565</v>
      </c>
      <c r="AB640" s="247" t="s">
        <v>1351</v>
      </c>
      <c r="AC640" s="247" t="s">
        <v>516</v>
      </c>
      <c r="AD640" s="247" t="s">
        <v>516</v>
      </c>
      <c r="AE640" s="247" t="s">
        <v>533</v>
      </c>
      <c r="AF640" s="247">
        <v>52</v>
      </c>
      <c r="AG640" s="247" t="s">
        <v>528</v>
      </c>
      <c r="AH640" s="247">
        <v>0</v>
      </c>
      <c r="AI640" s="247">
        <v>21</v>
      </c>
      <c r="AJ640" s="247"/>
    </row>
    <row r="641" spans="27:36">
      <c r="AA641" s="247">
        <v>4582</v>
      </c>
      <c r="AB641" s="247" t="s">
        <v>1352</v>
      </c>
      <c r="AC641" s="247" t="s">
        <v>516</v>
      </c>
      <c r="AD641" s="247" t="s">
        <v>516</v>
      </c>
      <c r="AE641" s="247" t="s">
        <v>533</v>
      </c>
      <c r="AF641" s="247">
        <v>52</v>
      </c>
      <c r="AG641" s="247"/>
      <c r="AH641" s="247">
        <v>0</v>
      </c>
      <c r="AI641" s="247">
        <v>21</v>
      </c>
      <c r="AJ641" s="247"/>
    </row>
    <row r="642" spans="27:36">
      <c r="AA642" s="247">
        <v>4583</v>
      </c>
      <c r="AB642" s="247" t="s">
        <v>1353</v>
      </c>
      <c r="AC642" s="247" t="s">
        <v>516</v>
      </c>
      <c r="AD642" s="247" t="s">
        <v>516</v>
      </c>
      <c r="AE642" s="247" t="s">
        <v>533</v>
      </c>
      <c r="AF642" s="247">
        <v>52</v>
      </c>
      <c r="AG642" s="247"/>
      <c r="AH642" s="247">
        <v>0</v>
      </c>
      <c r="AI642" s="247">
        <v>21</v>
      </c>
      <c r="AJ642" s="247"/>
    </row>
    <row r="643" spans="27:36">
      <c r="AA643" s="247">
        <v>4584</v>
      </c>
      <c r="AB643" s="247" t="s">
        <v>1354</v>
      </c>
      <c r="AC643" s="247" t="s">
        <v>516</v>
      </c>
      <c r="AD643" s="247" t="s">
        <v>516</v>
      </c>
      <c r="AE643" s="247" t="s">
        <v>533</v>
      </c>
      <c r="AF643" s="247">
        <v>52</v>
      </c>
      <c r="AG643" s="247" t="s">
        <v>528</v>
      </c>
      <c r="AH643" s="247">
        <v>0</v>
      </c>
      <c r="AI643" s="247">
        <v>21</v>
      </c>
      <c r="AJ643" s="247"/>
    </row>
    <row r="644" spans="27:36">
      <c r="AA644" s="247">
        <v>4585</v>
      </c>
      <c r="AB644" s="247" t="s">
        <v>1355</v>
      </c>
      <c r="AC644" s="247" t="s">
        <v>516</v>
      </c>
      <c r="AD644" s="247" t="s">
        <v>516</v>
      </c>
      <c r="AE644" s="247" t="s">
        <v>533</v>
      </c>
      <c r="AF644" s="247">
        <v>52</v>
      </c>
      <c r="AG644" s="247" t="s">
        <v>528</v>
      </c>
      <c r="AH644" s="247">
        <v>20</v>
      </c>
      <c r="AI644" s="247">
        <v>21</v>
      </c>
      <c r="AJ644" s="247"/>
    </row>
    <row r="645" spans="27:36">
      <c r="AA645" s="247">
        <v>4587</v>
      </c>
      <c r="AB645" s="247" t="s">
        <v>1356</v>
      </c>
      <c r="AC645" s="247" t="s">
        <v>516</v>
      </c>
      <c r="AD645" s="247" t="s">
        <v>516</v>
      </c>
      <c r="AE645" s="247" t="s">
        <v>533</v>
      </c>
      <c r="AF645" s="247">
        <v>52</v>
      </c>
      <c r="AG645" s="247" t="s">
        <v>528</v>
      </c>
      <c r="AH645" s="247">
        <v>20</v>
      </c>
      <c r="AI645" s="247">
        <v>21</v>
      </c>
      <c r="AJ645" s="247"/>
    </row>
    <row r="646" spans="27:36">
      <c r="AA646" s="247">
        <v>4588</v>
      </c>
      <c r="AB646" s="247" t="s">
        <v>1357</v>
      </c>
      <c r="AC646" s="247" t="s">
        <v>516</v>
      </c>
      <c r="AD646" s="247" t="s">
        <v>516</v>
      </c>
      <c r="AE646" s="247" t="s">
        <v>533</v>
      </c>
      <c r="AF646" s="247">
        <v>52</v>
      </c>
      <c r="AG646" s="247"/>
      <c r="AH646" s="247">
        <v>20</v>
      </c>
      <c r="AI646" s="247">
        <v>21</v>
      </c>
      <c r="AJ646" s="247"/>
    </row>
    <row r="647" spans="27:36">
      <c r="AA647" s="247">
        <v>4589</v>
      </c>
      <c r="AB647" s="247" t="s">
        <v>1358</v>
      </c>
      <c r="AC647" s="247" t="s">
        <v>516</v>
      </c>
      <c r="AD647" s="247" t="s">
        <v>516</v>
      </c>
      <c r="AE647" s="247" t="s">
        <v>533</v>
      </c>
      <c r="AF647" s="247">
        <v>52</v>
      </c>
      <c r="AG647" s="247" t="s">
        <v>528</v>
      </c>
      <c r="AH647" s="247">
        <v>20</v>
      </c>
      <c r="AI647" s="247">
        <v>21</v>
      </c>
      <c r="AJ647" s="247"/>
    </row>
    <row r="648" spans="27:36">
      <c r="AA648" s="247">
        <v>4600</v>
      </c>
      <c r="AB648" s="247" t="s">
        <v>1359</v>
      </c>
      <c r="AC648" s="247" t="s">
        <v>516</v>
      </c>
      <c r="AD648" s="247" t="s">
        <v>516</v>
      </c>
      <c r="AE648" s="247" t="s">
        <v>543</v>
      </c>
      <c r="AF648" s="247">
        <v>0</v>
      </c>
      <c r="AG648" s="247" t="s">
        <v>528</v>
      </c>
      <c r="AH648" s="247">
        <v>20</v>
      </c>
      <c r="AI648" s="247">
        <v>27</v>
      </c>
      <c r="AJ648" s="247"/>
    </row>
    <row r="649" spans="27:36">
      <c r="AA649" s="247">
        <v>4603</v>
      </c>
      <c r="AB649" s="247" t="s">
        <v>1360</v>
      </c>
      <c r="AC649" s="247" t="s">
        <v>516</v>
      </c>
      <c r="AD649" s="247" t="s">
        <v>516</v>
      </c>
      <c r="AE649" s="247" t="s">
        <v>543</v>
      </c>
      <c r="AF649" s="247">
        <v>0</v>
      </c>
      <c r="AG649" s="247"/>
      <c r="AH649" s="247">
        <v>20</v>
      </c>
      <c r="AI649" s="247">
        <v>27</v>
      </c>
      <c r="AJ649" s="247"/>
    </row>
    <row r="650" spans="27:36">
      <c r="AA650" s="247">
        <v>4604</v>
      </c>
      <c r="AB650" s="247" t="s">
        <v>1361</v>
      </c>
      <c r="AC650" s="247" t="s">
        <v>516</v>
      </c>
      <c r="AD650" s="247" t="s">
        <v>516</v>
      </c>
      <c r="AE650" s="247" t="s">
        <v>543</v>
      </c>
      <c r="AF650" s="247">
        <v>0</v>
      </c>
      <c r="AG650" s="247"/>
      <c r="AH650" s="247">
        <v>30</v>
      </c>
      <c r="AI650" s="247">
        <v>27</v>
      </c>
      <c r="AJ650" s="247"/>
    </row>
    <row r="651" spans="27:36">
      <c r="AA651" s="247">
        <v>4605</v>
      </c>
      <c r="AB651" s="247" t="s">
        <v>1362</v>
      </c>
      <c r="AC651" s="247" t="s">
        <v>516</v>
      </c>
      <c r="AD651" s="247" t="s">
        <v>516</v>
      </c>
      <c r="AE651" s="247" t="s">
        <v>543</v>
      </c>
      <c r="AF651" s="247">
        <v>0</v>
      </c>
      <c r="AG651" s="247" t="s">
        <v>528</v>
      </c>
      <c r="AH651" s="247">
        <v>20</v>
      </c>
      <c r="AI651" s="247">
        <v>27</v>
      </c>
      <c r="AJ651" s="247"/>
    </row>
    <row r="652" spans="27:36">
      <c r="AA652" s="247">
        <v>4607</v>
      </c>
      <c r="AB652" s="247" t="s">
        <v>1363</v>
      </c>
      <c r="AC652" s="247" t="s">
        <v>516</v>
      </c>
      <c r="AD652" s="247" t="s">
        <v>516</v>
      </c>
      <c r="AE652" s="247" t="s">
        <v>543</v>
      </c>
      <c r="AF652" s="247">
        <v>0</v>
      </c>
      <c r="AG652" s="247"/>
      <c r="AH652" s="247">
        <v>0</v>
      </c>
      <c r="AI652" s="247">
        <v>27</v>
      </c>
      <c r="AJ652" s="247"/>
    </row>
    <row r="653" spans="27:36">
      <c r="AA653" s="247">
        <v>4608</v>
      </c>
      <c r="AB653" s="247" t="s">
        <v>1364</v>
      </c>
      <c r="AC653" s="247" t="s">
        <v>516</v>
      </c>
      <c r="AD653" s="247" t="s">
        <v>516</v>
      </c>
      <c r="AE653" s="247" t="s">
        <v>543</v>
      </c>
      <c r="AF653" s="247">
        <v>0</v>
      </c>
      <c r="AG653" s="247"/>
      <c r="AH653" s="247">
        <v>20</v>
      </c>
      <c r="AI653" s="247">
        <v>27</v>
      </c>
      <c r="AJ653" s="247"/>
    </row>
    <row r="654" spans="27:36">
      <c r="AA654" s="247">
        <v>4609</v>
      </c>
      <c r="AB654" s="247" t="s">
        <v>1365</v>
      </c>
      <c r="AC654" s="247" t="s">
        <v>516</v>
      </c>
      <c r="AD654" s="247" t="s">
        <v>516</v>
      </c>
      <c r="AE654" s="247" t="s">
        <v>533</v>
      </c>
      <c r="AF654" s="247">
        <v>52</v>
      </c>
      <c r="AG654" s="247" t="s">
        <v>528</v>
      </c>
      <c r="AH654" s="247">
        <v>20</v>
      </c>
      <c r="AI654" s="247">
        <v>22</v>
      </c>
      <c r="AJ654" s="247"/>
    </row>
    <row r="655" spans="27:36">
      <c r="AA655" s="247">
        <v>4611</v>
      </c>
      <c r="AB655" s="247" t="s">
        <v>1366</v>
      </c>
      <c r="AC655" s="247" t="s">
        <v>516</v>
      </c>
      <c r="AD655" s="247" t="s">
        <v>516</v>
      </c>
      <c r="AE655" s="247" t="s">
        <v>543</v>
      </c>
      <c r="AF655" s="247">
        <v>0</v>
      </c>
      <c r="AG655" s="247" t="s">
        <v>528</v>
      </c>
      <c r="AH655" s="247">
        <v>20</v>
      </c>
      <c r="AI655" s="247">
        <v>27</v>
      </c>
      <c r="AJ655" s="247"/>
    </row>
    <row r="656" spans="27:36">
      <c r="AA656" s="247">
        <v>4620</v>
      </c>
      <c r="AB656" s="247" t="s">
        <v>1367</v>
      </c>
      <c r="AC656" s="247" t="s">
        <v>516</v>
      </c>
      <c r="AD656" s="247" t="s">
        <v>516</v>
      </c>
      <c r="AE656" s="247" t="s">
        <v>507</v>
      </c>
      <c r="AF656" s="247">
        <v>0</v>
      </c>
      <c r="AG656" s="247"/>
      <c r="AH656" s="247">
        <v>20</v>
      </c>
      <c r="AI656" s="247">
        <v>27</v>
      </c>
      <c r="AJ656" s="247"/>
    </row>
    <row r="657" spans="27:36">
      <c r="AA657" s="247">
        <v>4645</v>
      </c>
      <c r="AB657" s="247" t="s">
        <v>1368</v>
      </c>
      <c r="AC657" s="247" t="s">
        <v>516</v>
      </c>
      <c r="AD657" s="247" t="s">
        <v>516</v>
      </c>
      <c r="AE657" s="247" t="s">
        <v>533</v>
      </c>
      <c r="AF657" s="247">
        <v>52</v>
      </c>
      <c r="AG657" s="247" t="s">
        <v>528</v>
      </c>
      <c r="AH657" s="247">
        <v>20</v>
      </c>
      <c r="AI657" s="247">
        <v>21</v>
      </c>
      <c r="AJ657" s="247"/>
    </row>
    <row r="658" spans="27:36">
      <c r="AA658" s="247">
        <v>4647</v>
      </c>
      <c r="AB658" s="247" t="s">
        <v>1369</v>
      </c>
      <c r="AC658" s="247" t="s">
        <v>516</v>
      </c>
      <c r="AD658" s="247" t="s">
        <v>516</v>
      </c>
      <c r="AE658" s="247" t="s">
        <v>533</v>
      </c>
      <c r="AF658" s="247">
        <v>52</v>
      </c>
      <c r="AG658" s="247" t="s">
        <v>528</v>
      </c>
      <c r="AH658" s="247">
        <v>20</v>
      </c>
      <c r="AI658" s="247">
        <v>21</v>
      </c>
      <c r="AJ658" s="247"/>
    </row>
    <row r="659" spans="27:36">
      <c r="AA659" s="247">
        <v>4700</v>
      </c>
      <c r="AB659" s="247" t="s">
        <v>1370</v>
      </c>
      <c r="AC659" s="247" t="s">
        <v>516</v>
      </c>
      <c r="AD659" s="247" t="s">
        <v>516</v>
      </c>
      <c r="AE659" s="247" t="s">
        <v>543</v>
      </c>
      <c r="AF659" s="247">
        <v>0</v>
      </c>
      <c r="AG659" s="247" t="s">
        <v>528</v>
      </c>
      <c r="AH659" s="247">
        <v>20</v>
      </c>
      <c r="AI659" s="247">
        <v>27</v>
      </c>
      <c r="AJ659" s="247"/>
    </row>
    <row r="660" spans="27:36">
      <c r="AA660" s="247">
        <v>4710</v>
      </c>
      <c r="AB660" s="247" t="s">
        <v>1371</v>
      </c>
      <c r="AC660" s="247" t="s">
        <v>516</v>
      </c>
      <c r="AD660" s="247" t="s">
        <v>516</v>
      </c>
      <c r="AE660" s="247" t="s">
        <v>507</v>
      </c>
      <c r="AF660" s="247">
        <v>0</v>
      </c>
      <c r="AG660" s="247"/>
      <c r="AH660" s="247">
        <v>20</v>
      </c>
      <c r="AI660" s="247">
        <v>27</v>
      </c>
      <c r="AJ660" s="247"/>
    </row>
    <row r="661" spans="27:36">
      <c r="AA661" s="247">
        <v>4720</v>
      </c>
      <c r="AB661" s="247" t="s">
        <v>1372</v>
      </c>
      <c r="AC661" s="247" t="s">
        <v>516</v>
      </c>
      <c r="AD661" s="247" t="s">
        <v>516</v>
      </c>
      <c r="AE661" s="247" t="s">
        <v>543</v>
      </c>
      <c r="AF661" s="247">
        <v>0</v>
      </c>
      <c r="AG661" s="247" t="s">
        <v>528</v>
      </c>
      <c r="AH661" s="247">
        <v>20</v>
      </c>
      <c r="AI661" s="247">
        <v>27</v>
      </c>
      <c r="AJ661" s="247"/>
    </row>
    <row r="662" spans="27:36">
      <c r="AA662" s="247">
        <v>4730</v>
      </c>
      <c r="AB662" s="247" t="s">
        <v>1373</v>
      </c>
      <c r="AC662" s="247" t="s">
        <v>516</v>
      </c>
      <c r="AD662" s="247" t="s">
        <v>516</v>
      </c>
      <c r="AE662" s="247" t="s">
        <v>507</v>
      </c>
      <c r="AF662" s="247">
        <v>0</v>
      </c>
      <c r="AG662" s="247"/>
      <c r="AH662" s="247">
        <v>20</v>
      </c>
      <c r="AI662" s="247">
        <v>28</v>
      </c>
      <c r="AJ662" s="247"/>
    </row>
    <row r="663" spans="27:36">
      <c r="AA663" s="247">
        <v>4800</v>
      </c>
      <c r="AB663" s="247" t="s">
        <v>1374</v>
      </c>
      <c r="AC663" s="247" t="s">
        <v>516</v>
      </c>
      <c r="AD663" s="247" t="s">
        <v>516</v>
      </c>
      <c r="AE663" s="247" t="s">
        <v>543</v>
      </c>
      <c r="AF663" s="247">
        <v>0</v>
      </c>
      <c r="AG663" s="247" t="s">
        <v>528</v>
      </c>
      <c r="AH663" s="247">
        <v>20</v>
      </c>
      <c r="AI663" s="247">
        <v>27</v>
      </c>
      <c r="AJ663" s="247"/>
    </row>
    <row r="664" spans="27:36">
      <c r="AA664" s="247">
        <v>4810</v>
      </c>
      <c r="AB664" s="247" t="s">
        <v>1375</v>
      </c>
      <c r="AC664" s="247" t="s">
        <v>516</v>
      </c>
      <c r="AD664" s="247" t="s">
        <v>516</v>
      </c>
      <c r="AE664" s="247" t="s">
        <v>543</v>
      </c>
      <c r="AF664" s="247">
        <v>0</v>
      </c>
      <c r="AG664" s="247" t="s">
        <v>528</v>
      </c>
      <c r="AH664" s="247">
        <v>20</v>
      </c>
      <c r="AI664" s="247">
        <v>27</v>
      </c>
      <c r="AJ664" s="247"/>
    </row>
    <row r="665" spans="27:36">
      <c r="AA665" s="247">
        <v>4951</v>
      </c>
      <c r="AB665" s="247" t="s">
        <v>1376</v>
      </c>
      <c r="AC665" s="247" t="s">
        <v>516</v>
      </c>
      <c r="AD665" s="247" t="s">
        <v>516</v>
      </c>
      <c r="AE665" s="247" t="s">
        <v>543</v>
      </c>
      <c r="AF665" s="247">
        <v>0</v>
      </c>
      <c r="AG665" s="247"/>
      <c r="AH665" s="247">
        <v>20</v>
      </c>
      <c r="AI665" s="247">
        <v>27</v>
      </c>
      <c r="AJ665" s="247"/>
    </row>
    <row r="666" spans="27:36">
      <c r="AA666" s="247">
        <v>4956</v>
      </c>
      <c r="AB666" s="247" t="s">
        <v>1377</v>
      </c>
      <c r="AC666" s="247" t="s">
        <v>516</v>
      </c>
      <c r="AD666" s="247" t="s">
        <v>516</v>
      </c>
      <c r="AE666" s="247" t="s">
        <v>543</v>
      </c>
      <c r="AF666" s="247">
        <v>0</v>
      </c>
      <c r="AG666" s="247"/>
      <c r="AH666" s="247">
        <v>20</v>
      </c>
      <c r="AI666" s="247">
        <v>27</v>
      </c>
      <c r="AJ666" s="247"/>
    </row>
    <row r="667" spans="27:36">
      <c r="AA667" s="247">
        <v>4960</v>
      </c>
      <c r="AB667" s="247" t="s">
        <v>1378</v>
      </c>
      <c r="AC667" s="247" t="s">
        <v>516</v>
      </c>
      <c r="AD667" s="247" t="s">
        <v>516</v>
      </c>
      <c r="AE667" s="247" t="s">
        <v>507</v>
      </c>
      <c r="AF667" s="247">
        <v>52</v>
      </c>
      <c r="AG667" s="247" t="s">
        <v>528</v>
      </c>
      <c r="AH667" s="247">
        <v>20</v>
      </c>
      <c r="AI667" s="247">
        <v>15</v>
      </c>
      <c r="AJ667" s="247"/>
    </row>
    <row r="668" spans="27:36">
      <c r="AA668" s="247">
        <v>4970</v>
      </c>
      <c r="AB668" s="247" t="s">
        <v>1379</v>
      </c>
      <c r="AC668" s="247" t="s">
        <v>516</v>
      </c>
      <c r="AD668" s="247" t="s">
        <v>516</v>
      </c>
      <c r="AE668" s="247" t="s">
        <v>507</v>
      </c>
      <c r="AF668" s="247">
        <v>52</v>
      </c>
      <c r="AG668" s="247" t="s">
        <v>528</v>
      </c>
      <c r="AH668" s="247">
        <v>20</v>
      </c>
      <c r="AI668" s="247">
        <v>15</v>
      </c>
      <c r="AJ668" s="247"/>
    </row>
    <row r="669" spans="27:36">
      <c r="AA669" s="247">
        <v>5000</v>
      </c>
      <c r="AB669" s="247" t="s">
        <v>1380</v>
      </c>
      <c r="AC669" s="247" t="s">
        <v>1381</v>
      </c>
      <c r="AD669" s="247" t="s">
        <v>1382</v>
      </c>
      <c r="AE669" s="247" t="s">
        <v>543</v>
      </c>
      <c r="AF669" s="247">
        <v>0</v>
      </c>
      <c r="AG669" s="247" t="s">
        <v>528</v>
      </c>
      <c r="AH669" s="247">
        <v>20</v>
      </c>
      <c r="AI669" s="247">
        <v>27</v>
      </c>
      <c r="AJ669" s="247"/>
    </row>
    <row r="670" spans="27:36">
      <c r="AA670" s="247">
        <v>5001</v>
      </c>
      <c r="AB670" s="247" t="s">
        <v>1383</v>
      </c>
      <c r="AC670" s="247" t="s">
        <v>516</v>
      </c>
      <c r="AD670" s="247" t="s">
        <v>516</v>
      </c>
      <c r="AE670" s="247" t="s">
        <v>543</v>
      </c>
      <c r="AF670" s="247">
        <v>0</v>
      </c>
      <c r="AG670" s="247" t="s">
        <v>528</v>
      </c>
      <c r="AH670" s="247">
        <v>20</v>
      </c>
      <c r="AI670" s="247">
        <v>27</v>
      </c>
      <c r="AJ670" s="247"/>
    </row>
    <row r="671" spans="27:36">
      <c r="AA671" s="247">
        <v>5020</v>
      </c>
      <c r="AB671" s="247" t="s">
        <v>1384</v>
      </c>
      <c r="AC671" s="247" t="s">
        <v>516</v>
      </c>
      <c r="AD671" s="247" t="s">
        <v>516</v>
      </c>
      <c r="AE671" s="247" t="s">
        <v>543</v>
      </c>
      <c r="AF671" s="247">
        <v>0</v>
      </c>
      <c r="AG671" s="247" t="s">
        <v>528</v>
      </c>
      <c r="AH671" s="247">
        <v>20</v>
      </c>
      <c r="AI671" s="247">
        <v>27</v>
      </c>
      <c r="AJ671" s="247"/>
    </row>
    <row r="672" spans="27:36">
      <c r="AA672" s="247">
        <v>5025</v>
      </c>
      <c r="AB672" s="247" t="s">
        <v>1385</v>
      </c>
      <c r="AC672" s="247" t="s">
        <v>516</v>
      </c>
      <c r="AD672" s="247" t="s">
        <v>516</v>
      </c>
      <c r="AE672" s="247" t="s">
        <v>543</v>
      </c>
      <c r="AF672" s="247">
        <v>0</v>
      </c>
      <c r="AG672" s="247" t="s">
        <v>528</v>
      </c>
      <c r="AH672" s="247">
        <v>20</v>
      </c>
      <c r="AI672" s="247">
        <v>27</v>
      </c>
      <c r="AJ672" s="247"/>
    </row>
    <row r="673" spans="27:36">
      <c r="AA673" s="247">
        <v>5100</v>
      </c>
      <c r="AB673" s="247" t="s">
        <v>1386</v>
      </c>
      <c r="AC673" s="247" t="s">
        <v>1387</v>
      </c>
      <c r="AD673" s="247" t="s">
        <v>1388</v>
      </c>
      <c r="AE673" s="247" t="s">
        <v>543</v>
      </c>
      <c r="AF673" s="247">
        <v>0</v>
      </c>
      <c r="AG673" s="247" t="s">
        <v>528</v>
      </c>
      <c r="AH673" s="247">
        <v>0</v>
      </c>
      <c r="AI673" s="247">
        <v>27</v>
      </c>
      <c r="AJ673" s="247"/>
    </row>
    <row r="674" spans="27:36">
      <c r="AA674" s="247">
        <v>5500</v>
      </c>
      <c r="AB674" s="247" t="s">
        <v>1389</v>
      </c>
      <c r="AC674" s="247" t="s">
        <v>1390</v>
      </c>
      <c r="AD674" s="247" t="s">
        <v>1391</v>
      </c>
      <c r="AE674" s="247" t="s">
        <v>533</v>
      </c>
      <c r="AF674" s="247">
        <v>52</v>
      </c>
      <c r="AG674" s="247" t="s">
        <v>528</v>
      </c>
      <c r="AH674" s="247">
        <v>10</v>
      </c>
      <c r="AI674" s="247">
        <v>23</v>
      </c>
      <c r="AJ674" s="247" t="s">
        <v>1392</v>
      </c>
    </row>
    <row r="675" spans="27:36">
      <c r="AA675" s="247">
        <v>5505</v>
      </c>
      <c r="AB675" s="247" t="s">
        <v>1393</v>
      </c>
      <c r="AC675" s="247" t="s">
        <v>516</v>
      </c>
      <c r="AD675" s="247" t="s">
        <v>516</v>
      </c>
      <c r="AE675" s="247" t="s">
        <v>543</v>
      </c>
      <c r="AF675" s="247">
        <v>0</v>
      </c>
      <c r="AG675" s="247"/>
      <c r="AH675" s="247">
        <v>0</v>
      </c>
      <c r="AI675" s="247">
        <v>27</v>
      </c>
      <c r="AJ675" s="247"/>
    </row>
    <row r="676" spans="27:36">
      <c r="AA676" s="247">
        <v>5506</v>
      </c>
      <c r="AB676" s="247" t="s">
        <v>1394</v>
      </c>
      <c r="AC676" s="247" t="s">
        <v>516</v>
      </c>
      <c r="AD676" s="247" t="s">
        <v>516</v>
      </c>
      <c r="AE676" s="247" t="s">
        <v>533</v>
      </c>
      <c r="AF676" s="247">
        <v>52</v>
      </c>
      <c r="AG676" s="247" t="s">
        <v>528</v>
      </c>
      <c r="AH676" s="247">
        <v>20</v>
      </c>
      <c r="AI676" s="247">
        <v>23</v>
      </c>
      <c r="AJ676" s="247" t="s">
        <v>1392</v>
      </c>
    </row>
    <row r="677" spans="27:36">
      <c r="AA677" s="247">
        <v>5507</v>
      </c>
      <c r="AB677" s="247" t="s">
        <v>1395</v>
      </c>
      <c r="AC677" s="247" t="s">
        <v>516</v>
      </c>
      <c r="AD677" s="247" t="s">
        <v>516</v>
      </c>
      <c r="AE677" s="247" t="s">
        <v>533</v>
      </c>
      <c r="AF677" s="247">
        <v>52</v>
      </c>
      <c r="AG677" s="247" t="s">
        <v>528</v>
      </c>
      <c r="AH677" s="247">
        <v>20</v>
      </c>
      <c r="AI677" s="247">
        <v>23</v>
      </c>
      <c r="AJ677" s="247" t="s">
        <v>1392</v>
      </c>
    </row>
    <row r="678" spans="27:36">
      <c r="AA678" s="247">
        <v>5510</v>
      </c>
      <c r="AB678" s="247" t="s">
        <v>1396</v>
      </c>
      <c r="AC678" s="247" t="s">
        <v>1397</v>
      </c>
      <c r="AD678" s="247" t="s">
        <v>1398</v>
      </c>
      <c r="AE678" s="247" t="s">
        <v>533</v>
      </c>
      <c r="AF678" s="247">
        <v>52</v>
      </c>
      <c r="AG678" s="247" t="s">
        <v>528</v>
      </c>
      <c r="AH678" s="247">
        <v>20</v>
      </c>
      <c r="AI678" s="247">
        <v>23</v>
      </c>
      <c r="AJ678" s="247" t="s">
        <v>1392</v>
      </c>
    </row>
    <row r="679" spans="27:36">
      <c r="AA679" s="247">
        <v>5516</v>
      </c>
      <c r="AB679" s="247" t="s">
        <v>1399</v>
      </c>
      <c r="AC679" s="247" t="s">
        <v>516</v>
      </c>
      <c r="AD679" s="247" t="s">
        <v>516</v>
      </c>
      <c r="AE679" s="247" t="s">
        <v>533</v>
      </c>
      <c r="AF679" s="247">
        <v>52</v>
      </c>
      <c r="AG679" s="247" t="s">
        <v>528</v>
      </c>
      <c r="AH679" s="247">
        <v>20</v>
      </c>
      <c r="AI679" s="247">
        <v>23</v>
      </c>
      <c r="AJ679" s="247" t="s">
        <v>1392</v>
      </c>
    </row>
    <row r="680" spans="27:36">
      <c r="AA680" s="247">
        <v>5517</v>
      </c>
      <c r="AB680" s="247" t="s">
        <v>1400</v>
      </c>
      <c r="AC680" s="247" t="s">
        <v>516</v>
      </c>
      <c r="AD680" s="247" t="s">
        <v>516</v>
      </c>
      <c r="AE680" s="247" t="s">
        <v>533</v>
      </c>
      <c r="AF680" s="247">
        <v>52</v>
      </c>
      <c r="AG680" s="247" t="s">
        <v>528</v>
      </c>
      <c r="AH680" s="247">
        <v>0</v>
      </c>
      <c r="AI680" s="247">
        <v>23</v>
      </c>
      <c r="AJ680" s="247" t="s">
        <v>1392</v>
      </c>
    </row>
    <row r="681" spans="27:36">
      <c r="AA681" s="247">
        <v>5520</v>
      </c>
      <c r="AB681" s="247" t="s">
        <v>1401</v>
      </c>
      <c r="AC681" s="247" t="s">
        <v>516</v>
      </c>
      <c r="AD681" s="247" t="s">
        <v>516</v>
      </c>
      <c r="AE681" s="247" t="s">
        <v>533</v>
      </c>
      <c r="AF681" s="247">
        <v>52</v>
      </c>
      <c r="AG681" s="247" t="s">
        <v>528</v>
      </c>
      <c r="AH681" s="247">
        <v>20</v>
      </c>
      <c r="AI681" s="247">
        <v>21</v>
      </c>
      <c r="AJ681" s="247" t="s">
        <v>1392</v>
      </c>
    </row>
    <row r="682" spans="27:36">
      <c r="AA682" s="247">
        <v>5525</v>
      </c>
      <c r="AB682" s="247" t="s">
        <v>1402</v>
      </c>
      <c r="AC682" s="247" t="s">
        <v>516</v>
      </c>
      <c r="AD682" s="247" t="s">
        <v>516</v>
      </c>
      <c r="AE682" s="247" t="s">
        <v>533</v>
      </c>
      <c r="AF682" s="247">
        <v>52</v>
      </c>
      <c r="AG682" s="247" t="s">
        <v>528</v>
      </c>
      <c r="AH682" s="247">
        <v>20</v>
      </c>
      <c r="AI682" s="247">
        <v>21</v>
      </c>
      <c r="AJ682" s="247" t="s">
        <v>1392</v>
      </c>
    </row>
    <row r="683" spans="27:36">
      <c r="AA683" s="247">
        <v>5550</v>
      </c>
      <c r="AB683" s="247" t="s">
        <v>1403</v>
      </c>
      <c r="AC683" s="247" t="s">
        <v>1404</v>
      </c>
      <c r="AD683" s="247" t="s">
        <v>1405</v>
      </c>
      <c r="AE683" s="247" t="s">
        <v>533</v>
      </c>
      <c r="AF683" s="247">
        <v>52</v>
      </c>
      <c r="AG683" s="247" t="s">
        <v>528</v>
      </c>
      <c r="AH683" s="247">
        <v>0</v>
      </c>
      <c r="AI683" s="247">
        <v>23</v>
      </c>
      <c r="AJ683" s="247" t="s">
        <v>1392</v>
      </c>
    </row>
    <row r="684" spans="27:36">
      <c r="AA684" s="247">
        <v>5600</v>
      </c>
      <c r="AB684" s="247" t="s">
        <v>1406</v>
      </c>
      <c r="AC684" s="247" t="s">
        <v>1407</v>
      </c>
      <c r="AD684" s="247" t="s">
        <v>1408</v>
      </c>
      <c r="AE684" s="247" t="s">
        <v>533</v>
      </c>
      <c r="AF684" s="247">
        <v>52</v>
      </c>
      <c r="AG684" s="247" t="s">
        <v>528</v>
      </c>
      <c r="AH684" s="247">
        <v>20</v>
      </c>
      <c r="AI684" s="247">
        <v>24</v>
      </c>
      <c r="AJ684" s="247" t="s">
        <v>1392</v>
      </c>
    </row>
    <row r="685" spans="27:36">
      <c r="AA685" s="247">
        <v>5700</v>
      </c>
      <c r="AB685" s="247" t="s">
        <v>1409</v>
      </c>
      <c r="AC685" s="247" t="s">
        <v>1410</v>
      </c>
      <c r="AD685" s="247" t="s">
        <v>1411</v>
      </c>
      <c r="AE685" s="247" t="s">
        <v>533</v>
      </c>
      <c r="AF685" s="247">
        <v>52</v>
      </c>
      <c r="AG685" s="247" t="s">
        <v>528</v>
      </c>
      <c r="AH685" s="247">
        <v>0</v>
      </c>
      <c r="AI685" s="247">
        <v>23</v>
      </c>
      <c r="AJ685" s="247" t="s">
        <v>1392</v>
      </c>
    </row>
    <row r="686" spans="27:36">
      <c r="AA686" s="247">
        <v>5710</v>
      </c>
      <c r="AB686" s="247" t="s">
        <v>1412</v>
      </c>
      <c r="AC686" s="247" t="s">
        <v>1413</v>
      </c>
      <c r="AD686" s="247" t="s">
        <v>1414</v>
      </c>
      <c r="AE686" s="247" t="s">
        <v>533</v>
      </c>
      <c r="AF686" s="247">
        <v>52</v>
      </c>
      <c r="AG686" s="247" t="s">
        <v>528</v>
      </c>
      <c r="AH686" s="247">
        <v>10</v>
      </c>
      <c r="AI686" s="247">
        <v>23</v>
      </c>
      <c r="AJ686" s="247" t="s">
        <v>1392</v>
      </c>
    </row>
    <row r="687" spans="27:36">
      <c r="AA687" s="247">
        <v>5730</v>
      </c>
      <c r="AB687" s="247" t="s">
        <v>1415</v>
      </c>
      <c r="AC687" s="247" t="s">
        <v>516</v>
      </c>
      <c r="AD687" s="247" t="s">
        <v>516</v>
      </c>
      <c r="AE687" s="247" t="s">
        <v>543</v>
      </c>
      <c r="AF687" s="247">
        <v>0</v>
      </c>
      <c r="AG687" s="247" t="s">
        <v>528</v>
      </c>
      <c r="AH687" s="247">
        <v>0</v>
      </c>
      <c r="AI687" s="247">
        <v>27</v>
      </c>
      <c r="AJ687" s="247"/>
    </row>
    <row r="688" spans="27:36">
      <c r="AA688" s="247">
        <v>5750</v>
      </c>
      <c r="AB688" s="247" t="s">
        <v>1416</v>
      </c>
      <c r="AC688" s="247" t="s">
        <v>516</v>
      </c>
      <c r="AD688" s="247" t="s">
        <v>516</v>
      </c>
      <c r="AE688" s="247" t="s">
        <v>507</v>
      </c>
      <c r="AF688" s="247">
        <v>0</v>
      </c>
      <c r="AG688" s="247"/>
      <c r="AH688" s="247">
        <v>20</v>
      </c>
      <c r="AI688" s="247">
        <v>27</v>
      </c>
      <c r="AJ688" s="247"/>
    </row>
    <row r="689" spans="27:36">
      <c r="AA689" s="247">
        <v>5760</v>
      </c>
      <c r="AB689" s="247" t="s">
        <v>1417</v>
      </c>
      <c r="AC689" s="247" t="s">
        <v>516</v>
      </c>
      <c r="AD689" s="247" t="s">
        <v>516</v>
      </c>
      <c r="AE689" s="247" t="s">
        <v>507</v>
      </c>
      <c r="AF689" s="247">
        <v>52</v>
      </c>
      <c r="AG689" s="247"/>
      <c r="AH689" s="247">
        <v>20</v>
      </c>
      <c r="AI689" s="247">
        <v>28</v>
      </c>
      <c r="AJ689" s="247"/>
    </row>
    <row r="690" spans="27:36">
      <c r="AA690" s="247">
        <v>5770</v>
      </c>
      <c r="AB690" s="247" t="s">
        <v>1418</v>
      </c>
      <c r="AC690" s="247" t="s">
        <v>516</v>
      </c>
      <c r="AD690" s="247" t="s">
        <v>516</v>
      </c>
      <c r="AE690" s="247" t="s">
        <v>507</v>
      </c>
      <c r="AF690" s="247">
        <v>52</v>
      </c>
      <c r="AG690" s="247"/>
      <c r="AH690" s="247">
        <v>20</v>
      </c>
      <c r="AI690" s="247">
        <v>28</v>
      </c>
      <c r="AJ690" s="247"/>
    </row>
    <row r="691" spans="27:36">
      <c r="AA691" s="247">
        <v>6000</v>
      </c>
      <c r="AB691" s="247" t="s">
        <v>1419</v>
      </c>
      <c r="AC691" s="247" t="s">
        <v>1420</v>
      </c>
      <c r="AD691" s="247" t="s">
        <v>1421</v>
      </c>
      <c r="AE691" s="247" t="s">
        <v>533</v>
      </c>
      <c r="AF691" s="247">
        <v>52</v>
      </c>
      <c r="AG691" s="247" t="s">
        <v>528</v>
      </c>
      <c r="AH691" s="247">
        <v>20</v>
      </c>
      <c r="AI691" s="247">
        <v>24</v>
      </c>
      <c r="AJ691" s="247" t="s">
        <v>1422</v>
      </c>
    </row>
    <row r="692" spans="27:36">
      <c r="AA692" s="247">
        <v>6007</v>
      </c>
      <c r="AB692" s="247" t="s">
        <v>1423</v>
      </c>
      <c r="AC692" s="247" t="s">
        <v>516</v>
      </c>
      <c r="AD692" s="247" t="s">
        <v>516</v>
      </c>
      <c r="AE692" s="247" t="s">
        <v>533</v>
      </c>
      <c r="AF692" s="247">
        <v>52</v>
      </c>
      <c r="AG692" s="247" t="s">
        <v>528</v>
      </c>
      <c r="AH692" s="247">
        <v>20</v>
      </c>
      <c r="AI692" s="247">
        <v>24</v>
      </c>
      <c r="AJ692" s="247" t="s">
        <v>1422</v>
      </c>
    </row>
    <row r="693" spans="27:36">
      <c r="AA693" s="247">
        <v>6012</v>
      </c>
      <c r="AB693" s="247" t="s">
        <v>1424</v>
      </c>
      <c r="AC693" s="247" t="s">
        <v>516</v>
      </c>
      <c r="AD693" s="247" t="s">
        <v>516</v>
      </c>
      <c r="AE693" s="247" t="s">
        <v>533</v>
      </c>
      <c r="AF693" s="247">
        <v>52</v>
      </c>
      <c r="AG693" s="247" t="s">
        <v>528</v>
      </c>
      <c r="AH693" s="247">
        <v>20</v>
      </c>
      <c r="AI693" s="247">
        <v>24</v>
      </c>
      <c r="AJ693" s="247" t="s">
        <v>1422</v>
      </c>
    </row>
    <row r="694" spans="27:36">
      <c r="AA694" s="247">
        <v>6039</v>
      </c>
      <c r="AB694" s="247" t="s">
        <v>1425</v>
      </c>
      <c r="AC694" s="247" t="s">
        <v>516</v>
      </c>
      <c r="AD694" s="247" t="s">
        <v>516</v>
      </c>
      <c r="AE694" s="247" t="s">
        <v>543</v>
      </c>
      <c r="AF694" s="247">
        <v>0</v>
      </c>
      <c r="AG694" s="247" t="s">
        <v>528</v>
      </c>
      <c r="AH694" s="247">
        <v>20</v>
      </c>
      <c r="AI694" s="247">
        <v>27</v>
      </c>
      <c r="AJ694" s="247"/>
    </row>
    <row r="695" spans="27:36">
      <c r="AA695" s="247">
        <v>6040</v>
      </c>
      <c r="AB695" s="247" t="s">
        <v>1426</v>
      </c>
      <c r="AC695" s="247" t="s">
        <v>516</v>
      </c>
      <c r="AD695" s="247" t="s">
        <v>516</v>
      </c>
      <c r="AE695" s="247" t="s">
        <v>543</v>
      </c>
      <c r="AF695" s="247">
        <v>0</v>
      </c>
      <c r="AG695" s="247" t="s">
        <v>528</v>
      </c>
      <c r="AH695" s="247">
        <v>20</v>
      </c>
      <c r="AI695" s="247">
        <v>27</v>
      </c>
      <c r="AJ695" s="247"/>
    </row>
    <row r="696" spans="27:36">
      <c r="AA696" s="247">
        <v>6041</v>
      </c>
      <c r="AB696" s="247" t="s">
        <v>1427</v>
      </c>
      <c r="AC696" s="247" t="s">
        <v>516</v>
      </c>
      <c r="AD696" s="247" t="s">
        <v>516</v>
      </c>
      <c r="AE696" s="247" t="s">
        <v>507</v>
      </c>
      <c r="AF696" s="247">
        <v>0</v>
      </c>
      <c r="AG696" s="247"/>
      <c r="AH696" s="247">
        <v>20</v>
      </c>
      <c r="AI696" s="247">
        <v>27</v>
      </c>
      <c r="AJ696" s="247"/>
    </row>
    <row r="697" spans="27:36">
      <c r="AA697" s="247">
        <v>6043</v>
      </c>
      <c r="AB697" s="247" t="s">
        <v>1428</v>
      </c>
      <c r="AC697" s="247" t="s">
        <v>516</v>
      </c>
      <c r="AD697" s="247" t="s">
        <v>516</v>
      </c>
      <c r="AE697" s="247" t="s">
        <v>533</v>
      </c>
      <c r="AF697" s="247">
        <v>52</v>
      </c>
      <c r="AG697" s="247" t="s">
        <v>528</v>
      </c>
      <c r="AH697" s="247">
        <v>20</v>
      </c>
      <c r="AI697" s="247">
        <v>23</v>
      </c>
      <c r="AJ697" s="247" t="s">
        <v>1422</v>
      </c>
    </row>
    <row r="698" spans="27:36">
      <c r="AA698" s="247">
        <v>6046</v>
      </c>
      <c r="AB698" s="247" t="s">
        <v>1429</v>
      </c>
      <c r="AC698" s="247" t="s">
        <v>516</v>
      </c>
      <c r="AD698" s="247" t="s">
        <v>516</v>
      </c>
      <c r="AE698" s="247" t="s">
        <v>543</v>
      </c>
      <c r="AF698" s="247">
        <v>0</v>
      </c>
      <c r="AG698" s="247" t="s">
        <v>528</v>
      </c>
      <c r="AH698" s="247">
        <v>20</v>
      </c>
      <c r="AI698" s="247">
        <v>27</v>
      </c>
      <c r="AJ698" s="247"/>
    </row>
    <row r="699" spans="27:36">
      <c r="AA699" s="247">
        <v>6047</v>
      </c>
      <c r="AB699" s="247" t="s">
        <v>1430</v>
      </c>
      <c r="AC699" s="247" t="s">
        <v>516</v>
      </c>
      <c r="AD699" s="247" t="s">
        <v>516</v>
      </c>
      <c r="AE699" s="247" t="s">
        <v>543</v>
      </c>
      <c r="AF699" s="247">
        <v>0</v>
      </c>
      <c r="AG699" s="247" t="s">
        <v>528</v>
      </c>
      <c r="AH699" s="247">
        <v>20</v>
      </c>
      <c r="AI699" s="247">
        <v>27</v>
      </c>
      <c r="AJ699" s="247"/>
    </row>
    <row r="700" spans="27:36">
      <c r="AA700" s="247">
        <v>6048</v>
      </c>
      <c r="AB700" s="247" t="s">
        <v>1431</v>
      </c>
      <c r="AC700" s="247" t="s">
        <v>516</v>
      </c>
      <c r="AD700" s="247" t="s">
        <v>516</v>
      </c>
      <c r="AE700" s="247" t="s">
        <v>543</v>
      </c>
      <c r="AF700" s="247">
        <v>0</v>
      </c>
      <c r="AG700" s="247" t="s">
        <v>528</v>
      </c>
      <c r="AH700" s="247">
        <v>20</v>
      </c>
      <c r="AI700" s="247">
        <v>27</v>
      </c>
      <c r="AJ700" s="247"/>
    </row>
    <row r="701" spans="27:36">
      <c r="AA701" s="247">
        <v>6052</v>
      </c>
      <c r="AB701" s="247" t="s">
        <v>1432</v>
      </c>
      <c r="AC701" s="247" t="s">
        <v>516</v>
      </c>
      <c r="AD701" s="247" t="s">
        <v>516</v>
      </c>
      <c r="AE701" s="247" t="s">
        <v>507</v>
      </c>
      <c r="AF701" s="247">
        <v>0</v>
      </c>
      <c r="AG701" s="247"/>
      <c r="AH701" s="247">
        <v>20</v>
      </c>
      <c r="AI701" s="247">
        <v>28</v>
      </c>
      <c r="AJ701" s="247"/>
    </row>
    <row r="702" spans="27:36">
      <c r="AA702" s="247">
        <v>6054</v>
      </c>
      <c r="AB702" s="247" t="s">
        <v>1433</v>
      </c>
      <c r="AC702" s="247" t="s">
        <v>516</v>
      </c>
      <c r="AD702" s="247" t="s">
        <v>516</v>
      </c>
      <c r="AE702" s="247" t="s">
        <v>543</v>
      </c>
      <c r="AF702" s="247">
        <v>0</v>
      </c>
      <c r="AG702" s="247"/>
      <c r="AH702" s="247">
        <v>20</v>
      </c>
      <c r="AI702" s="247">
        <v>27</v>
      </c>
      <c r="AJ702" s="247"/>
    </row>
    <row r="703" spans="27:36">
      <c r="AA703" s="247">
        <v>6056</v>
      </c>
      <c r="AB703" s="247" t="s">
        <v>1434</v>
      </c>
      <c r="AC703" s="247" t="s">
        <v>516</v>
      </c>
      <c r="AD703" s="247" t="s">
        <v>516</v>
      </c>
      <c r="AE703" s="247" t="s">
        <v>533</v>
      </c>
      <c r="AF703" s="247">
        <v>52</v>
      </c>
      <c r="AG703" s="247"/>
      <c r="AH703" s="247">
        <v>20</v>
      </c>
      <c r="AI703" s="247">
        <v>6</v>
      </c>
      <c r="AJ703" s="247" t="s">
        <v>1422</v>
      </c>
    </row>
    <row r="704" spans="27:36">
      <c r="AA704" s="247">
        <v>6100</v>
      </c>
      <c r="AB704" s="247" t="s">
        <v>1435</v>
      </c>
      <c r="AC704" s="247" t="s">
        <v>1436</v>
      </c>
      <c r="AD704" s="247" t="s">
        <v>1437</v>
      </c>
      <c r="AE704" s="247" t="s">
        <v>533</v>
      </c>
      <c r="AF704" s="247">
        <v>52</v>
      </c>
      <c r="AG704" s="247"/>
      <c r="AH704" s="247">
        <v>10</v>
      </c>
      <c r="AI704" s="247">
        <v>21</v>
      </c>
      <c r="AJ704" s="247" t="s">
        <v>1422</v>
      </c>
    </row>
    <row r="705" spans="27:36">
      <c r="AA705" s="247">
        <v>6111</v>
      </c>
      <c r="AB705" s="247" t="s">
        <v>1438</v>
      </c>
      <c r="AC705" s="247" t="s">
        <v>516</v>
      </c>
      <c r="AD705" s="247" t="s">
        <v>516</v>
      </c>
      <c r="AE705" s="247" t="s">
        <v>533</v>
      </c>
      <c r="AF705" s="247">
        <v>52</v>
      </c>
      <c r="AG705" s="247" t="s">
        <v>528</v>
      </c>
      <c r="AH705" s="247">
        <v>10</v>
      </c>
      <c r="AI705" s="247">
        <v>21</v>
      </c>
      <c r="AJ705" s="247" t="s">
        <v>1422</v>
      </c>
    </row>
    <row r="706" spans="27:36">
      <c r="AA706" s="247">
        <v>6115</v>
      </c>
      <c r="AB706" s="247" t="s">
        <v>1439</v>
      </c>
      <c r="AC706" s="247" t="s">
        <v>516</v>
      </c>
      <c r="AD706" s="247" t="s">
        <v>516</v>
      </c>
      <c r="AE706" s="247" t="s">
        <v>533</v>
      </c>
      <c r="AF706" s="247">
        <v>52</v>
      </c>
      <c r="AG706" s="247" t="s">
        <v>528</v>
      </c>
      <c r="AH706" s="247">
        <v>0</v>
      </c>
      <c r="AI706" s="247">
        <v>21</v>
      </c>
      <c r="AJ706" s="247" t="s">
        <v>1422</v>
      </c>
    </row>
    <row r="707" spans="27:36">
      <c r="AA707" s="247">
        <v>6116</v>
      </c>
      <c r="AB707" s="247" t="s">
        <v>1440</v>
      </c>
      <c r="AC707" s="247" t="s">
        <v>516</v>
      </c>
      <c r="AD707" s="247" t="s">
        <v>516</v>
      </c>
      <c r="AE707" s="247" t="s">
        <v>533</v>
      </c>
      <c r="AF707" s="247">
        <v>52</v>
      </c>
      <c r="AG707" s="247" t="s">
        <v>528</v>
      </c>
      <c r="AH707" s="247">
        <v>0</v>
      </c>
      <c r="AI707" s="247">
        <v>21</v>
      </c>
      <c r="AJ707" s="247" t="s">
        <v>1422</v>
      </c>
    </row>
    <row r="708" spans="27:36">
      <c r="AA708" s="247">
        <v>6120</v>
      </c>
      <c r="AB708" s="247" t="s">
        <v>1441</v>
      </c>
      <c r="AC708" s="247" t="s">
        <v>516</v>
      </c>
      <c r="AD708" s="247" t="s">
        <v>516</v>
      </c>
      <c r="AE708" s="247" t="s">
        <v>533</v>
      </c>
      <c r="AF708" s="247">
        <v>52</v>
      </c>
      <c r="AG708" s="247" t="s">
        <v>528</v>
      </c>
      <c r="AH708" s="247">
        <v>20</v>
      </c>
      <c r="AI708" s="247">
        <v>23</v>
      </c>
      <c r="AJ708" s="247" t="s">
        <v>1422</v>
      </c>
    </row>
    <row r="709" spans="27:36">
      <c r="AA709" s="247">
        <v>6130</v>
      </c>
      <c r="AB709" s="247" t="s">
        <v>1442</v>
      </c>
      <c r="AC709" s="247" t="s">
        <v>516</v>
      </c>
      <c r="AD709" s="247" t="s">
        <v>516</v>
      </c>
      <c r="AE709" s="247" t="s">
        <v>533</v>
      </c>
      <c r="AF709" s="247">
        <v>52</v>
      </c>
      <c r="AG709" s="247" t="s">
        <v>528</v>
      </c>
      <c r="AH709" s="247">
        <v>20</v>
      </c>
      <c r="AI709" s="247">
        <v>23</v>
      </c>
      <c r="AJ709" s="247" t="s">
        <v>1422</v>
      </c>
    </row>
    <row r="710" spans="27:36">
      <c r="AA710" s="247">
        <v>6200</v>
      </c>
      <c r="AB710" s="247" t="s">
        <v>1443</v>
      </c>
      <c r="AC710" s="247" t="s">
        <v>1444</v>
      </c>
      <c r="AD710" s="247" t="s">
        <v>1443</v>
      </c>
      <c r="AE710" s="247" t="s">
        <v>507</v>
      </c>
      <c r="AF710" s="247">
        <v>52</v>
      </c>
      <c r="AG710" s="247"/>
      <c r="AH710" s="247">
        <v>20</v>
      </c>
      <c r="AI710" s="247">
        <v>28</v>
      </c>
      <c r="AJ710" s="247"/>
    </row>
    <row r="711" spans="27:36">
      <c r="AA711" s="247">
        <v>6210</v>
      </c>
      <c r="AB711" s="247" t="s">
        <v>1445</v>
      </c>
      <c r="AC711" s="247" t="s">
        <v>1446</v>
      </c>
      <c r="AD711" s="247" t="s">
        <v>1447</v>
      </c>
      <c r="AE711" s="247" t="s">
        <v>533</v>
      </c>
      <c r="AF711" s="247">
        <v>52</v>
      </c>
      <c r="AG711" s="247" t="s">
        <v>528</v>
      </c>
      <c r="AH711" s="247">
        <v>0</v>
      </c>
      <c r="AI711" s="247">
        <v>21</v>
      </c>
      <c r="AJ711" s="247" t="s">
        <v>1422</v>
      </c>
    </row>
    <row r="712" spans="27:36">
      <c r="AA712" s="247">
        <v>6300</v>
      </c>
      <c r="AB712" s="247" t="s">
        <v>1448</v>
      </c>
      <c r="AC712" s="247" t="s">
        <v>1449</v>
      </c>
      <c r="AD712" s="247" t="s">
        <v>1450</v>
      </c>
      <c r="AE712" s="247" t="s">
        <v>533</v>
      </c>
      <c r="AF712" s="247">
        <v>52</v>
      </c>
      <c r="AG712" s="247" t="s">
        <v>528</v>
      </c>
      <c r="AH712" s="247">
        <v>0</v>
      </c>
      <c r="AI712" s="247">
        <v>21</v>
      </c>
      <c r="AJ712" s="247" t="s">
        <v>1422</v>
      </c>
    </row>
    <row r="713" spans="27:36">
      <c r="AA713" s="247">
        <v>6350</v>
      </c>
      <c r="AB713" s="247" t="s">
        <v>1451</v>
      </c>
      <c r="AC713" s="247" t="s">
        <v>1452</v>
      </c>
      <c r="AD713" s="247" t="s">
        <v>1453</v>
      </c>
      <c r="AE713" s="247" t="s">
        <v>543</v>
      </c>
      <c r="AF713" s="247">
        <v>0</v>
      </c>
      <c r="AG713" s="247"/>
      <c r="AH713" s="247">
        <v>0</v>
      </c>
      <c r="AI713" s="247">
        <v>27</v>
      </c>
      <c r="AJ713" s="247"/>
    </row>
    <row r="714" spans="27:36">
      <c r="AA714" s="247">
        <v>6355</v>
      </c>
      <c r="AB714" s="247" t="s">
        <v>1454</v>
      </c>
      <c r="AC714" s="247" t="s">
        <v>516</v>
      </c>
      <c r="AD714" s="247" t="s">
        <v>516</v>
      </c>
      <c r="AE714" s="247" t="s">
        <v>543</v>
      </c>
      <c r="AF714" s="247">
        <v>0</v>
      </c>
      <c r="AG714" s="247" t="s">
        <v>528</v>
      </c>
      <c r="AH714" s="247">
        <v>0</v>
      </c>
      <c r="AI714" s="247">
        <v>27</v>
      </c>
      <c r="AJ714" s="247"/>
    </row>
    <row r="715" spans="27:36">
      <c r="AA715" s="247">
        <v>6356</v>
      </c>
      <c r="AB715" s="247" t="s">
        <v>1455</v>
      </c>
      <c r="AC715" s="247" t="s">
        <v>516</v>
      </c>
      <c r="AD715" s="247" t="s">
        <v>516</v>
      </c>
      <c r="AE715" s="247" t="s">
        <v>507</v>
      </c>
      <c r="AF715" s="247">
        <v>52</v>
      </c>
      <c r="AG715" s="247"/>
      <c r="AH715" s="247">
        <v>20</v>
      </c>
      <c r="AI715" s="247">
        <v>28</v>
      </c>
      <c r="AJ715" s="247"/>
    </row>
    <row r="716" spans="27:36">
      <c r="AA716" s="247">
        <v>6357</v>
      </c>
      <c r="AB716" s="247" t="s">
        <v>1456</v>
      </c>
      <c r="AC716" s="247" t="s">
        <v>516</v>
      </c>
      <c r="AD716" s="247" t="s">
        <v>516</v>
      </c>
      <c r="AE716" s="247" t="s">
        <v>543</v>
      </c>
      <c r="AF716" s="247">
        <v>0</v>
      </c>
      <c r="AG716" s="247" t="s">
        <v>528</v>
      </c>
      <c r="AH716" s="247">
        <v>20</v>
      </c>
      <c r="AI716" s="247">
        <v>27</v>
      </c>
      <c r="AJ716" s="247"/>
    </row>
    <row r="717" spans="27:36">
      <c r="AA717" s="247">
        <v>6400</v>
      </c>
      <c r="AB717" s="247" t="s">
        <v>1457</v>
      </c>
      <c r="AC717" s="247" t="s">
        <v>516</v>
      </c>
      <c r="AD717" s="247" t="s">
        <v>516</v>
      </c>
      <c r="AE717" s="247" t="s">
        <v>507</v>
      </c>
      <c r="AF717" s="247">
        <v>52</v>
      </c>
      <c r="AG717" s="247"/>
      <c r="AH717" s="247">
        <v>20</v>
      </c>
      <c r="AI717" s="247">
        <v>9</v>
      </c>
      <c r="AJ717" s="247"/>
    </row>
    <row r="718" spans="27:36">
      <c r="AA718" s="247">
        <v>6410</v>
      </c>
      <c r="AB718" s="247" t="s">
        <v>1458</v>
      </c>
      <c r="AC718" s="247" t="s">
        <v>516</v>
      </c>
      <c r="AD718" s="247" t="s">
        <v>516</v>
      </c>
      <c r="AE718" s="247" t="s">
        <v>507</v>
      </c>
      <c r="AF718" s="247">
        <v>0</v>
      </c>
      <c r="AG718" s="247"/>
      <c r="AH718" s="247">
        <v>20</v>
      </c>
      <c r="AI718" s="247">
        <v>28</v>
      </c>
      <c r="AJ718" s="247"/>
    </row>
    <row r="719" spans="27:36">
      <c r="AA719" s="247">
        <v>6411</v>
      </c>
      <c r="AB719" s="247" t="s">
        <v>1459</v>
      </c>
      <c r="AC719" s="247" t="s">
        <v>516</v>
      </c>
      <c r="AD719" s="247" t="s">
        <v>516</v>
      </c>
      <c r="AE719" s="247" t="s">
        <v>507</v>
      </c>
      <c r="AF719" s="247">
        <v>0</v>
      </c>
      <c r="AG719" s="247"/>
      <c r="AH719" s="247">
        <v>20</v>
      </c>
      <c r="AI719" s="247">
        <v>28</v>
      </c>
      <c r="AJ719" s="247"/>
    </row>
    <row r="720" spans="27:36">
      <c r="AA720" s="247">
        <v>6412</v>
      </c>
      <c r="AB720" s="247" t="s">
        <v>1460</v>
      </c>
      <c r="AC720" s="247" t="s">
        <v>516</v>
      </c>
      <c r="AD720" s="247" t="s">
        <v>516</v>
      </c>
      <c r="AE720" s="247" t="s">
        <v>507</v>
      </c>
      <c r="AF720" s="247">
        <v>52</v>
      </c>
      <c r="AG720" s="247"/>
      <c r="AH720" s="247">
        <v>20</v>
      </c>
      <c r="AI720" s="247">
        <v>28</v>
      </c>
      <c r="AJ720" s="247"/>
    </row>
    <row r="721" spans="27:36">
      <c r="AA721" s="247">
        <v>6430</v>
      </c>
      <c r="AB721" s="247" t="s">
        <v>1461</v>
      </c>
      <c r="AC721" s="247" t="s">
        <v>516</v>
      </c>
      <c r="AD721" s="247" t="s">
        <v>516</v>
      </c>
      <c r="AE721" s="247" t="s">
        <v>543</v>
      </c>
      <c r="AF721" s="247">
        <v>0</v>
      </c>
      <c r="AG721" s="247" t="s">
        <v>528</v>
      </c>
      <c r="AH721" s="247">
        <v>20</v>
      </c>
      <c r="AI721" s="247">
        <v>27</v>
      </c>
      <c r="AJ721" s="247"/>
    </row>
    <row r="722" spans="27:36">
      <c r="AA722" s="247">
        <v>6432</v>
      </c>
      <c r="AB722" s="247" t="s">
        <v>1462</v>
      </c>
      <c r="AC722" s="247" t="s">
        <v>516</v>
      </c>
      <c r="AD722" s="247" t="s">
        <v>516</v>
      </c>
      <c r="AE722" s="247" t="s">
        <v>543</v>
      </c>
      <c r="AF722" s="247">
        <v>0</v>
      </c>
      <c r="AG722" s="247" t="s">
        <v>528</v>
      </c>
      <c r="AH722" s="247">
        <v>20</v>
      </c>
      <c r="AI722" s="247">
        <v>27</v>
      </c>
      <c r="AJ722" s="247"/>
    </row>
    <row r="723" spans="27:36">
      <c r="AA723" s="247">
        <v>6460</v>
      </c>
      <c r="AB723" s="247" t="s">
        <v>1463</v>
      </c>
      <c r="AC723" s="247" t="s">
        <v>516</v>
      </c>
      <c r="AD723" s="247" t="s">
        <v>516</v>
      </c>
      <c r="AE723" s="247" t="s">
        <v>507</v>
      </c>
      <c r="AF723" s="247">
        <v>52</v>
      </c>
      <c r="AG723" s="247" t="s">
        <v>528</v>
      </c>
      <c r="AH723" s="247">
        <v>20</v>
      </c>
      <c r="AI723" s="247">
        <v>6</v>
      </c>
      <c r="AJ723" s="247"/>
    </row>
    <row r="724" spans="27:36">
      <c r="AA724" s="247">
        <v>6501</v>
      </c>
      <c r="AB724" s="247" t="s">
        <v>1464</v>
      </c>
      <c r="AC724" s="247" t="s">
        <v>516</v>
      </c>
      <c r="AD724" s="247" t="s">
        <v>516</v>
      </c>
      <c r="AE724" s="247" t="s">
        <v>543</v>
      </c>
      <c r="AF724" s="247">
        <v>0</v>
      </c>
      <c r="AG724" s="247"/>
      <c r="AH724" s="247">
        <v>20</v>
      </c>
      <c r="AI724" s="247">
        <v>27</v>
      </c>
      <c r="AJ724" s="247"/>
    </row>
    <row r="725" spans="27:36">
      <c r="AA725" s="247">
        <v>6505</v>
      </c>
      <c r="AB725" s="247" t="s">
        <v>1465</v>
      </c>
      <c r="AC725" s="247" t="s">
        <v>516</v>
      </c>
      <c r="AD725" s="247" t="s">
        <v>516</v>
      </c>
      <c r="AE725" s="247" t="s">
        <v>533</v>
      </c>
      <c r="AF725" s="247">
        <v>52</v>
      </c>
      <c r="AG725" s="247" t="s">
        <v>528</v>
      </c>
      <c r="AH725" s="247">
        <v>0</v>
      </c>
      <c r="AI725" s="247">
        <v>21</v>
      </c>
      <c r="AJ725" s="247" t="s">
        <v>545</v>
      </c>
    </row>
    <row r="726" spans="27:36">
      <c r="AA726" s="247">
        <v>6506</v>
      </c>
      <c r="AB726" s="247" t="s">
        <v>1466</v>
      </c>
      <c r="AC726" s="247" t="s">
        <v>516</v>
      </c>
      <c r="AD726" s="247" t="s">
        <v>516</v>
      </c>
      <c r="AE726" s="247" t="s">
        <v>543</v>
      </c>
      <c r="AF726" s="247">
        <v>0</v>
      </c>
      <c r="AG726" s="247"/>
      <c r="AH726" s="247">
        <v>0</v>
      </c>
      <c r="AI726" s="247">
        <v>27</v>
      </c>
      <c r="AJ726" s="247"/>
    </row>
    <row r="727" spans="27:36">
      <c r="AA727" s="247">
        <v>6510</v>
      </c>
      <c r="AB727" s="247" t="s">
        <v>1467</v>
      </c>
      <c r="AC727" s="247" t="s">
        <v>1468</v>
      </c>
      <c r="AD727" s="247" t="s">
        <v>1469</v>
      </c>
      <c r="AE727" s="247" t="s">
        <v>543</v>
      </c>
      <c r="AF727" s="247">
        <v>0</v>
      </c>
      <c r="AG727" s="247" t="s">
        <v>528</v>
      </c>
      <c r="AH727" s="247">
        <v>20</v>
      </c>
      <c r="AI727" s="247">
        <v>27</v>
      </c>
      <c r="AJ727" s="247"/>
    </row>
    <row r="728" spans="27:36">
      <c r="AA728" s="247">
        <v>6512</v>
      </c>
      <c r="AB728" s="247" t="s">
        <v>1470</v>
      </c>
      <c r="AC728" s="247" t="s">
        <v>516</v>
      </c>
      <c r="AD728" s="247" t="s">
        <v>516</v>
      </c>
      <c r="AE728" s="247" t="s">
        <v>543</v>
      </c>
      <c r="AF728" s="247">
        <v>0</v>
      </c>
      <c r="AG728" s="247"/>
      <c r="AH728" s="247">
        <v>20</v>
      </c>
      <c r="AI728" s="247">
        <v>27</v>
      </c>
      <c r="AJ728" s="247"/>
    </row>
    <row r="729" spans="27:36">
      <c r="AA729" s="247">
        <v>6721</v>
      </c>
      <c r="AB729" s="247" t="s">
        <v>1471</v>
      </c>
      <c r="AC729" s="247" t="s">
        <v>516</v>
      </c>
      <c r="AD729" s="247" t="s">
        <v>516</v>
      </c>
      <c r="AE729" s="247" t="s">
        <v>543</v>
      </c>
      <c r="AF729" s="247">
        <v>0</v>
      </c>
      <c r="AG729" s="247"/>
      <c r="AH729" s="247">
        <v>20</v>
      </c>
      <c r="AI729" s="247">
        <v>27</v>
      </c>
      <c r="AJ729" s="247"/>
    </row>
    <row r="730" spans="27:36">
      <c r="AA730" s="247">
        <v>6750</v>
      </c>
      <c r="AB730" s="247" t="s">
        <v>1472</v>
      </c>
      <c r="AC730" s="247" t="s">
        <v>516</v>
      </c>
      <c r="AD730" s="247" t="s">
        <v>516</v>
      </c>
      <c r="AE730" s="247" t="s">
        <v>507</v>
      </c>
      <c r="AF730" s="247">
        <v>0</v>
      </c>
      <c r="AG730" s="247"/>
      <c r="AH730" s="247">
        <v>20</v>
      </c>
      <c r="AI730" s="247">
        <v>28</v>
      </c>
      <c r="AJ730" s="247"/>
    </row>
    <row r="731" spans="27:36">
      <c r="AA731" s="247">
        <v>7001</v>
      </c>
      <c r="AB731" s="247" t="s">
        <v>1473</v>
      </c>
      <c r="AC731" s="247" t="s">
        <v>516</v>
      </c>
      <c r="AD731" s="247" t="s">
        <v>516</v>
      </c>
      <c r="AE731" s="247" t="s">
        <v>533</v>
      </c>
      <c r="AF731" s="247">
        <v>180</v>
      </c>
      <c r="AG731" s="247" t="s">
        <v>528</v>
      </c>
      <c r="AH731" s="247">
        <v>0</v>
      </c>
      <c r="AI731" s="247">
        <v>16</v>
      </c>
      <c r="AJ731" s="247" t="s">
        <v>1474</v>
      </c>
    </row>
    <row r="732" spans="27:36">
      <c r="AA732" s="247">
        <v>7002</v>
      </c>
      <c r="AB732" s="247" t="s">
        <v>1475</v>
      </c>
      <c r="AC732" s="247" t="s">
        <v>516</v>
      </c>
      <c r="AD732" s="247" t="s">
        <v>516</v>
      </c>
      <c r="AE732" s="247" t="s">
        <v>533</v>
      </c>
      <c r="AF732" s="247">
        <v>180</v>
      </c>
      <c r="AG732" s="247" t="s">
        <v>528</v>
      </c>
      <c r="AH732" s="247">
        <v>0</v>
      </c>
      <c r="AI732" s="247">
        <v>16</v>
      </c>
      <c r="AJ732" s="247" t="s">
        <v>1474</v>
      </c>
    </row>
    <row r="733" spans="27:36">
      <c r="AA733" s="247">
        <v>7003</v>
      </c>
      <c r="AB733" s="247" t="s">
        <v>1476</v>
      </c>
      <c r="AC733" s="247" t="s">
        <v>516</v>
      </c>
      <c r="AD733" s="247" t="s">
        <v>516</v>
      </c>
      <c r="AE733" s="247" t="s">
        <v>533</v>
      </c>
      <c r="AF733" s="247">
        <v>180</v>
      </c>
      <c r="AG733" s="247" t="s">
        <v>528</v>
      </c>
      <c r="AH733" s="247">
        <v>0</v>
      </c>
      <c r="AI733" s="247">
        <v>16</v>
      </c>
      <c r="AJ733" s="247" t="s">
        <v>1474</v>
      </c>
    </row>
    <row r="734" spans="27:36">
      <c r="AA734" s="247">
        <v>7004</v>
      </c>
      <c r="AB734" s="247" t="s">
        <v>1477</v>
      </c>
      <c r="AC734" s="247" t="s">
        <v>516</v>
      </c>
      <c r="AD734" s="247" t="s">
        <v>516</v>
      </c>
      <c r="AE734" s="247" t="s">
        <v>533</v>
      </c>
      <c r="AF734" s="247">
        <v>180</v>
      </c>
      <c r="AG734" s="247" t="s">
        <v>528</v>
      </c>
      <c r="AH734" s="247">
        <v>0</v>
      </c>
      <c r="AI734" s="247">
        <v>16</v>
      </c>
      <c r="AJ734" s="247" t="s">
        <v>1474</v>
      </c>
    </row>
    <row r="735" spans="27:36">
      <c r="AA735" s="247">
        <v>7005</v>
      </c>
      <c r="AB735" s="247" t="s">
        <v>1478</v>
      </c>
      <c r="AC735" s="247" t="s">
        <v>1479</v>
      </c>
      <c r="AD735" s="247" t="s">
        <v>1478</v>
      </c>
      <c r="AE735" s="247" t="s">
        <v>533</v>
      </c>
      <c r="AF735" s="247">
        <v>180</v>
      </c>
      <c r="AG735" s="247" t="s">
        <v>528</v>
      </c>
      <c r="AH735" s="247">
        <v>0</v>
      </c>
      <c r="AI735" s="247">
        <v>16</v>
      </c>
      <c r="AJ735" s="247" t="s">
        <v>1474</v>
      </c>
    </row>
    <row r="736" spans="27:36">
      <c r="AA736" s="247">
        <v>7008</v>
      </c>
      <c r="AB736" s="247" t="s">
        <v>1480</v>
      </c>
      <c r="AC736" s="247" t="s">
        <v>516</v>
      </c>
      <c r="AD736" s="247" t="s">
        <v>516</v>
      </c>
      <c r="AE736" s="247" t="s">
        <v>507</v>
      </c>
      <c r="AF736" s="247">
        <v>0</v>
      </c>
      <c r="AG736" s="247"/>
      <c r="AH736" s="247">
        <v>20</v>
      </c>
      <c r="AI736" s="247">
        <v>28</v>
      </c>
      <c r="AJ736" s="247"/>
    </row>
    <row r="737" spans="27:36">
      <c r="AA737" s="247">
        <v>7009</v>
      </c>
      <c r="AB737" s="247" t="s">
        <v>1481</v>
      </c>
      <c r="AC737" s="247" t="s">
        <v>516</v>
      </c>
      <c r="AD737" s="247" t="s">
        <v>516</v>
      </c>
      <c r="AE737" s="247" t="s">
        <v>543</v>
      </c>
      <c r="AF737" s="247">
        <v>0</v>
      </c>
      <c r="AG737" s="247"/>
      <c r="AH737" s="247">
        <v>20</v>
      </c>
      <c r="AI737" s="247">
        <v>27</v>
      </c>
      <c r="AJ737" s="247"/>
    </row>
    <row r="738" spans="27:36">
      <c r="AA738" s="247">
        <v>7010</v>
      </c>
      <c r="AB738" s="247" t="s">
        <v>1482</v>
      </c>
      <c r="AC738" s="247" t="s">
        <v>1483</v>
      </c>
      <c r="AD738" s="247" t="s">
        <v>1484</v>
      </c>
      <c r="AE738" s="247" t="s">
        <v>533</v>
      </c>
      <c r="AF738" s="247">
        <v>170</v>
      </c>
      <c r="AG738" s="247" t="s">
        <v>528</v>
      </c>
      <c r="AH738" s="247">
        <v>20</v>
      </c>
      <c r="AI738" s="247">
        <v>16</v>
      </c>
      <c r="AJ738" s="247" t="s">
        <v>1474</v>
      </c>
    </row>
    <row r="739" spans="27:36">
      <c r="AA739" s="247">
        <v>7011</v>
      </c>
      <c r="AB739" s="247" t="s">
        <v>1485</v>
      </c>
      <c r="AC739" s="247" t="s">
        <v>516</v>
      </c>
      <c r="AD739" s="247" t="s">
        <v>516</v>
      </c>
      <c r="AE739" s="247" t="s">
        <v>507</v>
      </c>
      <c r="AF739" s="247">
        <v>60</v>
      </c>
      <c r="AG739" s="247"/>
      <c r="AH739" s="247">
        <v>20</v>
      </c>
      <c r="AI739" s="247">
        <v>9</v>
      </c>
      <c r="AJ739" s="247"/>
    </row>
    <row r="740" spans="27:36">
      <c r="AA740" s="247">
        <v>7012</v>
      </c>
      <c r="AB740" s="247" t="s">
        <v>1486</v>
      </c>
      <c r="AC740" s="247" t="s">
        <v>516</v>
      </c>
      <c r="AD740" s="247" t="s">
        <v>516</v>
      </c>
      <c r="AE740" s="247" t="s">
        <v>507</v>
      </c>
      <c r="AF740" s="247">
        <v>0</v>
      </c>
      <c r="AG740" s="247"/>
      <c r="AH740" s="247">
        <v>20</v>
      </c>
      <c r="AI740" s="247">
        <v>32</v>
      </c>
      <c r="AJ740" s="247"/>
    </row>
    <row r="741" spans="27:36">
      <c r="AA741" s="247">
        <v>7013</v>
      </c>
      <c r="AB741" s="247" t="s">
        <v>1487</v>
      </c>
      <c r="AC741" s="247" t="s">
        <v>1488</v>
      </c>
      <c r="AD741" s="247" t="s">
        <v>1487</v>
      </c>
      <c r="AE741" s="247" t="s">
        <v>507</v>
      </c>
      <c r="AF741" s="247">
        <v>0</v>
      </c>
      <c r="AG741" s="247" t="s">
        <v>528</v>
      </c>
      <c r="AH741" s="247">
        <v>20</v>
      </c>
      <c r="AI741" s="247">
        <v>32</v>
      </c>
      <c r="AJ741" s="247"/>
    </row>
    <row r="742" spans="27:36">
      <c r="AA742" s="247">
        <v>7014</v>
      </c>
      <c r="AB742" s="247" t="s">
        <v>1489</v>
      </c>
      <c r="AC742" s="247" t="s">
        <v>516</v>
      </c>
      <c r="AD742" s="247" t="s">
        <v>516</v>
      </c>
      <c r="AE742" s="247" t="s">
        <v>507</v>
      </c>
      <c r="AF742" s="247">
        <v>0</v>
      </c>
      <c r="AG742" s="247"/>
      <c r="AH742" s="247">
        <v>20</v>
      </c>
      <c r="AI742" s="247">
        <v>32</v>
      </c>
      <c r="AJ742" s="247"/>
    </row>
    <row r="743" spans="27:36">
      <c r="AA743" s="247">
        <v>7016</v>
      </c>
      <c r="AB743" s="247" t="s">
        <v>1490</v>
      </c>
      <c r="AC743" s="247" t="s">
        <v>516</v>
      </c>
      <c r="AD743" s="247" t="s">
        <v>516</v>
      </c>
      <c r="AE743" s="247" t="s">
        <v>543</v>
      </c>
      <c r="AF743" s="247">
        <v>0</v>
      </c>
      <c r="AG743" s="247"/>
      <c r="AH743" s="247">
        <v>20</v>
      </c>
      <c r="AI743" s="247">
        <v>27</v>
      </c>
      <c r="AJ743" s="247"/>
    </row>
    <row r="744" spans="27:36">
      <c r="AA744" s="247">
        <v>7017</v>
      </c>
      <c r="AB744" s="247" t="s">
        <v>1491</v>
      </c>
      <c r="AC744" s="247" t="s">
        <v>516</v>
      </c>
      <c r="AD744" s="247" t="s">
        <v>516</v>
      </c>
      <c r="AE744" s="247" t="s">
        <v>533</v>
      </c>
      <c r="AF744" s="247">
        <v>52</v>
      </c>
      <c r="AG744" s="247" t="s">
        <v>528</v>
      </c>
      <c r="AH744" s="247">
        <v>20</v>
      </c>
      <c r="AI744" s="247">
        <v>15</v>
      </c>
      <c r="AJ744" s="247" t="s">
        <v>1474</v>
      </c>
    </row>
    <row r="745" spans="27:36">
      <c r="AA745" s="247">
        <v>7018</v>
      </c>
      <c r="AB745" s="247" t="s">
        <v>1492</v>
      </c>
      <c r="AC745" s="247" t="s">
        <v>516</v>
      </c>
      <c r="AD745" s="247" t="s">
        <v>516</v>
      </c>
      <c r="AE745" s="247" t="s">
        <v>507</v>
      </c>
      <c r="AF745" s="247">
        <v>0</v>
      </c>
      <c r="AG745" s="247" t="s">
        <v>528</v>
      </c>
      <c r="AH745" s="247">
        <v>20</v>
      </c>
      <c r="AI745" s="247">
        <v>28</v>
      </c>
      <c r="AJ745" s="247"/>
    </row>
    <row r="746" spans="27:36">
      <c r="AA746" s="247">
        <v>7019</v>
      </c>
      <c r="AB746" s="247" t="s">
        <v>1493</v>
      </c>
      <c r="AC746" s="247" t="s">
        <v>516</v>
      </c>
      <c r="AD746" s="247" t="s">
        <v>516</v>
      </c>
      <c r="AE746" s="247" t="s">
        <v>533</v>
      </c>
      <c r="AF746" s="247">
        <v>52</v>
      </c>
      <c r="AG746" s="247" t="s">
        <v>528</v>
      </c>
      <c r="AH746" s="247">
        <v>0</v>
      </c>
      <c r="AI746" s="247">
        <v>15</v>
      </c>
      <c r="AJ746" s="247" t="s">
        <v>1474</v>
      </c>
    </row>
    <row r="747" spans="27:36">
      <c r="AA747" s="247">
        <v>7025</v>
      </c>
      <c r="AB747" s="247" t="s">
        <v>324</v>
      </c>
      <c r="AC747" s="247" t="s">
        <v>516</v>
      </c>
      <c r="AD747" s="247" t="s">
        <v>516</v>
      </c>
      <c r="AE747" s="247" t="s">
        <v>533</v>
      </c>
      <c r="AF747" s="247">
        <v>52</v>
      </c>
      <c r="AG747" s="247" t="s">
        <v>528</v>
      </c>
      <c r="AH747" s="247">
        <v>0</v>
      </c>
      <c r="AI747" s="247">
        <v>15</v>
      </c>
      <c r="AJ747" s="247" t="s">
        <v>1474</v>
      </c>
    </row>
    <row r="748" spans="27:36">
      <c r="AA748" s="247">
        <v>7026</v>
      </c>
      <c r="AB748" s="247" t="s">
        <v>1494</v>
      </c>
      <c r="AC748" s="247" t="s">
        <v>516</v>
      </c>
      <c r="AD748" s="247" t="s">
        <v>516</v>
      </c>
      <c r="AE748" s="247" t="s">
        <v>507</v>
      </c>
      <c r="AF748" s="247">
        <v>0</v>
      </c>
      <c r="AG748" s="247"/>
      <c r="AH748" s="247">
        <v>0</v>
      </c>
      <c r="AI748" s="247">
        <v>27</v>
      </c>
      <c r="AJ748" s="247"/>
    </row>
    <row r="749" spans="27:36">
      <c r="AA749" s="247">
        <v>7027</v>
      </c>
      <c r="AB749" s="247" t="s">
        <v>1495</v>
      </c>
      <c r="AC749" s="247" t="s">
        <v>516</v>
      </c>
      <c r="AD749" s="247" t="s">
        <v>516</v>
      </c>
      <c r="AE749" s="247" t="s">
        <v>507</v>
      </c>
      <c r="AF749" s="247">
        <v>0</v>
      </c>
      <c r="AG749" s="247"/>
      <c r="AH749" s="247">
        <v>20</v>
      </c>
      <c r="AI749" s="247">
        <v>28</v>
      </c>
      <c r="AJ749" s="247"/>
    </row>
    <row r="750" spans="27:36">
      <c r="AA750" s="247">
        <v>7028</v>
      </c>
      <c r="AB750" s="247" t="s">
        <v>1496</v>
      </c>
      <c r="AC750" s="247" t="s">
        <v>516</v>
      </c>
      <c r="AD750" s="247" t="s">
        <v>516</v>
      </c>
      <c r="AE750" s="247" t="s">
        <v>507</v>
      </c>
      <c r="AF750" s="247">
        <v>0</v>
      </c>
      <c r="AG750" s="247"/>
      <c r="AH750" s="247">
        <v>0</v>
      </c>
      <c r="AI750" s="247">
        <v>28</v>
      </c>
      <c r="AJ750" s="247"/>
    </row>
    <row r="751" spans="27:36">
      <c r="AA751" s="247">
        <v>7029</v>
      </c>
      <c r="AB751" s="247" t="s">
        <v>1497</v>
      </c>
      <c r="AC751" s="247" t="s">
        <v>516</v>
      </c>
      <c r="AD751" s="247" t="s">
        <v>516</v>
      </c>
      <c r="AE751" s="247" t="s">
        <v>507</v>
      </c>
      <c r="AF751" s="247">
        <v>0</v>
      </c>
      <c r="AG751" s="247"/>
      <c r="AH751" s="247">
        <v>20</v>
      </c>
      <c r="AI751" s="247">
        <v>28</v>
      </c>
      <c r="AJ751" s="247"/>
    </row>
    <row r="752" spans="27:36">
      <c r="AA752" s="247">
        <v>7030</v>
      </c>
      <c r="AB752" s="247" t="s">
        <v>1498</v>
      </c>
      <c r="AC752" s="247" t="s">
        <v>516</v>
      </c>
      <c r="AD752" s="247" t="s">
        <v>516</v>
      </c>
      <c r="AE752" s="247" t="s">
        <v>533</v>
      </c>
      <c r="AF752" s="247">
        <v>170</v>
      </c>
      <c r="AG752" s="247" t="s">
        <v>528</v>
      </c>
      <c r="AH752" s="247">
        <v>0</v>
      </c>
      <c r="AI752" s="247">
        <v>16</v>
      </c>
      <c r="AJ752" s="247" t="s">
        <v>1474</v>
      </c>
    </row>
    <row r="753" spans="27:36">
      <c r="AA753" s="247">
        <v>7031</v>
      </c>
      <c r="AB753" s="247" t="s">
        <v>1499</v>
      </c>
      <c r="AC753" s="247" t="s">
        <v>516</v>
      </c>
      <c r="AD753" s="247" t="s">
        <v>516</v>
      </c>
      <c r="AE753" s="247" t="s">
        <v>533</v>
      </c>
      <c r="AF753" s="247">
        <v>75</v>
      </c>
      <c r="AG753" s="247"/>
      <c r="AH753" s="247">
        <v>0</v>
      </c>
      <c r="AI753" s="247">
        <v>16</v>
      </c>
      <c r="AJ753" s="247" t="s">
        <v>1474</v>
      </c>
    </row>
    <row r="754" spans="27:36">
      <c r="AA754" s="247">
        <v>7035</v>
      </c>
      <c r="AB754" s="247" t="s">
        <v>1500</v>
      </c>
      <c r="AC754" s="247" t="s">
        <v>516</v>
      </c>
      <c r="AD754" s="247" t="s">
        <v>516</v>
      </c>
      <c r="AE754" s="247" t="s">
        <v>543</v>
      </c>
      <c r="AF754" s="247">
        <v>0</v>
      </c>
      <c r="AG754" s="247"/>
      <c r="AH754" s="247">
        <v>20</v>
      </c>
      <c r="AI754" s="247">
        <v>27</v>
      </c>
      <c r="AJ754" s="247"/>
    </row>
    <row r="755" spans="27:36">
      <c r="AA755" s="247">
        <v>7036</v>
      </c>
      <c r="AB755" s="247" t="s">
        <v>1501</v>
      </c>
      <c r="AC755" s="247" t="s">
        <v>516</v>
      </c>
      <c r="AD755" s="247" t="s">
        <v>516</v>
      </c>
      <c r="AE755" s="247" t="s">
        <v>543</v>
      </c>
      <c r="AF755" s="247">
        <v>0</v>
      </c>
      <c r="AG755" s="247"/>
      <c r="AH755" s="247">
        <v>20</v>
      </c>
      <c r="AI755" s="247">
        <v>27</v>
      </c>
      <c r="AJ755" s="247"/>
    </row>
    <row r="756" spans="27:36">
      <c r="AA756" s="247">
        <v>7040</v>
      </c>
      <c r="AB756" s="247" t="s">
        <v>1502</v>
      </c>
      <c r="AC756" s="247" t="s">
        <v>516</v>
      </c>
      <c r="AD756" s="247" t="s">
        <v>516</v>
      </c>
      <c r="AE756" s="247" t="s">
        <v>533</v>
      </c>
      <c r="AF756" s="247">
        <v>170</v>
      </c>
      <c r="AG756" s="247" t="s">
        <v>528</v>
      </c>
      <c r="AH756" s="247">
        <v>0</v>
      </c>
      <c r="AI756" s="247">
        <v>15</v>
      </c>
      <c r="AJ756" s="247"/>
    </row>
    <row r="757" spans="27:36">
      <c r="AA757" s="247">
        <v>7050</v>
      </c>
      <c r="AB757" s="247" t="s">
        <v>1503</v>
      </c>
      <c r="AC757" s="247" t="s">
        <v>516</v>
      </c>
      <c r="AD757" s="247" t="s">
        <v>516</v>
      </c>
      <c r="AE757" s="247" t="s">
        <v>543</v>
      </c>
      <c r="AF757" s="247">
        <v>0</v>
      </c>
      <c r="AG757" s="247" t="s">
        <v>528</v>
      </c>
      <c r="AH757" s="247">
        <v>20</v>
      </c>
      <c r="AI757" s="247">
        <v>27</v>
      </c>
      <c r="AJ757" s="247"/>
    </row>
    <row r="758" spans="27:36">
      <c r="AA758" s="247">
        <v>7052</v>
      </c>
      <c r="AB758" s="247" t="s">
        <v>1504</v>
      </c>
      <c r="AC758" s="247" t="s">
        <v>516</v>
      </c>
      <c r="AD758" s="247" t="s">
        <v>516</v>
      </c>
      <c r="AE758" s="247" t="s">
        <v>543</v>
      </c>
      <c r="AF758" s="247">
        <v>0</v>
      </c>
      <c r="AG758" s="247" t="s">
        <v>528</v>
      </c>
      <c r="AH758" s="247">
        <v>20</v>
      </c>
      <c r="AI758" s="247">
        <v>27</v>
      </c>
      <c r="AJ758" s="247"/>
    </row>
    <row r="759" spans="27:36">
      <c r="AA759" s="247">
        <v>7053</v>
      </c>
      <c r="AB759" s="247" t="s">
        <v>1505</v>
      </c>
      <c r="AC759" s="247" t="s">
        <v>516</v>
      </c>
      <c r="AD759" s="247" t="s">
        <v>516</v>
      </c>
      <c r="AE759" s="247" t="s">
        <v>543</v>
      </c>
      <c r="AF759" s="247">
        <v>0</v>
      </c>
      <c r="AG759" s="247"/>
      <c r="AH759" s="247">
        <v>20</v>
      </c>
      <c r="AI759" s="247">
        <v>27</v>
      </c>
      <c r="AJ759" s="247"/>
    </row>
    <row r="760" spans="27:36">
      <c r="AA760" s="247">
        <v>7054</v>
      </c>
      <c r="AB760" s="247" t="s">
        <v>1506</v>
      </c>
      <c r="AC760" s="247" t="s">
        <v>516</v>
      </c>
      <c r="AD760" s="247" t="s">
        <v>516</v>
      </c>
      <c r="AE760" s="247" t="s">
        <v>543</v>
      </c>
      <c r="AF760" s="247">
        <v>0</v>
      </c>
      <c r="AG760" s="247"/>
      <c r="AH760" s="247">
        <v>30</v>
      </c>
      <c r="AI760" s="247">
        <v>27</v>
      </c>
      <c r="AJ760" s="247"/>
    </row>
    <row r="761" spans="27:36">
      <c r="AA761" s="247">
        <v>7055</v>
      </c>
      <c r="AB761" s="247" t="s">
        <v>1507</v>
      </c>
      <c r="AC761" s="247" t="s">
        <v>516</v>
      </c>
      <c r="AD761" s="247" t="s">
        <v>516</v>
      </c>
      <c r="AE761" s="247" t="s">
        <v>543</v>
      </c>
      <c r="AF761" s="247">
        <v>0</v>
      </c>
      <c r="AG761" s="247" t="s">
        <v>528</v>
      </c>
      <c r="AH761" s="247">
        <v>20</v>
      </c>
      <c r="AI761" s="247">
        <v>27</v>
      </c>
      <c r="AJ761" s="247"/>
    </row>
    <row r="762" spans="27:36">
      <c r="AA762" s="247">
        <v>7057</v>
      </c>
      <c r="AB762" s="247" t="s">
        <v>1508</v>
      </c>
      <c r="AC762" s="247" t="s">
        <v>516</v>
      </c>
      <c r="AD762" s="247" t="s">
        <v>516</v>
      </c>
      <c r="AE762" s="247" t="s">
        <v>543</v>
      </c>
      <c r="AF762" s="247">
        <v>0</v>
      </c>
      <c r="AG762" s="247"/>
      <c r="AH762" s="247">
        <v>0</v>
      </c>
      <c r="AI762" s="247">
        <v>27</v>
      </c>
      <c r="AJ762" s="247"/>
    </row>
    <row r="763" spans="27:36">
      <c r="AA763" s="247">
        <v>7058</v>
      </c>
      <c r="AB763" s="247" t="s">
        <v>1509</v>
      </c>
      <c r="AC763" s="247" t="s">
        <v>516</v>
      </c>
      <c r="AD763" s="247" t="s">
        <v>516</v>
      </c>
      <c r="AE763" s="247" t="s">
        <v>543</v>
      </c>
      <c r="AF763" s="247">
        <v>0</v>
      </c>
      <c r="AG763" s="247"/>
      <c r="AH763" s="247">
        <v>20</v>
      </c>
      <c r="AI763" s="247">
        <v>27</v>
      </c>
      <c r="AJ763" s="247"/>
    </row>
    <row r="764" spans="27:36">
      <c r="AA764" s="247">
        <v>7059</v>
      </c>
      <c r="AB764" s="247" t="s">
        <v>1510</v>
      </c>
      <c r="AC764" s="247" t="s">
        <v>516</v>
      </c>
      <c r="AD764" s="247" t="s">
        <v>516</v>
      </c>
      <c r="AE764" s="247" t="s">
        <v>533</v>
      </c>
      <c r="AF764" s="247">
        <v>52</v>
      </c>
      <c r="AG764" s="247" t="s">
        <v>528</v>
      </c>
      <c r="AH764" s="247">
        <v>20</v>
      </c>
      <c r="AI764" s="247">
        <v>22</v>
      </c>
      <c r="AJ764" s="247"/>
    </row>
    <row r="765" spans="27:36">
      <c r="AA765" s="247">
        <v>7085</v>
      </c>
      <c r="AB765" s="247" t="s">
        <v>1511</v>
      </c>
      <c r="AC765" s="247" t="s">
        <v>516</v>
      </c>
      <c r="AD765" s="247" t="s">
        <v>516</v>
      </c>
      <c r="AE765" s="247" t="s">
        <v>543</v>
      </c>
      <c r="AF765" s="247">
        <v>0</v>
      </c>
      <c r="AG765" s="247"/>
      <c r="AH765" s="247">
        <v>20</v>
      </c>
      <c r="AI765" s="247">
        <v>27</v>
      </c>
      <c r="AJ765" s="247"/>
    </row>
    <row r="766" spans="27:36">
      <c r="AA766" s="247">
        <v>7090</v>
      </c>
      <c r="AB766" s="247" t="s">
        <v>1512</v>
      </c>
      <c r="AC766" s="247" t="s">
        <v>516</v>
      </c>
      <c r="AD766" s="247" t="s">
        <v>516</v>
      </c>
      <c r="AE766" s="247" t="s">
        <v>543</v>
      </c>
      <c r="AF766" s="247">
        <v>0</v>
      </c>
      <c r="AG766" s="247"/>
      <c r="AH766" s="247">
        <v>20</v>
      </c>
      <c r="AI766" s="247">
        <v>27</v>
      </c>
      <c r="AJ766" s="247"/>
    </row>
    <row r="767" spans="27:36">
      <c r="AA767" s="247">
        <v>7092</v>
      </c>
      <c r="AB767" s="247" t="s">
        <v>1513</v>
      </c>
      <c r="AC767" s="247" t="s">
        <v>516</v>
      </c>
      <c r="AD767" s="247" t="s">
        <v>516</v>
      </c>
      <c r="AE767" s="247" t="s">
        <v>507</v>
      </c>
      <c r="AF767" s="247">
        <v>0</v>
      </c>
      <c r="AG767" s="247"/>
      <c r="AH767" s="247">
        <v>20</v>
      </c>
      <c r="AI767" s="247">
        <v>27</v>
      </c>
      <c r="AJ767" s="247"/>
    </row>
    <row r="768" spans="27:36">
      <c r="AA768" s="247">
        <v>7160</v>
      </c>
      <c r="AB768" s="247" t="s">
        <v>1514</v>
      </c>
      <c r="AC768" s="247" t="s">
        <v>516</v>
      </c>
      <c r="AD768" s="247" t="s">
        <v>516</v>
      </c>
      <c r="AE768" s="247" t="s">
        <v>533</v>
      </c>
      <c r="AF768" s="247">
        <v>52</v>
      </c>
      <c r="AG768" s="247" t="s">
        <v>528</v>
      </c>
      <c r="AH768" s="247">
        <v>0</v>
      </c>
      <c r="AI768" s="247">
        <v>15</v>
      </c>
      <c r="AJ768" s="247"/>
    </row>
    <row r="769" spans="27:36">
      <c r="AA769" s="247">
        <v>7250</v>
      </c>
      <c r="AB769" s="247" t="s">
        <v>1515</v>
      </c>
      <c r="AC769" s="247" t="s">
        <v>516</v>
      </c>
      <c r="AD769" s="247" t="s">
        <v>516</v>
      </c>
      <c r="AE769" s="247" t="s">
        <v>533</v>
      </c>
      <c r="AF769" s="247">
        <v>52</v>
      </c>
      <c r="AG769" s="247" t="s">
        <v>528</v>
      </c>
      <c r="AH769" s="247">
        <v>0</v>
      </c>
      <c r="AI769" s="247">
        <v>16</v>
      </c>
      <c r="AJ769" s="247"/>
    </row>
    <row r="770" spans="27:36">
      <c r="AA770" s="247">
        <v>7324</v>
      </c>
      <c r="AB770" s="247" t="s">
        <v>1516</v>
      </c>
      <c r="AC770" s="247" t="s">
        <v>516</v>
      </c>
      <c r="AD770" s="247" t="s">
        <v>516</v>
      </c>
      <c r="AE770" s="247" t="s">
        <v>543</v>
      </c>
      <c r="AF770" s="247">
        <v>0</v>
      </c>
      <c r="AG770" s="247" t="s">
        <v>528</v>
      </c>
      <c r="AH770" s="247">
        <v>20</v>
      </c>
      <c r="AI770" s="247">
        <v>27</v>
      </c>
      <c r="AJ770" s="247"/>
    </row>
    <row r="771" spans="27:36">
      <c r="AA771" s="247">
        <v>7325</v>
      </c>
      <c r="AB771" s="247" t="s">
        <v>1517</v>
      </c>
      <c r="AC771" s="247" t="s">
        <v>516</v>
      </c>
      <c r="AD771" s="247" t="s">
        <v>516</v>
      </c>
      <c r="AE771" s="247" t="s">
        <v>543</v>
      </c>
      <c r="AF771" s="247">
        <v>0</v>
      </c>
      <c r="AG771" s="247"/>
      <c r="AH771" s="247">
        <v>20</v>
      </c>
      <c r="AI771" s="247">
        <v>27</v>
      </c>
      <c r="AJ771" s="247"/>
    </row>
    <row r="772" spans="27:36">
      <c r="AA772" s="247">
        <v>7335</v>
      </c>
      <c r="AB772" s="247" t="s">
        <v>1518</v>
      </c>
      <c r="AC772" s="247" t="s">
        <v>516</v>
      </c>
      <c r="AD772" s="247" t="s">
        <v>516</v>
      </c>
      <c r="AE772" s="247" t="s">
        <v>533</v>
      </c>
      <c r="AF772" s="247">
        <v>60</v>
      </c>
      <c r="AG772" s="247" t="s">
        <v>528</v>
      </c>
      <c r="AH772" s="247">
        <v>20</v>
      </c>
      <c r="AI772" s="247">
        <v>16</v>
      </c>
      <c r="AJ772" s="247" t="s">
        <v>1474</v>
      </c>
    </row>
    <row r="773" spans="27:36">
      <c r="AA773" s="247">
        <v>7340</v>
      </c>
      <c r="AB773" s="247" t="s">
        <v>1519</v>
      </c>
      <c r="AC773" s="247" t="s">
        <v>516</v>
      </c>
      <c r="AD773" s="247" t="s">
        <v>516</v>
      </c>
      <c r="AE773" s="247" t="s">
        <v>543</v>
      </c>
      <c r="AF773" s="247">
        <v>0</v>
      </c>
      <c r="AG773" s="247"/>
      <c r="AH773" s="247">
        <v>20</v>
      </c>
      <c r="AI773" s="247">
        <v>27</v>
      </c>
      <c r="AJ773" s="247"/>
    </row>
    <row r="774" spans="27:36">
      <c r="AA774" s="247">
        <v>7350</v>
      </c>
      <c r="AB774" s="247" t="s">
        <v>1520</v>
      </c>
      <c r="AC774" s="247" t="s">
        <v>516</v>
      </c>
      <c r="AD774" s="247" t="s">
        <v>516</v>
      </c>
      <c r="AE774" s="247" t="s">
        <v>507</v>
      </c>
      <c r="AF774" s="247">
        <v>52</v>
      </c>
      <c r="AG774" s="247"/>
      <c r="AH774" s="247">
        <v>10</v>
      </c>
      <c r="AI774" s="247">
        <v>28</v>
      </c>
      <c r="AJ774" s="247"/>
    </row>
    <row r="775" spans="27:36">
      <c r="AA775" s="247">
        <v>7400</v>
      </c>
      <c r="AB775" s="247" t="s">
        <v>1521</v>
      </c>
      <c r="AC775" s="247" t="s">
        <v>516</v>
      </c>
      <c r="AD775" s="247" t="s">
        <v>516</v>
      </c>
      <c r="AE775" s="247" t="s">
        <v>543</v>
      </c>
      <c r="AF775" s="247">
        <v>0</v>
      </c>
      <c r="AG775" s="247"/>
      <c r="AH775" s="247">
        <v>20</v>
      </c>
      <c r="AI775" s="247">
        <v>27</v>
      </c>
      <c r="AJ775" s="247"/>
    </row>
    <row r="776" spans="27:36">
      <c r="AA776" s="247">
        <v>7401</v>
      </c>
      <c r="AB776" s="247" t="s">
        <v>1522</v>
      </c>
      <c r="AC776" s="247" t="s">
        <v>1523</v>
      </c>
      <c r="AD776" s="247" t="s">
        <v>1524</v>
      </c>
      <c r="AE776" s="247" t="s">
        <v>533</v>
      </c>
      <c r="AF776" s="247">
        <v>52</v>
      </c>
      <c r="AG776" s="247" t="s">
        <v>528</v>
      </c>
      <c r="AH776" s="247">
        <v>20</v>
      </c>
      <c r="AI776" s="247">
        <v>16</v>
      </c>
      <c r="AJ776" s="247" t="s">
        <v>1474</v>
      </c>
    </row>
    <row r="777" spans="27:36">
      <c r="AA777" s="247">
        <v>7402</v>
      </c>
      <c r="AB777" s="247" t="s">
        <v>1525</v>
      </c>
      <c r="AC777" s="247" t="s">
        <v>1526</v>
      </c>
      <c r="AD777" s="247" t="s">
        <v>1527</v>
      </c>
      <c r="AE777" s="247" t="s">
        <v>543</v>
      </c>
      <c r="AF777" s="247">
        <v>0</v>
      </c>
      <c r="AG777" s="247" t="s">
        <v>528</v>
      </c>
      <c r="AH777" s="247">
        <v>0</v>
      </c>
      <c r="AI777" s="247">
        <v>27</v>
      </c>
      <c r="AJ777" s="247"/>
    </row>
    <row r="778" spans="27:36">
      <c r="AA778" s="247">
        <v>7403</v>
      </c>
      <c r="AB778" s="247" t="s">
        <v>1528</v>
      </c>
      <c r="AC778" s="247" t="s">
        <v>1529</v>
      </c>
      <c r="AD778" s="247" t="s">
        <v>1530</v>
      </c>
      <c r="AE778" s="247" t="s">
        <v>543</v>
      </c>
      <c r="AF778" s="247">
        <v>0</v>
      </c>
      <c r="AG778" s="247" t="s">
        <v>528</v>
      </c>
      <c r="AH778" s="247">
        <v>0</v>
      </c>
      <c r="AI778" s="247">
        <v>27</v>
      </c>
      <c r="AJ778" s="247"/>
    </row>
    <row r="779" spans="27:36">
      <c r="AA779" s="247">
        <v>7404</v>
      </c>
      <c r="AB779" s="247" t="s">
        <v>1531</v>
      </c>
      <c r="AC779" s="247" t="s">
        <v>1532</v>
      </c>
      <c r="AD779" s="247" t="s">
        <v>1533</v>
      </c>
      <c r="AE779" s="247" t="s">
        <v>533</v>
      </c>
      <c r="AF779" s="247">
        <v>180</v>
      </c>
      <c r="AG779" s="247" t="s">
        <v>528</v>
      </c>
      <c r="AH779" s="247">
        <v>0</v>
      </c>
      <c r="AI779" s="247">
        <v>16</v>
      </c>
      <c r="AJ779" s="247" t="s">
        <v>1474</v>
      </c>
    </row>
    <row r="780" spans="27:36">
      <c r="AA780" s="247">
        <v>7415</v>
      </c>
      <c r="AB780" s="247" t="s">
        <v>1534</v>
      </c>
      <c r="AC780" s="247" t="s">
        <v>516</v>
      </c>
      <c r="AD780" s="247" t="s">
        <v>516</v>
      </c>
      <c r="AE780" s="247" t="s">
        <v>533</v>
      </c>
      <c r="AF780" s="247">
        <v>52</v>
      </c>
      <c r="AG780" s="247" t="s">
        <v>528</v>
      </c>
      <c r="AH780" s="247">
        <v>20</v>
      </c>
      <c r="AI780" s="247">
        <v>16</v>
      </c>
      <c r="AJ780" s="247"/>
    </row>
    <row r="781" spans="27:36">
      <c r="AA781" s="247">
        <v>7421</v>
      </c>
      <c r="AB781" s="247" t="s">
        <v>1535</v>
      </c>
      <c r="AC781" s="247" t="s">
        <v>516</v>
      </c>
      <c r="AD781" s="247" t="s">
        <v>516</v>
      </c>
      <c r="AE781" s="247" t="s">
        <v>533</v>
      </c>
      <c r="AF781" s="247">
        <v>52</v>
      </c>
      <c r="AG781" s="247" t="s">
        <v>528</v>
      </c>
      <c r="AH781" s="247">
        <v>20</v>
      </c>
      <c r="AI781" s="247">
        <v>16</v>
      </c>
      <c r="AJ781" s="247"/>
    </row>
    <row r="782" spans="27:36">
      <c r="AA782" s="247">
        <v>7425</v>
      </c>
      <c r="AB782" s="247" t="s">
        <v>1536</v>
      </c>
      <c r="AC782" s="247" t="s">
        <v>516</v>
      </c>
      <c r="AD782" s="247" t="s">
        <v>516</v>
      </c>
      <c r="AE782" s="247" t="s">
        <v>543</v>
      </c>
      <c r="AF782" s="247">
        <v>0</v>
      </c>
      <c r="AG782" s="247" t="s">
        <v>528</v>
      </c>
      <c r="AH782" s="247">
        <v>20</v>
      </c>
      <c r="AI782" s="247">
        <v>27</v>
      </c>
      <c r="AJ782" s="247"/>
    </row>
    <row r="783" spans="27:36">
      <c r="AA783" s="247">
        <v>7610</v>
      </c>
      <c r="AB783" s="247" t="s">
        <v>1537</v>
      </c>
      <c r="AC783" s="247" t="s">
        <v>516</v>
      </c>
      <c r="AD783" s="247" t="s">
        <v>516</v>
      </c>
      <c r="AE783" s="247" t="s">
        <v>507</v>
      </c>
      <c r="AF783" s="247">
        <v>0</v>
      </c>
      <c r="AG783" s="247"/>
      <c r="AH783" s="247">
        <v>0</v>
      </c>
      <c r="AI783" s="247">
        <v>28</v>
      </c>
      <c r="AJ783" s="247"/>
    </row>
    <row r="784" spans="27:36">
      <c r="AA784" s="247">
        <v>7611</v>
      </c>
      <c r="AB784" s="247" t="s">
        <v>1538</v>
      </c>
      <c r="AC784" s="247" t="s">
        <v>516</v>
      </c>
      <c r="AD784" s="247" t="s">
        <v>516</v>
      </c>
      <c r="AE784" s="247" t="s">
        <v>543</v>
      </c>
      <c r="AF784" s="247">
        <v>0</v>
      </c>
      <c r="AG784" s="247"/>
      <c r="AH784" s="247">
        <v>0</v>
      </c>
      <c r="AI784" s="247">
        <v>27</v>
      </c>
      <c r="AJ784" s="247"/>
    </row>
    <row r="785" spans="27:36">
      <c r="AA785" s="247">
        <v>8000</v>
      </c>
      <c r="AB785" s="247" t="s">
        <v>1539</v>
      </c>
      <c r="AC785" s="247" t="s">
        <v>1540</v>
      </c>
      <c r="AD785" s="247" t="s">
        <v>1541</v>
      </c>
      <c r="AE785" s="247" t="s">
        <v>507</v>
      </c>
      <c r="AF785" s="247">
        <v>52</v>
      </c>
      <c r="AG785" s="247"/>
      <c r="AH785" s="247">
        <v>20</v>
      </c>
      <c r="AI785" s="247">
        <v>30</v>
      </c>
      <c r="AJ785" s="247"/>
    </row>
    <row r="786" spans="27:36">
      <c r="AA786" s="247">
        <v>8001</v>
      </c>
      <c r="AB786" s="247" t="s">
        <v>1542</v>
      </c>
      <c r="AC786" s="247" t="s">
        <v>516</v>
      </c>
      <c r="AD786" s="247" t="s">
        <v>516</v>
      </c>
      <c r="AE786" s="247" t="s">
        <v>507</v>
      </c>
      <c r="AF786" s="247">
        <v>75</v>
      </c>
      <c r="AG786" s="247"/>
      <c r="AH786" s="247">
        <v>20</v>
      </c>
      <c r="AI786" s="247">
        <v>4</v>
      </c>
      <c r="AJ786" s="247"/>
    </row>
    <row r="787" spans="27:36">
      <c r="AA787" s="247">
        <v>8002</v>
      </c>
      <c r="AB787" s="247" t="s">
        <v>1543</v>
      </c>
      <c r="AC787" s="247" t="s">
        <v>516</v>
      </c>
      <c r="AD787" s="247" t="s">
        <v>516</v>
      </c>
      <c r="AE787" s="247" t="s">
        <v>507</v>
      </c>
      <c r="AF787" s="247">
        <v>52</v>
      </c>
      <c r="AG787" s="247"/>
      <c r="AH787" s="247">
        <v>20</v>
      </c>
      <c r="AI787" s="247">
        <v>4</v>
      </c>
      <c r="AJ787" s="247"/>
    </row>
    <row r="788" spans="27:36">
      <c r="AA788" s="247">
        <v>8100</v>
      </c>
      <c r="AB788" s="247" t="s">
        <v>1544</v>
      </c>
      <c r="AC788" s="247" t="s">
        <v>1545</v>
      </c>
      <c r="AD788" s="247" t="s">
        <v>1546</v>
      </c>
      <c r="AE788" s="247" t="s">
        <v>543</v>
      </c>
      <c r="AF788" s="247">
        <v>0</v>
      </c>
      <c r="AG788" s="247"/>
      <c r="AH788" s="247">
        <v>20</v>
      </c>
      <c r="AI788" s="247">
        <v>27</v>
      </c>
      <c r="AJ788" s="247"/>
    </row>
    <row r="789" spans="27:36">
      <c r="AA789" s="247">
        <v>8105</v>
      </c>
      <c r="AB789" s="247" t="s">
        <v>1547</v>
      </c>
      <c r="AC789" s="247" t="s">
        <v>516</v>
      </c>
      <c r="AD789" s="247" t="s">
        <v>516</v>
      </c>
      <c r="AE789" s="247" t="s">
        <v>507</v>
      </c>
      <c r="AF789" s="247">
        <v>0</v>
      </c>
      <c r="AG789" s="247"/>
      <c r="AH789" s="247">
        <v>0</v>
      </c>
      <c r="AI789" s="247">
        <v>27</v>
      </c>
      <c r="AJ789" s="247"/>
    </row>
    <row r="790" spans="27:36">
      <c r="AA790" s="247">
        <v>8200</v>
      </c>
      <c r="AB790" s="247" t="s">
        <v>1548</v>
      </c>
      <c r="AC790" s="247" t="s">
        <v>516</v>
      </c>
      <c r="AD790" s="247" t="s">
        <v>516</v>
      </c>
      <c r="AE790" s="247" t="s">
        <v>507</v>
      </c>
      <c r="AF790" s="247">
        <v>0</v>
      </c>
      <c r="AG790" s="247"/>
      <c r="AH790" s="247">
        <v>20</v>
      </c>
      <c r="AI790" s="247">
        <v>32</v>
      </c>
      <c r="AJ790" s="247"/>
    </row>
    <row r="791" spans="27:36">
      <c r="AA791" s="247">
        <v>8300</v>
      </c>
      <c r="AB791" s="247" t="s">
        <v>1549</v>
      </c>
      <c r="AC791" s="247" t="s">
        <v>516</v>
      </c>
      <c r="AD791" s="247" t="s">
        <v>516</v>
      </c>
      <c r="AE791" s="247" t="s">
        <v>507</v>
      </c>
      <c r="AF791" s="247">
        <v>0</v>
      </c>
      <c r="AG791" s="247" t="s">
        <v>528</v>
      </c>
      <c r="AH791" s="247">
        <v>20</v>
      </c>
      <c r="AI791" s="247">
        <v>28</v>
      </c>
      <c r="AJ791" s="247"/>
    </row>
    <row r="792" spans="27:36">
      <c r="AA792" s="247">
        <v>8400</v>
      </c>
      <c r="AB792" s="247" t="s">
        <v>1550</v>
      </c>
      <c r="AC792" s="247" t="s">
        <v>516</v>
      </c>
      <c r="AD792" s="247" t="s">
        <v>516</v>
      </c>
      <c r="AE792" s="247" t="s">
        <v>543</v>
      </c>
      <c r="AF792" s="247">
        <v>0</v>
      </c>
      <c r="AG792" s="247"/>
      <c r="AH792" s="247">
        <v>20</v>
      </c>
      <c r="AI792" s="247">
        <v>27</v>
      </c>
      <c r="AJ792" s="247"/>
    </row>
    <row r="793" spans="27:36">
      <c r="AA793" s="247">
        <v>8401</v>
      </c>
      <c r="AB793" s="247" t="s">
        <v>1551</v>
      </c>
      <c r="AC793" s="247" t="s">
        <v>516</v>
      </c>
      <c r="AD793" s="247" t="s">
        <v>516</v>
      </c>
      <c r="AE793" s="247" t="s">
        <v>533</v>
      </c>
      <c r="AF793" s="247">
        <v>52</v>
      </c>
      <c r="AG793" s="247"/>
      <c r="AH793" s="247">
        <v>20</v>
      </c>
      <c r="AI793" s="247">
        <v>16</v>
      </c>
      <c r="AJ793" s="247"/>
    </row>
    <row r="794" spans="27:36">
      <c r="AA794" s="247">
        <v>8402</v>
      </c>
      <c r="AB794" s="247" t="s">
        <v>1552</v>
      </c>
      <c r="AC794" s="247" t="s">
        <v>516</v>
      </c>
      <c r="AD794" s="247" t="s">
        <v>516</v>
      </c>
      <c r="AE794" s="247" t="s">
        <v>543</v>
      </c>
      <c r="AF794" s="247">
        <v>0</v>
      </c>
      <c r="AG794" s="247"/>
      <c r="AH794" s="247">
        <v>20</v>
      </c>
      <c r="AI794" s="247">
        <v>27</v>
      </c>
      <c r="AJ794" s="247"/>
    </row>
    <row r="795" spans="27:36">
      <c r="AA795" s="247">
        <v>8405</v>
      </c>
      <c r="AB795" s="247" t="s">
        <v>1553</v>
      </c>
      <c r="AC795" s="247" t="s">
        <v>516</v>
      </c>
      <c r="AD795" s="247" t="s">
        <v>516</v>
      </c>
      <c r="AE795" s="247" t="s">
        <v>507</v>
      </c>
      <c r="AF795" s="247">
        <v>0</v>
      </c>
      <c r="AG795" s="247"/>
      <c r="AH795" s="247">
        <v>20</v>
      </c>
      <c r="AI795" s="247">
        <v>28</v>
      </c>
      <c r="AJ795" s="247"/>
    </row>
    <row r="796" spans="27:36">
      <c r="AA796" s="247">
        <v>8410</v>
      </c>
      <c r="AB796" s="247" t="s">
        <v>1554</v>
      </c>
      <c r="AC796" s="247" t="s">
        <v>516</v>
      </c>
      <c r="AD796" s="247" t="s">
        <v>516</v>
      </c>
      <c r="AE796" s="247" t="s">
        <v>543</v>
      </c>
      <c r="AF796" s="247">
        <v>0</v>
      </c>
      <c r="AG796" s="247" t="s">
        <v>528</v>
      </c>
      <c r="AH796" s="247">
        <v>20</v>
      </c>
      <c r="AI796" s="247">
        <v>27</v>
      </c>
      <c r="AJ796" s="247"/>
    </row>
    <row r="797" spans="27:36">
      <c r="AA797" s="247">
        <v>8420</v>
      </c>
      <c r="AB797" s="247" t="s">
        <v>1555</v>
      </c>
      <c r="AC797" s="247" t="s">
        <v>516</v>
      </c>
      <c r="AD797" s="247" t="s">
        <v>516</v>
      </c>
      <c r="AE797" s="247" t="s">
        <v>543</v>
      </c>
      <c r="AF797" s="247">
        <v>0</v>
      </c>
      <c r="AG797" s="247" t="s">
        <v>528</v>
      </c>
      <c r="AH797" s="247">
        <v>20</v>
      </c>
      <c r="AI797" s="247">
        <v>27</v>
      </c>
      <c r="AJ797" s="247"/>
    </row>
    <row r="798" spans="27:36">
      <c r="AA798" s="247">
        <v>9000</v>
      </c>
      <c r="AB798" s="247" t="s">
        <v>1556</v>
      </c>
      <c r="AC798" s="247" t="s">
        <v>1557</v>
      </c>
      <c r="AD798" s="247" t="s">
        <v>1558</v>
      </c>
      <c r="AE798" s="247" t="s">
        <v>507</v>
      </c>
      <c r="AF798" s="247">
        <v>0</v>
      </c>
      <c r="AG798" s="247"/>
      <c r="AH798" s="247">
        <v>20</v>
      </c>
      <c r="AI798" s="247">
        <v>27</v>
      </c>
      <c r="AJ798" s="247"/>
    </row>
    <row r="799" spans="27:36">
      <c r="AA799" s="247">
        <v>9001</v>
      </c>
      <c r="AB799" s="247" t="s">
        <v>1559</v>
      </c>
      <c r="AC799" s="247" t="s">
        <v>516</v>
      </c>
      <c r="AD799" s="247" t="s">
        <v>516</v>
      </c>
      <c r="AE799" s="247" t="s">
        <v>507</v>
      </c>
      <c r="AF799" s="247">
        <v>0</v>
      </c>
      <c r="AG799" s="247"/>
      <c r="AH799" s="247">
        <v>20</v>
      </c>
      <c r="AI799" s="247">
        <v>27</v>
      </c>
      <c r="AJ799" s="247"/>
    </row>
    <row r="800" spans="27:36">
      <c r="AA800" s="247">
        <v>9006</v>
      </c>
      <c r="AB800" s="247" t="s">
        <v>1560</v>
      </c>
      <c r="AC800" s="247" t="s">
        <v>516</v>
      </c>
      <c r="AD800" s="247" t="s">
        <v>516</v>
      </c>
      <c r="AE800" s="247" t="s">
        <v>507</v>
      </c>
      <c r="AF800" s="247">
        <v>0</v>
      </c>
      <c r="AG800" s="247"/>
      <c r="AH800" s="247">
        <v>20</v>
      </c>
      <c r="AI800" s="247">
        <v>27</v>
      </c>
      <c r="AJ800" s="247"/>
    </row>
    <row r="801" spans="27:36">
      <c r="AA801" s="247">
        <v>9022</v>
      </c>
      <c r="AB801" s="247" t="s">
        <v>1561</v>
      </c>
      <c r="AC801" s="247" t="s">
        <v>516</v>
      </c>
      <c r="AD801" s="247" t="s">
        <v>516</v>
      </c>
      <c r="AE801" s="247" t="s">
        <v>507</v>
      </c>
      <c r="AF801" s="247">
        <v>52</v>
      </c>
      <c r="AG801" s="247"/>
      <c r="AH801" s="247">
        <v>20</v>
      </c>
      <c r="AI801" s="247">
        <v>2</v>
      </c>
      <c r="AJ801" s="247"/>
    </row>
    <row r="802" spans="27:36">
      <c r="AA802" s="247">
        <v>9085</v>
      </c>
      <c r="AB802" s="247" t="s">
        <v>1562</v>
      </c>
      <c r="AC802" s="247" t="s">
        <v>516</v>
      </c>
      <c r="AD802" s="247" t="s">
        <v>516</v>
      </c>
      <c r="AE802" s="247" t="s">
        <v>507</v>
      </c>
      <c r="AF802" s="247">
        <v>0</v>
      </c>
      <c r="AG802" s="247"/>
      <c r="AH802" s="247">
        <v>20</v>
      </c>
      <c r="AI802" s="247">
        <v>28</v>
      </c>
      <c r="AJ802" s="247"/>
    </row>
    <row r="803" spans="27:36">
      <c r="AA803" s="247">
        <v>9086</v>
      </c>
      <c r="AB803" s="247" t="s">
        <v>1563</v>
      </c>
      <c r="AC803" s="247" t="s">
        <v>516</v>
      </c>
      <c r="AD803" s="247" t="s">
        <v>516</v>
      </c>
      <c r="AE803" s="247" t="s">
        <v>533</v>
      </c>
      <c r="AF803" s="247">
        <v>52</v>
      </c>
      <c r="AG803" s="247" t="s">
        <v>528</v>
      </c>
      <c r="AH803" s="247">
        <v>20</v>
      </c>
      <c r="AI803" s="247">
        <v>16</v>
      </c>
      <c r="AJ803" s="247"/>
    </row>
    <row r="804" spans="27:36">
      <c r="AA804" s="247">
        <v>9087</v>
      </c>
      <c r="AB804" s="247" t="s">
        <v>1564</v>
      </c>
      <c r="AC804" s="247" t="s">
        <v>516</v>
      </c>
      <c r="AD804" s="247" t="s">
        <v>516</v>
      </c>
      <c r="AE804" s="247" t="s">
        <v>507</v>
      </c>
      <c r="AF804" s="247">
        <v>0</v>
      </c>
      <c r="AG804" s="247"/>
      <c r="AH804" s="247">
        <v>20</v>
      </c>
      <c r="AI804" s="247">
        <v>28</v>
      </c>
      <c r="AJ804" s="247"/>
    </row>
    <row r="805" spans="27:36">
      <c r="AA805" s="247">
        <v>9090</v>
      </c>
      <c r="AB805" s="247" t="s">
        <v>1565</v>
      </c>
      <c r="AC805" s="247" t="s">
        <v>516</v>
      </c>
      <c r="AD805" s="247" t="s">
        <v>516</v>
      </c>
      <c r="AE805" s="247" t="s">
        <v>543</v>
      </c>
      <c r="AF805" s="247">
        <v>0</v>
      </c>
      <c r="AG805" s="247"/>
      <c r="AH805" s="247">
        <v>20</v>
      </c>
      <c r="AI805" s="247">
        <v>27</v>
      </c>
      <c r="AJ805" s="247"/>
    </row>
    <row r="806" spans="27:36">
      <c r="AA806" s="247">
        <v>9210</v>
      </c>
      <c r="AB806" s="247" t="s">
        <v>1566</v>
      </c>
      <c r="AC806" s="247" t="s">
        <v>1567</v>
      </c>
      <c r="AD806" s="247" t="s">
        <v>1568</v>
      </c>
      <c r="AE806" s="247" t="s">
        <v>507</v>
      </c>
      <c r="AF806" s="247">
        <v>52</v>
      </c>
      <c r="AG806" s="247"/>
      <c r="AH806" s="247">
        <v>20</v>
      </c>
      <c r="AI806" s="247">
        <v>4</v>
      </c>
      <c r="AJ806" s="247"/>
    </row>
    <row r="807" spans="27:36">
      <c r="AA807" s="247">
        <v>9211</v>
      </c>
      <c r="AB807" s="247" t="s">
        <v>1569</v>
      </c>
      <c r="AC807" s="247" t="s">
        <v>516</v>
      </c>
      <c r="AD807" s="247" t="s">
        <v>516</v>
      </c>
      <c r="AE807" s="247" t="s">
        <v>507</v>
      </c>
      <c r="AF807" s="247">
        <v>52</v>
      </c>
      <c r="AG807" s="247"/>
      <c r="AH807" s="247">
        <v>20</v>
      </c>
      <c r="AI807" s="247">
        <v>4</v>
      </c>
      <c r="AJ807" s="247"/>
    </row>
    <row r="808" spans="27:36">
      <c r="AA808" s="247">
        <v>9801</v>
      </c>
      <c r="AB808" s="247" t="s">
        <v>1570</v>
      </c>
      <c r="AC808" s="247" t="s">
        <v>516</v>
      </c>
      <c r="AD808" s="247" t="s">
        <v>516</v>
      </c>
      <c r="AE808" s="247" t="s">
        <v>507</v>
      </c>
      <c r="AF808" s="247">
        <v>75</v>
      </c>
      <c r="AG808" s="247" t="s">
        <v>528</v>
      </c>
      <c r="AH808" s="247">
        <v>0</v>
      </c>
      <c r="AI808" s="247">
        <v>9</v>
      </c>
      <c r="AJ808" s="247"/>
    </row>
    <row r="809" spans="27:36">
      <c r="AA809" s="247">
        <v>9802</v>
      </c>
      <c r="AB809" s="247" t="s">
        <v>1571</v>
      </c>
      <c r="AC809" s="247" t="s">
        <v>516</v>
      </c>
      <c r="AD809" s="247" t="s">
        <v>516</v>
      </c>
      <c r="AE809" s="247" t="s">
        <v>507</v>
      </c>
      <c r="AF809" s="247">
        <v>75</v>
      </c>
      <c r="AG809" s="247" t="s">
        <v>528</v>
      </c>
      <c r="AH809" s="247">
        <v>0</v>
      </c>
      <c r="AI809" s="247">
        <v>9</v>
      </c>
      <c r="AJ809" s="247"/>
    </row>
    <row r="810" spans="27:36">
      <c r="AA810" s="247">
        <v>9811</v>
      </c>
      <c r="AB810" s="247" t="s">
        <v>1572</v>
      </c>
      <c r="AC810" s="247" t="s">
        <v>516</v>
      </c>
      <c r="AD810" s="247" t="s">
        <v>516</v>
      </c>
      <c r="AE810" s="247" t="s">
        <v>507</v>
      </c>
      <c r="AF810" s="247">
        <v>0</v>
      </c>
      <c r="AG810" s="247" t="s">
        <v>528</v>
      </c>
      <c r="AH810" s="247">
        <v>0</v>
      </c>
      <c r="AI810" s="247">
        <v>27</v>
      </c>
      <c r="AJ810" s="247"/>
    </row>
    <row r="811" spans="27:36">
      <c r="AA811" s="247">
        <v>9812</v>
      </c>
      <c r="AB811" s="247" t="s">
        <v>1573</v>
      </c>
      <c r="AC811" s="247" t="s">
        <v>516</v>
      </c>
      <c r="AD811" s="247" t="s">
        <v>516</v>
      </c>
      <c r="AE811" s="247" t="s">
        <v>507</v>
      </c>
      <c r="AF811" s="247">
        <v>0</v>
      </c>
      <c r="AG811" s="247" t="s">
        <v>528</v>
      </c>
      <c r="AH811" s="247">
        <v>0</v>
      </c>
      <c r="AI811" s="247">
        <v>27</v>
      </c>
      <c r="AJ811" s="247"/>
    </row>
    <row r="812" spans="27:36">
      <c r="AA812" s="247">
        <v>9821</v>
      </c>
      <c r="AB812" s="247" t="s">
        <v>1574</v>
      </c>
      <c r="AC812" s="247" t="s">
        <v>516</v>
      </c>
      <c r="AD812" s="247" t="s">
        <v>516</v>
      </c>
      <c r="AE812" s="247" t="s">
        <v>507</v>
      </c>
      <c r="AF812" s="247">
        <v>0</v>
      </c>
      <c r="AG812" s="247" t="s">
        <v>528</v>
      </c>
      <c r="AH812" s="247">
        <v>0</v>
      </c>
      <c r="AI812" s="247">
        <v>27</v>
      </c>
      <c r="AJ812" s="247"/>
    </row>
    <row r="813" spans="27:36">
      <c r="AA813" s="247">
        <v>9822</v>
      </c>
      <c r="AB813" s="247" t="s">
        <v>1575</v>
      </c>
      <c r="AC813" s="247" t="s">
        <v>516</v>
      </c>
      <c r="AD813" s="247" t="s">
        <v>516</v>
      </c>
      <c r="AE813" s="247" t="s">
        <v>507</v>
      </c>
      <c r="AF813" s="247">
        <v>0</v>
      </c>
      <c r="AG813" s="247" t="s">
        <v>528</v>
      </c>
      <c r="AH813" s="247">
        <v>0</v>
      </c>
      <c r="AI813" s="247">
        <v>27</v>
      </c>
      <c r="AJ813" s="247"/>
    </row>
    <row r="814" spans="27:36">
      <c r="AA814" s="247">
        <v>15000</v>
      </c>
      <c r="AB814" s="247" t="s">
        <v>1576</v>
      </c>
      <c r="AC814" s="247" t="s">
        <v>516</v>
      </c>
      <c r="AD814" s="247" t="s">
        <v>516</v>
      </c>
      <c r="AE814" s="247" t="s">
        <v>507</v>
      </c>
      <c r="AF814" s="247">
        <v>52</v>
      </c>
      <c r="AG814" s="247"/>
      <c r="AH814" s="247">
        <v>20</v>
      </c>
      <c r="AI814" s="247">
        <v>6</v>
      </c>
      <c r="AJ814" s="247"/>
    </row>
    <row r="815" spans="27:36">
      <c r="AA815" s="247">
        <v>15001</v>
      </c>
      <c r="AB815" s="247" t="s">
        <v>1577</v>
      </c>
      <c r="AC815" s="247" t="s">
        <v>516</v>
      </c>
      <c r="AD815" s="247" t="s">
        <v>516</v>
      </c>
      <c r="AE815" s="247" t="s">
        <v>507</v>
      </c>
      <c r="AF815" s="247">
        <v>52</v>
      </c>
      <c r="AG815" s="247"/>
      <c r="AH815" s="247">
        <v>20</v>
      </c>
      <c r="AI815" s="247">
        <v>6</v>
      </c>
      <c r="AJ815" s="247"/>
    </row>
    <row r="816" spans="27:36">
      <c r="AA816" s="247">
        <v>15003</v>
      </c>
      <c r="AB816" s="247" t="s">
        <v>1578</v>
      </c>
      <c r="AC816" s="247" t="s">
        <v>516</v>
      </c>
      <c r="AD816" s="247" t="s">
        <v>516</v>
      </c>
      <c r="AE816" s="247" t="s">
        <v>507</v>
      </c>
      <c r="AF816" s="247">
        <v>0</v>
      </c>
      <c r="AG816" s="247"/>
      <c r="AH816" s="247">
        <v>20</v>
      </c>
      <c r="AI816" s="247">
        <v>32</v>
      </c>
      <c r="AJ816" s="247"/>
    </row>
    <row r="817" spans="27:36">
      <c r="AA817" s="247">
        <v>15004</v>
      </c>
      <c r="AB817" s="247" t="s">
        <v>1579</v>
      </c>
      <c r="AC817" s="247" t="s">
        <v>516</v>
      </c>
      <c r="AD817" s="247" t="s">
        <v>516</v>
      </c>
      <c r="AE817" s="247" t="s">
        <v>507</v>
      </c>
      <c r="AF817" s="247">
        <v>0</v>
      </c>
      <c r="AG817" s="247"/>
      <c r="AH817" s="247">
        <v>20</v>
      </c>
      <c r="AI817" s="247">
        <v>32</v>
      </c>
      <c r="AJ817" s="247"/>
    </row>
    <row r="818" spans="27:36">
      <c r="AA818" s="247">
        <v>15005</v>
      </c>
      <c r="AB818" s="247" t="s">
        <v>1580</v>
      </c>
      <c r="AC818" s="247" t="s">
        <v>516</v>
      </c>
      <c r="AD818" s="247" t="s">
        <v>516</v>
      </c>
      <c r="AE818" s="247" t="s">
        <v>507</v>
      </c>
      <c r="AF818" s="247">
        <v>60</v>
      </c>
      <c r="AG818" s="247"/>
      <c r="AH818" s="247">
        <v>20</v>
      </c>
      <c r="AI818" s="247">
        <v>6</v>
      </c>
      <c r="AJ818" s="247"/>
    </row>
    <row r="819" spans="27:36">
      <c r="AA819" s="247">
        <v>15010</v>
      </c>
      <c r="AB819" s="247" t="s">
        <v>1581</v>
      </c>
      <c r="AC819" s="247" t="s">
        <v>516</v>
      </c>
      <c r="AD819" s="247" t="s">
        <v>516</v>
      </c>
      <c r="AE819" s="247" t="s">
        <v>507</v>
      </c>
      <c r="AF819" s="247">
        <v>60</v>
      </c>
      <c r="AG819" s="247"/>
      <c r="AH819" s="247">
        <v>20</v>
      </c>
      <c r="AI819" s="247">
        <v>9</v>
      </c>
      <c r="AJ819" s="247"/>
    </row>
    <row r="820" spans="27:36">
      <c r="AA820" s="247">
        <v>15015</v>
      </c>
      <c r="AB820" s="247" t="s">
        <v>1582</v>
      </c>
      <c r="AC820" s="247" t="s">
        <v>516</v>
      </c>
      <c r="AD820" s="247" t="s">
        <v>516</v>
      </c>
      <c r="AE820" s="247" t="s">
        <v>543</v>
      </c>
      <c r="AF820" s="247">
        <v>0</v>
      </c>
      <c r="AG820" s="247"/>
      <c r="AH820" s="247">
        <v>0</v>
      </c>
      <c r="AI820" s="247">
        <v>27</v>
      </c>
      <c r="AJ820" s="247"/>
    </row>
    <row r="821" spans="27:36">
      <c r="AA821" s="247">
        <v>15016</v>
      </c>
      <c r="AB821" s="247" t="s">
        <v>1583</v>
      </c>
      <c r="AC821" s="247" t="s">
        <v>516</v>
      </c>
      <c r="AD821" s="247" t="s">
        <v>516</v>
      </c>
      <c r="AE821" s="247" t="s">
        <v>543</v>
      </c>
      <c r="AF821" s="247">
        <v>0</v>
      </c>
      <c r="AG821" s="247"/>
      <c r="AH821" s="247">
        <v>0</v>
      </c>
      <c r="AI821" s="247">
        <v>27</v>
      </c>
      <c r="AJ821" s="247"/>
    </row>
    <row r="822" spans="27:36">
      <c r="AA822" s="247">
        <v>15021</v>
      </c>
      <c r="AB822" s="247" t="s">
        <v>1584</v>
      </c>
      <c r="AC822" s="247" t="s">
        <v>516</v>
      </c>
      <c r="AD822" s="247" t="s">
        <v>516</v>
      </c>
      <c r="AE822" s="247" t="s">
        <v>543</v>
      </c>
      <c r="AF822" s="247">
        <v>0</v>
      </c>
      <c r="AG822" s="247"/>
      <c r="AH822" s="247">
        <v>0</v>
      </c>
      <c r="AI822" s="247">
        <v>27</v>
      </c>
      <c r="AJ822" s="247"/>
    </row>
    <row r="823" spans="27:36">
      <c r="AA823" s="247">
        <v>15022</v>
      </c>
      <c r="AB823" s="247" t="s">
        <v>1585</v>
      </c>
      <c r="AC823" s="247" t="s">
        <v>516</v>
      </c>
      <c r="AD823" s="247" t="s">
        <v>516</v>
      </c>
      <c r="AE823" s="247" t="s">
        <v>543</v>
      </c>
      <c r="AF823" s="247">
        <v>0</v>
      </c>
      <c r="AG823" s="247"/>
      <c r="AH823" s="247">
        <v>0</v>
      </c>
      <c r="AI823" s="247">
        <v>27</v>
      </c>
      <c r="AJ823" s="247"/>
    </row>
    <row r="824" spans="27:36">
      <c r="AA824" s="247">
        <v>15023</v>
      </c>
      <c r="AB824" s="247" t="s">
        <v>1586</v>
      </c>
      <c r="AC824" s="247" t="s">
        <v>516</v>
      </c>
      <c r="AD824" s="247" t="s">
        <v>516</v>
      </c>
      <c r="AE824" s="247" t="s">
        <v>543</v>
      </c>
      <c r="AF824" s="247">
        <v>0</v>
      </c>
      <c r="AG824" s="247"/>
      <c r="AH824" s="247">
        <v>0</v>
      </c>
      <c r="AI824" s="247">
        <v>27</v>
      </c>
      <c r="AJ824" s="247"/>
    </row>
    <row r="825" spans="27:36">
      <c r="AA825" s="247">
        <v>15040</v>
      </c>
      <c r="AB825" s="247" t="s">
        <v>1587</v>
      </c>
      <c r="AC825" s="247" t="s">
        <v>516</v>
      </c>
      <c r="AD825" s="247" t="s">
        <v>516</v>
      </c>
      <c r="AE825" s="247" t="s">
        <v>543</v>
      </c>
      <c r="AF825" s="247">
        <v>0</v>
      </c>
      <c r="AG825" s="247"/>
      <c r="AH825" s="247">
        <v>20</v>
      </c>
      <c r="AI825" s="247">
        <v>27</v>
      </c>
      <c r="AJ825" s="247"/>
    </row>
    <row r="826" spans="27:36">
      <c r="AA826" s="247">
        <v>15041</v>
      </c>
      <c r="AB826" s="247" t="s">
        <v>1588</v>
      </c>
      <c r="AC826" s="247" t="s">
        <v>516</v>
      </c>
      <c r="AD826" s="247" t="s">
        <v>516</v>
      </c>
      <c r="AE826" s="247" t="s">
        <v>543</v>
      </c>
      <c r="AF826" s="247">
        <v>0</v>
      </c>
      <c r="AG826" s="247"/>
      <c r="AH826" s="247">
        <v>20</v>
      </c>
      <c r="AI826" s="247">
        <v>27</v>
      </c>
      <c r="AJ826" s="247"/>
    </row>
    <row r="827" spans="27:36">
      <c r="AA827" s="247">
        <v>15042</v>
      </c>
      <c r="AB827" s="247" t="s">
        <v>1589</v>
      </c>
      <c r="AC827" s="247" t="s">
        <v>516</v>
      </c>
      <c r="AD827" s="247" t="s">
        <v>516</v>
      </c>
      <c r="AE827" s="247" t="s">
        <v>543</v>
      </c>
      <c r="AF827" s="247">
        <v>0</v>
      </c>
      <c r="AG827" s="247"/>
      <c r="AH827" s="247">
        <v>20</v>
      </c>
      <c r="AI827" s="247">
        <v>27</v>
      </c>
      <c r="AJ827" s="247"/>
    </row>
    <row r="828" spans="27:36">
      <c r="AA828" s="247">
        <v>15043</v>
      </c>
      <c r="AB828" s="247" t="s">
        <v>1590</v>
      </c>
      <c r="AC828" s="247" t="s">
        <v>516</v>
      </c>
      <c r="AD828" s="247" t="s">
        <v>516</v>
      </c>
      <c r="AE828" s="247"/>
      <c r="AF828" s="247"/>
      <c r="AG828" s="247"/>
      <c r="AH828" s="247"/>
      <c r="AI828" s="247"/>
      <c r="AJ828" s="247"/>
    </row>
    <row r="829" spans="27:36">
      <c r="AA829" s="247">
        <v>15050</v>
      </c>
      <c r="AB829" s="247" t="s">
        <v>1591</v>
      </c>
      <c r="AC829" s="247" t="s">
        <v>516</v>
      </c>
      <c r="AD829" s="247" t="s">
        <v>516</v>
      </c>
      <c r="AE829" s="247" t="s">
        <v>543</v>
      </c>
      <c r="AF829" s="247">
        <v>0</v>
      </c>
      <c r="AG829" s="247"/>
      <c r="AH829" s="247">
        <v>0</v>
      </c>
      <c r="AI829" s="247">
        <v>27</v>
      </c>
      <c r="AJ829" s="247"/>
    </row>
    <row r="830" spans="27:36">
      <c r="AA830" s="247">
        <v>15055</v>
      </c>
      <c r="AB830" s="247" t="s">
        <v>1592</v>
      </c>
      <c r="AC830" s="247" t="s">
        <v>1593</v>
      </c>
      <c r="AD830" s="247"/>
      <c r="AE830" s="247" t="s">
        <v>543</v>
      </c>
      <c r="AF830" s="247">
        <v>0</v>
      </c>
      <c r="AG830" s="247"/>
      <c r="AH830" s="247">
        <v>0</v>
      </c>
      <c r="AI830" s="247">
        <v>27</v>
      </c>
      <c r="AJ830" s="247"/>
    </row>
    <row r="831" spans="27:36">
      <c r="AA831" s="247">
        <v>15056</v>
      </c>
      <c r="AB831" s="247" t="s">
        <v>1594</v>
      </c>
      <c r="AC831" s="247" t="s">
        <v>1593</v>
      </c>
      <c r="AD831" s="247"/>
      <c r="AE831" s="247" t="s">
        <v>543</v>
      </c>
      <c r="AF831" s="247">
        <v>0</v>
      </c>
      <c r="AG831" s="247"/>
      <c r="AH831" s="247">
        <v>0</v>
      </c>
      <c r="AI831" s="247">
        <v>27</v>
      </c>
      <c r="AJ831" s="247"/>
    </row>
    <row r="832" spans="27:36">
      <c r="AA832" s="247">
        <v>15060</v>
      </c>
      <c r="AB832" s="247" t="s">
        <v>1595</v>
      </c>
      <c r="AC832" s="247" t="s">
        <v>1593</v>
      </c>
      <c r="AD832" s="247"/>
      <c r="AE832" s="247" t="s">
        <v>543</v>
      </c>
      <c r="AF832" s="247">
        <v>0</v>
      </c>
      <c r="AG832" s="247"/>
      <c r="AH832" s="247">
        <v>0</v>
      </c>
      <c r="AI832" s="247">
        <v>27</v>
      </c>
      <c r="AJ832" s="247"/>
    </row>
    <row r="833" spans="27:36">
      <c r="AA833" s="247">
        <v>15062</v>
      </c>
      <c r="AB833" s="247" t="s">
        <v>1596</v>
      </c>
      <c r="AC833" s="247" t="s">
        <v>1593</v>
      </c>
      <c r="AD833" s="247"/>
      <c r="AE833" s="247" t="s">
        <v>543</v>
      </c>
      <c r="AF833" s="247">
        <v>0</v>
      </c>
      <c r="AG833" s="247"/>
      <c r="AH833" s="247">
        <v>0</v>
      </c>
      <c r="AI833" s="247">
        <v>27</v>
      </c>
      <c r="AJ833" s="247"/>
    </row>
    <row r="834" spans="27:36">
      <c r="AA834" s="247">
        <v>15065</v>
      </c>
      <c r="AB834" s="247" t="s">
        <v>1597</v>
      </c>
      <c r="AC834" s="247" t="s">
        <v>516</v>
      </c>
      <c r="AD834" s="247"/>
      <c r="AE834" s="247" t="s">
        <v>543</v>
      </c>
      <c r="AF834" s="247">
        <v>0</v>
      </c>
      <c r="AG834" s="247"/>
      <c r="AH834" s="247">
        <v>0</v>
      </c>
      <c r="AI834" s="247">
        <v>27</v>
      </c>
      <c r="AJ834" s="247"/>
    </row>
    <row r="835" spans="27:36">
      <c r="AA835" s="247">
        <v>15068</v>
      </c>
      <c r="AB835" s="247" t="s">
        <v>1598</v>
      </c>
      <c r="AC835" s="247" t="s">
        <v>516</v>
      </c>
      <c r="AD835" s="247"/>
      <c r="AE835" s="247" t="s">
        <v>543</v>
      </c>
      <c r="AF835" s="247">
        <v>0</v>
      </c>
      <c r="AG835" s="247"/>
      <c r="AH835" s="247">
        <v>0</v>
      </c>
      <c r="AI835" s="247">
        <v>27</v>
      </c>
      <c r="AJ835" s="247"/>
    </row>
    <row r="836" spans="27:36">
      <c r="AA836" s="247">
        <v>15071</v>
      </c>
      <c r="AB836" s="247" t="s">
        <v>1599</v>
      </c>
      <c r="AC836" s="247" t="s">
        <v>516</v>
      </c>
      <c r="AD836" s="247"/>
      <c r="AE836" s="247" t="s">
        <v>543</v>
      </c>
      <c r="AF836" s="247">
        <v>0</v>
      </c>
      <c r="AG836" s="247"/>
      <c r="AH836" s="247">
        <v>0</v>
      </c>
      <c r="AI836" s="247">
        <v>27</v>
      </c>
      <c r="AJ836" s="247"/>
    </row>
    <row r="837" spans="27:36">
      <c r="AA837" s="247">
        <v>15072</v>
      </c>
      <c r="AB837" s="247" t="s">
        <v>1600</v>
      </c>
      <c r="AC837" s="247" t="s">
        <v>516</v>
      </c>
      <c r="AD837" s="247"/>
      <c r="AE837" s="247" t="s">
        <v>543</v>
      </c>
      <c r="AF837" s="247">
        <v>0</v>
      </c>
      <c r="AG837" s="247"/>
      <c r="AH837" s="247">
        <v>0</v>
      </c>
      <c r="AI837" s="247">
        <v>27</v>
      </c>
      <c r="AJ837" s="247"/>
    </row>
    <row r="838" spans="27:36">
      <c r="AA838" s="247">
        <v>15073</v>
      </c>
      <c r="AB838" s="247" t="s">
        <v>1601</v>
      </c>
      <c r="AC838" s="247" t="s">
        <v>516</v>
      </c>
      <c r="AD838" s="247"/>
      <c r="AE838" s="247" t="s">
        <v>543</v>
      </c>
      <c r="AF838" s="247">
        <v>0</v>
      </c>
      <c r="AG838" s="247"/>
      <c r="AH838" s="247">
        <v>0</v>
      </c>
      <c r="AI838" s="247">
        <v>27</v>
      </c>
      <c r="AJ838" s="247"/>
    </row>
    <row r="839" spans="27:36">
      <c r="AA839" s="247">
        <v>15078</v>
      </c>
      <c r="AB839" s="247" t="s">
        <v>1602</v>
      </c>
      <c r="AC839" s="247" t="s">
        <v>516</v>
      </c>
      <c r="AD839" s="247"/>
      <c r="AE839" s="247" t="s">
        <v>543</v>
      </c>
      <c r="AF839" s="247">
        <v>0</v>
      </c>
      <c r="AG839" s="247"/>
      <c r="AH839" s="247">
        <v>0</v>
      </c>
      <c r="AI839" s="247">
        <v>27</v>
      </c>
      <c r="AJ839" s="247"/>
    </row>
    <row r="840" spans="27:36">
      <c r="AA840" s="247">
        <v>15081</v>
      </c>
      <c r="AB840" s="247" t="s">
        <v>1603</v>
      </c>
      <c r="AC840" s="247" t="s">
        <v>516</v>
      </c>
      <c r="AD840" s="247"/>
      <c r="AE840" s="247" t="s">
        <v>543</v>
      </c>
      <c r="AF840" s="247">
        <v>0</v>
      </c>
      <c r="AG840" s="247"/>
      <c r="AH840" s="247">
        <v>0</v>
      </c>
      <c r="AI840" s="247">
        <v>27</v>
      </c>
      <c r="AJ840" s="247"/>
    </row>
    <row r="841" spans="27:36">
      <c r="AA841" s="247">
        <v>15082</v>
      </c>
      <c r="AB841" s="247" t="s">
        <v>1604</v>
      </c>
      <c r="AC841" s="247" t="s">
        <v>516</v>
      </c>
      <c r="AD841" s="247"/>
      <c r="AE841" s="247" t="s">
        <v>543</v>
      </c>
      <c r="AF841" s="247">
        <v>0</v>
      </c>
      <c r="AG841" s="247"/>
      <c r="AH841" s="247">
        <v>0</v>
      </c>
      <c r="AI841" s="247">
        <v>27</v>
      </c>
      <c r="AJ841" s="247"/>
    </row>
    <row r="842" spans="27:36">
      <c r="AA842" s="247">
        <v>15083</v>
      </c>
      <c r="AB842" s="247" t="s">
        <v>1605</v>
      </c>
      <c r="AC842" s="247" t="s">
        <v>516</v>
      </c>
      <c r="AD842" s="247"/>
      <c r="AE842" s="247" t="s">
        <v>543</v>
      </c>
      <c r="AF842" s="247">
        <v>0</v>
      </c>
      <c r="AG842" s="247"/>
      <c r="AH842" s="247">
        <v>0</v>
      </c>
      <c r="AI842" s="247">
        <v>27</v>
      </c>
      <c r="AJ842" s="247"/>
    </row>
    <row r="843" spans="27:36">
      <c r="AA843" s="247">
        <v>15085</v>
      </c>
      <c r="AB843" s="247" t="s">
        <v>1606</v>
      </c>
      <c r="AC843" s="247" t="s">
        <v>516</v>
      </c>
      <c r="AD843" s="247"/>
      <c r="AE843" s="247" t="s">
        <v>543</v>
      </c>
      <c r="AF843" s="247">
        <v>0</v>
      </c>
      <c r="AG843" s="247"/>
      <c r="AH843" s="247">
        <v>0</v>
      </c>
      <c r="AI843" s="247">
        <v>27</v>
      </c>
      <c r="AJ843" s="247"/>
    </row>
    <row r="844" spans="27:36">
      <c r="AA844" s="247">
        <v>15090</v>
      </c>
      <c r="AB844" s="247" t="s">
        <v>1607</v>
      </c>
      <c r="AC844" s="247" t="s">
        <v>516</v>
      </c>
      <c r="AD844" s="247"/>
      <c r="AE844" s="247" t="s">
        <v>543</v>
      </c>
      <c r="AF844" s="247">
        <v>0</v>
      </c>
      <c r="AG844" s="247"/>
      <c r="AH844" s="247">
        <v>10</v>
      </c>
      <c r="AI844" s="247">
        <v>27</v>
      </c>
      <c r="AJ844" s="247"/>
    </row>
    <row r="845" spans="27:36">
      <c r="AA845" s="247">
        <v>15091</v>
      </c>
      <c r="AB845" s="247" t="s">
        <v>1608</v>
      </c>
      <c r="AC845" s="247" t="s">
        <v>516</v>
      </c>
      <c r="AD845" s="247"/>
      <c r="AE845" s="247" t="s">
        <v>543</v>
      </c>
      <c r="AF845" s="247">
        <v>0</v>
      </c>
      <c r="AG845" s="247"/>
      <c r="AH845" s="247">
        <v>20</v>
      </c>
      <c r="AI845" s="247">
        <v>27</v>
      </c>
      <c r="AJ845" s="247"/>
    </row>
    <row r="846" spans="27:36">
      <c r="AA846" s="247">
        <v>15094</v>
      </c>
      <c r="AB846" s="247" t="s">
        <v>1609</v>
      </c>
      <c r="AC846" s="247" t="s">
        <v>516</v>
      </c>
      <c r="AD846" s="247"/>
      <c r="AE846" s="247" t="s">
        <v>543</v>
      </c>
      <c r="AF846" s="247">
        <v>0</v>
      </c>
      <c r="AG846" s="247"/>
      <c r="AH846" s="247">
        <v>0</v>
      </c>
      <c r="AI846" s="247">
        <v>27</v>
      </c>
      <c r="AJ846" s="247"/>
    </row>
    <row r="847" spans="27:36">
      <c r="AA847" s="247">
        <v>15095</v>
      </c>
      <c r="AB847" s="247" t="s">
        <v>1610</v>
      </c>
      <c r="AC847" s="247" t="s">
        <v>516</v>
      </c>
      <c r="AD847" s="247"/>
      <c r="AE847" s="247" t="s">
        <v>543</v>
      </c>
      <c r="AF847" s="247">
        <v>0</v>
      </c>
      <c r="AG847" s="247"/>
      <c r="AH847" s="247">
        <v>0</v>
      </c>
      <c r="AI847" s="247">
        <v>27</v>
      </c>
      <c r="AJ847" s="247"/>
    </row>
    <row r="848" spans="27:36">
      <c r="AA848" s="247">
        <v>15096</v>
      </c>
      <c r="AB848" s="247" t="s">
        <v>1611</v>
      </c>
      <c r="AC848" s="247" t="s">
        <v>516</v>
      </c>
      <c r="AD848" s="247"/>
      <c r="AE848" s="247" t="s">
        <v>543</v>
      </c>
      <c r="AF848" s="247">
        <v>0</v>
      </c>
      <c r="AG848" s="247"/>
      <c r="AH848" s="247">
        <v>0</v>
      </c>
      <c r="AI848" s="247">
        <v>27</v>
      </c>
      <c r="AJ848" s="247"/>
    </row>
    <row r="849" spans="27:36">
      <c r="AA849" s="247">
        <v>15097</v>
      </c>
      <c r="AB849" s="247" t="s">
        <v>1612</v>
      </c>
      <c r="AC849" s="247" t="s">
        <v>516</v>
      </c>
      <c r="AD849" s="247"/>
      <c r="AE849" s="247" t="s">
        <v>543</v>
      </c>
      <c r="AF849" s="247">
        <v>0</v>
      </c>
      <c r="AG849" s="247"/>
      <c r="AH849" s="247">
        <v>0</v>
      </c>
      <c r="AI849" s="247">
        <v>27</v>
      </c>
      <c r="AJ849" s="247"/>
    </row>
    <row r="850" spans="27:36">
      <c r="AA850" s="247">
        <v>15098</v>
      </c>
      <c r="AB850" s="247" t="s">
        <v>1613</v>
      </c>
      <c r="AC850" s="247" t="s">
        <v>516</v>
      </c>
      <c r="AD850" s="247"/>
      <c r="AE850" s="247" t="s">
        <v>543</v>
      </c>
      <c r="AF850" s="247">
        <v>0</v>
      </c>
      <c r="AG850" s="247"/>
      <c r="AH850" s="247">
        <v>0</v>
      </c>
      <c r="AI850" s="247">
        <v>27</v>
      </c>
      <c r="AJ850" s="247"/>
    </row>
    <row r="851" spans="27:36">
      <c r="AA851" s="247">
        <v>15101</v>
      </c>
      <c r="AB851" s="247" t="s">
        <v>1614</v>
      </c>
      <c r="AC851" s="247" t="s">
        <v>516</v>
      </c>
      <c r="AD851" s="247"/>
      <c r="AE851" s="247" t="s">
        <v>543</v>
      </c>
      <c r="AF851" s="247">
        <v>0</v>
      </c>
      <c r="AG851" s="247" t="s">
        <v>528</v>
      </c>
      <c r="AH851" s="247">
        <v>20</v>
      </c>
      <c r="AI851" s="247">
        <v>27</v>
      </c>
      <c r="AJ851" s="247"/>
    </row>
    <row r="852" spans="27:36">
      <c r="AA852" s="247">
        <v>15102</v>
      </c>
      <c r="AB852" s="247" t="s">
        <v>1615</v>
      </c>
      <c r="AC852" s="247" t="s">
        <v>516</v>
      </c>
      <c r="AD852" s="247"/>
      <c r="AE852" s="247" t="s">
        <v>543</v>
      </c>
      <c r="AF852" s="247">
        <v>0</v>
      </c>
      <c r="AG852" s="247" t="s">
        <v>528</v>
      </c>
      <c r="AH852" s="247">
        <v>0</v>
      </c>
      <c r="AI852" s="247">
        <v>27</v>
      </c>
      <c r="AJ852" s="247"/>
    </row>
    <row r="853" spans="27:36">
      <c r="AA853" s="247">
        <v>15103</v>
      </c>
      <c r="AB853" s="247" t="s">
        <v>1528</v>
      </c>
      <c r="AC853" s="247" t="s">
        <v>516</v>
      </c>
      <c r="AD853" s="247"/>
      <c r="AE853" s="247" t="s">
        <v>543</v>
      </c>
      <c r="AF853" s="247">
        <v>0</v>
      </c>
      <c r="AG853" s="247" t="s">
        <v>528</v>
      </c>
      <c r="AH853" s="247">
        <v>0</v>
      </c>
      <c r="AI853" s="247">
        <v>27</v>
      </c>
      <c r="AJ853" s="247"/>
    </row>
    <row r="854" spans="27:36">
      <c r="AA854" s="247">
        <v>15104</v>
      </c>
      <c r="AB854" s="247" t="s">
        <v>1531</v>
      </c>
      <c r="AC854" s="247" t="s">
        <v>516</v>
      </c>
      <c r="AD854" s="247"/>
      <c r="AE854" s="247" t="s">
        <v>543</v>
      </c>
      <c r="AF854" s="247">
        <v>0</v>
      </c>
      <c r="AG854" s="247" t="s">
        <v>528</v>
      </c>
      <c r="AH854" s="247">
        <v>0</v>
      </c>
      <c r="AI854" s="247">
        <v>27</v>
      </c>
      <c r="AJ854" s="247"/>
    </row>
    <row r="855" spans="27:36">
      <c r="AA855" s="247">
        <v>15105</v>
      </c>
      <c r="AB855" s="247" t="s">
        <v>1616</v>
      </c>
      <c r="AC855" s="247" t="s">
        <v>516</v>
      </c>
      <c r="AD855" s="247"/>
      <c r="AE855" s="247" t="s">
        <v>543</v>
      </c>
      <c r="AF855" s="247">
        <v>0</v>
      </c>
      <c r="AG855" s="247" t="s">
        <v>528</v>
      </c>
      <c r="AH855" s="247">
        <v>0</v>
      </c>
      <c r="AI855" s="247">
        <v>27</v>
      </c>
      <c r="AJ855" s="247"/>
    </row>
    <row r="856" spans="27:36">
      <c r="AA856" s="247">
        <v>15106</v>
      </c>
      <c r="AB856" s="247" t="s">
        <v>1617</v>
      </c>
      <c r="AC856" s="247" t="s">
        <v>516</v>
      </c>
      <c r="AD856" s="247"/>
      <c r="AE856" s="247" t="s">
        <v>543</v>
      </c>
      <c r="AF856" s="247">
        <v>0</v>
      </c>
      <c r="AG856" s="247" t="s">
        <v>528</v>
      </c>
      <c r="AH856" s="247">
        <v>0</v>
      </c>
      <c r="AI856" s="247">
        <v>27</v>
      </c>
      <c r="AJ856" s="247"/>
    </row>
    <row r="857" spans="27:36">
      <c r="AA857" s="247">
        <v>15107</v>
      </c>
      <c r="AB857" s="247" t="s">
        <v>1518</v>
      </c>
      <c r="AC857" s="247" t="s">
        <v>516</v>
      </c>
      <c r="AD857" s="247"/>
      <c r="AE857" s="247" t="s">
        <v>543</v>
      </c>
      <c r="AF857" s="247">
        <v>0</v>
      </c>
      <c r="AG857" s="247" t="s">
        <v>528</v>
      </c>
      <c r="AH857" s="247">
        <v>20</v>
      </c>
      <c r="AI857" s="247">
        <v>27</v>
      </c>
      <c r="AJ857" s="247"/>
    </row>
    <row r="858" spans="27:36">
      <c r="AA858" s="247">
        <v>15115</v>
      </c>
      <c r="AB858" s="247" t="s">
        <v>1534</v>
      </c>
      <c r="AC858" s="247" t="s">
        <v>516</v>
      </c>
      <c r="AD858" s="247"/>
      <c r="AE858" s="247" t="s">
        <v>543</v>
      </c>
      <c r="AF858" s="247">
        <v>0</v>
      </c>
      <c r="AG858" s="247" t="s">
        <v>528</v>
      </c>
      <c r="AH858" s="247">
        <v>20</v>
      </c>
      <c r="AI858" s="247">
        <v>27</v>
      </c>
      <c r="AJ858" s="247"/>
    </row>
    <row r="859" spans="27:36">
      <c r="AA859" s="247" t="s">
        <v>287</v>
      </c>
      <c r="AB859" s="247" t="s">
        <v>1618</v>
      </c>
      <c r="AC859" s="247"/>
      <c r="AD859" s="247"/>
      <c r="AE859" s="247"/>
      <c r="AF859" s="247"/>
      <c r="AG859" s="247"/>
      <c r="AH859" s="247"/>
      <c r="AI859" s="247"/>
      <c r="AJ859" s="247" t="s">
        <v>1619</v>
      </c>
    </row>
    <row r="860" spans="27:36">
      <c r="AA860" s="247" t="s">
        <v>1620</v>
      </c>
      <c r="AB860" s="247" t="s">
        <v>1621</v>
      </c>
      <c r="AC860" s="247"/>
      <c r="AD860" s="247"/>
      <c r="AE860" s="247"/>
      <c r="AF860" s="247"/>
      <c r="AG860" s="247"/>
      <c r="AH860" s="247"/>
      <c r="AI860" s="247"/>
      <c r="AJ860" s="247" t="s">
        <v>1622</v>
      </c>
    </row>
    <row r="861" spans="27:36">
      <c r="AA861" s="247" t="s">
        <v>1623</v>
      </c>
      <c r="AB861" s="247" t="s">
        <v>1624</v>
      </c>
      <c r="AC861" s="247"/>
      <c r="AD861" s="247"/>
      <c r="AE861" s="247"/>
      <c r="AF861" s="247"/>
      <c r="AG861" s="247"/>
      <c r="AH861" s="247"/>
      <c r="AI861" s="247"/>
      <c r="AJ861" s="247" t="s">
        <v>1625</v>
      </c>
    </row>
    <row r="862" spans="27:36">
      <c r="AA862" s="247" t="s">
        <v>1626</v>
      </c>
      <c r="AB862" s="247" t="s">
        <v>1627</v>
      </c>
      <c r="AC862" s="247"/>
      <c r="AD862" s="247"/>
      <c r="AE862" s="247"/>
      <c r="AF862" s="247"/>
      <c r="AG862" s="247"/>
      <c r="AH862" s="247"/>
      <c r="AI862" s="247"/>
      <c r="AJ862" s="247" t="s">
        <v>500</v>
      </c>
    </row>
    <row r="863" spans="27:36">
      <c r="AA863" s="247" t="s">
        <v>1628</v>
      </c>
      <c r="AB863" s="247" t="s">
        <v>1629</v>
      </c>
      <c r="AC863" s="247"/>
      <c r="AD863" s="247"/>
      <c r="AE863" s="247"/>
      <c r="AF863" s="247"/>
      <c r="AG863" s="247"/>
      <c r="AH863" s="247"/>
      <c r="AI863" s="247"/>
      <c r="AJ863" s="247" t="s">
        <v>1630</v>
      </c>
    </row>
    <row r="864" spans="27:36">
      <c r="AA864" s="247" t="s">
        <v>1631</v>
      </c>
      <c r="AB864" s="247" t="s">
        <v>1632</v>
      </c>
      <c r="AC864" s="247"/>
      <c r="AD864" s="247"/>
      <c r="AE864" s="247"/>
      <c r="AF864" s="247"/>
      <c r="AG864" s="247"/>
      <c r="AH864" s="247"/>
      <c r="AI864" s="247"/>
      <c r="AJ864" s="247" t="s">
        <v>1633</v>
      </c>
    </row>
    <row r="865" spans="27:36">
      <c r="AA865" s="247" t="s">
        <v>1634</v>
      </c>
      <c r="AB865" s="247" t="s">
        <v>1635</v>
      </c>
      <c r="AC865" s="247"/>
      <c r="AD865" s="247"/>
      <c r="AE865" s="247"/>
      <c r="AF865" s="247"/>
      <c r="AG865" s="247"/>
      <c r="AH865" s="247"/>
      <c r="AI865" s="247"/>
      <c r="AJ865" s="247" t="s">
        <v>1636</v>
      </c>
    </row>
    <row r="866" spans="27:36">
      <c r="AA866" s="247" t="s">
        <v>1637</v>
      </c>
      <c r="AB866" s="247" t="s">
        <v>1638</v>
      </c>
      <c r="AC866" s="247"/>
      <c r="AD866" s="247"/>
      <c r="AE866" s="247"/>
      <c r="AF866" s="247"/>
      <c r="AG866" s="247"/>
      <c r="AH866" s="247"/>
      <c r="AI866" s="247"/>
      <c r="AJ866" s="247" t="s">
        <v>1639</v>
      </c>
    </row>
    <row r="867" spans="27:36">
      <c r="AA867" s="247" t="s">
        <v>1640</v>
      </c>
      <c r="AB867" s="247" t="s">
        <v>1641</v>
      </c>
      <c r="AC867" s="247"/>
      <c r="AD867" s="247"/>
      <c r="AE867" s="247"/>
      <c r="AF867" s="247"/>
      <c r="AG867" s="247"/>
      <c r="AH867" s="247"/>
      <c r="AI867" s="247"/>
      <c r="AJ867" s="247" t="s">
        <v>1642</v>
      </c>
    </row>
    <row r="868" spans="27:36">
      <c r="AA868" s="247" t="s">
        <v>1643</v>
      </c>
      <c r="AB868" s="247" t="s">
        <v>1644</v>
      </c>
      <c r="AC868" s="247"/>
      <c r="AD868" s="247"/>
      <c r="AE868" s="247"/>
      <c r="AF868" s="247"/>
      <c r="AG868" s="247"/>
      <c r="AH868" s="247"/>
      <c r="AI868" s="247"/>
      <c r="AJ868" s="247" t="s">
        <v>1645</v>
      </c>
    </row>
    <row r="869" spans="27:36">
      <c r="AA869" s="247" t="s">
        <v>1646</v>
      </c>
      <c r="AB869" s="247" t="s">
        <v>1647</v>
      </c>
      <c r="AC869" s="247"/>
      <c r="AD869" s="247"/>
      <c r="AE869" s="247"/>
      <c r="AF869" s="247"/>
      <c r="AG869" s="247"/>
      <c r="AH869" s="247"/>
      <c r="AI869" s="247"/>
      <c r="AJ869" s="247" t="s">
        <v>1648</v>
      </c>
    </row>
    <row r="870" spans="27:36">
      <c r="AA870" s="247" t="s">
        <v>1649</v>
      </c>
      <c r="AB870" s="247" t="s">
        <v>1650</v>
      </c>
      <c r="AC870" s="247"/>
      <c r="AD870" s="247"/>
      <c r="AE870" s="247"/>
      <c r="AF870" s="247"/>
      <c r="AG870" s="247"/>
      <c r="AH870" s="247"/>
      <c r="AI870" s="247"/>
      <c r="AJ870" s="247" t="s">
        <v>1650</v>
      </c>
    </row>
    <row r="871" spans="27:36">
      <c r="AA871" s="247" t="s">
        <v>1651</v>
      </c>
      <c r="AB871" s="247" t="s">
        <v>1652</v>
      </c>
      <c r="AC871" s="247"/>
      <c r="AD871" s="247"/>
      <c r="AE871" s="247"/>
      <c r="AF871" s="247"/>
      <c r="AG871" s="247"/>
      <c r="AH871" s="247"/>
      <c r="AI871" s="247"/>
      <c r="AJ871" s="247" t="s">
        <v>1653</v>
      </c>
    </row>
    <row r="872" spans="27:36">
      <c r="AA872" s="247" t="s">
        <v>1654</v>
      </c>
      <c r="AB872" s="247" t="s">
        <v>1655</v>
      </c>
      <c r="AC872" s="247"/>
      <c r="AD872" s="247"/>
      <c r="AE872" s="247"/>
      <c r="AF872" s="247"/>
      <c r="AG872" s="247"/>
      <c r="AH872" s="247"/>
      <c r="AI872" s="247"/>
      <c r="AJ872" s="247" t="s">
        <v>1656</v>
      </c>
    </row>
    <row r="873" spans="27:36">
      <c r="AA873" s="247" t="s">
        <v>1657</v>
      </c>
      <c r="AB873" s="247" t="s">
        <v>1658</v>
      </c>
      <c r="AC873" s="247"/>
      <c r="AD873" s="247"/>
      <c r="AE873" s="247"/>
      <c r="AF873" s="247"/>
      <c r="AG873" s="247"/>
      <c r="AH873" s="247"/>
      <c r="AI873" s="247"/>
      <c r="AJ873" s="247" t="s">
        <v>1659</v>
      </c>
    </row>
    <row r="874" spans="27:36">
      <c r="AA874" s="247" t="s">
        <v>1660</v>
      </c>
      <c r="AB874" s="247" t="s">
        <v>1661</v>
      </c>
      <c r="AC874" s="247"/>
      <c r="AD874" s="247"/>
      <c r="AE874" s="247"/>
      <c r="AF874" s="247"/>
      <c r="AG874" s="247"/>
      <c r="AH874" s="247"/>
      <c r="AI874" s="247"/>
      <c r="AJ874" s="247" t="s">
        <v>1622</v>
      </c>
    </row>
    <row r="875" spans="27:36">
      <c r="AA875" s="247" t="s">
        <v>1662</v>
      </c>
      <c r="AB875" s="247" t="s">
        <v>1663</v>
      </c>
      <c r="AC875" s="247"/>
      <c r="AD875" s="247"/>
      <c r="AE875" s="247"/>
      <c r="AF875" s="247"/>
      <c r="AG875" s="247"/>
      <c r="AH875" s="247"/>
      <c r="AI875" s="247"/>
      <c r="AJ875" s="247" t="s">
        <v>1619</v>
      </c>
    </row>
    <row r="876" spans="27:36">
      <c r="AA876" s="252">
        <v>3355</v>
      </c>
      <c r="AB876" s="252" t="s">
        <v>1123</v>
      </c>
      <c r="AC876" s="253" t="s">
        <v>516</v>
      </c>
      <c r="AD876" s="253" t="s">
        <v>516</v>
      </c>
      <c r="AE876" s="253" t="s">
        <v>543</v>
      </c>
      <c r="AF876" s="253">
        <v>0</v>
      </c>
      <c r="AG876" s="253"/>
      <c r="AH876" s="253">
        <v>20</v>
      </c>
      <c r="AI876" s="253">
        <v>27</v>
      </c>
      <c r="AJ876" s="253"/>
    </row>
    <row r="877" spans="27:36">
      <c r="AA877" s="252">
        <v>3356</v>
      </c>
      <c r="AB877" s="252" t="s">
        <v>1664</v>
      </c>
      <c r="AC877" s="253" t="s">
        <v>516</v>
      </c>
      <c r="AD877" s="253" t="s">
        <v>516</v>
      </c>
      <c r="AE877" s="253" t="s">
        <v>543</v>
      </c>
      <c r="AF877" s="253">
        <v>0</v>
      </c>
      <c r="AG877" s="253"/>
      <c r="AH877" s="253">
        <v>20</v>
      </c>
      <c r="AI877" s="253">
        <v>27</v>
      </c>
      <c r="AJ877" s="253"/>
    </row>
    <row r="878" spans="27:36">
      <c r="AA878" s="252">
        <v>6515</v>
      </c>
      <c r="AB878" s="252" t="s">
        <v>1665</v>
      </c>
      <c r="AC878" s="253" t="s">
        <v>516</v>
      </c>
      <c r="AD878" s="253" t="s">
        <v>516</v>
      </c>
      <c r="AE878" s="253" t="s">
        <v>543</v>
      </c>
      <c r="AF878" s="253">
        <v>0</v>
      </c>
      <c r="AG878" s="247" t="s">
        <v>528</v>
      </c>
      <c r="AH878" s="253">
        <v>20</v>
      </c>
      <c r="AI878" s="253">
        <v>27</v>
      </c>
      <c r="AJ878" s="253" t="s">
        <v>545</v>
      </c>
    </row>
    <row r="879" spans="27:36">
      <c r="AA879" s="252">
        <v>6520</v>
      </c>
      <c r="AB879" s="252" t="s">
        <v>1666</v>
      </c>
      <c r="AC879" s="253" t="s">
        <v>516</v>
      </c>
      <c r="AD879" s="253" t="s">
        <v>516</v>
      </c>
      <c r="AE879" s="253" t="s">
        <v>543</v>
      </c>
      <c r="AF879" s="253">
        <v>0</v>
      </c>
      <c r="AG879" s="247" t="s">
        <v>528</v>
      </c>
      <c r="AH879" s="253">
        <v>20</v>
      </c>
      <c r="AI879" s="253">
        <v>27</v>
      </c>
      <c r="AJ879" s="253" t="s">
        <v>545</v>
      </c>
    </row>
    <row r="880" spans="27:36">
      <c r="AA880" s="252">
        <v>6522</v>
      </c>
      <c r="AB880" s="252" t="s">
        <v>1667</v>
      </c>
      <c r="AC880" s="253" t="s">
        <v>516</v>
      </c>
      <c r="AD880" s="253" t="s">
        <v>516</v>
      </c>
      <c r="AE880" s="253" t="s">
        <v>543</v>
      </c>
      <c r="AF880" s="253">
        <v>0</v>
      </c>
      <c r="AG880" s="253"/>
      <c r="AH880" s="253">
        <v>20</v>
      </c>
      <c r="AI880" s="253">
        <v>27</v>
      </c>
      <c r="AJ880" s="253" t="s">
        <v>545</v>
      </c>
    </row>
    <row r="881" spans="27:36">
      <c r="AA881" s="252">
        <v>6525</v>
      </c>
      <c r="AB881" s="252" t="s">
        <v>1668</v>
      </c>
      <c r="AC881" s="253" t="s">
        <v>516</v>
      </c>
      <c r="AD881" s="253" t="s">
        <v>516</v>
      </c>
      <c r="AE881" s="253" t="s">
        <v>543</v>
      </c>
      <c r="AF881" s="253">
        <v>0</v>
      </c>
      <c r="AG881" s="253" t="s">
        <v>528</v>
      </c>
      <c r="AH881" s="253">
        <v>20</v>
      </c>
      <c r="AI881" s="253">
        <v>27</v>
      </c>
      <c r="AJ881" s="253" t="s">
        <v>545</v>
      </c>
    </row>
    <row r="882" spans="27:36">
      <c r="AA882" s="252">
        <v>6526</v>
      </c>
      <c r="AB882" s="252" t="s">
        <v>1669</v>
      </c>
      <c r="AC882" s="253" t="s">
        <v>516</v>
      </c>
      <c r="AD882" s="253" t="s">
        <v>516</v>
      </c>
      <c r="AE882" s="253" t="s">
        <v>543</v>
      </c>
      <c r="AF882" s="253">
        <v>0</v>
      </c>
      <c r="AG882" s="253" t="s">
        <v>528</v>
      </c>
      <c r="AH882" s="253">
        <v>20</v>
      </c>
      <c r="AI882" s="253">
        <v>27</v>
      </c>
      <c r="AJ882" s="253" t="s">
        <v>545</v>
      </c>
    </row>
    <row r="883" spans="27:36">
      <c r="AA883" s="252">
        <v>6527</v>
      </c>
      <c r="AB883" s="252" t="s">
        <v>1670</v>
      </c>
      <c r="AC883" s="253" t="s">
        <v>516</v>
      </c>
      <c r="AD883" s="253" t="s">
        <v>516</v>
      </c>
      <c r="AE883" s="253" t="s">
        <v>543</v>
      </c>
      <c r="AF883" s="253">
        <v>0</v>
      </c>
      <c r="AG883" s="253" t="s">
        <v>528</v>
      </c>
      <c r="AH883" s="253">
        <v>20</v>
      </c>
      <c r="AI883" s="253">
        <v>27</v>
      </c>
      <c r="AJ883" s="253" t="s">
        <v>545</v>
      </c>
    </row>
    <row r="884" spans="27:36">
      <c r="AA884" s="252">
        <v>6530</v>
      </c>
      <c r="AB884" s="252" t="s">
        <v>1671</v>
      </c>
      <c r="AC884" s="253" t="s">
        <v>516</v>
      </c>
      <c r="AD884" s="253" t="s">
        <v>516</v>
      </c>
      <c r="AE884" s="253" t="s">
        <v>533</v>
      </c>
      <c r="AF884" s="253">
        <v>52</v>
      </c>
      <c r="AG884" s="253" t="s">
        <v>528</v>
      </c>
      <c r="AH884" s="253">
        <v>20</v>
      </c>
      <c r="AI884" s="253">
        <v>21</v>
      </c>
      <c r="AJ884" s="253" t="s">
        <v>545</v>
      </c>
    </row>
    <row r="885" spans="27:36">
      <c r="AA885" s="252">
        <v>6540</v>
      </c>
      <c r="AB885" s="252" t="s">
        <v>1672</v>
      </c>
      <c r="AC885" s="253" t="s">
        <v>516</v>
      </c>
      <c r="AD885" s="253" t="s">
        <v>516</v>
      </c>
      <c r="AE885" s="253" t="s">
        <v>1673</v>
      </c>
      <c r="AF885" s="253">
        <v>0</v>
      </c>
      <c r="AG885" s="253"/>
      <c r="AH885" s="253">
        <v>30</v>
      </c>
      <c r="AI885" s="253">
        <v>28</v>
      </c>
      <c r="AJ885" s="253" t="s">
        <v>545</v>
      </c>
    </row>
    <row r="886" spans="27:36">
      <c r="AA886" s="252">
        <v>6541</v>
      </c>
      <c r="AB886" s="252" t="s">
        <v>1674</v>
      </c>
      <c r="AC886" s="253" t="s">
        <v>516</v>
      </c>
      <c r="AD886" s="253" t="s">
        <v>516</v>
      </c>
      <c r="AE886" s="253" t="s">
        <v>533</v>
      </c>
      <c r="AF886" s="253">
        <v>52</v>
      </c>
      <c r="AG886" s="253" t="s">
        <v>528</v>
      </c>
      <c r="AH886" s="253">
        <v>20</v>
      </c>
      <c r="AI886" s="253">
        <v>21</v>
      </c>
      <c r="AJ886" s="253" t="s">
        <v>545</v>
      </c>
    </row>
    <row r="887" spans="27:36">
      <c r="AA887" s="252">
        <v>6542</v>
      </c>
      <c r="AB887" s="252" t="s">
        <v>1675</v>
      </c>
      <c r="AC887" s="253" t="s">
        <v>516</v>
      </c>
      <c r="AD887" s="253" t="s">
        <v>516</v>
      </c>
      <c r="AE887" s="253" t="s">
        <v>1673</v>
      </c>
      <c r="AF887" s="253">
        <v>0</v>
      </c>
      <c r="AG887" s="253" t="s">
        <v>528</v>
      </c>
      <c r="AH887" s="253">
        <v>20</v>
      </c>
      <c r="AI887" s="253">
        <v>32</v>
      </c>
      <c r="AJ887" s="253" t="s">
        <v>545</v>
      </c>
    </row>
    <row r="888" spans="27:36">
      <c r="AA888" s="252">
        <v>6571</v>
      </c>
      <c r="AB888" s="252" t="s">
        <v>1676</v>
      </c>
      <c r="AC888" s="253" t="s">
        <v>516</v>
      </c>
      <c r="AD888" s="253" t="s">
        <v>516</v>
      </c>
      <c r="AE888" s="253" t="s">
        <v>1673</v>
      </c>
      <c r="AF888" s="253">
        <v>0</v>
      </c>
      <c r="AG888" s="253"/>
      <c r="AH888" s="253">
        <v>30</v>
      </c>
      <c r="AI888" s="253">
        <v>28</v>
      </c>
      <c r="AJ888" s="253" t="s">
        <v>545</v>
      </c>
    </row>
    <row r="889" spans="27:36">
      <c r="AA889" s="252">
        <v>6601</v>
      </c>
      <c r="AB889" s="252" t="s">
        <v>1677</v>
      </c>
      <c r="AC889" s="253" t="s">
        <v>516</v>
      </c>
      <c r="AD889" s="253" t="s">
        <v>516</v>
      </c>
      <c r="AE889" s="253" t="s">
        <v>543</v>
      </c>
      <c r="AF889" s="253">
        <v>0</v>
      </c>
      <c r="AG889" s="253"/>
      <c r="AH889" s="253">
        <v>20</v>
      </c>
      <c r="AI889" s="253">
        <v>27</v>
      </c>
      <c r="AJ889" s="253" t="s">
        <v>545</v>
      </c>
    </row>
    <row r="890" spans="27:36">
      <c r="AA890" s="252">
        <v>6605</v>
      </c>
      <c r="AB890" s="252" t="s">
        <v>299</v>
      </c>
      <c r="AC890" s="253" t="s">
        <v>516</v>
      </c>
      <c r="AD890" s="253" t="s">
        <v>516</v>
      </c>
      <c r="AE890" s="253" t="s">
        <v>533</v>
      </c>
      <c r="AF890" s="253">
        <v>52</v>
      </c>
      <c r="AG890" s="253" t="s">
        <v>528</v>
      </c>
      <c r="AH890" s="253">
        <v>0</v>
      </c>
      <c r="AI890" s="253">
        <v>21</v>
      </c>
      <c r="AJ890" s="253" t="s">
        <v>545</v>
      </c>
    </row>
    <row r="891" spans="27:36">
      <c r="AA891" s="252">
        <v>6620</v>
      </c>
      <c r="AB891" s="252" t="s">
        <v>1678</v>
      </c>
      <c r="AC891" s="253" t="s">
        <v>516</v>
      </c>
      <c r="AD891" s="253" t="s">
        <v>516</v>
      </c>
      <c r="AE891" s="253" t="s">
        <v>533</v>
      </c>
      <c r="AF891" s="253">
        <v>52</v>
      </c>
      <c r="AG891" s="253" t="s">
        <v>528</v>
      </c>
      <c r="AH891" s="253">
        <v>20</v>
      </c>
      <c r="AI891" s="253">
        <v>21</v>
      </c>
      <c r="AJ891" s="253" t="s">
        <v>545</v>
      </c>
    </row>
    <row r="892" spans="27:36">
      <c r="AA892" s="252">
        <v>6621</v>
      </c>
      <c r="AB892" s="252" t="s">
        <v>1679</v>
      </c>
      <c r="AC892" s="253" t="s">
        <v>516</v>
      </c>
      <c r="AD892" s="253" t="s">
        <v>516</v>
      </c>
      <c r="AE892" s="253" t="s">
        <v>543</v>
      </c>
      <c r="AF892" s="253">
        <v>0</v>
      </c>
      <c r="AG892" s="253"/>
      <c r="AH892" s="253">
        <v>20</v>
      </c>
      <c r="AI892" s="253">
        <v>27</v>
      </c>
      <c r="AJ892" s="253" t="s">
        <v>545</v>
      </c>
    </row>
    <row r="893" spans="27:36">
      <c r="AA893" s="252">
        <v>6622</v>
      </c>
      <c r="AB893" s="252" t="s">
        <v>1680</v>
      </c>
      <c r="AC893" s="253" t="s">
        <v>516</v>
      </c>
      <c r="AD893" s="253" t="s">
        <v>516</v>
      </c>
      <c r="AE893" s="253" t="s">
        <v>543</v>
      </c>
      <c r="AF893" s="253">
        <v>0</v>
      </c>
      <c r="AG893" s="253" t="s">
        <v>528</v>
      </c>
      <c r="AH893" s="253">
        <v>20</v>
      </c>
      <c r="AI893" s="253">
        <v>27</v>
      </c>
      <c r="AJ893" s="253" t="s">
        <v>545</v>
      </c>
    </row>
    <row r="894" spans="27:36">
      <c r="AA894" s="252">
        <v>6625</v>
      </c>
      <c r="AB894" s="252" t="s">
        <v>1681</v>
      </c>
      <c r="AC894" s="253" t="s">
        <v>516</v>
      </c>
      <c r="AD894" s="253" t="s">
        <v>516</v>
      </c>
      <c r="AE894" s="253" t="s">
        <v>533</v>
      </c>
      <c r="AF894" s="253">
        <v>52</v>
      </c>
      <c r="AG894" s="253" t="s">
        <v>528</v>
      </c>
      <c r="AH894" s="253">
        <v>0</v>
      </c>
      <c r="AI894" s="253">
        <v>21</v>
      </c>
      <c r="AJ894" s="253" t="s">
        <v>545</v>
      </c>
    </row>
    <row r="895" spans="27:36">
      <c r="AA895" s="252">
        <v>6630</v>
      </c>
      <c r="AB895" s="252" t="s">
        <v>1682</v>
      </c>
      <c r="AC895" s="253" t="s">
        <v>516</v>
      </c>
      <c r="AD895" s="253" t="s">
        <v>516</v>
      </c>
      <c r="AE895" s="253" t="s">
        <v>543</v>
      </c>
      <c r="AF895" s="253">
        <v>0</v>
      </c>
      <c r="AG895" s="253" t="s">
        <v>528</v>
      </c>
      <c r="AH895" s="253">
        <v>20</v>
      </c>
      <c r="AI895" s="253">
        <v>27</v>
      </c>
      <c r="AJ895" s="253" t="s">
        <v>545</v>
      </c>
    </row>
    <row r="896" spans="27:36">
      <c r="AA896" s="252">
        <v>6635</v>
      </c>
      <c r="AB896" s="252" t="s">
        <v>1683</v>
      </c>
      <c r="AC896" s="253" t="s">
        <v>516</v>
      </c>
      <c r="AD896" s="253" t="s">
        <v>516</v>
      </c>
      <c r="AE896" s="253" t="s">
        <v>543</v>
      </c>
      <c r="AF896" s="253">
        <v>0</v>
      </c>
      <c r="AG896" s="253" t="s">
        <v>528</v>
      </c>
      <c r="AH896" s="253">
        <v>20</v>
      </c>
      <c r="AI896" s="253">
        <v>27</v>
      </c>
      <c r="AJ896" s="253" t="s">
        <v>545</v>
      </c>
    </row>
    <row r="897" spans="27:36">
      <c r="AA897" s="252">
        <v>6670</v>
      </c>
      <c r="AB897" s="252" t="s">
        <v>1684</v>
      </c>
      <c r="AC897" s="253" t="s">
        <v>516</v>
      </c>
      <c r="AD897" s="253" t="s">
        <v>516</v>
      </c>
      <c r="AE897" s="253" t="s">
        <v>1673</v>
      </c>
      <c r="AF897" s="253">
        <v>0</v>
      </c>
      <c r="AG897" s="253" t="s">
        <v>528</v>
      </c>
      <c r="AH897" s="253">
        <v>20</v>
      </c>
      <c r="AI897" s="253">
        <v>28</v>
      </c>
      <c r="AJ897" s="253" t="s">
        <v>545</v>
      </c>
    </row>
    <row r="898" spans="27:36">
      <c r="AA898" s="252">
        <v>6680</v>
      </c>
      <c r="AB898" s="252" t="s">
        <v>1685</v>
      </c>
      <c r="AC898" s="253" t="s">
        <v>516</v>
      </c>
      <c r="AD898" s="253" t="s">
        <v>516</v>
      </c>
      <c r="AE898" s="253" t="s">
        <v>1673</v>
      </c>
      <c r="AF898" s="253">
        <v>0</v>
      </c>
      <c r="AG898" s="253" t="s">
        <v>528</v>
      </c>
      <c r="AH898" s="253">
        <v>20</v>
      </c>
      <c r="AI898" s="253">
        <v>28</v>
      </c>
      <c r="AJ898" s="253" t="s">
        <v>545</v>
      </c>
    </row>
    <row r="899" spans="27:36">
      <c r="AA899" s="252">
        <v>6681</v>
      </c>
      <c r="AB899" s="252" t="s">
        <v>1686</v>
      </c>
      <c r="AC899" s="253" t="s">
        <v>516</v>
      </c>
      <c r="AD899" s="253" t="s">
        <v>516</v>
      </c>
      <c r="AE899" s="253" t="s">
        <v>1673</v>
      </c>
      <c r="AF899" s="253">
        <v>0</v>
      </c>
      <c r="AG899" s="253"/>
      <c r="AH899" s="253">
        <v>30</v>
      </c>
      <c r="AI899" s="253">
        <v>28</v>
      </c>
      <c r="AJ899" s="253" t="s">
        <v>545</v>
      </c>
    </row>
    <row r="900" spans="27:36">
      <c r="AA900" s="252">
        <v>6682</v>
      </c>
      <c r="AB900" s="252" t="s">
        <v>1687</v>
      </c>
      <c r="AC900" s="253" t="s">
        <v>516</v>
      </c>
      <c r="AD900" s="253" t="s">
        <v>516</v>
      </c>
      <c r="AE900" s="253" t="s">
        <v>1673</v>
      </c>
      <c r="AF900" s="253">
        <v>0</v>
      </c>
      <c r="AG900" s="253"/>
      <c r="AH900" s="253">
        <v>30</v>
      </c>
      <c r="AI900" s="253">
        <v>28</v>
      </c>
      <c r="AJ900" s="253" t="s">
        <v>545</v>
      </c>
    </row>
    <row r="901" spans="27:36">
      <c r="AA901" s="252">
        <v>6686</v>
      </c>
      <c r="AB901" s="252" t="s">
        <v>1688</v>
      </c>
      <c r="AC901" s="253" t="s">
        <v>516</v>
      </c>
      <c r="AD901" s="253" t="s">
        <v>516</v>
      </c>
      <c r="AE901" s="253" t="s">
        <v>1673</v>
      </c>
      <c r="AF901" s="253">
        <v>0</v>
      </c>
      <c r="AG901" s="253" t="s">
        <v>528</v>
      </c>
      <c r="AH901" s="253">
        <v>30</v>
      </c>
      <c r="AI901" s="253">
        <v>27</v>
      </c>
      <c r="AJ901" s="253" t="s">
        <v>545</v>
      </c>
    </row>
    <row r="902" spans="27:36">
      <c r="AA902" s="252">
        <v>6690</v>
      </c>
      <c r="AB902" s="252" t="s">
        <v>1689</v>
      </c>
      <c r="AC902" s="253" t="s">
        <v>516</v>
      </c>
      <c r="AD902" s="253" t="s">
        <v>516</v>
      </c>
      <c r="AE902" s="253" t="s">
        <v>1673</v>
      </c>
      <c r="AF902" s="253">
        <v>52</v>
      </c>
      <c r="AG902" s="253" t="s">
        <v>528</v>
      </c>
      <c r="AH902" s="253">
        <v>20</v>
      </c>
      <c r="AI902" s="253">
        <v>6</v>
      </c>
      <c r="AJ902" s="253" t="s">
        <v>545</v>
      </c>
    </row>
    <row r="903" spans="27:36">
      <c r="AA903" s="252">
        <v>6694</v>
      </c>
      <c r="AB903" s="252" t="s">
        <v>1690</v>
      </c>
      <c r="AC903" s="253" t="s">
        <v>516</v>
      </c>
      <c r="AD903" s="253" t="s">
        <v>516</v>
      </c>
      <c r="AE903" s="253" t="s">
        <v>1673</v>
      </c>
      <c r="AF903" s="253">
        <v>0</v>
      </c>
      <c r="AG903" s="253"/>
      <c r="AH903" s="253">
        <v>20</v>
      </c>
      <c r="AI903" s="253">
        <v>28</v>
      </c>
      <c r="AJ903" s="253" t="s">
        <v>545</v>
      </c>
    </row>
    <row r="904" spans="27:36">
      <c r="AA904" s="252">
        <v>6695</v>
      </c>
      <c r="AB904" s="252" t="s">
        <v>1691</v>
      </c>
      <c r="AC904" s="253" t="s">
        <v>516</v>
      </c>
      <c r="AD904" s="253" t="s">
        <v>516</v>
      </c>
      <c r="AE904" s="253" t="s">
        <v>1673</v>
      </c>
      <c r="AF904" s="253">
        <v>0</v>
      </c>
      <c r="AG904" s="253" t="s">
        <v>528</v>
      </c>
      <c r="AH904" s="253">
        <v>20</v>
      </c>
      <c r="AI904" s="253">
        <v>28</v>
      </c>
      <c r="AJ904" s="253" t="s">
        <v>545</v>
      </c>
    </row>
    <row r="905" spans="27:36">
      <c r="AA905" s="252">
        <v>6696</v>
      </c>
      <c r="AB905" s="252" t="s">
        <v>1692</v>
      </c>
      <c r="AC905" s="253" t="s">
        <v>516</v>
      </c>
      <c r="AD905" s="253" t="s">
        <v>516</v>
      </c>
      <c r="AE905" s="253" t="s">
        <v>1673</v>
      </c>
      <c r="AF905" s="253">
        <v>0</v>
      </c>
      <c r="AG905" s="253"/>
      <c r="AH905" s="253">
        <v>30</v>
      </c>
      <c r="AI905" s="253">
        <v>28</v>
      </c>
      <c r="AJ905" s="253" t="s">
        <v>545</v>
      </c>
    </row>
    <row r="906" spans="27:36">
      <c r="AA906" s="252">
        <v>6697</v>
      </c>
      <c r="AB906" s="252" t="s">
        <v>1693</v>
      </c>
      <c r="AC906" s="253" t="s">
        <v>516</v>
      </c>
      <c r="AD906" s="253" t="s">
        <v>516</v>
      </c>
      <c r="AE906" s="253" t="s">
        <v>1673</v>
      </c>
      <c r="AF906" s="253">
        <v>52</v>
      </c>
      <c r="AG906" s="253" t="s">
        <v>528</v>
      </c>
      <c r="AH906" s="253">
        <v>30</v>
      </c>
      <c r="AI906" s="253">
        <v>6</v>
      </c>
      <c r="AJ906" s="253" t="s">
        <v>545</v>
      </c>
    </row>
    <row r="907" spans="27:36">
      <c r="AA907" s="252">
        <v>6700</v>
      </c>
      <c r="AB907" s="252" t="s">
        <v>1694</v>
      </c>
      <c r="AC907" s="253" t="s">
        <v>516</v>
      </c>
      <c r="AD907" s="253" t="s">
        <v>516</v>
      </c>
      <c r="AE907" s="253" t="s">
        <v>1673</v>
      </c>
      <c r="AF907" s="253">
        <v>52</v>
      </c>
      <c r="AG907" s="253"/>
      <c r="AH907" s="253">
        <v>20</v>
      </c>
      <c r="AI907" s="253">
        <v>2</v>
      </c>
      <c r="AJ907" s="253"/>
    </row>
    <row r="908" spans="27:36">
      <c r="AA908" s="252">
        <v>6710</v>
      </c>
      <c r="AB908" s="252" t="s">
        <v>1695</v>
      </c>
      <c r="AC908" s="253" t="s">
        <v>516</v>
      </c>
      <c r="AD908" s="253" t="s">
        <v>516</v>
      </c>
      <c r="AE908" s="253" t="s">
        <v>543</v>
      </c>
      <c r="AF908" s="253">
        <v>0</v>
      </c>
      <c r="AG908" s="253"/>
      <c r="AH908" s="253">
        <v>20</v>
      </c>
      <c r="AI908" s="253">
        <v>27</v>
      </c>
      <c r="AJ908" s="253"/>
    </row>
    <row r="909" spans="27:36">
      <c r="AA909" s="252">
        <v>6711</v>
      </c>
      <c r="AB909" s="252" t="s">
        <v>1696</v>
      </c>
      <c r="AC909" s="253" t="s">
        <v>516</v>
      </c>
      <c r="AD909" s="253" t="s">
        <v>516</v>
      </c>
      <c r="AE909" s="253" t="s">
        <v>533</v>
      </c>
      <c r="AF909" s="253">
        <v>52</v>
      </c>
      <c r="AG909" s="253" t="s">
        <v>528</v>
      </c>
      <c r="AH909" s="253">
        <v>20</v>
      </c>
      <c r="AI909" s="253">
        <v>21</v>
      </c>
      <c r="AJ909" s="253"/>
    </row>
    <row r="910" spans="27:36">
      <c r="AA910" s="252">
        <v>6712</v>
      </c>
      <c r="AB910" s="252" t="s">
        <v>1697</v>
      </c>
      <c r="AC910" s="253" t="s">
        <v>516</v>
      </c>
      <c r="AD910" s="253" t="s">
        <v>516</v>
      </c>
      <c r="AE910" s="253" t="s">
        <v>543</v>
      </c>
      <c r="AF910" s="253">
        <v>0</v>
      </c>
      <c r="AG910" s="253"/>
      <c r="AH910" s="253">
        <v>20</v>
      </c>
      <c r="AI910" s="253">
        <v>27</v>
      </c>
      <c r="AJ910" s="253"/>
    </row>
    <row r="911" spans="27:36">
      <c r="AA911" s="252">
        <v>6720</v>
      </c>
      <c r="AB911" s="252" t="s">
        <v>1698</v>
      </c>
      <c r="AC911" s="253" t="s">
        <v>516</v>
      </c>
      <c r="AD911" s="253" t="s">
        <v>516</v>
      </c>
      <c r="AE911" s="253" t="s">
        <v>543</v>
      </c>
      <c r="AF911" s="253">
        <v>0</v>
      </c>
      <c r="AG911" s="253"/>
      <c r="AH911" s="253">
        <v>20</v>
      </c>
      <c r="AI911" s="253">
        <v>27</v>
      </c>
      <c r="AJ911" s="253"/>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EAC07A-AAE7-472C-AF09-16DC83D01E1B}">
  <ds:schemaRefs>
    <ds:schemaRef ds:uri="http://schemas.microsoft.com/DataMashup"/>
  </ds:schemaRefs>
</ds:datastoreItem>
</file>

<file path=customXml/itemProps2.xml><?xml version="1.0" encoding="utf-8"?>
<ds:datastoreItem xmlns:ds="http://schemas.openxmlformats.org/officeDocument/2006/customXml" ds:itemID="{79605C45-923F-4866-AF31-FBC254D9D7F0}">
  <ds:schemaRefs>
    <ds:schemaRef ds:uri="http://schemas.microsoft.com/sharepoint/v3/contenttype/forms"/>
  </ds:schemaRefs>
</ds:datastoreItem>
</file>

<file path=customXml/itemProps3.xml><?xml version="1.0" encoding="utf-8"?>
<ds:datastoreItem xmlns:ds="http://schemas.openxmlformats.org/officeDocument/2006/customXml" ds:itemID="{E6E189CC-30F2-45D0-9889-4F0D3E12DE92}">
  <ds:schemaRefs>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d9a8f758-49c1-4e0a-848c-65d5ae448043"/>
    <ds:schemaRef ds:uri="http://schemas.openxmlformats.org/package/2006/metadata/core-properties"/>
  </ds:schemaRefs>
</ds:datastoreItem>
</file>

<file path=customXml/itemProps4.xml><?xml version="1.0" encoding="utf-8"?>
<ds:datastoreItem xmlns:ds="http://schemas.openxmlformats.org/officeDocument/2006/customXml" ds:itemID="{A090C1A8-A9E3-47A8-8BD0-A54E835C7B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O2Summary</vt:lpstr>
      <vt:lpstr>MonthlyKPI</vt:lpstr>
      <vt:lpstr>Daily KPI</vt:lpstr>
      <vt:lpstr>AnnualKPI</vt:lpstr>
      <vt:lpstr>Analytices</vt:lpstr>
      <vt:lpstr>WTG Reactive Power</vt:lpstr>
      <vt:lpstr>Input_Raw</vt:lpstr>
      <vt:lpstr>WTG_BD</vt:lpstr>
      <vt:lpstr>IGA_BD</vt:lpstr>
      <vt:lpstr>Grid_BD</vt:lpstr>
      <vt:lpstr>WTG-PM</vt:lpstr>
      <vt:lpstr>SLDC certailment data </vt:lpstr>
      <vt:lpstr>Modelling New</vt:lpstr>
      <vt:lpstr>Sheet1</vt:lpstr>
      <vt:lpstr>Modelling</vt:lpstr>
      <vt:lpstr>Basic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Dinesh Panda Vadra</cp:lastModifiedBy>
  <cp:revision/>
  <dcterms:created xsi:type="dcterms:W3CDTF">2015-06-05T18:17:20Z</dcterms:created>
  <dcterms:modified xsi:type="dcterms:W3CDTF">2025-07-15T00:27:21Z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